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4\Vdiskas\Biudzeto ir Ekonomikos skyrius\Bendras biudzeto ir ekonomikos SK\Biudžeto vykdymas\2023 metai\9 mėn\Internetiniam puslapiui\"/>
    </mc:Choice>
  </mc:AlternateContent>
  <xr:revisionPtr revIDLastSave="0" documentId="13_ncr:1_{84D0461D-C22F-495E-9403-1E8408DD8B1E}" xr6:coauthVersionLast="47" xr6:coauthVersionMax="47" xr10:uidLastSave="{00000000-0000-0000-0000-000000000000}"/>
  <bookViews>
    <workbookView xWindow="1440" yWindow="1425" windowWidth="21600" windowHeight="11295" xr2:uid="{00000000-000D-0000-FFFF-FFFF00000000}"/>
  </bookViews>
  <sheets>
    <sheet name="biudžeto pajamų vykdymas" sheetId="2" r:id="rId1"/>
    <sheet name="pajamų už teikiamas pasl vykdym" sheetId="10" r:id="rId2"/>
    <sheet name="pajamos už patalpų nuomą" sheetId="40" r:id="rId3"/>
    <sheet name="vykdymas pagal asig valdytojus" sheetId="36" r:id="rId4"/>
    <sheet name="vykdymas pagal programas" sheetId="37" r:id="rId5"/>
    <sheet name="vykdymas pagal valstybės funk" sheetId="13" r:id="rId6"/>
    <sheet name="asignavimai pgl valstybės funk " sheetId="38" r:id="rId7"/>
    <sheet name="vykdymas pagal ekonom paskirst" sheetId="14" r:id="rId8"/>
    <sheet name="asignavimai pagal ekonom paskir" sheetId="39" r:id="rId9"/>
  </sheets>
  <calcPr calcId="191029"/>
</workbook>
</file>

<file path=xl/calcChain.xml><?xml version="1.0" encoding="utf-8"?>
<calcChain xmlns="http://schemas.openxmlformats.org/spreadsheetml/2006/main">
  <c r="N19" i="37" l="1"/>
  <c r="M19" i="37"/>
  <c r="L19" i="37"/>
  <c r="K19" i="37"/>
  <c r="J19" i="37"/>
  <c r="I19" i="37"/>
  <c r="H19" i="37"/>
  <c r="G19" i="37"/>
  <c r="E19" i="37"/>
  <c r="P18" i="37"/>
  <c r="O18" i="37"/>
  <c r="P17" i="37"/>
  <c r="O17" i="37"/>
  <c r="P16" i="37"/>
  <c r="O16" i="37"/>
  <c r="P15" i="37"/>
  <c r="F15" i="37"/>
  <c r="F19" i="37" s="1"/>
  <c r="D15" i="37"/>
  <c r="D19" i="37" s="1"/>
  <c r="C15" i="37"/>
  <c r="C19" i="37" s="1"/>
  <c r="P14" i="37"/>
  <c r="O14" i="37"/>
  <c r="P13" i="37"/>
  <c r="O13" i="37"/>
  <c r="P12" i="37"/>
  <c r="O12" i="37"/>
  <c r="P11" i="37"/>
  <c r="O11" i="37"/>
  <c r="P10" i="37"/>
  <c r="O10" i="37"/>
  <c r="O323" i="36"/>
  <c r="N323" i="36"/>
  <c r="M323" i="36"/>
  <c r="L323" i="36"/>
  <c r="K323" i="36"/>
  <c r="J323" i="36"/>
  <c r="I323" i="36"/>
  <c r="H323" i="36"/>
  <c r="G323" i="36"/>
  <c r="F323" i="36"/>
  <c r="E323" i="36"/>
  <c r="D323" i="36"/>
  <c r="O320" i="36"/>
  <c r="N320" i="36"/>
  <c r="M320" i="36"/>
  <c r="L320" i="36"/>
  <c r="Q320" i="36" s="1"/>
  <c r="K320" i="36"/>
  <c r="J320" i="36"/>
  <c r="I320" i="36"/>
  <c r="H320" i="36"/>
  <c r="G320" i="36"/>
  <c r="F320" i="36"/>
  <c r="E320" i="36"/>
  <c r="D320" i="36"/>
  <c r="O317" i="36"/>
  <c r="N317" i="36"/>
  <c r="M317" i="36"/>
  <c r="L317" i="36"/>
  <c r="K317" i="36"/>
  <c r="J317" i="36"/>
  <c r="I317" i="36"/>
  <c r="H317" i="36"/>
  <c r="G317" i="36"/>
  <c r="F317" i="36"/>
  <c r="E317" i="36"/>
  <c r="D317" i="36"/>
  <c r="O311" i="36"/>
  <c r="N311" i="36"/>
  <c r="M311" i="36"/>
  <c r="L311" i="36"/>
  <c r="K311" i="36"/>
  <c r="J311" i="36"/>
  <c r="I311" i="36"/>
  <c r="H311" i="36"/>
  <c r="G311" i="36"/>
  <c r="F311" i="36"/>
  <c r="E311" i="36"/>
  <c r="D311" i="36"/>
  <c r="O307" i="36"/>
  <c r="N307" i="36"/>
  <c r="M307" i="36"/>
  <c r="L307" i="36"/>
  <c r="Q307" i="36" s="1"/>
  <c r="K307" i="36"/>
  <c r="J307" i="36"/>
  <c r="I307" i="36"/>
  <c r="H307" i="36"/>
  <c r="G307" i="36"/>
  <c r="F307" i="36"/>
  <c r="E307" i="36"/>
  <c r="D307" i="36"/>
  <c r="O302" i="36"/>
  <c r="N302" i="36"/>
  <c r="M302" i="36"/>
  <c r="L302" i="36"/>
  <c r="K302" i="36"/>
  <c r="J302" i="36"/>
  <c r="I302" i="36"/>
  <c r="H302" i="36"/>
  <c r="G302" i="36"/>
  <c r="F302" i="36"/>
  <c r="E302" i="36"/>
  <c r="D302" i="36"/>
  <c r="P302" i="36" s="1"/>
  <c r="O300" i="36"/>
  <c r="N300" i="36"/>
  <c r="M300" i="36"/>
  <c r="L300" i="36"/>
  <c r="Q300" i="36" s="1"/>
  <c r="K300" i="36"/>
  <c r="J300" i="36"/>
  <c r="I300" i="36"/>
  <c r="H300" i="36"/>
  <c r="G300" i="36"/>
  <c r="F300" i="36"/>
  <c r="E300" i="36"/>
  <c r="D300" i="36"/>
  <c r="O297" i="36"/>
  <c r="N297" i="36"/>
  <c r="M297" i="36"/>
  <c r="L297" i="36"/>
  <c r="K297" i="36"/>
  <c r="J297" i="36"/>
  <c r="I297" i="36"/>
  <c r="H297" i="36"/>
  <c r="G297" i="36"/>
  <c r="F297" i="36"/>
  <c r="E297" i="36"/>
  <c r="D297" i="36"/>
  <c r="O294" i="36"/>
  <c r="N294" i="36"/>
  <c r="M294" i="36"/>
  <c r="L294" i="36"/>
  <c r="Q294" i="36" s="1"/>
  <c r="K294" i="36"/>
  <c r="J294" i="36"/>
  <c r="I294" i="36"/>
  <c r="H294" i="36"/>
  <c r="G294" i="36"/>
  <c r="F294" i="36"/>
  <c r="E294" i="36"/>
  <c r="D294" i="36"/>
  <c r="P291" i="36"/>
  <c r="O291" i="36"/>
  <c r="N291" i="36"/>
  <c r="M291" i="36"/>
  <c r="L291" i="36"/>
  <c r="K291" i="36"/>
  <c r="J291" i="36"/>
  <c r="I291" i="36"/>
  <c r="H291" i="36"/>
  <c r="Q291" i="36" s="1"/>
  <c r="G291" i="36"/>
  <c r="F291" i="36"/>
  <c r="E291" i="36"/>
  <c r="D291" i="36"/>
  <c r="O288" i="36"/>
  <c r="N288" i="36"/>
  <c r="M288" i="36"/>
  <c r="L288" i="36"/>
  <c r="P288" i="36" s="1"/>
  <c r="K288" i="36"/>
  <c r="J288" i="36"/>
  <c r="I288" i="36"/>
  <c r="H288" i="36"/>
  <c r="G288" i="36"/>
  <c r="F288" i="36"/>
  <c r="E288" i="36"/>
  <c r="D288" i="36"/>
  <c r="O281" i="36"/>
  <c r="N281" i="36"/>
  <c r="M281" i="36"/>
  <c r="L281" i="36"/>
  <c r="K281" i="36"/>
  <c r="J281" i="36"/>
  <c r="I281" i="36"/>
  <c r="H281" i="36"/>
  <c r="G281" i="36"/>
  <c r="F281" i="36"/>
  <c r="E281" i="36"/>
  <c r="D281" i="36"/>
  <c r="O277" i="36"/>
  <c r="N277" i="36"/>
  <c r="M277" i="36"/>
  <c r="L277" i="36"/>
  <c r="K277" i="36"/>
  <c r="J277" i="36"/>
  <c r="I277" i="36"/>
  <c r="H277" i="36"/>
  <c r="G277" i="36"/>
  <c r="F277" i="36"/>
  <c r="E277" i="36"/>
  <c r="D277" i="36"/>
  <c r="O270" i="36"/>
  <c r="N270" i="36"/>
  <c r="M270" i="36"/>
  <c r="L270" i="36"/>
  <c r="P270" i="36" s="1"/>
  <c r="K270" i="36"/>
  <c r="J270" i="36"/>
  <c r="I270" i="36"/>
  <c r="H270" i="36"/>
  <c r="Q270" i="36" s="1"/>
  <c r="G270" i="36"/>
  <c r="F270" i="36"/>
  <c r="E270" i="36"/>
  <c r="D270" i="36"/>
  <c r="O265" i="36"/>
  <c r="N265" i="36"/>
  <c r="M265" i="36"/>
  <c r="L265" i="36"/>
  <c r="P265" i="36" s="1"/>
  <c r="K265" i="36"/>
  <c r="J265" i="36"/>
  <c r="I265" i="36"/>
  <c r="H265" i="36"/>
  <c r="G265" i="36"/>
  <c r="F265" i="36"/>
  <c r="E265" i="36"/>
  <c r="D265" i="36"/>
  <c r="O262" i="36"/>
  <c r="N262" i="36"/>
  <c r="M262" i="36"/>
  <c r="L262" i="36"/>
  <c r="K262" i="36"/>
  <c r="J262" i="36"/>
  <c r="I262" i="36"/>
  <c r="H262" i="36"/>
  <c r="G262" i="36"/>
  <c r="F262" i="36"/>
  <c r="E262" i="36"/>
  <c r="D262" i="36"/>
  <c r="O257" i="36"/>
  <c r="N257" i="36"/>
  <c r="M257" i="36"/>
  <c r="L257" i="36"/>
  <c r="Q257" i="36" s="1"/>
  <c r="K257" i="36"/>
  <c r="J257" i="36"/>
  <c r="I257" i="36"/>
  <c r="H257" i="36"/>
  <c r="G257" i="36"/>
  <c r="F257" i="36"/>
  <c r="E257" i="36"/>
  <c r="D257" i="36"/>
  <c r="O253" i="36"/>
  <c r="N253" i="36"/>
  <c r="M253" i="36"/>
  <c r="L253" i="36"/>
  <c r="P253" i="36" s="1"/>
  <c r="K253" i="36"/>
  <c r="J253" i="36"/>
  <c r="I253" i="36"/>
  <c r="H253" i="36"/>
  <c r="G253" i="36"/>
  <c r="F253" i="36"/>
  <c r="E253" i="36"/>
  <c r="D253" i="36"/>
  <c r="N245" i="36"/>
  <c r="M245" i="36"/>
  <c r="L245" i="36"/>
  <c r="K245" i="36"/>
  <c r="J245" i="36"/>
  <c r="I245" i="36"/>
  <c r="H245" i="36"/>
  <c r="G245" i="36"/>
  <c r="F245" i="36"/>
  <c r="E245" i="36"/>
  <c r="D245" i="36"/>
  <c r="O240" i="36"/>
  <c r="N240" i="36"/>
  <c r="M240" i="36"/>
  <c r="L240" i="36"/>
  <c r="Q240" i="36" s="1"/>
  <c r="K240" i="36"/>
  <c r="J240" i="36"/>
  <c r="I240" i="36"/>
  <c r="H240" i="36"/>
  <c r="G240" i="36"/>
  <c r="F240" i="36"/>
  <c r="E240" i="36"/>
  <c r="D240" i="36"/>
  <c r="O232" i="36"/>
  <c r="N232" i="36"/>
  <c r="M232" i="36"/>
  <c r="L232" i="36"/>
  <c r="K232" i="36"/>
  <c r="J232" i="36"/>
  <c r="I232" i="36"/>
  <c r="H232" i="36"/>
  <c r="G232" i="36"/>
  <c r="F232" i="36"/>
  <c r="E232" i="36"/>
  <c r="D232" i="36"/>
  <c r="O225" i="36"/>
  <c r="N225" i="36"/>
  <c r="M225" i="36"/>
  <c r="L225" i="36"/>
  <c r="P225" i="36" s="1"/>
  <c r="K225" i="36"/>
  <c r="J225" i="36"/>
  <c r="I225" i="36"/>
  <c r="H225" i="36"/>
  <c r="Q225" i="36" s="1"/>
  <c r="G225" i="36"/>
  <c r="F225" i="36"/>
  <c r="E225" i="36"/>
  <c r="D225" i="36"/>
  <c r="N219" i="36"/>
  <c r="M219" i="36"/>
  <c r="L219" i="36"/>
  <c r="Q219" i="36" s="1"/>
  <c r="K219" i="36"/>
  <c r="J219" i="36"/>
  <c r="I219" i="36"/>
  <c r="H219" i="36"/>
  <c r="G219" i="36"/>
  <c r="F219" i="36"/>
  <c r="E219" i="36"/>
  <c r="D219" i="36"/>
  <c r="O215" i="36"/>
  <c r="N215" i="36"/>
  <c r="M215" i="36"/>
  <c r="L215" i="36"/>
  <c r="K215" i="36"/>
  <c r="J215" i="36"/>
  <c r="I215" i="36"/>
  <c r="H215" i="36"/>
  <c r="G215" i="36"/>
  <c r="F215" i="36"/>
  <c r="E215" i="36"/>
  <c r="D215" i="36"/>
  <c r="O212" i="36"/>
  <c r="N212" i="36"/>
  <c r="M212" i="36"/>
  <c r="L212" i="36"/>
  <c r="P212" i="36" s="1"/>
  <c r="K212" i="36"/>
  <c r="J212" i="36"/>
  <c r="I212" i="36"/>
  <c r="H212" i="36"/>
  <c r="Q212" i="36" s="1"/>
  <c r="G212" i="36"/>
  <c r="F212" i="36"/>
  <c r="E212" i="36"/>
  <c r="D212" i="36"/>
  <c r="O209" i="36"/>
  <c r="N209" i="36"/>
  <c r="M209" i="36"/>
  <c r="L209" i="36"/>
  <c r="Q209" i="36" s="1"/>
  <c r="K209" i="36"/>
  <c r="J209" i="36"/>
  <c r="I209" i="36"/>
  <c r="H209" i="36"/>
  <c r="G209" i="36"/>
  <c r="F209" i="36"/>
  <c r="E209" i="36"/>
  <c r="D209" i="36"/>
  <c r="O204" i="36"/>
  <c r="N204" i="36"/>
  <c r="M204" i="36"/>
  <c r="L204" i="36"/>
  <c r="K204" i="36"/>
  <c r="J204" i="36"/>
  <c r="I204" i="36"/>
  <c r="H204" i="36"/>
  <c r="G204" i="36"/>
  <c r="F204" i="36"/>
  <c r="E204" i="36"/>
  <c r="D204" i="36"/>
  <c r="O201" i="36"/>
  <c r="N201" i="36"/>
  <c r="M201" i="36"/>
  <c r="L201" i="36"/>
  <c r="K201" i="36"/>
  <c r="J201" i="36"/>
  <c r="I201" i="36"/>
  <c r="H201" i="36"/>
  <c r="G201" i="36"/>
  <c r="F201" i="36"/>
  <c r="E201" i="36"/>
  <c r="D201" i="36"/>
  <c r="O198" i="36"/>
  <c r="N198" i="36"/>
  <c r="M198" i="36"/>
  <c r="L198" i="36"/>
  <c r="P198" i="36" s="1"/>
  <c r="K198" i="36"/>
  <c r="J198" i="36"/>
  <c r="I198" i="36"/>
  <c r="H198" i="36"/>
  <c r="G198" i="36"/>
  <c r="F198" i="36"/>
  <c r="E198" i="36"/>
  <c r="D198" i="36"/>
  <c r="O190" i="36"/>
  <c r="N190" i="36"/>
  <c r="M190" i="36"/>
  <c r="L190" i="36"/>
  <c r="Q190" i="36" s="1"/>
  <c r="K190" i="36"/>
  <c r="J190" i="36"/>
  <c r="I190" i="36"/>
  <c r="H190" i="36"/>
  <c r="G190" i="36"/>
  <c r="F190" i="36"/>
  <c r="E190" i="36"/>
  <c r="D190" i="36"/>
  <c r="O181" i="36"/>
  <c r="N181" i="36"/>
  <c r="M181" i="36"/>
  <c r="L181" i="36"/>
  <c r="K181" i="36"/>
  <c r="J181" i="36"/>
  <c r="I181" i="36"/>
  <c r="H181" i="36"/>
  <c r="G181" i="36"/>
  <c r="F181" i="36"/>
  <c r="E181" i="36"/>
  <c r="D181" i="36"/>
  <c r="O172" i="36"/>
  <c r="N172" i="36"/>
  <c r="M172" i="36"/>
  <c r="L172" i="36"/>
  <c r="K172" i="36"/>
  <c r="J172" i="36"/>
  <c r="I172" i="36"/>
  <c r="H172" i="36"/>
  <c r="G172" i="36"/>
  <c r="F172" i="36"/>
  <c r="E172" i="36"/>
  <c r="D172" i="36"/>
  <c r="O163" i="36"/>
  <c r="N163" i="36"/>
  <c r="M163" i="36"/>
  <c r="L163" i="36"/>
  <c r="P163" i="36" s="1"/>
  <c r="K163" i="36"/>
  <c r="J163" i="36"/>
  <c r="I163" i="36"/>
  <c r="H163" i="36"/>
  <c r="Q163" i="36" s="1"/>
  <c r="G163" i="36"/>
  <c r="F163" i="36"/>
  <c r="E163" i="36"/>
  <c r="D163" i="36"/>
  <c r="O158" i="36"/>
  <c r="N158" i="36"/>
  <c r="M158" i="36"/>
  <c r="L158" i="36"/>
  <c r="Q158" i="36" s="1"/>
  <c r="K158" i="36"/>
  <c r="J158" i="36"/>
  <c r="I158" i="36"/>
  <c r="H158" i="36"/>
  <c r="G158" i="36"/>
  <c r="F158" i="36"/>
  <c r="E158" i="36"/>
  <c r="D158" i="36"/>
  <c r="O152" i="36"/>
  <c r="N152" i="36"/>
  <c r="M152" i="36"/>
  <c r="L152" i="36"/>
  <c r="K152" i="36"/>
  <c r="J152" i="36"/>
  <c r="I152" i="36"/>
  <c r="H152" i="36"/>
  <c r="G152" i="36"/>
  <c r="F152" i="36"/>
  <c r="E152" i="36"/>
  <c r="D152" i="36"/>
  <c r="O147" i="36"/>
  <c r="N147" i="36"/>
  <c r="M147" i="36"/>
  <c r="L147" i="36"/>
  <c r="K147" i="36"/>
  <c r="J147" i="36"/>
  <c r="I147" i="36"/>
  <c r="H147" i="36"/>
  <c r="G147" i="36"/>
  <c r="F147" i="36"/>
  <c r="E147" i="36"/>
  <c r="D147" i="36"/>
  <c r="P141" i="36"/>
  <c r="O141" i="36"/>
  <c r="N141" i="36"/>
  <c r="M141" i="36"/>
  <c r="L141" i="36"/>
  <c r="K141" i="36"/>
  <c r="J141" i="36"/>
  <c r="I141" i="36"/>
  <c r="H141" i="36"/>
  <c r="Q141" i="36" s="1"/>
  <c r="G141" i="36"/>
  <c r="F141" i="36"/>
  <c r="E141" i="36"/>
  <c r="D141" i="36"/>
  <c r="O134" i="36"/>
  <c r="N134" i="36"/>
  <c r="M134" i="36"/>
  <c r="L134" i="36"/>
  <c r="P134" i="36" s="1"/>
  <c r="K134" i="36"/>
  <c r="J134" i="36"/>
  <c r="I134" i="36"/>
  <c r="H134" i="36"/>
  <c r="G134" i="36"/>
  <c r="F134" i="36"/>
  <c r="E134" i="36"/>
  <c r="D134" i="36"/>
  <c r="O127" i="36"/>
  <c r="N127" i="36"/>
  <c r="M127" i="36"/>
  <c r="L127" i="36"/>
  <c r="K127" i="36"/>
  <c r="J127" i="36"/>
  <c r="I127" i="36"/>
  <c r="H127" i="36"/>
  <c r="G127" i="36"/>
  <c r="F127" i="36"/>
  <c r="E127" i="36"/>
  <c r="D127" i="36"/>
  <c r="O117" i="36"/>
  <c r="N117" i="36"/>
  <c r="M117" i="36"/>
  <c r="L117" i="36"/>
  <c r="K117" i="36"/>
  <c r="J117" i="36"/>
  <c r="I117" i="36"/>
  <c r="H117" i="36"/>
  <c r="G117" i="36"/>
  <c r="F117" i="36"/>
  <c r="E117" i="36"/>
  <c r="D117" i="36"/>
  <c r="O110" i="36"/>
  <c r="N110" i="36"/>
  <c r="M110" i="36"/>
  <c r="L110" i="36"/>
  <c r="P110" i="36" s="1"/>
  <c r="K110" i="36"/>
  <c r="J110" i="36"/>
  <c r="I110" i="36"/>
  <c r="H110" i="36"/>
  <c r="Q110" i="36" s="1"/>
  <c r="G110" i="36"/>
  <c r="F110" i="36"/>
  <c r="E110" i="36"/>
  <c r="D110" i="36"/>
  <c r="O99" i="36"/>
  <c r="N99" i="36"/>
  <c r="M99" i="36"/>
  <c r="L99" i="36"/>
  <c r="Q99" i="36" s="1"/>
  <c r="K99" i="36"/>
  <c r="J99" i="36"/>
  <c r="I99" i="36"/>
  <c r="H99" i="36"/>
  <c r="G99" i="36"/>
  <c r="F99" i="36"/>
  <c r="E99" i="36"/>
  <c r="D99" i="36"/>
  <c r="O88" i="36"/>
  <c r="N88" i="36"/>
  <c r="M88" i="36"/>
  <c r="L88" i="36"/>
  <c r="K88" i="36"/>
  <c r="J88" i="36"/>
  <c r="I88" i="36"/>
  <c r="H88" i="36"/>
  <c r="G88" i="36"/>
  <c r="F88" i="36"/>
  <c r="E88" i="36"/>
  <c r="D88" i="36"/>
  <c r="O81" i="36"/>
  <c r="N81" i="36"/>
  <c r="M81" i="36"/>
  <c r="L81" i="36"/>
  <c r="K81" i="36"/>
  <c r="J81" i="36"/>
  <c r="I81" i="36"/>
  <c r="H81" i="36"/>
  <c r="G81" i="36"/>
  <c r="F81" i="36"/>
  <c r="E81" i="36"/>
  <c r="D81" i="36"/>
  <c r="O76" i="36"/>
  <c r="N76" i="36"/>
  <c r="M76" i="36"/>
  <c r="L76" i="36"/>
  <c r="P76" i="36" s="1"/>
  <c r="K76" i="36"/>
  <c r="J76" i="36"/>
  <c r="I76" i="36"/>
  <c r="H76" i="36"/>
  <c r="G76" i="36"/>
  <c r="F76" i="36"/>
  <c r="E76" i="36"/>
  <c r="D76" i="36"/>
  <c r="O11" i="36"/>
  <c r="N11" i="36"/>
  <c r="N326" i="36" s="1"/>
  <c r="M11" i="36"/>
  <c r="L11" i="36"/>
  <c r="Q11" i="36" s="1"/>
  <c r="K11" i="36"/>
  <c r="J11" i="36"/>
  <c r="I11" i="36"/>
  <c r="I326" i="36" s="1"/>
  <c r="H11" i="36"/>
  <c r="G11" i="36"/>
  <c r="F11" i="36"/>
  <c r="E11" i="36"/>
  <c r="D11" i="36"/>
  <c r="J326" i="36" l="1"/>
  <c r="D326" i="36"/>
  <c r="P88" i="36"/>
  <c r="P99" i="36"/>
  <c r="Q147" i="36"/>
  <c r="P204" i="36"/>
  <c r="P209" i="36"/>
  <c r="P262" i="36"/>
  <c r="L326" i="36"/>
  <c r="P326" i="36" s="1"/>
  <c r="K326" i="36"/>
  <c r="P127" i="36"/>
  <c r="Q172" i="36"/>
  <c r="P232" i="36"/>
  <c r="P281" i="36"/>
  <c r="Q317" i="36"/>
  <c r="E326" i="36"/>
  <c r="M326" i="36"/>
  <c r="Q76" i="36"/>
  <c r="Q198" i="36"/>
  <c r="Q245" i="36"/>
  <c r="Q253" i="36"/>
  <c r="P320" i="36"/>
  <c r="F326" i="36"/>
  <c r="Q81" i="36"/>
  <c r="P152" i="36"/>
  <c r="P158" i="36"/>
  <c r="Q201" i="36"/>
  <c r="Q265" i="36"/>
  <c r="P297" i="36"/>
  <c r="P300" i="36"/>
  <c r="Q323" i="36"/>
  <c r="G326" i="36"/>
  <c r="Q302" i="36"/>
  <c r="H326" i="36"/>
  <c r="P11" i="36"/>
  <c r="Q117" i="36"/>
  <c r="Q134" i="36"/>
  <c r="P181" i="36"/>
  <c r="P190" i="36"/>
  <c r="Q215" i="36"/>
  <c r="Q232" i="36"/>
  <c r="P245" i="36"/>
  <c r="Q277" i="36"/>
  <c r="Q288" i="36"/>
  <c r="P311" i="36"/>
  <c r="P317" i="36"/>
  <c r="P19" i="37"/>
  <c r="O15" i="37"/>
  <c r="O19" i="37"/>
  <c r="Q88" i="36"/>
  <c r="Q127" i="36"/>
  <c r="Q152" i="36"/>
  <c r="Q181" i="36"/>
  <c r="Q204" i="36"/>
  <c r="P240" i="36"/>
  <c r="Q262" i="36"/>
  <c r="Q281" i="36"/>
  <c r="Q297" i="36"/>
  <c r="Q311" i="36"/>
  <c r="P81" i="36"/>
  <c r="P117" i="36"/>
  <c r="P147" i="36"/>
  <c r="P172" i="36"/>
  <c r="P201" i="36"/>
  <c r="P215" i="36"/>
  <c r="P257" i="36"/>
  <c r="P277" i="36"/>
  <c r="P294" i="36"/>
  <c r="P307" i="36"/>
  <c r="P323" i="36"/>
  <c r="P219" i="36"/>
  <c r="Q326" i="36" l="1"/>
  <c r="I10" i="13" l="1"/>
  <c r="F13" i="38"/>
  <c r="F10" i="38"/>
  <c r="I9" i="13"/>
  <c r="M33" i="2"/>
  <c r="F38" i="39"/>
  <c r="I39" i="14"/>
  <c r="E22" i="38"/>
  <c r="D22" i="38"/>
  <c r="F22" i="38"/>
  <c r="F19" i="38"/>
  <c r="C35" i="39"/>
  <c r="C38" i="39" s="1"/>
  <c r="G10" i="14"/>
  <c r="D10" i="39"/>
  <c r="C10" i="39"/>
  <c r="M54" i="2"/>
  <c r="L54" i="2"/>
  <c r="K54" i="2"/>
  <c r="J54" i="2"/>
  <c r="I54" i="2"/>
  <c r="G54" i="2"/>
  <c r="M53" i="2"/>
  <c r="L53" i="2"/>
  <c r="K53" i="2"/>
  <c r="J53" i="2"/>
  <c r="I53" i="2"/>
  <c r="G53" i="2"/>
  <c r="M52" i="2"/>
  <c r="L52" i="2"/>
  <c r="H52" i="2"/>
  <c r="J52" i="2" s="1"/>
  <c r="F52" i="2"/>
  <c r="E52" i="2"/>
  <c r="D52" i="2"/>
  <c r="K52" i="2" s="1"/>
  <c r="C52" i="2"/>
  <c r="M51" i="2"/>
  <c r="L51" i="2"/>
  <c r="K51" i="2"/>
  <c r="J51" i="2"/>
  <c r="I51" i="2"/>
  <c r="G51" i="2"/>
  <c r="M50" i="2"/>
  <c r="L50" i="2"/>
  <c r="K50" i="2"/>
  <c r="J50" i="2"/>
  <c r="I50" i="2"/>
  <c r="G50" i="2"/>
  <c r="M49" i="2"/>
  <c r="L49" i="2"/>
  <c r="K49" i="2"/>
  <c r="J49" i="2"/>
  <c r="I49" i="2"/>
  <c r="G49" i="2"/>
  <c r="M48" i="2"/>
  <c r="L48" i="2"/>
  <c r="K48" i="2"/>
  <c r="J48" i="2"/>
  <c r="I48" i="2"/>
  <c r="G48" i="2"/>
  <c r="M47" i="2"/>
  <c r="L47" i="2"/>
  <c r="K47" i="2"/>
  <c r="J47" i="2"/>
  <c r="I47" i="2"/>
  <c r="G47" i="2"/>
  <c r="K46" i="2"/>
  <c r="H46" i="2"/>
  <c r="J46" i="2" s="1"/>
  <c r="F46" i="2"/>
  <c r="E46" i="2"/>
  <c r="D46" i="2"/>
  <c r="C46" i="2"/>
  <c r="L45" i="2"/>
  <c r="K45" i="2"/>
  <c r="J45" i="2"/>
  <c r="I45" i="2"/>
  <c r="G45" i="2"/>
  <c r="M44" i="2"/>
  <c r="L44" i="2"/>
  <c r="K44" i="2"/>
  <c r="J44" i="2"/>
  <c r="I44" i="2"/>
  <c r="G44" i="2"/>
  <c r="M43" i="2"/>
  <c r="L43" i="2"/>
  <c r="K43" i="2"/>
  <c r="J43" i="2"/>
  <c r="I43" i="2"/>
  <c r="G43" i="2"/>
  <c r="M42" i="2"/>
  <c r="L42" i="2"/>
  <c r="K42" i="2"/>
  <c r="J42" i="2"/>
  <c r="I42" i="2"/>
  <c r="G42" i="2"/>
  <c r="H41" i="2"/>
  <c r="F41" i="2"/>
  <c r="L41" i="2" s="1"/>
  <c r="E41" i="2"/>
  <c r="E31" i="2" s="1"/>
  <c r="D41" i="2"/>
  <c r="C41" i="2"/>
  <c r="L40" i="2"/>
  <c r="J40" i="2"/>
  <c r="G40" i="2"/>
  <c r="M39" i="2"/>
  <c r="L39" i="2"/>
  <c r="K39" i="2"/>
  <c r="J39" i="2"/>
  <c r="I39" i="2"/>
  <c r="G39" i="2"/>
  <c r="M38" i="2"/>
  <c r="L38" i="2"/>
  <c r="J38" i="2"/>
  <c r="I38" i="2"/>
  <c r="G38" i="2"/>
  <c r="M37" i="2"/>
  <c r="L37" i="2"/>
  <c r="K37" i="2"/>
  <c r="J37" i="2"/>
  <c r="I37" i="2"/>
  <c r="G37" i="2"/>
  <c r="M36" i="2"/>
  <c r="L36" i="2"/>
  <c r="K36" i="2"/>
  <c r="J36" i="2"/>
  <c r="I36" i="2"/>
  <c r="G36" i="2"/>
  <c r="M35" i="2"/>
  <c r="L35" i="2"/>
  <c r="K35" i="2"/>
  <c r="J35" i="2"/>
  <c r="I35" i="2"/>
  <c r="G35" i="2"/>
  <c r="L34" i="2"/>
  <c r="J34" i="2"/>
  <c r="G34" i="2"/>
  <c r="L33" i="2"/>
  <c r="J33" i="2"/>
  <c r="G33" i="2"/>
  <c r="I32" i="2"/>
  <c r="H32" i="2"/>
  <c r="F32" i="2"/>
  <c r="E32" i="2"/>
  <c r="G32" i="2" s="1"/>
  <c r="D32" i="2"/>
  <c r="C32" i="2"/>
  <c r="D31" i="2"/>
  <c r="M30" i="2"/>
  <c r="L30" i="2"/>
  <c r="K30" i="2"/>
  <c r="J30" i="2"/>
  <c r="I30" i="2"/>
  <c r="G30" i="2"/>
  <c r="M29" i="2"/>
  <c r="L29" i="2"/>
  <c r="K29" i="2"/>
  <c r="J29" i="2"/>
  <c r="I29" i="2"/>
  <c r="G29" i="2"/>
  <c r="H28" i="2"/>
  <c r="F28" i="2"/>
  <c r="G28" i="2" s="1"/>
  <c r="E28" i="2"/>
  <c r="D28" i="2"/>
  <c r="C28" i="2"/>
  <c r="M27" i="2"/>
  <c r="L27" i="2"/>
  <c r="K27" i="2"/>
  <c r="J27" i="2"/>
  <c r="I27" i="2"/>
  <c r="G27" i="2"/>
  <c r="M26" i="2"/>
  <c r="L26" i="2"/>
  <c r="K26" i="2"/>
  <c r="J26" i="2"/>
  <c r="I26" i="2"/>
  <c r="G26" i="2"/>
  <c r="L25" i="2"/>
  <c r="J25" i="2"/>
  <c r="G25" i="2"/>
  <c r="M24" i="2"/>
  <c r="L24" i="2"/>
  <c r="K24" i="2"/>
  <c r="J24" i="2"/>
  <c r="I24" i="2"/>
  <c r="G24" i="2"/>
  <c r="M23" i="2"/>
  <c r="L23" i="2"/>
  <c r="K23" i="2"/>
  <c r="J23" i="2"/>
  <c r="I23" i="2"/>
  <c r="G23" i="2"/>
  <c r="M22" i="2"/>
  <c r="L22" i="2"/>
  <c r="K22" i="2"/>
  <c r="J22" i="2"/>
  <c r="I22" i="2"/>
  <c r="G22" i="2"/>
  <c r="M21" i="2"/>
  <c r="L21" i="2"/>
  <c r="K21" i="2"/>
  <c r="J21" i="2"/>
  <c r="I21" i="2"/>
  <c r="G21" i="2"/>
  <c r="H20" i="2"/>
  <c r="F20" i="2"/>
  <c r="K20" i="2" s="1"/>
  <c r="E20" i="2"/>
  <c r="E19" i="2" s="1"/>
  <c r="E18" i="2" s="1"/>
  <c r="D20" i="2"/>
  <c r="D19" i="2" s="1"/>
  <c r="C20" i="2"/>
  <c r="C19" i="2" s="1"/>
  <c r="C18" i="2" s="1"/>
  <c r="H19" i="2"/>
  <c r="M17" i="2"/>
  <c r="L17" i="2"/>
  <c r="K17" i="2"/>
  <c r="J17" i="2"/>
  <c r="I17" i="2"/>
  <c r="G17" i="2"/>
  <c r="H16" i="2"/>
  <c r="J16" i="2" s="1"/>
  <c r="F16" i="2"/>
  <c r="F15" i="2" s="1"/>
  <c r="E16" i="2"/>
  <c r="E15" i="2" s="1"/>
  <c r="G15" i="2" s="1"/>
  <c r="D16" i="2"/>
  <c r="D15" i="2" s="1"/>
  <c r="C16" i="2"/>
  <c r="C15" i="2" s="1"/>
  <c r="M14" i="2"/>
  <c r="L14" i="2"/>
  <c r="K14" i="2"/>
  <c r="J14" i="2"/>
  <c r="I14" i="2"/>
  <c r="G14" i="2"/>
  <c r="M13" i="2"/>
  <c r="L13" i="2"/>
  <c r="K13" i="2"/>
  <c r="J13" i="2"/>
  <c r="I13" i="2"/>
  <c r="G13" i="2"/>
  <c r="M12" i="2"/>
  <c r="L12" i="2"/>
  <c r="K12" i="2"/>
  <c r="J12" i="2"/>
  <c r="I12" i="2"/>
  <c r="G12" i="2"/>
  <c r="L11" i="2"/>
  <c r="J11" i="2"/>
  <c r="H11" i="2"/>
  <c r="F11" i="2"/>
  <c r="E11" i="2"/>
  <c r="G11" i="2" s="1"/>
  <c r="D11" i="2"/>
  <c r="K11" i="2" s="1"/>
  <c r="C11" i="2"/>
  <c r="M10" i="2"/>
  <c r="L10" i="2"/>
  <c r="K10" i="2"/>
  <c r="J10" i="2"/>
  <c r="I10" i="2"/>
  <c r="G10" i="2"/>
  <c r="H9" i="2"/>
  <c r="F9" i="2"/>
  <c r="I9" i="2" s="1"/>
  <c r="E9" i="2"/>
  <c r="D9" i="2"/>
  <c r="C9" i="2"/>
  <c r="H31" i="2" l="1"/>
  <c r="J9" i="2"/>
  <c r="D18" i="2"/>
  <c r="I46" i="2"/>
  <c r="F8" i="2"/>
  <c r="H8" i="2"/>
  <c r="L8" i="2" s="1"/>
  <c r="M9" i="2"/>
  <c r="G16" i="2"/>
  <c r="J20" i="2"/>
  <c r="I28" i="2"/>
  <c r="L46" i="2"/>
  <c r="L9" i="2"/>
  <c r="K28" i="2"/>
  <c r="J41" i="2"/>
  <c r="M46" i="2"/>
  <c r="K9" i="2"/>
  <c r="I20" i="2"/>
  <c r="I11" i="2"/>
  <c r="H15" i="2"/>
  <c r="L15" i="2" s="1"/>
  <c r="F19" i="2"/>
  <c r="M19" i="2" s="1"/>
  <c r="L20" i="2"/>
  <c r="G20" i="2"/>
  <c r="M32" i="2"/>
  <c r="M41" i="2"/>
  <c r="C31" i="2"/>
  <c r="I16" i="2"/>
  <c r="E8" i="2"/>
  <c r="L16" i="2"/>
  <c r="H18" i="2"/>
  <c r="M20" i="2"/>
  <c r="J28" i="2"/>
  <c r="I52" i="2"/>
  <c r="C8" i="2"/>
  <c r="C7" i="2" s="1"/>
  <c r="C6" i="2" s="1"/>
  <c r="D8" i="2"/>
  <c r="D7" i="2" s="1"/>
  <c r="D6" i="2" s="1"/>
  <c r="J15" i="2"/>
  <c r="E7" i="2"/>
  <c r="E6" i="2" s="1"/>
  <c r="J18" i="2"/>
  <c r="K16" i="2"/>
  <c r="G41" i="2"/>
  <c r="I8" i="2"/>
  <c r="M11" i="2"/>
  <c r="M16" i="2"/>
  <c r="I19" i="2"/>
  <c r="L28" i="2"/>
  <c r="J32" i="2"/>
  <c r="G9" i="2"/>
  <c r="I15" i="2"/>
  <c r="J19" i="2"/>
  <c r="M28" i="2"/>
  <c r="F31" i="2"/>
  <c r="K32" i="2"/>
  <c r="I41" i="2"/>
  <c r="G46" i="2"/>
  <c r="K8" i="2"/>
  <c r="L32" i="2"/>
  <c r="G52" i="2"/>
  <c r="K15" i="2"/>
  <c r="K41" i="2"/>
  <c r="M8" i="2" l="1"/>
  <c r="K19" i="2"/>
  <c r="F18" i="2"/>
  <c r="J8" i="2"/>
  <c r="J31" i="2"/>
  <c r="L19" i="2"/>
  <c r="H7" i="2"/>
  <c r="M15" i="2"/>
  <c r="G19" i="2"/>
  <c r="G8" i="2"/>
  <c r="G18" i="2"/>
  <c r="M18" i="2"/>
  <c r="K18" i="2"/>
  <c r="I18" i="2"/>
  <c r="L18" i="2"/>
  <c r="I31" i="2"/>
  <c r="G31" i="2"/>
  <c r="M31" i="2"/>
  <c r="L31" i="2"/>
  <c r="K31" i="2"/>
  <c r="F7" i="2"/>
  <c r="H6" i="2"/>
  <c r="J6" i="2" s="1"/>
  <c r="J7" i="2"/>
  <c r="G7" i="2" l="1"/>
  <c r="I7" i="2"/>
  <c r="M7" i="2"/>
  <c r="L7" i="2"/>
  <c r="K7" i="2"/>
  <c r="F6" i="2"/>
  <c r="K6" i="2" l="1"/>
  <c r="I6" i="2"/>
  <c r="L6" i="2"/>
  <c r="G6" i="2"/>
  <c r="M6" i="2"/>
  <c r="G37" i="39" l="1"/>
  <c r="F37" i="39"/>
  <c r="G36" i="39"/>
  <c r="F36" i="39"/>
  <c r="G34" i="39"/>
  <c r="F34" i="39"/>
  <c r="G33" i="39"/>
  <c r="F33" i="39"/>
  <c r="G32" i="39"/>
  <c r="F32" i="39"/>
  <c r="G31" i="39"/>
  <c r="F31" i="39"/>
  <c r="E30" i="39"/>
  <c r="G30" i="39" s="1"/>
  <c r="D30" i="39"/>
  <c r="F30" i="39" s="1"/>
  <c r="C30" i="39"/>
  <c r="G29" i="39"/>
  <c r="F29" i="39"/>
  <c r="G28" i="39"/>
  <c r="F28" i="39"/>
  <c r="G27" i="39"/>
  <c r="F27" i="39"/>
  <c r="G26" i="39"/>
  <c r="F26" i="39"/>
  <c r="G25" i="39"/>
  <c r="F25" i="39"/>
  <c r="G24" i="39"/>
  <c r="F24" i="39"/>
  <c r="G23" i="39"/>
  <c r="F23" i="39"/>
  <c r="G22" i="39"/>
  <c r="F22" i="39"/>
  <c r="G21" i="39"/>
  <c r="F21" i="39"/>
  <c r="G20" i="39"/>
  <c r="F20" i="39"/>
  <c r="G19" i="39"/>
  <c r="F19" i="39"/>
  <c r="G18" i="39"/>
  <c r="F18" i="39"/>
  <c r="G17" i="39"/>
  <c r="F17" i="39"/>
  <c r="G16" i="39"/>
  <c r="F16" i="39"/>
  <c r="G15" i="39"/>
  <c r="F15" i="39"/>
  <c r="G14" i="39"/>
  <c r="F14" i="39"/>
  <c r="G13" i="39"/>
  <c r="F13" i="39"/>
  <c r="G12" i="39"/>
  <c r="F12" i="39"/>
  <c r="G11" i="39"/>
  <c r="F11" i="39"/>
  <c r="G10" i="39"/>
  <c r="F10" i="39"/>
  <c r="F35" i="39" s="1"/>
  <c r="E10" i="39"/>
  <c r="E35" i="39" s="1"/>
  <c r="D35" i="39"/>
  <c r="D38" i="39" s="1"/>
  <c r="G9" i="39"/>
  <c r="F9" i="39"/>
  <c r="J38" i="14"/>
  <c r="I38" i="14"/>
  <c r="I37" i="14"/>
  <c r="J35" i="14"/>
  <c r="I35" i="14"/>
  <c r="J34" i="14"/>
  <c r="I34" i="14"/>
  <c r="J33" i="14"/>
  <c r="I33" i="14"/>
  <c r="J31" i="14"/>
  <c r="G31" i="14"/>
  <c r="I31" i="14" s="1"/>
  <c r="E31" i="14"/>
  <c r="C31" i="14"/>
  <c r="J30" i="14"/>
  <c r="I30" i="14"/>
  <c r="J29" i="14"/>
  <c r="I29" i="14"/>
  <c r="J28" i="14"/>
  <c r="I28" i="14"/>
  <c r="J27" i="14"/>
  <c r="I27" i="14"/>
  <c r="J26" i="14"/>
  <c r="I26" i="14"/>
  <c r="J25" i="14"/>
  <c r="I25" i="14"/>
  <c r="J24" i="14"/>
  <c r="I24" i="14"/>
  <c r="J23" i="14"/>
  <c r="I23" i="14"/>
  <c r="J22" i="14"/>
  <c r="I22" i="14"/>
  <c r="J21" i="14"/>
  <c r="I21" i="14"/>
  <c r="J20" i="14"/>
  <c r="I20" i="14"/>
  <c r="J19" i="14"/>
  <c r="I19" i="14"/>
  <c r="J18" i="14"/>
  <c r="I18" i="14"/>
  <c r="J17" i="14"/>
  <c r="I17" i="14"/>
  <c r="J16" i="14"/>
  <c r="I16" i="14"/>
  <c r="J15" i="14"/>
  <c r="I15" i="14"/>
  <c r="J14" i="14"/>
  <c r="I14" i="14"/>
  <c r="J13" i="14"/>
  <c r="I13" i="14"/>
  <c r="J12" i="14"/>
  <c r="I12" i="14"/>
  <c r="J11" i="14"/>
  <c r="I11" i="14"/>
  <c r="G36" i="14"/>
  <c r="E10" i="14"/>
  <c r="J10" i="14" s="1"/>
  <c r="C10" i="14"/>
  <c r="C36" i="14" s="1"/>
  <c r="J9" i="14"/>
  <c r="I9" i="14"/>
  <c r="G35" i="39" l="1"/>
  <c r="E38" i="39"/>
  <c r="C39" i="14"/>
  <c r="D36" i="14"/>
  <c r="G39" i="14"/>
  <c r="J36" i="14"/>
  <c r="E36" i="14"/>
  <c r="I36" i="14" s="1"/>
  <c r="I10" i="14"/>
  <c r="G38" i="39" l="1"/>
  <c r="H22" i="14"/>
  <c r="H14" i="14"/>
  <c r="H35" i="14"/>
  <c r="H30" i="14"/>
  <c r="H25" i="14"/>
  <c r="H17" i="14"/>
  <c r="H12" i="14"/>
  <c r="H10" i="14"/>
  <c r="H19" i="14"/>
  <c r="H39" i="14"/>
  <c r="H38" i="14"/>
  <c r="H20" i="14"/>
  <c r="H33" i="14"/>
  <c r="H28" i="14"/>
  <c r="H23" i="14"/>
  <c r="H15" i="14"/>
  <c r="H26" i="14"/>
  <c r="H18" i="14"/>
  <c r="H9" i="14"/>
  <c r="H11" i="14"/>
  <c r="H21" i="14"/>
  <c r="H13" i="14"/>
  <c r="H16" i="14"/>
  <c r="H27" i="14"/>
  <c r="H37" i="14"/>
  <c r="H34" i="14"/>
  <c r="H29" i="14"/>
  <c r="H24" i="14"/>
  <c r="H36" i="14"/>
  <c r="H31" i="14"/>
  <c r="D34" i="14"/>
  <c r="D29" i="14"/>
  <c r="D24" i="14"/>
  <c r="D16" i="14"/>
  <c r="D27" i="14"/>
  <c r="D19" i="14"/>
  <c r="D11" i="14"/>
  <c r="D14" i="14"/>
  <c r="D10" i="14"/>
  <c r="D22" i="14"/>
  <c r="D9" i="14"/>
  <c r="D35" i="14"/>
  <c r="D30" i="14"/>
  <c r="D25" i="14"/>
  <c r="D17" i="14"/>
  <c r="D20" i="14"/>
  <c r="D12" i="14"/>
  <c r="D38" i="14"/>
  <c r="D33" i="14"/>
  <c r="D23" i="14"/>
  <c r="D15" i="14"/>
  <c r="D21" i="14"/>
  <c r="D13" i="14"/>
  <c r="D39" i="14"/>
  <c r="D32" i="14"/>
  <c r="D26" i="14"/>
  <c r="D18" i="14"/>
  <c r="E39" i="14"/>
  <c r="D31" i="14"/>
  <c r="F27" i="14" l="1"/>
  <c r="F19" i="14"/>
  <c r="F22" i="14"/>
  <c r="F14" i="14"/>
  <c r="F17" i="14"/>
  <c r="F15" i="14"/>
  <c r="F13" i="14"/>
  <c r="F29" i="14"/>
  <c r="F35" i="14"/>
  <c r="F30" i="14"/>
  <c r="F25" i="14"/>
  <c r="F38" i="14"/>
  <c r="F20" i="14"/>
  <c r="F12" i="14"/>
  <c r="F23" i="14"/>
  <c r="F34" i="14"/>
  <c r="F24" i="14"/>
  <c r="F16" i="14"/>
  <c r="F11" i="14"/>
  <c r="F39" i="14"/>
  <c r="F33" i="14"/>
  <c r="F28" i="14"/>
  <c r="F26" i="14"/>
  <c r="F18" i="14"/>
  <c r="F9" i="14"/>
  <c r="F21" i="14"/>
  <c r="F10" i="14"/>
  <c r="F31" i="14"/>
  <c r="F36" i="14"/>
  <c r="J39" i="14"/>
  <c r="G21" i="38" l="1"/>
  <c r="F21" i="38"/>
  <c r="E20" i="38"/>
  <c r="F20" i="38" s="1"/>
  <c r="D20" i="38"/>
  <c r="C20" i="38"/>
  <c r="G18" i="38"/>
  <c r="F18" i="38"/>
  <c r="E18" i="38"/>
  <c r="D18" i="38"/>
  <c r="C18" i="38"/>
  <c r="G17" i="38"/>
  <c r="F17" i="38"/>
  <c r="G16" i="38"/>
  <c r="F16" i="38"/>
  <c r="G15" i="38"/>
  <c r="F15" i="38"/>
  <c r="G14" i="38"/>
  <c r="F14" i="38"/>
  <c r="G13" i="38"/>
  <c r="G12" i="38"/>
  <c r="F12" i="38"/>
  <c r="G11" i="38"/>
  <c r="F11" i="38"/>
  <c r="G10" i="38"/>
  <c r="E9" i="38"/>
  <c r="E19" i="38" s="1"/>
  <c r="D9" i="38"/>
  <c r="D19" i="38" s="1"/>
  <c r="C9" i="38"/>
  <c r="C19" i="38" s="1"/>
  <c r="C22" i="38" s="1"/>
  <c r="E21" i="13"/>
  <c r="F17" i="13" s="1"/>
  <c r="C21" i="13"/>
  <c r="D14" i="13" s="1"/>
  <c r="I20" i="13"/>
  <c r="J19" i="13"/>
  <c r="I19" i="13"/>
  <c r="F19" i="13"/>
  <c r="J18" i="13"/>
  <c r="G18" i="13"/>
  <c r="I18" i="13" s="1"/>
  <c r="J17" i="13"/>
  <c r="I17" i="13"/>
  <c r="J16" i="13"/>
  <c r="I16" i="13"/>
  <c r="F16" i="13"/>
  <c r="J15" i="13"/>
  <c r="I15" i="13"/>
  <c r="J14" i="13"/>
  <c r="I14" i="13"/>
  <c r="F14" i="13"/>
  <c r="J13" i="13"/>
  <c r="I13" i="13"/>
  <c r="J12" i="13"/>
  <c r="I12" i="13"/>
  <c r="F12" i="13"/>
  <c r="J11" i="13"/>
  <c r="I11" i="13"/>
  <c r="F11" i="13"/>
  <c r="D11" i="13"/>
  <c r="J10" i="13"/>
  <c r="J9" i="13"/>
  <c r="G9" i="13"/>
  <c r="G21" i="13" s="1"/>
  <c r="F9" i="13"/>
  <c r="G19" i="38" l="1"/>
  <c r="F9" i="38"/>
  <c r="G20" i="38"/>
  <c r="G9" i="38"/>
  <c r="J21" i="13"/>
  <c r="H12" i="13"/>
  <c r="I21" i="13"/>
  <c r="H20" i="13"/>
  <c r="H18" i="13"/>
  <c r="H15" i="13"/>
  <c r="H21" i="13"/>
  <c r="H10" i="13"/>
  <c r="H9" i="13"/>
  <c r="H13" i="13"/>
  <c r="H11" i="13"/>
  <c r="H14" i="13"/>
  <c r="H19" i="13"/>
  <c r="H16" i="13"/>
  <c r="H17" i="13"/>
  <c r="D19" i="13"/>
  <c r="D21" i="13"/>
  <c r="D10" i="13"/>
  <c r="F13" i="13"/>
  <c r="D18" i="13"/>
  <c r="F21" i="13"/>
  <c r="D13" i="13"/>
  <c r="F10" i="13"/>
  <c r="D15" i="13"/>
  <c r="F18" i="13"/>
  <c r="D16" i="13"/>
  <c r="D9" i="13"/>
  <c r="D12" i="13"/>
  <c r="F15" i="13"/>
  <c r="D17" i="13"/>
  <c r="G22" i="38" l="1"/>
  <c r="H33" i="40" l="1"/>
  <c r="J32" i="40"/>
  <c r="I32" i="40"/>
  <c r="G32" i="40"/>
  <c r="I31" i="40"/>
  <c r="G31" i="40"/>
  <c r="J31" i="40" s="1"/>
  <c r="G30" i="40"/>
  <c r="J30" i="40" s="1"/>
  <c r="F30" i="40"/>
  <c r="F33" i="40" s="1"/>
  <c r="J29" i="40"/>
  <c r="I29" i="40"/>
  <c r="G29" i="40"/>
  <c r="I28" i="40"/>
  <c r="G28" i="40"/>
  <c r="J28" i="40" s="1"/>
  <c r="I27" i="40"/>
  <c r="G27" i="40"/>
  <c r="J27" i="40" s="1"/>
  <c r="J26" i="40"/>
  <c r="I26" i="40"/>
  <c r="G26" i="40"/>
  <c r="I25" i="40"/>
  <c r="G25" i="40"/>
  <c r="J25" i="40" s="1"/>
  <c r="J24" i="40"/>
  <c r="I24" i="40"/>
  <c r="G24" i="40"/>
  <c r="J23" i="40"/>
  <c r="I23" i="40"/>
  <c r="G23" i="40"/>
  <c r="I22" i="40"/>
  <c r="G22" i="40"/>
  <c r="J22" i="40" s="1"/>
  <c r="J21" i="40"/>
  <c r="I21" i="40"/>
  <c r="G21" i="40"/>
  <c r="I20" i="40"/>
  <c r="G20" i="40"/>
  <c r="J20" i="40" s="1"/>
  <c r="J19" i="40"/>
  <c r="I19" i="40"/>
  <c r="J18" i="40"/>
  <c r="I18" i="40"/>
  <c r="G18" i="40"/>
  <c r="I17" i="40"/>
  <c r="G17" i="40"/>
  <c r="J17" i="40" s="1"/>
  <c r="I16" i="40"/>
  <c r="G16" i="40"/>
  <c r="J16" i="40" s="1"/>
  <c r="J15" i="40"/>
  <c r="I15" i="40"/>
  <c r="G15" i="40"/>
  <c r="I14" i="40"/>
  <c r="G14" i="40"/>
  <c r="J14" i="40" s="1"/>
  <c r="J13" i="40"/>
  <c r="I13" i="40"/>
  <c r="G13" i="40"/>
  <c r="J12" i="40"/>
  <c r="I12" i="40"/>
  <c r="G12" i="40"/>
  <c r="I11" i="40"/>
  <c r="G11" i="40"/>
  <c r="J11" i="40" s="1"/>
  <c r="J10" i="40"/>
  <c r="I10" i="40"/>
  <c r="G10" i="40"/>
  <c r="I9" i="40"/>
  <c r="G9" i="40"/>
  <c r="J9" i="40" s="1"/>
  <c r="H48" i="10"/>
  <c r="J47" i="10"/>
  <c r="I47" i="10"/>
  <c r="J46" i="10"/>
  <c r="I46" i="10"/>
  <c r="J45" i="10"/>
  <c r="I45" i="10"/>
  <c r="G45" i="10"/>
  <c r="J44" i="10"/>
  <c r="I44" i="10"/>
  <c r="J43" i="10"/>
  <c r="I43" i="10"/>
  <c r="J42" i="10"/>
  <c r="I42" i="10"/>
  <c r="F42" i="10"/>
  <c r="F48" i="10" s="1"/>
  <c r="I48" i="10" s="1"/>
  <c r="J41" i="10"/>
  <c r="I41" i="10"/>
  <c r="J40" i="10"/>
  <c r="I40" i="10"/>
  <c r="J39" i="10"/>
  <c r="I39" i="10"/>
  <c r="J38" i="10"/>
  <c r="I38" i="10"/>
  <c r="J37" i="10"/>
  <c r="I37" i="10"/>
  <c r="G37" i="10"/>
  <c r="J36" i="10"/>
  <c r="I36" i="10"/>
  <c r="J35" i="10"/>
  <c r="I35" i="10"/>
  <c r="G35" i="10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J24" i="10"/>
  <c r="I24" i="10"/>
  <c r="J23" i="10"/>
  <c r="I23" i="10"/>
  <c r="J22" i="10"/>
  <c r="I22" i="10"/>
  <c r="G22" i="10"/>
  <c r="J21" i="10"/>
  <c r="I21" i="10"/>
  <c r="G21" i="10"/>
  <c r="J20" i="10"/>
  <c r="I20" i="10"/>
  <c r="J19" i="10"/>
  <c r="I19" i="10"/>
  <c r="J18" i="10"/>
  <c r="I18" i="10"/>
  <c r="G18" i="10"/>
  <c r="J17" i="10"/>
  <c r="I17" i="10"/>
  <c r="J16" i="10"/>
  <c r="I16" i="10"/>
  <c r="J15" i="10"/>
  <c r="I15" i="10"/>
  <c r="J14" i="10"/>
  <c r="I14" i="10"/>
  <c r="J13" i="10"/>
  <c r="I13" i="10"/>
  <c r="J12" i="10"/>
  <c r="I12" i="10"/>
  <c r="J11" i="10"/>
  <c r="I11" i="10"/>
  <c r="G11" i="10"/>
  <c r="J10" i="10"/>
  <c r="I10" i="10"/>
  <c r="G10" i="10"/>
  <c r="J9" i="10"/>
  <c r="I9" i="10"/>
  <c r="G9" i="10"/>
  <c r="G48" i="10" s="1"/>
  <c r="J48" i="10" s="1"/>
  <c r="J8" i="10"/>
  <c r="I8" i="10"/>
  <c r="I30" i="40" l="1"/>
  <c r="G33" i="40"/>
  <c r="J33" i="40" s="1"/>
  <c r="I33" i="40"/>
</calcChain>
</file>

<file path=xl/sharedStrings.xml><?xml version="1.0" encoding="utf-8"?>
<sst xmlns="http://schemas.openxmlformats.org/spreadsheetml/2006/main" count="952" uniqueCount="417">
  <si>
    <t>1.</t>
  </si>
  <si>
    <t>2.</t>
  </si>
  <si>
    <t>3.</t>
  </si>
  <si>
    <t>4.</t>
  </si>
  <si>
    <t>5.</t>
  </si>
  <si>
    <t>6.</t>
  </si>
  <si>
    <t>7.</t>
  </si>
  <si>
    <t>8.</t>
  </si>
  <si>
    <t>Įvykdymo procentas</t>
  </si>
  <si>
    <t>1.1.</t>
  </si>
  <si>
    <t xml:space="preserve"> tūkst. eurų</t>
  </si>
  <si>
    <t>Palūkanos</t>
  </si>
  <si>
    <t xml:space="preserve">PASLAUGAS ĮMOKŲ Į SAVIVALDYBĖS BIUDŽETĄ PLANO ĮVYKDYMAS </t>
  </si>
  <si>
    <t>Įstaigos pavadinimas</t>
  </si>
  <si>
    <t>Metinis patikslintas planas</t>
  </si>
  <si>
    <t>Įvykdyta</t>
  </si>
  <si>
    <t>Gargždų "Vaivorykštės" gimnazija</t>
  </si>
  <si>
    <t>Priekulės I.Simonaitytės gimnazija</t>
  </si>
  <si>
    <t>Endriejavo pagrindinė mokykla</t>
  </si>
  <si>
    <t>Gargždų "Minijos" progimnazija</t>
  </si>
  <si>
    <t>9.</t>
  </si>
  <si>
    <t>Dovilų pagrindinė mokykla</t>
  </si>
  <si>
    <t>10.</t>
  </si>
  <si>
    <t>11.</t>
  </si>
  <si>
    <t>Ketvergių pagrindinė mokykla</t>
  </si>
  <si>
    <t>12.</t>
  </si>
  <si>
    <t>Kretingalės pagrindinė mokykla</t>
  </si>
  <si>
    <t>13.</t>
  </si>
  <si>
    <t>14.</t>
  </si>
  <si>
    <t>Plikių I. Labutytės pagrindinė mokykla</t>
  </si>
  <si>
    <t>15.</t>
  </si>
  <si>
    <t>16.</t>
  </si>
  <si>
    <t>Vėžaičių pagrindinė mokykla</t>
  </si>
  <si>
    <t>17.</t>
  </si>
  <si>
    <t>Slengių mokykla-daugiafunkcis centras</t>
  </si>
  <si>
    <t>18.</t>
  </si>
  <si>
    <t>19.</t>
  </si>
  <si>
    <t>Gargždų lopšelis-darželis "Ąžuoliukas"</t>
  </si>
  <si>
    <t>20.</t>
  </si>
  <si>
    <t>Gargždų lopšelis-darželis "Gintarėlis"</t>
  </si>
  <si>
    <t>21.</t>
  </si>
  <si>
    <t>Gargždų lopšelis -darželis "Saulutė"</t>
  </si>
  <si>
    <t>22.</t>
  </si>
  <si>
    <t>23.</t>
  </si>
  <si>
    <t>24.</t>
  </si>
  <si>
    <t>25.</t>
  </si>
  <si>
    <t>26.</t>
  </si>
  <si>
    <t>Gargždų lopšelis-darželis "Naminukas"</t>
  </si>
  <si>
    <t>27.</t>
  </si>
  <si>
    <t>28.</t>
  </si>
  <si>
    <t>Priekulės vaikų lopšelis-darželis</t>
  </si>
  <si>
    <t>29.</t>
  </si>
  <si>
    <t>30.</t>
  </si>
  <si>
    <t>Gargždų muzikos mokykla</t>
  </si>
  <si>
    <t>31.</t>
  </si>
  <si>
    <t>32.</t>
  </si>
  <si>
    <t>33.</t>
  </si>
  <si>
    <t>Vaikų ir jaunimo laisvalaikio centras</t>
  </si>
  <si>
    <t>34.</t>
  </si>
  <si>
    <t>Švietimo centras</t>
  </si>
  <si>
    <t>35.</t>
  </si>
  <si>
    <t>Gargždų atviro jaunimo centras</t>
  </si>
  <si>
    <t>36.</t>
  </si>
  <si>
    <t>Klaipėdos rajono turizmo informacijos centras</t>
  </si>
  <si>
    <t>37.</t>
  </si>
  <si>
    <t>Klaipėdos r. savivaldybės visuomenės sveikatos biuras</t>
  </si>
  <si>
    <t>38.</t>
  </si>
  <si>
    <t>Gargždų socialinių paslaugų centras</t>
  </si>
  <si>
    <t>39.</t>
  </si>
  <si>
    <t>Klaipėdos rajono paramos šeimai centras</t>
  </si>
  <si>
    <t>40.</t>
  </si>
  <si>
    <t>Priekulės socialinių paslaugų centras</t>
  </si>
  <si>
    <t>Viliaus Gaigalaičio globos namai</t>
  </si>
  <si>
    <t>Jono Lankučio viešoji biblioteka</t>
  </si>
  <si>
    <t>Gargždų krašto muziejus</t>
  </si>
  <si>
    <t>Gargždų kultūros centras</t>
  </si>
  <si>
    <t>Dovilų etninės kultūros centras</t>
  </si>
  <si>
    <t>Kretingalės kultūros centras</t>
  </si>
  <si>
    <t>Priekulės kultūros centras</t>
  </si>
  <si>
    <t>Veiviržėnų kultūros centras</t>
  </si>
  <si>
    <t>Vėžaičių kultūros centras</t>
  </si>
  <si>
    <t>Sporto centras</t>
  </si>
  <si>
    <t>Klaipėdos r. sav. priešgaisrinė tarnyba</t>
  </si>
  <si>
    <t>Savivaldybės administracija</t>
  </si>
  <si>
    <t>IŠ VISO PAJAMŲ:</t>
  </si>
  <si>
    <t xml:space="preserve">UŽ PATALPŲ NUOMĄ ĮMOKŲ Į SAVIVALDYBĖS BIUDŽETĄ PLANO ĮVYKDYMAS </t>
  </si>
  <si>
    <t xml:space="preserve">  tūkst. eurų</t>
  </si>
  <si>
    <t>Veiviržėnų Jurgio Šaulio gimnazija</t>
  </si>
  <si>
    <t>Asignavimų valdytojas</t>
  </si>
  <si>
    <t>Finansavimo šaltinis</t>
  </si>
  <si>
    <t>Metinis planas</t>
  </si>
  <si>
    <t>Įvykdymas</t>
  </si>
  <si>
    <t>Įvykdymo proc.</t>
  </si>
  <si>
    <t>Iš viso</t>
  </si>
  <si>
    <t>Iš jų:</t>
  </si>
  <si>
    <t>nuo  metinio plano</t>
  </si>
  <si>
    <t>nuo ataskaitinio laikotarpio plano</t>
  </si>
  <si>
    <t>Paprastosios išlaidos</t>
  </si>
  <si>
    <t>Turtui įsigyti</t>
  </si>
  <si>
    <t>Klaipėdos rajono savivaldybės administracija</t>
  </si>
  <si>
    <t>ES</t>
  </si>
  <si>
    <t>ML</t>
  </si>
  <si>
    <t>SB</t>
  </si>
  <si>
    <t>SL</t>
  </si>
  <si>
    <t>VBD</t>
  </si>
  <si>
    <t>VBES</t>
  </si>
  <si>
    <t>AA</t>
  </si>
  <si>
    <t>GŠV</t>
  </si>
  <si>
    <t>LA</t>
  </si>
  <si>
    <t>S</t>
  </si>
  <si>
    <t>LS</t>
  </si>
  <si>
    <t>KPPP</t>
  </si>
  <si>
    <t>Ž</t>
  </si>
  <si>
    <t>J.Lankučio viešoji biblioteka</t>
  </si>
  <si>
    <t>Gargždų " Vaivorykštės" gimnazija</t>
  </si>
  <si>
    <t>Priekulės Ievos Simonaitytės gimnazija</t>
  </si>
  <si>
    <t>Plikių Ievos Labutytės pagrindinė mokykla</t>
  </si>
  <si>
    <t>Gargždų lopšelis - darželis "Ąžuoliukas"</t>
  </si>
  <si>
    <t>Gargždų lopšelis - darželis "Gintarėlis"</t>
  </si>
  <si>
    <t>Gargždų lopšelis - darželis "Saulutė"</t>
  </si>
  <si>
    <t>Luminor Bank AS</t>
  </si>
  <si>
    <t>AB SEB bankas</t>
  </si>
  <si>
    <t>Pedagoginė psichologinė tarnyba</t>
  </si>
  <si>
    <t>Klaipėdos r. paramos šeimai centras</t>
  </si>
  <si>
    <t>Kontrolės ir audito tarnyba</t>
  </si>
  <si>
    <t>Klaipėdos r. Slengių mokykla - daugiafunkcis centras</t>
  </si>
  <si>
    <t>AB Šiaulių bankas Klaipėdos filialas</t>
  </si>
  <si>
    <t>Gargždų atviras jaunimo centras</t>
  </si>
  <si>
    <t>AS "Citadele banka"</t>
  </si>
  <si>
    <t>IŠ VISO:</t>
  </si>
  <si>
    <t>Pavadinimas</t>
  </si>
  <si>
    <t>1</t>
  </si>
  <si>
    <t>Žinių visuomenės plėtros programa</t>
  </si>
  <si>
    <t>2</t>
  </si>
  <si>
    <t>Ekonominio konkurencingumo didinimo programa</t>
  </si>
  <si>
    <t>3</t>
  </si>
  <si>
    <t>Aplinkos apsaugos programa</t>
  </si>
  <si>
    <t>4</t>
  </si>
  <si>
    <t>Sveikatos apsaugos programa</t>
  </si>
  <si>
    <t>5</t>
  </si>
  <si>
    <t>Socialinės paramos programa</t>
  </si>
  <si>
    <t>6</t>
  </si>
  <si>
    <t>Susisiekimo ir inžinerinės infrastruktūros plėtros programa</t>
  </si>
  <si>
    <t>7</t>
  </si>
  <si>
    <t>8</t>
  </si>
  <si>
    <t>Kūno kultūros ir sporto plėtros programa</t>
  </si>
  <si>
    <t>9</t>
  </si>
  <si>
    <t>Mityba</t>
  </si>
  <si>
    <t>Medikamentai</t>
  </si>
  <si>
    <t>Ryšių paslaugos</t>
  </si>
  <si>
    <t>Transporto išlaikymas</t>
  </si>
  <si>
    <t>Apranga ir patalynė</t>
  </si>
  <si>
    <t>Komandiruotės</t>
  </si>
  <si>
    <t>Kvalifikacijos kėlimas</t>
  </si>
  <si>
    <t>Komunalinės paslaugos</t>
  </si>
  <si>
    <t>Reprezentacinės išlaidos</t>
  </si>
  <si>
    <t>Subsidijos</t>
  </si>
  <si>
    <t>Socialinės išmokos</t>
  </si>
  <si>
    <t>Kitos išlaidos</t>
  </si>
  <si>
    <t>Žemė</t>
  </si>
  <si>
    <t>Pastatai ir statiniai</t>
  </si>
  <si>
    <t>Iš viso:</t>
  </si>
  <si>
    <t>Asignavimai pagal valstybės funkcijas</t>
  </si>
  <si>
    <t>IŠ VISO ASIGNAVIMŲ:</t>
  </si>
  <si>
    <t>2 lentelė</t>
  </si>
  <si>
    <t>3 lentelė</t>
  </si>
  <si>
    <t>9 lentelė</t>
  </si>
  <si>
    <t xml:space="preserve"> Bendros valstybės paslaugos</t>
  </si>
  <si>
    <t xml:space="preserve"> Gynyba</t>
  </si>
  <si>
    <t xml:space="preserve"> Viešoji tvarka ir visuomenės apsauga</t>
  </si>
  <si>
    <t xml:space="preserve"> Ekonomika</t>
  </si>
  <si>
    <t xml:space="preserve"> Aplinkos apsauga</t>
  </si>
  <si>
    <t xml:space="preserve"> Būstas ir komunalinis ūkis</t>
  </si>
  <si>
    <t xml:space="preserve"> Poilsis, kultūra ir religija</t>
  </si>
  <si>
    <t xml:space="preserve"> Švietimas</t>
  </si>
  <si>
    <t xml:space="preserve"> Socialinė apsauga</t>
  </si>
  <si>
    <t>tūkst.eurų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</si>
  <si>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</si>
  <si>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</si>
  <si>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</si>
  <si>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</si>
  <si>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</si>
  <si>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</si>
  <si>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</si>
  <si>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</si>
  <si>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</si>
  <si>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Gyvenamųjų vietovių viešasis ūkis</t>
  </si>
  <si>
    <t>2.10.</t>
  </si>
  <si>
    <t>2.11.</t>
  </si>
  <si>
    <t>Mater. turto paprastasis remontas</t>
  </si>
  <si>
    <t>2.12.</t>
  </si>
  <si>
    <t>2.13.</t>
  </si>
  <si>
    <t>2.14.</t>
  </si>
  <si>
    <t>Kitos prekės ir paslaugos</t>
  </si>
  <si>
    <t>Programa</t>
  </si>
  <si>
    <t>1 lentelė</t>
  </si>
  <si>
    <t>Mokesčiai</t>
  </si>
  <si>
    <t>Gyventojų pajamų mokestis</t>
  </si>
  <si>
    <t>Turto mokesčiai</t>
  </si>
  <si>
    <t>Žemės mokestis</t>
  </si>
  <si>
    <t>Nekilnojamojo turto mokestis</t>
  </si>
  <si>
    <t>1.3.</t>
  </si>
  <si>
    <t>Prekių ir paslaugų mokesčiai</t>
  </si>
  <si>
    <t>Dotacijos iš kitų valdžios sektoriaus subjektų einamiesiems tikslams</t>
  </si>
  <si>
    <t>Mokymo reikmėms finansuoti</t>
  </si>
  <si>
    <t>Kitos dotacijos einamiesiems tikslams</t>
  </si>
  <si>
    <t>Dotacijos iš kitų valdžios sektoriaus subjektų turtui įsigyti</t>
  </si>
  <si>
    <t>Kitos dotacijos turtui įsigyti</t>
  </si>
  <si>
    <t>Turto pajamos</t>
  </si>
  <si>
    <t>Kiti mokesčiai už valstybinius gamtos išteklius</t>
  </si>
  <si>
    <t>Pajamos už prekes ir paslaugas</t>
  </si>
  <si>
    <t>4.1.</t>
  </si>
  <si>
    <t>Pajamos už ilgalaikio ir trumpalaikio materialiojo turto nuomą</t>
  </si>
  <si>
    <t>Vietinės rinkliavos</t>
  </si>
  <si>
    <t>Materialiojo ir nematerialiojo turto realizavimo pajamos</t>
  </si>
  <si>
    <t>Ekonominė klasifikacija</t>
  </si>
  <si>
    <t>Pajamų pavadinimas</t>
  </si>
  <si>
    <t xml:space="preserve"> +/-</t>
  </si>
  <si>
    <t>%</t>
  </si>
  <si>
    <t>IŠ VISO</t>
  </si>
  <si>
    <t>PAJAMOS</t>
  </si>
  <si>
    <t>1.1.1.</t>
  </si>
  <si>
    <t>Pajamų ir pelno mokesčiai</t>
  </si>
  <si>
    <t>1.1.1.1.</t>
  </si>
  <si>
    <t>1.1.3.</t>
  </si>
  <si>
    <t>1.1.3.1.</t>
  </si>
  <si>
    <t>1.1.3.2.</t>
  </si>
  <si>
    <t>Paveldimo turto mokestis</t>
  </si>
  <si>
    <t>1.1.3.3.</t>
  </si>
  <si>
    <t>1.1.4.</t>
  </si>
  <si>
    <t>1.1.4.7.</t>
  </si>
  <si>
    <t>Kiti mokesčiai</t>
  </si>
  <si>
    <t>1.1.4.7.1.1.</t>
  </si>
  <si>
    <t>Mokesčiai už aplinkos teršimą</t>
  </si>
  <si>
    <t>Dotacijos</t>
  </si>
  <si>
    <t>1.3.4.1.1.</t>
  </si>
  <si>
    <t>1.3.4.1.1.1.</t>
  </si>
  <si>
    <t>Speciali tikslinė dotacija savivaldybėms einamiesiems tikslams - iš viso</t>
  </si>
  <si>
    <t>1.3.4.1.1.1.1.</t>
  </si>
  <si>
    <t>Speciali tikslinė dotacija valstybinėms funkcijoms atlikti</t>
  </si>
  <si>
    <t>1.3.4.1.1.1.3.1.</t>
  </si>
  <si>
    <t>1.3.4.1.1.1.2.1.</t>
  </si>
  <si>
    <t>Pagal teisės aktus savivaldybėms perduotoms įstaigoms išlaikyti</t>
  </si>
  <si>
    <t>1.3.4.1.1.1.2.2.</t>
  </si>
  <si>
    <t>Specialiųjų ugdymosi poreikių mokiniams</t>
  </si>
  <si>
    <t>1.3.4.1.1.4.</t>
  </si>
  <si>
    <t>Dotacija iš ES, kitos tarptautinės finansinės paramos ir bendrojo finansavimo lėšos einamiesiems tikslams</t>
  </si>
  <si>
    <t>1.3.4.1.1.5.</t>
  </si>
  <si>
    <t>1.3.4.2.</t>
  </si>
  <si>
    <t>1.3.4.2.1.4.</t>
  </si>
  <si>
    <t>Dotacija iš ES, kitos tarptautinės finansinės paramos ir bendrojo finansavimo lėšos turtui įsigyti</t>
  </si>
  <si>
    <t>1.3.4.2.1.5.</t>
  </si>
  <si>
    <t>1.4.</t>
  </si>
  <si>
    <t>Kitos pajamos</t>
  </si>
  <si>
    <t>1.4.1.</t>
  </si>
  <si>
    <t>1.4.1.1.</t>
  </si>
  <si>
    <t>1.4.1.4.</t>
  </si>
  <si>
    <t>Nuomos mokestis už valstybinę žemę</t>
  </si>
  <si>
    <t>1.4.1.5.</t>
  </si>
  <si>
    <t>Mokestis už medžiojamųjų gyvūnų išteklius</t>
  </si>
  <si>
    <t>1.4.2.</t>
  </si>
  <si>
    <t>1.4.2.1.</t>
  </si>
  <si>
    <t>Biudžetinių įstaigų pajamos už prekes ir paslaugas</t>
  </si>
  <si>
    <t>Įmokos už išlaikymą švietimo, socialinės apsaugos ir kitose įstaigose</t>
  </si>
  <si>
    <t>Rinkliavos</t>
  </si>
  <si>
    <t>Valstybės rinkliavos</t>
  </si>
  <si>
    <t>Vietinės rinkliavos iš VšĮ "Gargždų švara"</t>
  </si>
  <si>
    <t>1.4.3.</t>
  </si>
  <si>
    <t>Pajamos iš baudų, konfiskuoto turto ir kitų netesybų</t>
  </si>
  <si>
    <t>1.4.4.</t>
  </si>
  <si>
    <t>Kitos neišvardytos pajamos</t>
  </si>
  <si>
    <t>SANDORIAI DĖL MATERIALIOJO IR NEMATERIALIOJO TURTO BEI FINANSINIŲ ĮSIPAREIGOJIMŲ</t>
  </si>
  <si>
    <t>4.1.1.</t>
  </si>
  <si>
    <t>Eil.</t>
  </si>
  <si>
    <t>Nr.</t>
  </si>
  <si>
    <t>met.pl.</t>
  </si>
  <si>
    <t xml:space="preserve">STRUKTŪRA PAGAL VALSTYBĖS FUNKCIJAS </t>
  </si>
  <si>
    <t>Išlaidos pagal valstybės funkcijas</t>
  </si>
  <si>
    <t>procentais</t>
  </si>
  <si>
    <t xml:space="preserve"> Sveikatos priežiūra</t>
  </si>
  <si>
    <t>Finansinio turto įsigijimo išlaidos (akcijų)</t>
  </si>
  <si>
    <t>tūkst. eurų</t>
  </si>
  <si>
    <t>Patikslintas metinis planas</t>
  </si>
  <si>
    <t>Paskolų grąžinimas</t>
  </si>
  <si>
    <t>Finansinio turto įsigijimo išlaidos (akcijos)</t>
  </si>
  <si>
    <t>7 lentelė</t>
  </si>
  <si>
    <t>STRUKTŪRA PAGAL EKONOMINĮ PASKIRSTYMĄ</t>
  </si>
  <si>
    <t>Išlaidų straipsniai</t>
  </si>
  <si>
    <t>Mater. ir nemater. turto nuoma</t>
  </si>
  <si>
    <t>Informacinių tech. prekės ir pasl.</t>
  </si>
  <si>
    <t>Sumokėtos palūkanos</t>
  </si>
  <si>
    <t>Ilgalaikio turto įsigijimas</t>
  </si>
  <si>
    <t>Nematerialiojo turto įsigijimas</t>
  </si>
  <si>
    <t>6 lentelė</t>
  </si>
  <si>
    <t xml:space="preserve">PAGAL EKONOMINĮ PASKIRSTYMĄ  </t>
  </si>
  <si>
    <t>Asignavimų pavadinimas</t>
  </si>
  <si>
    <t>8 lentelė</t>
  </si>
  <si>
    <t>LK</t>
  </si>
  <si>
    <t>Įvykdymo palyginimas (+,-)</t>
  </si>
  <si>
    <t>Angliavandenilių išteklių mokestis</t>
  </si>
  <si>
    <t>Želdinių atkuriamosios vertės kompensacija</t>
  </si>
  <si>
    <t>Pajamos už parduotą žemę</t>
  </si>
  <si>
    <t>4 lentelė</t>
  </si>
  <si>
    <t>5 lentelė</t>
  </si>
  <si>
    <t>2021 m. įvykdyta</t>
  </si>
  <si>
    <t>Paskolų ir palūkanų grąžinimas</t>
  </si>
  <si>
    <t>Struktūra proc.</t>
  </si>
  <si>
    <t>Eil.Nr.</t>
  </si>
  <si>
    <t>Darbo užmokestis ir soc. draudimo įmokos</t>
  </si>
  <si>
    <t>Ekspertų ir konsultantų paslaugos</t>
  </si>
  <si>
    <t>2.15.</t>
  </si>
  <si>
    <t>1.4.1.2.</t>
  </si>
  <si>
    <t>Dividendai</t>
  </si>
  <si>
    <t>1.4.2.2.</t>
  </si>
  <si>
    <t>1.4.2.3.</t>
  </si>
  <si>
    <t>1.4.2.4.</t>
  </si>
  <si>
    <t>2022 m. įvykdyta</t>
  </si>
  <si>
    <t>Mater. turto paprast. remontas</t>
  </si>
  <si>
    <t>Informacinių tech. prekės, pasl.</t>
  </si>
  <si>
    <t>Prekės ir paslaugos</t>
  </si>
  <si>
    <t>Dotacijos užsienio valstybėms</t>
  </si>
  <si>
    <t>Materialiojo ir nemater. turto įsigijimo išlaidos</t>
  </si>
  <si>
    <t>VBD(VIP)</t>
  </si>
  <si>
    <t>LGŠV</t>
  </si>
  <si>
    <t>LŽ</t>
  </si>
  <si>
    <t>EEE</t>
  </si>
  <si>
    <t>EEEVB</t>
  </si>
  <si>
    <t>VLK</t>
  </si>
  <si>
    <t>Infrastruktūros plėtros įmokų lėšos</t>
  </si>
  <si>
    <t>Biudžeto ir ekonomikos skyriaus patarėja</t>
  </si>
  <si>
    <t>Reda Balčytienė</t>
  </si>
  <si>
    <t>Veiviržėnų J.Šaulio gimnazija</t>
  </si>
  <si>
    <t>VBD(UK)</t>
  </si>
  <si>
    <t xml:space="preserve">9-Savivaldybės valdymo ir pagrindinių funkcijų vykdymo </t>
  </si>
  <si>
    <t>9-Savivaldybės valdymo ir pagrindinių funkcijų vykdymo</t>
  </si>
  <si>
    <t xml:space="preserve">6-Susisiekimo ir inžinerinės infrastruktūros plėtros </t>
  </si>
  <si>
    <t xml:space="preserve">8-Kūno kultūros ir sporto plėtros </t>
  </si>
  <si>
    <t xml:space="preserve">7-Kultūros paveldo puoselėjimo ir kultūros paslaugų plėtros </t>
  </si>
  <si>
    <t xml:space="preserve">1-Žinių visuomenės plėtros </t>
  </si>
  <si>
    <t>Gargždų "Kranto" progimnazija</t>
  </si>
  <si>
    <t>Agluonėnų mokykla-darželis</t>
  </si>
  <si>
    <t>Lopšelis-darželis "Ąžuoliukas"</t>
  </si>
  <si>
    <t>Lopšelis-darželis "Gintarėlis"</t>
  </si>
  <si>
    <t>Lopšelis-darželis "Saulutė"</t>
  </si>
  <si>
    <t>Lopšelis-darželis "Naminukas"</t>
  </si>
  <si>
    <t>Ketvirčio planas</t>
  </si>
  <si>
    <t>Iš jų darbo užmokesčiui</t>
  </si>
  <si>
    <t>ML(UK)</t>
  </si>
  <si>
    <t xml:space="preserve">2-Ekonominio konkurencingumo didinimo </t>
  </si>
  <si>
    <t>3-Aplinkos apsaugos</t>
  </si>
  <si>
    <t xml:space="preserve">4-Sveikatos apsaugos </t>
  </si>
  <si>
    <t>5-Socialinės paramos</t>
  </si>
  <si>
    <t>SB(ES)</t>
  </si>
  <si>
    <t>KKP</t>
  </si>
  <si>
    <t>6-Susisiekimo ir inžinerinės infrastruktūros plėtros</t>
  </si>
  <si>
    <t>1-Žinių visuomenės plėtros</t>
  </si>
  <si>
    <t>2-Ekonominio konkurencingumo didinimo</t>
  </si>
  <si>
    <t xml:space="preserve">5-Socialinės paramos </t>
  </si>
  <si>
    <t>7-Kultūros paveldo puoselėjimo ir kultūros paslaugų plėtros</t>
  </si>
  <si>
    <t xml:space="preserve">3-Aplinkos apsaugos </t>
  </si>
  <si>
    <t>Kultūros paveldo puoselėjimo ir kultūros paslaugų plėtros pr</t>
  </si>
  <si>
    <t>Savivaldybės valdymo ir pagrindinių funkcijų vykdymo program</t>
  </si>
  <si>
    <t>2023 m. įvykdyta</t>
  </si>
  <si>
    <t>2023 m. palyginus su 2022 m.</t>
  </si>
  <si>
    <t>7.1.</t>
  </si>
  <si>
    <t>7.2.</t>
  </si>
  <si>
    <t>7.3.</t>
  </si>
  <si>
    <t>7.4.</t>
  </si>
  <si>
    <t>2023 metinis planas</t>
  </si>
  <si>
    <t xml:space="preserve">2023 m. </t>
  </si>
  <si>
    <t>1.3.4.1.1.1.2.3.</t>
  </si>
  <si>
    <t>Socialinės priežiūros šeimoms teikimas</t>
  </si>
  <si>
    <t>1.4.1.3.</t>
  </si>
  <si>
    <t>1.4.1.6.</t>
  </si>
  <si>
    <t>1.4.1.7.</t>
  </si>
  <si>
    <t>1.4.1.8.</t>
  </si>
  <si>
    <t>Kitos aplinkos apsaugos pajamos</t>
  </si>
  <si>
    <t>1.4.3.1.</t>
  </si>
  <si>
    <t>1.4.3.2.</t>
  </si>
  <si>
    <t>1.4.3.2.1.</t>
  </si>
  <si>
    <t>1.4.5.</t>
  </si>
  <si>
    <t xml:space="preserve">2023 M. 9 MĖNESIŲ IŠ SAVIVALDYBĖS BIUDŽETO IŠLAIKOMŲ ĮSTAIGŲ PAJAMŲ UŽ TEIKIAMAS </t>
  </si>
  <si>
    <t>9 mėnesių planas</t>
  </si>
  <si>
    <t xml:space="preserve"> 9 mėn. pl.</t>
  </si>
  <si>
    <t>Dituvos A. T. Kuršaičio pagrindinė mokykla</t>
  </si>
  <si>
    <t>2023 METŲ 9 MĖNESIŲ IŠ SAVIVALDYBĖS BIUDŽETO IŠLAIKOMŲ ĮSTAIGŲ PAJAMŲ</t>
  </si>
  <si>
    <t>9 mėn. pl.</t>
  </si>
  <si>
    <t xml:space="preserve">2021-2023 M. 9 MĖNESIŲ KLAIPĖDOS RAJONO SAVIVALDYBĖS BIUDŽETO IŠLAIDŲ </t>
  </si>
  <si>
    <t>Eil. Nr.</t>
  </si>
  <si>
    <t xml:space="preserve">KLAIPĖDOS RAJONO SAVIVALDYBĖS BIUDŽETO 2023 M. 9 MĖNESIŲ ASIGNAVIMAI PAGAL VALSTYBĖS FUNKCIJAS  </t>
  </si>
  <si>
    <t>9 mėnesių plano įvykdymas</t>
  </si>
  <si>
    <t xml:space="preserve"> Bendrosios valstybės paslaugos</t>
  </si>
  <si>
    <t>2021-2023 M.  9 MĖNESIŲ KLAIPĖDOS RAJONO SAVIVALDYBĖS BIUDŽETO IŠLAIDŲ</t>
  </si>
  <si>
    <t>8.1.</t>
  </si>
  <si>
    <t>8.2.</t>
  </si>
  <si>
    <t>8.3.</t>
  </si>
  <si>
    <t>8.4.</t>
  </si>
  <si>
    <t xml:space="preserve">   KLAIPĖDOS RAJONO SAVIVALDYBĖS BIUDŽETO 2023 M. 9 MĖNESIŲ ASIGNAVIMAI</t>
  </si>
  <si>
    <t>Patikslintas 9 mėnesių planas</t>
  </si>
  <si>
    <t>SAVIVALDYBĖS  BIUDŽETO  PAJAMŲ  PLANO ĮVYKDYMAS 2023 M. RUGSĖJO 30 D.</t>
  </si>
  <si>
    <t>Įvykdyta 2022 09 30</t>
  </si>
  <si>
    <t>Įvykdymo palyginimas 2023 09 30/2022 09 30</t>
  </si>
  <si>
    <t>Įvykdyta 2023 09 30</t>
  </si>
  <si>
    <t>2023 m. 9 mėnesių</t>
  </si>
  <si>
    <t>2022 09 30/ 2022 m. įvykdymu</t>
  </si>
  <si>
    <t>2023 09 30/ 2023 m. planu</t>
  </si>
  <si>
    <t>skirtumas (+,-)</t>
  </si>
  <si>
    <t>Patikslintas   9 mėnesių  planas</t>
  </si>
  <si>
    <t>tūkst.eur.</t>
  </si>
  <si>
    <t>1-Žinių visuomenės plėtros programa</t>
  </si>
  <si>
    <t>5-Socialinės paramos programa</t>
  </si>
  <si>
    <t>7-Kultūros paveldo puoselėjimo ir kultūros paslaugų plėtros pr</t>
  </si>
  <si>
    <t>Dituvos Aleksandro Teodoro Kuršaičio pagrindinė mokykla</t>
  </si>
  <si>
    <t>2023 M. 9 MĖNESIŲ PATIKSLINTO BIUDŽETO ASIGNAVIMŲ ĮVYKDYMAS PAGAL ASIGNAVIMŲ VALDYTOJUS</t>
  </si>
  <si>
    <t>2023 M. 9 MĖNESIŲ PATIKSLINTO BIUDŽETO ASIGNAVIMŲ ĮVYKDYMAS PAGAL PROGRAMAS</t>
  </si>
  <si>
    <t>8-Kūno kultūros ir sporto plėtros</t>
  </si>
  <si>
    <t>1-Žinių visuomenės plėtrosa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</si>
</sst>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#######0.0"/>
    <numFmt numFmtId="167" formatCode="########0.00"/>
    <numFmt numFmtId="168" formatCode="0.000"/>
  </numFmts>
  <fonts count="33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name val="Palemonas"/>
      <family val="1"/>
      <charset val="186"/>
    </font>
    <font>
      <sz val="9"/>
      <name val="Palemonas"/>
      <family val="1"/>
      <charset val="186"/>
    </font>
    <font>
      <b/>
      <sz val="11"/>
      <name val="Palemonas"/>
      <family val="1"/>
      <charset val="186"/>
    </font>
    <font>
      <b/>
      <sz val="8"/>
      <name val="Arial"/>
      <family val="2"/>
      <charset val="186"/>
    </font>
    <font>
      <sz val="10"/>
      <name val="Courier New"/>
      <family val="3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Arial"/>
      <family val="2"/>
      <charset val="186"/>
    </font>
    <font>
      <sz val="10"/>
      <name val="Arial"/>
      <family val="2"/>
    </font>
    <font>
      <sz val="7"/>
      <name val="Times New Roman"/>
      <family val="1"/>
      <charset val="186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4" fillId="0" borderId="0"/>
    <xf numFmtId="0" fontId="15" fillId="0" borderId="0"/>
    <xf numFmtId="0" fontId="17" fillId="0" borderId="0"/>
    <xf numFmtId="0" fontId="18" fillId="0" borderId="0"/>
    <xf numFmtId="0" fontId="7" fillId="0" borderId="0"/>
    <xf numFmtId="0" fontId="15" fillId="0" borderId="0"/>
    <xf numFmtId="0" fontId="6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6" fillId="2" borderId="1" applyNumberFormat="0" applyAlignment="0" applyProtection="0"/>
    <xf numFmtId="0" fontId="6" fillId="0" borderId="0"/>
  </cellStyleXfs>
  <cellXfs count="311">
    <xf numFmtId="0" fontId="0" fillId="0" borderId="0" xfId="0"/>
    <xf numFmtId="164" fontId="3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0" fillId="0" borderId="5" xfId="0" applyBorder="1"/>
    <xf numFmtId="1" fontId="0" fillId="0" borderId="2" xfId="0" applyNumberFormat="1" applyBorder="1"/>
    <xf numFmtId="0" fontId="0" fillId="0" borderId="16" xfId="0" applyBorder="1"/>
    <xf numFmtId="164" fontId="0" fillId="0" borderId="2" xfId="0" applyNumberFormat="1" applyBorder="1"/>
    <xf numFmtId="0" fontId="0" fillId="0" borderId="9" xfId="0" applyBorder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2" fillId="0" borderId="0" xfId="0" applyFont="1" applyAlignment="1">
      <alignment horizontal="left"/>
    </xf>
    <xf numFmtId="0" fontId="24" fillId="0" borderId="0" xfId="0" applyFont="1"/>
    <xf numFmtId="0" fontId="20" fillId="0" borderId="2" xfId="0" applyFont="1" applyBorder="1" applyAlignment="1">
      <alignment horizontal="left" vertical="center" wrapText="1"/>
    </xf>
    <xf numFmtId="0" fontId="20" fillId="0" borderId="2" xfId="0" quotePrefix="1" applyFont="1" applyBorder="1" applyAlignment="1">
      <alignment horizontal="left" vertical="center" wrapText="1"/>
    </xf>
    <xf numFmtId="165" fontId="20" fillId="0" borderId="2" xfId="0" applyNumberFormat="1" applyFont="1" applyBorder="1" applyAlignment="1">
      <alignment horizontal="right"/>
    </xf>
    <xf numFmtId="0" fontId="23" fillId="0" borderId="2" xfId="0" applyFont="1" applyBorder="1"/>
    <xf numFmtId="0" fontId="4" fillId="0" borderId="8" xfId="0" applyFont="1" applyBorder="1"/>
    <xf numFmtId="0" fontId="4" fillId="0" borderId="2" xfId="0" applyFont="1" applyBorder="1"/>
    <xf numFmtId="0" fontId="1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8" xfId="0" applyBorder="1"/>
    <xf numFmtId="0" fontId="0" fillId="0" borderId="2" xfId="0" applyBorder="1" applyAlignment="1">
      <alignment wrapText="1"/>
    </xf>
    <xf numFmtId="0" fontId="0" fillId="0" borderId="14" xfId="0" applyBorder="1"/>
    <xf numFmtId="0" fontId="0" fillId="0" borderId="6" xfId="0" applyBorder="1"/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3" fillId="0" borderId="15" xfId="0" applyFont="1" applyBorder="1"/>
    <xf numFmtId="164" fontId="3" fillId="0" borderId="10" xfId="0" applyNumberFormat="1" applyFont="1" applyBorder="1"/>
    <xf numFmtId="0" fontId="3" fillId="0" borderId="3" xfId="0" applyFont="1" applyBorder="1"/>
    <xf numFmtId="0" fontId="3" fillId="0" borderId="2" xfId="0" applyFont="1" applyBorder="1"/>
    <xf numFmtId="0" fontId="0" fillId="0" borderId="13" xfId="0" applyBorder="1"/>
    <xf numFmtId="0" fontId="5" fillId="0" borderId="9" xfId="0" applyFont="1" applyBorder="1"/>
    <xf numFmtId="0" fontId="4" fillId="0" borderId="9" xfId="0" applyFont="1" applyBorder="1"/>
    <xf numFmtId="0" fontId="4" fillId="0" borderId="3" xfId="0" applyFont="1" applyBorder="1"/>
    <xf numFmtId="164" fontId="4" fillId="0" borderId="10" xfId="0" applyNumberFormat="1" applyFont="1" applyBorder="1"/>
    <xf numFmtId="0" fontId="0" fillId="0" borderId="0" xfId="0" applyAlignment="1">
      <alignment horizontal="right"/>
    </xf>
    <xf numFmtId="164" fontId="4" fillId="0" borderId="2" xfId="0" applyNumberFormat="1" applyFont="1" applyBorder="1"/>
    <xf numFmtId="164" fontId="4" fillId="0" borderId="6" xfId="0" applyNumberFormat="1" applyFont="1" applyBorder="1"/>
    <xf numFmtId="0" fontId="26" fillId="0" borderId="0" xfId="0" applyFont="1"/>
    <xf numFmtId="0" fontId="19" fillId="0" borderId="0" xfId="0" applyFont="1" applyAlignment="1">
      <alignment horizontal="left"/>
    </xf>
    <xf numFmtId="0" fontId="28" fillId="0" borderId="0" xfId="0" applyFont="1"/>
    <xf numFmtId="14" fontId="27" fillId="0" borderId="0" xfId="0" applyNumberFormat="1" applyFont="1" applyAlignment="1">
      <alignment horizontal="center"/>
    </xf>
    <xf numFmtId="14" fontId="20" fillId="0" borderId="6" xfId="0" applyNumberFormat="1" applyFont="1" applyBorder="1" applyAlignment="1">
      <alignment horizontal="center" vertical="center" wrapText="1"/>
    </xf>
    <xf numFmtId="2" fontId="28" fillId="0" borderId="2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left"/>
    </xf>
    <xf numFmtId="0" fontId="27" fillId="0" borderId="2" xfId="0" applyFont="1" applyBorder="1"/>
    <xf numFmtId="166" fontId="21" fillId="0" borderId="2" xfId="0" applyNumberFormat="1" applyFont="1" applyBorder="1" applyAlignment="1">
      <alignment horizontal="right"/>
    </xf>
    <xf numFmtId="164" fontId="21" fillId="0" borderId="2" xfId="0" applyNumberFormat="1" applyFont="1" applyBorder="1"/>
    <xf numFmtId="166" fontId="21" fillId="0" borderId="2" xfId="0" applyNumberFormat="1" applyFont="1" applyBorder="1"/>
    <xf numFmtId="0" fontId="20" fillId="0" borderId="2" xfId="0" applyFont="1" applyBorder="1" applyAlignment="1">
      <alignment horizontal="left"/>
    </xf>
    <xf numFmtId="166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/>
    <xf numFmtId="166" fontId="6" fillId="0" borderId="2" xfId="0" applyNumberFormat="1" applyFont="1" applyBorder="1"/>
    <xf numFmtId="0" fontId="20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20" fillId="0" borderId="8" xfId="0" applyFont="1" applyBorder="1" applyAlignment="1">
      <alignment wrapText="1"/>
    </xf>
    <xf numFmtId="166" fontId="6" fillId="0" borderId="8" xfId="0" applyNumberFormat="1" applyFont="1" applyBorder="1" applyAlignment="1">
      <alignment horizontal="right"/>
    </xf>
    <xf numFmtId="167" fontId="20" fillId="0" borderId="0" xfId="0" applyNumberFormat="1" applyFont="1" applyAlignment="1">
      <alignment horizontal="right"/>
    </xf>
    <xf numFmtId="0" fontId="0" fillId="0" borderId="15" xfId="0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0" fontId="0" fillId="0" borderId="10" xfId="0" applyBorder="1"/>
    <xf numFmtId="164" fontId="0" fillId="0" borderId="10" xfId="0" applyNumberFormat="1" applyBorder="1"/>
    <xf numFmtId="0" fontId="1" fillId="0" borderId="7" xfId="0" applyFont="1" applyBorder="1" applyAlignment="1">
      <alignment horizontal="center"/>
    </xf>
    <xf numFmtId="0" fontId="3" fillId="0" borderId="10" xfId="0" applyFont="1" applyBorder="1"/>
    <xf numFmtId="0" fontId="4" fillId="0" borderId="8" xfId="0" applyFont="1" applyBorder="1" applyAlignment="1">
      <alignment vertical="top"/>
    </xf>
    <xf numFmtId="164" fontId="0" fillId="0" borderId="14" xfId="0" applyNumberFormat="1" applyBorder="1"/>
    <xf numFmtId="0" fontId="0" fillId="0" borderId="2" xfId="0" applyBorder="1" applyAlignment="1">
      <alignment vertical="top"/>
    </xf>
    <xf numFmtId="164" fontId="3" fillId="0" borderId="14" xfId="0" applyNumberFormat="1" applyFont="1" applyBorder="1"/>
    <xf numFmtId="0" fontId="4" fillId="0" borderId="13" xfId="0" applyFont="1" applyBorder="1"/>
    <xf numFmtId="0" fontId="3" fillId="0" borderId="13" xfId="0" applyFont="1" applyBorder="1"/>
    <xf numFmtId="164" fontId="3" fillId="0" borderId="19" xfId="0" applyNumberFormat="1" applyFont="1" applyBorder="1"/>
    <xf numFmtId="0" fontId="20" fillId="0" borderId="2" xfId="0" applyFont="1" applyBorder="1" applyAlignment="1">
      <alignment horizontal="center" vertical="center" wrapText="1"/>
    </xf>
    <xf numFmtId="1" fontId="3" fillId="0" borderId="10" xfId="0" applyNumberFormat="1" applyFont="1" applyBorder="1"/>
    <xf numFmtId="1" fontId="3" fillId="0" borderId="2" xfId="0" applyNumberFormat="1" applyFont="1" applyBorder="1"/>
    <xf numFmtId="0" fontId="4" fillId="0" borderId="13" xfId="0" applyFont="1" applyBorder="1" applyAlignment="1">
      <alignment wrapText="1"/>
    </xf>
    <xf numFmtId="166" fontId="6" fillId="0" borderId="0" xfId="0" applyNumberFormat="1" applyFont="1" applyAlignment="1">
      <alignment horizontal="right"/>
    </xf>
    <xf numFmtId="0" fontId="20" fillId="0" borderId="0" xfId="0" applyFont="1" applyAlignment="1">
      <alignment horizontal="left"/>
    </xf>
    <xf numFmtId="164" fontId="0" fillId="0" borderId="0" xfId="0" applyNumberFormat="1"/>
    <xf numFmtId="0" fontId="1" fillId="0" borderId="0" xfId="0" applyFont="1"/>
    <xf numFmtId="0" fontId="5" fillId="0" borderId="0" xfId="0" applyFont="1" applyAlignment="1">
      <alignment horizontal="right"/>
    </xf>
    <xf numFmtId="1" fontId="0" fillId="0" borderId="10" xfId="0" applyNumberFormat="1" applyBorder="1"/>
    <xf numFmtId="168" fontId="0" fillId="0" borderId="4" xfId="0" applyNumberFormat="1" applyBorder="1"/>
    <xf numFmtId="168" fontId="1" fillId="0" borderId="0" xfId="0" applyNumberFormat="1" applyFont="1"/>
    <xf numFmtId="1" fontId="4" fillId="0" borderId="10" xfId="0" applyNumberFormat="1" applyFont="1" applyBorder="1"/>
    <xf numFmtId="0" fontId="3" fillId="0" borderId="0" xfId="0" applyFont="1"/>
    <xf numFmtId="0" fontId="5" fillId="0" borderId="0" xfId="0" applyFont="1"/>
    <xf numFmtId="1" fontId="0" fillId="0" borderId="0" xfId="0" applyNumberFormat="1"/>
    <xf numFmtId="1" fontId="4" fillId="0" borderId="6" xfId="0" applyNumberFormat="1" applyFont="1" applyBorder="1"/>
    <xf numFmtId="164" fontId="4" fillId="0" borderId="2" xfId="0" applyNumberFormat="1" applyFont="1" applyBorder="1" applyAlignment="1">
      <alignment horizontal="right"/>
    </xf>
    <xf numFmtId="1" fontId="1" fillId="0" borderId="0" xfId="0" applyNumberFormat="1" applyFont="1"/>
    <xf numFmtId="1" fontId="4" fillId="0" borderId="14" xfId="0" applyNumberFormat="1" applyFont="1" applyBorder="1"/>
    <xf numFmtId="1" fontId="4" fillId="0" borderId="2" xfId="0" applyNumberFormat="1" applyFont="1" applyBorder="1"/>
    <xf numFmtId="1" fontId="3" fillId="0" borderId="20" xfId="0" applyNumberFormat="1" applyFont="1" applyBorder="1"/>
    <xf numFmtId="0" fontId="19" fillId="5" borderId="2" xfId="14" applyFont="1" applyFill="1" applyBorder="1" applyAlignment="1" applyProtection="1">
      <alignment horizontal="left" vertical="center" wrapText="1"/>
    </xf>
    <xf numFmtId="0" fontId="19" fillId="5" borderId="2" xfId="14" applyFont="1" applyFill="1" applyBorder="1" applyAlignment="1" applyProtection="1">
      <alignment horizontal="center" vertical="center" wrapText="1"/>
    </xf>
    <xf numFmtId="165" fontId="19" fillId="5" borderId="2" xfId="14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1" fillId="0" borderId="5" xfId="0" applyFont="1" applyBorder="1"/>
    <xf numFmtId="164" fontId="1" fillId="0" borderId="2" xfId="0" applyNumberFormat="1" applyFont="1" applyBorder="1"/>
    <xf numFmtId="164" fontId="30" fillId="0" borderId="2" xfId="0" applyNumberFormat="1" applyFont="1" applyBorder="1"/>
    <xf numFmtId="165" fontId="23" fillId="0" borderId="0" xfId="0" applyNumberFormat="1" applyFont="1"/>
    <xf numFmtId="165" fontId="19" fillId="5" borderId="10" xfId="14" applyNumberFormat="1" applyFont="1" applyFill="1" applyBorder="1" applyAlignment="1">
      <alignment horizontal="right"/>
    </xf>
    <xf numFmtId="165" fontId="19" fillId="6" borderId="10" xfId="14" applyNumberFormat="1" applyFont="1" applyFill="1" applyBorder="1" applyAlignment="1">
      <alignment horizontal="right"/>
    </xf>
    <xf numFmtId="164" fontId="3" fillId="0" borderId="7" xfId="0" applyNumberFormat="1" applyFont="1" applyBorder="1"/>
    <xf numFmtId="14" fontId="31" fillId="0" borderId="6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6" fillId="0" borderId="6" xfId="5" applyNumberFormat="1" applyFont="1" applyBorder="1"/>
    <xf numFmtId="164" fontId="6" fillId="0" borderId="2" xfId="7" applyNumberFormat="1" applyBorder="1" applyAlignment="1">
      <alignment horizontal="right"/>
    </xf>
    <xf numFmtId="164" fontId="6" fillId="0" borderId="2" xfId="7" applyNumberFormat="1" applyBorder="1" applyAlignment="1" applyProtection="1">
      <alignment horizontal="right" vertical="center"/>
      <protection locked="0"/>
    </xf>
    <xf numFmtId="165" fontId="6" fillId="0" borderId="2" xfId="5" applyNumberFormat="1" applyFont="1" applyBorder="1"/>
    <xf numFmtId="164" fontId="6" fillId="0" borderId="2" xfId="7" applyNumberFormat="1" applyBorder="1" applyAlignment="1" applyProtection="1">
      <alignment horizontal="right"/>
      <protection locked="0"/>
    </xf>
    <xf numFmtId="164" fontId="6" fillId="0" borderId="2" xfId="7" applyNumberFormat="1" applyBorder="1" applyProtection="1">
      <protection locked="0"/>
    </xf>
    <xf numFmtId="0" fontId="20" fillId="0" borderId="2" xfId="0" applyFont="1" applyBorder="1" applyAlignment="1">
      <alignment horizontal="left" vertical="center"/>
    </xf>
    <xf numFmtId="164" fontId="6" fillId="0" borderId="2" xfId="5" applyNumberFormat="1" applyFont="1" applyBorder="1" applyAlignment="1">
      <alignment wrapText="1"/>
    </xf>
    <xf numFmtId="0" fontId="20" fillId="0" borderId="4" xfId="0" applyFont="1" applyBorder="1" applyAlignment="1">
      <alignment horizontal="left"/>
    </xf>
    <xf numFmtId="166" fontId="6" fillId="0" borderId="7" xfId="0" applyNumberFormat="1" applyFont="1" applyBorder="1"/>
    <xf numFmtId="166" fontId="6" fillId="0" borderId="0" xfId="0" applyNumberFormat="1" applyFont="1"/>
    <xf numFmtId="0" fontId="20" fillId="0" borderId="4" xfId="5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2" xfId="0" applyFont="1" applyBorder="1" applyAlignment="1">
      <alignment wrapText="1"/>
    </xf>
    <xf numFmtId="0" fontId="1" fillId="0" borderId="18" xfId="0" applyFont="1" applyBorder="1"/>
    <xf numFmtId="164" fontId="1" fillId="0" borderId="18" xfId="0" applyNumberFormat="1" applyFont="1" applyBorder="1"/>
    <xf numFmtId="0" fontId="4" fillId="0" borderId="10" xfId="0" applyFont="1" applyBorder="1" applyAlignment="1">
      <alignment horizontal="center" vertical="center"/>
    </xf>
    <xf numFmtId="0" fontId="30" fillId="0" borderId="2" xfId="0" applyFont="1" applyBorder="1" applyAlignment="1">
      <alignment horizontal="left"/>
    </xf>
    <xf numFmtId="164" fontId="30" fillId="0" borderId="2" xfId="0" applyNumberFormat="1" applyFont="1" applyBorder="1" applyAlignment="1">
      <alignment horizontal="right"/>
    </xf>
    <xf numFmtId="0" fontId="30" fillId="0" borderId="2" xfId="0" applyFont="1" applyBorder="1"/>
    <xf numFmtId="0" fontId="30" fillId="0" borderId="2" xfId="0" applyFont="1" applyBorder="1" applyAlignment="1">
      <alignment wrapText="1"/>
    </xf>
    <xf numFmtId="0" fontId="30" fillId="0" borderId="10" xfId="0" applyFont="1" applyBorder="1"/>
    <xf numFmtId="0" fontId="30" fillId="0" borderId="8" xfId="0" applyFont="1" applyBorder="1"/>
    <xf numFmtId="0" fontId="30" fillId="0" borderId="6" xfId="0" applyFont="1" applyBorder="1"/>
    <xf numFmtId="0" fontId="30" fillId="0" borderId="7" xfId="0" applyFont="1" applyBorder="1"/>
    <xf numFmtId="164" fontId="30" fillId="0" borderId="8" xfId="0" applyNumberFormat="1" applyFont="1" applyBorder="1"/>
    <xf numFmtId="0" fontId="30" fillId="0" borderId="2" xfId="0" applyFont="1" applyBorder="1" applyAlignment="1">
      <alignment horizontal="left" wrapText="1"/>
    </xf>
    <xf numFmtId="1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15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0" fillId="0" borderId="15" xfId="0" applyBorder="1"/>
    <xf numFmtId="0" fontId="4" fillId="0" borderId="15" xfId="0" applyFont="1" applyBorder="1"/>
    <xf numFmtId="0" fontId="5" fillId="0" borderId="15" xfId="0" applyFont="1" applyBorder="1"/>
    <xf numFmtId="164" fontId="3" fillId="0" borderId="6" xfId="0" applyNumberFormat="1" applyFont="1" applyBorder="1"/>
    <xf numFmtId="0" fontId="4" fillId="0" borderId="0" xfId="0" applyFont="1"/>
    <xf numFmtId="0" fontId="2" fillId="0" borderId="15" xfId="0" applyFont="1" applyBorder="1" applyAlignment="1">
      <alignment horizontal="center" vertical="center"/>
    </xf>
    <xf numFmtId="1" fontId="3" fillId="0" borderId="13" xfId="0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wrapText="1"/>
    </xf>
    <xf numFmtId="0" fontId="6" fillId="0" borderId="35" xfId="5" applyFont="1" applyBorder="1" applyAlignment="1">
      <alignment horizontal="center" vertical="center" wrapText="1"/>
    </xf>
    <xf numFmtId="0" fontId="6" fillId="0" borderId="35" xfId="5" applyFont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0" xfId="5" applyFont="1" applyFill="1" applyBorder="1" applyAlignment="1">
      <alignment horizontal="center" wrapText="1"/>
    </xf>
    <xf numFmtId="0" fontId="20" fillId="3" borderId="8" xfId="0" applyFont="1" applyFill="1" applyBorder="1" applyAlignment="1">
      <alignment horizontal="left" vertical="center" wrapText="1"/>
    </xf>
    <xf numFmtId="165" fontId="20" fillId="0" borderId="2" xfId="5" applyNumberFormat="1" applyFont="1" applyBorder="1" applyAlignment="1">
      <alignment horizontal="right"/>
    </xf>
    <xf numFmtId="0" fontId="20" fillId="3" borderId="6" xfId="0" applyFont="1" applyFill="1" applyBorder="1" applyAlignment="1">
      <alignment horizontal="left" vertical="center" wrapText="1"/>
    </xf>
    <xf numFmtId="165" fontId="20" fillId="7" borderId="2" xfId="0" applyNumberFormat="1" applyFont="1" applyFill="1" applyBorder="1" applyAlignment="1">
      <alignment horizontal="right"/>
    </xf>
    <xf numFmtId="165" fontId="20" fillId="7" borderId="2" xfId="5" applyNumberFormat="1" applyFont="1" applyFill="1" applyBorder="1" applyAlignment="1">
      <alignment horizontal="right"/>
    </xf>
    <xf numFmtId="0" fontId="23" fillId="7" borderId="0" xfId="0" applyFont="1" applyFill="1"/>
    <xf numFmtId="0" fontId="20" fillId="3" borderId="10" xfId="0" applyFont="1" applyFill="1" applyBorder="1" applyAlignment="1">
      <alignment horizontal="left" vertical="center" wrapText="1"/>
    </xf>
    <xf numFmtId="165" fontId="19" fillId="7" borderId="10" xfId="14" applyNumberFormat="1" applyFont="1" applyFill="1" applyBorder="1" applyAlignment="1">
      <alignment horizontal="right"/>
    </xf>
    <xf numFmtId="0" fontId="20" fillId="3" borderId="2" xfId="0" applyFont="1" applyFill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28" fillId="0" borderId="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8" fillId="0" borderId="9" xfId="0" applyFont="1" applyBorder="1" applyAlignment="1">
      <alignment horizontal="right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9" xfId="0" applyBorder="1" applyAlignment="1">
      <alignment horizontal="right"/>
    </xf>
    <xf numFmtId="0" fontId="20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3" fillId="0" borderId="0" xfId="5" applyFont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7" xfId="5" applyFont="1" applyBorder="1" applyAlignment="1">
      <alignment horizontal="center" vertical="center" wrapText="1"/>
    </xf>
    <xf numFmtId="0" fontId="21" fillId="0" borderId="22" xfId="5" applyFont="1" applyBorder="1" applyAlignment="1">
      <alignment horizontal="center" vertical="center" wrapText="1"/>
    </xf>
    <xf numFmtId="0" fontId="21" fillId="0" borderId="23" xfId="5" applyFont="1" applyBorder="1" applyAlignment="1">
      <alignment horizontal="center" vertical="center" wrapText="1"/>
    </xf>
    <xf numFmtId="0" fontId="25" fillId="0" borderId="24" xfId="7" applyFont="1" applyBorder="1" applyAlignment="1">
      <alignment horizontal="center"/>
    </xf>
    <xf numFmtId="0" fontId="25" fillId="0" borderId="20" xfId="7" applyFont="1" applyBorder="1" applyAlignment="1">
      <alignment horizontal="center"/>
    </xf>
    <xf numFmtId="0" fontId="21" fillId="0" borderId="26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1" fillId="0" borderId="26" xfId="5" applyFont="1" applyBorder="1" applyAlignment="1">
      <alignment horizontal="center" vertical="center" wrapText="1"/>
    </xf>
    <xf numFmtId="0" fontId="21" fillId="0" borderId="34" xfId="5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6" fillId="0" borderId="27" xfId="5" applyFont="1" applyBorder="1" applyAlignment="1">
      <alignment horizontal="center" vertical="center" wrapText="1"/>
    </xf>
    <xf numFmtId="0" fontId="20" fillId="0" borderId="28" xfId="7" applyFont="1" applyBorder="1" applyAlignment="1">
      <alignment horizontal="center" vertical="center" wrapText="1"/>
    </xf>
    <xf numFmtId="0" fontId="20" fillId="0" borderId="31" xfId="7" applyFont="1" applyBorder="1" applyAlignment="1">
      <alignment horizontal="center" vertical="center" wrapText="1"/>
    </xf>
    <xf numFmtId="0" fontId="20" fillId="0" borderId="37" xfId="7" applyFont="1" applyBorder="1" applyAlignment="1">
      <alignment horizontal="center" vertical="center" wrapText="1"/>
    </xf>
    <xf numFmtId="0" fontId="20" fillId="0" borderId="29" xfId="7" applyFont="1" applyBorder="1" applyAlignment="1">
      <alignment horizontal="center" vertical="center" wrapText="1"/>
    </xf>
    <xf numFmtId="0" fontId="20" fillId="0" borderId="32" xfId="7" applyFont="1" applyBorder="1" applyAlignment="1">
      <alignment horizontal="center" vertical="center" wrapText="1"/>
    </xf>
    <xf numFmtId="0" fontId="20" fillId="0" borderId="38" xfId="7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30" xfId="5" applyFont="1" applyBorder="1" applyAlignment="1">
      <alignment horizontal="center" vertical="center" wrapText="1"/>
    </xf>
    <xf numFmtId="0" fontId="6" fillId="0" borderId="36" xfId="5" applyFont="1" applyBorder="1" applyAlignment="1">
      <alignment horizontal="center" vertical="center" wrapText="1"/>
    </xf>
    <xf numFmtId="0" fontId="19" fillId="0" borderId="7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30" fillId="0" borderId="7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29" fillId="0" borderId="7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3" fillId="0" borderId="9" xfId="0" applyFont="1" applyBorder="1"/>
  </cellXfs>
  <cellStyles count="16">
    <cellStyle name="Įprastas" xfId="0" builtinId="0"/>
    <cellStyle name="Įprastas 10" xfId="1" xr:uid="{00000000-0005-0000-0000-000001000000}"/>
    <cellStyle name="Įprastas 11" xfId="2" xr:uid="{00000000-0005-0000-0000-000002000000}"/>
    <cellStyle name="Įprastas 12" xfId="3" xr:uid="{00000000-0005-0000-0000-000003000000}"/>
    <cellStyle name="Įprastas 13" xfId="4" xr:uid="{00000000-0005-0000-0000-000004000000}"/>
    <cellStyle name="Įprastas 2" xfId="5" xr:uid="{00000000-0005-0000-0000-000005000000}"/>
    <cellStyle name="Įprastas 2 2" xfId="6" xr:uid="{00000000-0005-0000-0000-000006000000}"/>
    <cellStyle name="Įprastas 3" xfId="7" xr:uid="{00000000-0005-0000-0000-000007000000}"/>
    <cellStyle name="Įprastas 4" xfId="8" xr:uid="{00000000-0005-0000-0000-000008000000}"/>
    <cellStyle name="Įprastas 5" xfId="9" xr:uid="{00000000-0005-0000-0000-000009000000}"/>
    <cellStyle name="Įprastas 6" xfId="10" xr:uid="{00000000-0005-0000-0000-00000A000000}"/>
    <cellStyle name="Įprastas 7" xfId="11" xr:uid="{00000000-0005-0000-0000-00000B000000}"/>
    <cellStyle name="Įprastas 8" xfId="12" xr:uid="{00000000-0005-0000-0000-00000C000000}"/>
    <cellStyle name="Įprastas 9" xfId="13" xr:uid="{00000000-0005-0000-0000-00000D000000}"/>
    <cellStyle name="Įvestis 2" xfId="14" xr:uid="{00000000-0005-0000-0000-00000E000000}"/>
    <cellStyle name="Paprastas 2" xfId="15" xr:uid="{00000000-0005-0000-0000-00000F000000}"/>
  </cellStyles>
  <dxfs count="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zoomScaleNormal="100" workbookViewId="0"/>
  </sheetViews>
  <sheetFormatPr defaultColWidth="9.140625" defaultRowHeight="13.5"/>
  <cols>
    <col min="1" max="1" width="11.140625" style="43" customWidth="1"/>
    <col min="2" max="2" width="33.42578125" style="43" customWidth="1"/>
    <col min="3" max="3" width="7.5703125" style="43" customWidth="1"/>
    <col min="4" max="4" width="7.42578125" style="43" customWidth="1"/>
    <col min="5" max="5" width="8" style="43" customWidth="1"/>
    <col min="6" max="6" width="8.42578125" style="43" customWidth="1"/>
    <col min="7" max="7" width="7.7109375" style="43" customWidth="1"/>
    <col min="8" max="8" width="8.85546875" style="43" customWidth="1"/>
    <col min="9" max="9" width="7.5703125" style="43" customWidth="1"/>
    <col min="10" max="10" width="7.85546875" style="43" customWidth="1"/>
    <col min="11" max="11" width="8.140625" style="43" customWidth="1"/>
    <col min="12" max="12" width="7.28515625" style="43" customWidth="1"/>
    <col min="13" max="13" width="6.7109375" style="43" customWidth="1"/>
    <col min="14" max="16384" width="9.140625" style="43"/>
  </cols>
  <sheetData>
    <row r="1" spans="1:13">
      <c r="L1" s="189" t="s">
        <v>195</v>
      </c>
      <c r="M1" s="189"/>
    </row>
    <row r="2" spans="1:13" ht="15" customHeight="1">
      <c r="A2" s="197" t="s">
        <v>399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3" ht="15" customHeight="1">
      <c r="A3" s="44"/>
      <c r="B3" s="104"/>
      <c r="C3" s="45"/>
      <c r="D3" s="45"/>
      <c r="E3" s="45"/>
      <c r="F3" s="45"/>
      <c r="G3" s="45"/>
      <c r="H3" s="46"/>
      <c r="I3" s="46"/>
      <c r="J3" s="46"/>
      <c r="K3" s="46"/>
      <c r="L3" s="198" t="s">
        <v>281</v>
      </c>
      <c r="M3" s="198"/>
    </row>
    <row r="4" spans="1:13" ht="37.9" customHeight="1">
      <c r="A4" s="199" t="s">
        <v>215</v>
      </c>
      <c r="B4" s="201" t="s">
        <v>216</v>
      </c>
      <c r="C4" s="190" t="s">
        <v>316</v>
      </c>
      <c r="D4" s="190" t="s">
        <v>368</v>
      </c>
      <c r="E4" s="192" t="s">
        <v>369</v>
      </c>
      <c r="F4" s="193"/>
      <c r="G4" s="194"/>
      <c r="H4" s="190" t="s">
        <v>400</v>
      </c>
      <c r="I4" s="192" t="s">
        <v>8</v>
      </c>
      <c r="J4" s="193"/>
      <c r="K4" s="194"/>
      <c r="L4" s="195" t="s">
        <v>401</v>
      </c>
      <c r="M4" s="196"/>
    </row>
    <row r="5" spans="1:13" ht="39" customHeight="1">
      <c r="A5" s="200"/>
      <c r="B5" s="202"/>
      <c r="C5" s="191"/>
      <c r="D5" s="191"/>
      <c r="E5" s="105" t="s">
        <v>382</v>
      </c>
      <c r="F5" s="111" t="s">
        <v>402</v>
      </c>
      <c r="G5" s="78" t="s">
        <v>298</v>
      </c>
      <c r="H5" s="191"/>
      <c r="I5" s="47" t="s">
        <v>403</v>
      </c>
      <c r="J5" s="119" t="s">
        <v>404</v>
      </c>
      <c r="K5" s="120" t="s">
        <v>405</v>
      </c>
      <c r="L5" s="48" t="s">
        <v>217</v>
      </c>
      <c r="M5" s="49" t="s">
        <v>218</v>
      </c>
    </row>
    <row r="6" spans="1:13">
      <c r="A6" s="50" t="s">
        <v>219</v>
      </c>
      <c r="B6" s="51"/>
      <c r="C6" s="52">
        <f>(C7+C52)</f>
        <v>98201.4</v>
      </c>
      <c r="D6" s="52">
        <f>(D7+D52)</f>
        <v>115584.2</v>
      </c>
      <c r="E6" s="52">
        <f>(E7+E52)</f>
        <v>82672.100000000006</v>
      </c>
      <c r="F6" s="52">
        <f>(F7+F52)</f>
        <v>83499.199999999997</v>
      </c>
      <c r="G6" s="52">
        <f t="shared" ref="G6:G11" si="0">SUM(F6-E6)</f>
        <v>827.09999999999127</v>
      </c>
      <c r="H6" s="52">
        <f>(H7+H52)</f>
        <v>67960.399999999994</v>
      </c>
      <c r="I6" s="52">
        <f>SUM(F6/E6*100)</f>
        <v>101.00045843761075</v>
      </c>
      <c r="J6" s="52">
        <f>SUM(H6/C6*100)</f>
        <v>69.205123348546962</v>
      </c>
      <c r="K6" s="53">
        <f>SUM(F6/D6*100)</f>
        <v>72.241015640546024</v>
      </c>
      <c r="L6" s="54">
        <f>F6-H6</f>
        <v>15538.800000000003</v>
      </c>
      <c r="M6" s="54">
        <f>(F6/H6*100)-100</f>
        <v>22.864491674563439</v>
      </c>
    </row>
    <row r="7" spans="1:13">
      <c r="A7" s="55" t="s">
        <v>0</v>
      </c>
      <c r="B7" s="55" t="s">
        <v>220</v>
      </c>
      <c r="C7" s="52">
        <f>(C8+C18+C31)</f>
        <v>97764.099999999991</v>
      </c>
      <c r="D7" s="52">
        <f>(D8+D18+D31)</f>
        <v>115214.2</v>
      </c>
      <c r="E7" s="52">
        <f>(E8+E18+E31)</f>
        <v>82377.100000000006</v>
      </c>
      <c r="F7" s="52">
        <f>(F8+F18+F31)</f>
        <v>83114.2</v>
      </c>
      <c r="G7" s="52">
        <f t="shared" si="0"/>
        <v>737.09999999999127</v>
      </c>
      <c r="H7" s="52">
        <f>(H8+H18+H31)</f>
        <v>67635.5</v>
      </c>
      <c r="I7" s="52">
        <f t="shared" ref="I7:I13" si="1">SUM(F7/E7*100)</f>
        <v>100.89478750769328</v>
      </c>
      <c r="J7" s="52">
        <f>SUM(H7/C7*100)</f>
        <v>69.182348121652026</v>
      </c>
      <c r="K7" s="53">
        <f t="shared" ref="K7:K21" si="2">SUM(F7/D7*100)</f>
        <v>72.138850940248687</v>
      </c>
      <c r="L7" s="54">
        <f t="shared" ref="L7:L30" si="3">F7-H7</f>
        <v>15478.699999999997</v>
      </c>
      <c r="M7" s="54">
        <f t="shared" ref="M7:M31" si="4">(F7/H7*100)-100</f>
        <v>22.885466951526936</v>
      </c>
    </row>
    <row r="8" spans="1:13">
      <c r="A8" s="55" t="s">
        <v>9</v>
      </c>
      <c r="B8" s="55" t="s">
        <v>196</v>
      </c>
      <c r="C8" s="56">
        <f>(C9+C11+C15)</f>
        <v>57753.399999999994</v>
      </c>
      <c r="D8" s="56">
        <f>(D9+D11+D15)</f>
        <v>68508</v>
      </c>
      <c r="E8" s="56">
        <f>(E9+E11+E15)</f>
        <v>46857</v>
      </c>
      <c r="F8" s="56">
        <f>(F9+F11+F15)</f>
        <v>49937.4</v>
      </c>
      <c r="G8" s="56">
        <f t="shared" si="0"/>
        <v>3080.4000000000015</v>
      </c>
      <c r="H8" s="56">
        <f>(H9+H11+H15)</f>
        <v>40636.5</v>
      </c>
      <c r="I8" s="56">
        <f t="shared" si="1"/>
        <v>106.57404443306231</v>
      </c>
      <c r="J8" s="56">
        <f>SUM(H8/C8*100)</f>
        <v>70.36209123618697</v>
      </c>
      <c r="K8" s="57">
        <f>SUM(F8/D8*100)</f>
        <v>72.89280084077771</v>
      </c>
      <c r="L8" s="58">
        <f>F8-H8</f>
        <v>9300.9000000000015</v>
      </c>
      <c r="M8" s="58">
        <f t="shared" si="4"/>
        <v>22.888043999852357</v>
      </c>
    </row>
    <row r="9" spans="1:13">
      <c r="A9" s="55" t="s">
        <v>221</v>
      </c>
      <c r="B9" s="55" t="s">
        <v>222</v>
      </c>
      <c r="C9" s="56">
        <f>(C10)</f>
        <v>55119.1</v>
      </c>
      <c r="D9" s="56">
        <f>(D10)</f>
        <v>65458</v>
      </c>
      <c r="E9" s="56">
        <f t="shared" ref="E9:F9" si="5">(E10)</f>
        <v>44800</v>
      </c>
      <c r="F9" s="56">
        <f t="shared" si="5"/>
        <v>47792.9</v>
      </c>
      <c r="G9" s="56">
        <f t="shared" si="0"/>
        <v>2992.9000000000015</v>
      </c>
      <c r="H9" s="56">
        <f>(H10)</f>
        <v>38647.9</v>
      </c>
      <c r="I9" s="56">
        <f t="shared" si="1"/>
        <v>106.68058035714284</v>
      </c>
      <c r="J9" s="56">
        <f>SUM(H9/C9*100)</f>
        <v>70.117073754832731</v>
      </c>
      <c r="K9" s="57">
        <f t="shared" si="2"/>
        <v>73.013077087598148</v>
      </c>
      <c r="L9" s="58">
        <f>F9-H9</f>
        <v>9145</v>
      </c>
      <c r="M9" s="58">
        <f>(F9/H9*100)-100</f>
        <v>23.662346466431543</v>
      </c>
    </row>
    <row r="10" spans="1:13">
      <c r="A10" s="55" t="s">
        <v>223</v>
      </c>
      <c r="B10" s="55" t="s">
        <v>197</v>
      </c>
      <c r="C10" s="121">
        <v>55119.1</v>
      </c>
      <c r="D10" s="56">
        <v>65458</v>
      </c>
      <c r="E10" s="122">
        <v>44800</v>
      </c>
      <c r="F10" s="123">
        <v>47792.9</v>
      </c>
      <c r="G10" s="56">
        <f t="shared" si="0"/>
        <v>2992.9000000000015</v>
      </c>
      <c r="H10" s="56">
        <v>38647.9</v>
      </c>
      <c r="I10" s="56">
        <f t="shared" si="1"/>
        <v>106.68058035714284</v>
      </c>
      <c r="J10" s="56">
        <f>SUM(H10/C10*100)</f>
        <v>70.117073754832731</v>
      </c>
      <c r="K10" s="57">
        <f t="shared" si="2"/>
        <v>73.013077087598148</v>
      </c>
      <c r="L10" s="58">
        <f t="shared" si="3"/>
        <v>9145</v>
      </c>
      <c r="M10" s="58">
        <f>(F10/H10*100)-100</f>
        <v>23.662346466431543</v>
      </c>
    </row>
    <row r="11" spans="1:13">
      <c r="A11" s="55" t="s">
        <v>224</v>
      </c>
      <c r="B11" s="55" t="s">
        <v>198</v>
      </c>
      <c r="C11" s="56">
        <f>SUM(C12+C13+C14)</f>
        <v>2439.6</v>
      </c>
      <c r="D11" s="56">
        <f>SUM(D12+D13+D14)</f>
        <v>2880</v>
      </c>
      <c r="E11" s="56">
        <f>SUM(E12+E13+E14)</f>
        <v>1887</v>
      </c>
      <c r="F11" s="56">
        <f>SUM(F12+F13+F14)</f>
        <v>1916.3</v>
      </c>
      <c r="G11" s="56">
        <f t="shared" si="0"/>
        <v>29.299999999999955</v>
      </c>
      <c r="H11" s="56">
        <f>SUM(H12+H13+H14)</f>
        <v>1796.4</v>
      </c>
      <c r="I11" s="56">
        <f t="shared" si="1"/>
        <v>101.55272919978802</v>
      </c>
      <c r="J11" s="56">
        <f t="shared" ref="J11:J21" si="6">SUM(H11/C11*100)</f>
        <v>73.635022134776193</v>
      </c>
      <c r="K11" s="57">
        <f t="shared" si="2"/>
        <v>66.538194444444443</v>
      </c>
      <c r="L11" s="58">
        <f>F11-H11</f>
        <v>119.89999999999986</v>
      </c>
      <c r="M11" s="58">
        <f t="shared" si="4"/>
        <v>6.674460031173453</v>
      </c>
    </row>
    <row r="12" spans="1:13">
      <c r="A12" s="55" t="s">
        <v>225</v>
      </c>
      <c r="B12" s="55" t="s">
        <v>199</v>
      </c>
      <c r="C12" s="124">
        <v>711.7</v>
      </c>
      <c r="D12" s="123">
        <v>950</v>
      </c>
      <c r="E12" s="122">
        <v>68</v>
      </c>
      <c r="F12" s="123">
        <v>79.8</v>
      </c>
      <c r="G12" s="56">
        <f t="shared" ref="G12:G33" si="7">SUM(F12-E12)</f>
        <v>11.799999999999997</v>
      </c>
      <c r="H12" s="56">
        <v>80.599999999999994</v>
      </c>
      <c r="I12" s="56">
        <f>SUM(F12/E12*100)</f>
        <v>117.35294117647059</v>
      </c>
      <c r="J12" s="56">
        <f>SUM(H12/C12*100)</f>
        <v>11.324996487283967</v>
      </c>
      <c r="K12" s="57">
        <f t="shared" si="2"/>
        <v>8.3999999999999986</v>
      </c>
      <c r="L12" s="58">
        <f t="shared" si="3"/>
        <v>-0.79999999999999716</v>
      </c>
      <c r="M12" s="58">
        <f t="shared" si="4"/>
        <v>-0.99255583126550562</v>
      </c>
    </row>
    <row r="13" spans="1:13">
      <c r="A13" s="55" t="s">
        <v>226</v>
      </c>
      <c r="B13" s="55" t="s">
        <v>227</v>
      </c>
      <c r="C13" s="124">
        <v>32.9</v>
      </c>
      <c r="D13" s="123">
        <v>30</v>
      </c>
      <c r="E13" s="122">
        <v>19</v>
      </c>
      <c r="F13" s="123">
        <v>25.8</v>
      </c>
      <c r="G13" s="56">
        <f t="shared" si="7"/>
        <v>6.8000000000000007</v>
      </c>
      <c r="H13" s="56">
        <v>27.9</v>
      </c>
      <c r="I13" s="56">
        <f t="shared" si="1"/>
        <v>135.78947368421052</v>
      </c>
      <c r="J13" s="56">
        <f t="shared" si="6"/>
        <v>84.80243161094225</v>
      </c>
      <c r="K13" s="57">
        <f t="shared" si="2"/>
        <v>86</v>
      </c>
      <c r="L13" s="58">
        <f t="shared" si="3"/>
        <v>-2.0999999999999979</v>
      </c>
      <c r="M13" s="58">
        <f t="shared" si="4"/>
        <v>-7.5268817204300973</v>
      </c>
    </row>
    <row r="14" spans="1:13">
      <c r="A14" s="55" t="s">
        <v>228</v>
      </c>
      <c r="B14" s="55" t="s">
        <v>200</v>
      </c>
      <c r="C14" s="124">
        <v>1695</v>
      </c>
      <c r="D14" s="123">
        <v>1900</v>
      </c>
      <c r="E14" s="122">
        <v>1800</v>
      </c>
      <c r="F14" s="123">
        <v>1810.7</v>
      </c>
      <c r="G14" s="56">
        <f>SUM(F14-E14)</f>
        <v>10.700000000000045</v>
      </c>
      <c r="H14" s="56">
        <v>1687.9</v>
      </c>
      <c r="I14" s="56">
        <f>SUM(F14/E14*100)</f>
        <v>100.59444444444445</v>
      </c>
      <c r="J14" s="56">
        <f t="shared" si="6"/>
        <v>99.581120943952811</v>
      </c>
      <c r="K14" s="57">
        <f t="shared" si="2"/>
        <v>95.300000000000011</v>
      </c>
      <c r="L14" s="58">
        <f t="shared" si="3"/>
        <v>122.79999999999995</v>
      </c>
      <c r="M14" s="58">
        <f>(F14/H14*100)-100</f>
        <v>7.2753125185141272</v>
      </c>
    </row>
    <row r="15" spans="1:13">
      <c r="A15" s="55" t="s">
        <v>229</v>
      </c>
      <c r="B15" s="55" t="s">
        <v>202</v>
      </c>
      <c r="C15" s="56">
        <f>(C16)</f>
        <v>194.7</v>
      </c>
      <c r="D15" s="56">
        <f t="shared" ref="D15:E15" si="8">(D16)</f>
        <v>170</v>
      </c>
      <c r="E15" s="56">
        <f t="shared" si="8"/>
        <v>170</v>
      </c>
      <c r="F15" s="56">
        <f>(F16)</f>
        <v>228.2</v>
      </c>
      <c r="G15" s="56">
        <f t="shared" si="7"/>
        <v>58.199999999999989</v>
      </c>
      <c r="H15" s="56">
        <f>(H16)</f>
        <v>192.2</v>
      </c>
      <c r="I15" s="56">
        <f t="shared" ref="I15:I21" si="9">SUM(F15/E15*100)</f>
        <v>134.23529411764704</v>
      </c>
      <c r="J15" s="56">
        <f t="shared" si="6"/>
        <v>98.71597329224447</v>
      </c>
      <c r="K15" s="57">
        <f t="shared" si="2"/>
        <v>134.23529411764704</v>
      </c>
      <c r="L15" s="58">
        <f t="shared" si="3"/>
        <v>36</v>
      </c>
      <c r="M15" s="58">
        <f t="shared" ref="M15:M17" si="10">(F15/H15*100)-100</f>
        <v>18.730489073881373</v>
      </c>
    </row>
    <row r="16" spans="1:13">
      <c r="A16" s="55" t="s">
        <v>230</v>
      </c>
      <c r="B16" s="55" t="s">
        <v>231</v>
      </c>
      <c r="C16" s="56">
        <f>C17</f>
        <v>194.7</v>
      </c>
      <c r="D16" s="56">
        <f t="shared" ref="D16:F16" si="11">D17</f>
        <v>170</v>
      </c>
      <c r="E16" s="56">
        <f t="shared" si="11"/>
        <v>170</v>
      </c>
      <c r="F16" s="56">
        <f t="shared" si="11"/>
        <v>228.2</v>
      </c>
      <c r="G16" s="56">
        <f t="shared" si="7"/>
        <v>58.199999999999989</v>
      </c>
      <c r="H16" s="56">
        <f>H17</f>
        <v>192.2</v>
      </c>
      <c r="I16" s="56">
        <f t="shared" si="9"/>
        <v>134.23529411764704</v>
      </c>
      <c r="J16" s="56">
        <f t="shared" si="6"/>
        <v>98.71597329224447</v>
      </c>
      <c r="K16" s="57">
        <f t="shared" si="2"/>
        <v>134.23529411764704</v>
      </c>
      <c r="L16" s="58">
        <f t="shared" si="3"/>
        <v>36</v>
      </c>
      <c r="M16" s="58">
        <f t="shared" si="10"/>
        <v>18.730489073881373</v>
      </c>
    </row>
    <row r="17" spans="1:17">
      <c r="A17" s="55" t="s">
        <v>232</v>
      </c>
      <c r="B17" s="55" t="s">
        <v>233</v>
      </c>
      <c r="C17" s="121">
        <v>194.7</v>
      </c>
      <c r="D17" s="123">
        <v>170</v>
      </c>
      <c r="E17" s="122">
        <v>170</v>
      </c>
      <c r="F17" s="123">
        <v>228.2</v>
      </c>
      <c r="G17" s="56">
        <f t="shared" si="7"/>
        <v>58.199999999999989</v>
      </c>
      <c r="H17" s="56">
        <v>192.2</v>
      </c>
      <c r="I17" s="56">
        <f t="shared" si="9"/>
        <v>134.23529411764704</v>
      </c>
      <c r="J17" s="56">
        <f t="shared" si="6"/>
        <v>98.71597329224447</v>
      </c>
      <c r="K17" s="57">
        <f t="shared" si="2"/>
        <v>134.23529411764704</v>
      </c>
      <c r="L17" s="58">
        <f t="shared" si="3"/>
        <v>36</v>
      </c>
      <c r="M17" s="58">
        <f t="shared" si="10"/>
        <v>18.730489073881373</v>
      </c>
    </row>
    <row r="18" spans="1:17">
      <c r="A18" s="50" t="s">
        <v>201</v>
      </c>
      <c r="B18" s="50" t="s">
        <v>234</v>
      </c>
      <c r="C18" s="52">
        <f>C19+C28</f>
        <v>31527.699999999997</v>
      </c>
      <c r="D18" s="52">
        <f>D19+D28</f>
        <v>37366.899999999994</v>
      </c>
      <c r="E18" s="52">
        <f>E19+E28</f>
        <v>28697.100000000002</v>
      </c>
      <c r="F18" s="52">
        <f>F19+F28</f>
        <v>25534.1</v>
      </c>
      <c r="G18" s="52">
        <f t="shared" si="7"/>
        <v>-3163.0000000000036</v>
      </c>
      <c r="H18" s="52">
        <f>H19+H28</f>
        <v>21047.999999999996</v>
      </c>
      <c r="I18" s="52">
        <f t="shared" si="9"/>
        <v>88.977980353415489</v>
      </c>
      <c r="J18" s="52">
        <f t="shared" si="6"/>
        <v>66.760340906567876</v>
      </c>
      <c r="K18" s="53">
        <f t="shared" si="2"/>
        <v>68.333471601872247</v>
      </c>
      <c r="L18" s="54">
        <f t="shared" si="3"/>
        <v>4486.1000000000022</v>
      </c>
      <c r="M18" s="54">
        <f t="shared" si="4"/>
        <v>21.313664006081339</v>
      </c>
    </row>
    <row r="19" spans="1:17" ht="23.25" customHeight="1">
      <c r="A19" s="59" t="s">
        <v>235</v>
      </c>
      <c r="B19" s="60" t="s">
        <v>203</v>
      </c>
      <c r="C19" s="56">
        <f>C20+C26+C27</f>
        <v>26496.699999999997</v>
      </c>
      <c r="D19" s="56">
        <f>D20+D26+D27</f>
        <v>29064.999999999996</v>
      </c>
      <c r="E19" s="56">
        <f>E20+E26+E27</f>
        <v>22426.9</v>
      </c>
      <c r="F19" s="56">
        <f>F20+F26+F27</f>
        <v>22246.6</v>
      </c>
      <c r="G19" s="56">
        <f t="shared" si="7"/>
        <v>-180.30000000000291</v>
      </c>
      <c r="H19" s="56">
        <f>H20+H26+H27</f>
        <v>19549.599999999995</v>
      </c>
      <c r="I19" s="56">
        <f t="shared" si="9"/>
        <v>99.19605473783713</v>
      </c>
      <c r="J19" s="56">
        <f t="shared" si="6"/>
        <v>73.781263327131299</v>
      </c>
      <c r="K19" s="57">
        <f t="shared" si="2"/>
        <v>76.540856700498878</v>
      </c>
      <c r="L19" s="58">
        <f t="shared" si="3"/>
        <v>2697.0000000000036</v>
      </c>
      <c r="M19" s="58">
        <f t="shared" si="4"/>
        <v>13.795678683962876</v>
      </c>
    </row>
    <row r="20" spans="1:17" ht="22.5" customHeight="1">
      <c r="A20" s="59" t="s">
        <v>236</v>
      </c>
      <c r="B20" s="60" t="s">
        <v>237</v>
      </c>
      <c r="C20" s="56">
        <f>C21+C22+C23+C24+C25</f>
        <v>23689.999999999996</v>
      </c>
      <c r="D20" s="56">
        <f>D21+D22+D23+D24+D25</f>
        <v>26758.799999999996</v>
      </c>
      <c r="E20" s="56">
        <f t="shared" ref="E20:G20" si="12">E21+E22+E23+E24+E25</f>
        <v>20605</v>
      </c>
      <c r="F20" s="56">
        <f>F21+F22+F23+F24+F25</f>
        <v>20605</v>
      </c>
      <c r="G20" s="56">
        <f t="shared" si="12"/>
        <v>0</v>
      </c>
      <c r="H20" s="56">
        <f>H21+H22+H23+H24+H25</f>
        <v>17547.899999999998</v>
      </c>
      <c r="I20" s="56">
        <f t="shared" si="9"/>
        <v>100</v>
      </c>
      <c r="J20" s="56">
        <f t="shared" si="6"/>
        <v>74.073026593499364</v>
      </c>
      <c r="K20" s="57">
        <f t="shared" si="2"/>
        <v>77.002705651972448</v>
      </c>
      <c r="L20" s="58">
        <f t="shared" si="3"/>
        <v>3057.1000000000022</v>
      </c>
      <c r="M20" s="58">
        <f t="shared" si="4"/>
        <v>17.421457838259855</v>
      </c>
    </row>
    <row r="21" spans="1:17" ht="25.5" customHeight="1">
      <c r="A21" s="55" t="s">
        <v>238</v>
      </c>
      <c r="B21" s="60" t="s">
        <v>239</v>
      </c>
      <c r="C21" s="124">
        <v>5631.3</v>
      </c>
      <c r="D21" s="125">
        <v>5612.8</v>
      </c>
      <c r="E21" s="122">
        <v>4676.5</v>
      </c>
      <c r="F21" s="125">
        <v>4676.5</v>
      </c>
      <c r="G21" s="56">
        <f t="shared" si="7"/>
        <v>0</v>
      </c>
      <c r="H21" s="56">
        <v>4301.2</v>
      </c>
      <c r="I21" s="56">
        <f t="shared" si="9"/>
        <v>100</v>
      </c>
      <c r="J21" s="56">
        <f t="shared" si="6"/>
        <v>76.38023191802958</v>
      </c>
      <c r="K21" s="57">
        <f t="shared" si="2"/>
        <v>83.318486316989734</v>
      </c>
      <c r="L21" s="58">
        <f t="shared" si="3"/>
        <v>375.30000000000018</v>
      </c>
      <c r="M21" s="58">
        <f t="shared" si="4"/>
        <v>8.7254719613131186</v>
      </c>
    </row>
    <row r="22" spans="1:17" ht="16.5" customHeight="1">
      <c r="A22" s="55" t="s">
        <v>240</v>
      </c>
      <c r="B22" s="55" t="s">
        <v>204</v>
      </c>
      <c r="C22" s="124">
        <v>17667.599999999999</v>
      </c>
      <c r="D22" s="125">
        <v>20699.099999999999</v>
      </c>
      <c r="E22" s="122">
        <v>15591.6</v>
      </c>
      <c r="F22" s="126">
        <v>15591.6</v>
      </c>
      <c r="G22" s="56">
        <f t="shared" si="7"/>
        <v>0</v>
      </c>
      <c r="H22" s="56">
        <v>12953.6</v>
      </c>
      <c r="I22" s="56">
        <f t="shared" ref="I22:I30" si="13">SUM(F22/E22*100)</f>
        <v>100</v>
      </c>
      <c r="J22" s="56">
        <f t="shared" ref="J22:J34" si="14">SUM(H22/C22*100)</f>
        <v>73.318390726527667</v>
      </c>
      <c r="K22" s="57">
        <f t="shared" ref="K22:K51" si="15">SUM(F22/D22*100)</f>
        <v>75.325014131049187</v>
      </c>
      <c r="L22" s="58">
        <f t="shared" si="3"/>
        <v>2638</v>
      </c>
      <c r="M22" s="58">
        <f t="shared" si="4"/>
        <v>20.364995059288532</v>
      </c>
    </row>
    <row r="23" spans="1:17" ht="25.5" customHeight="1">
      <c r="A23" s="127" t="s">
        <v>241</v>
      </c>
      <c r="B23" s="60" t="s">
        <v>242</v>
      </c>
      <c r="C23" s="124">
        <v>294.7</v>
      </c>
      <c r="D23" s="125">
        <v>317.10000000000002</v>
      </c>
      <c r="E23" s="122">
        <v>237.9</v>
      </c>
      <c r="F23" s="126">
        <v>237.9</v>
      </c>
      <c r="G23" s="56">
        <f t="shared" si="7"/>
        <v>0</v>
      </c>
      <c r="H23" s="56">
        <v>221.1</v>
      </c>
      <c r="I23" s="56">
        <f t="shared" si="13"/>
        <v>100</v>
      </c>
      <c r="J23" s="56">
        <f t="shared" si="14"/>
        <v>75.02544960977265</v>
      </c>
      <c r="K23" s="57">
        <f t="shared" si="15"/>
        <v>75.023651844843897</v>
      </c>
      <c r="L23" s="58">
        <f t="shared" si="3"/>
        <v>16.800000000000011</v>
      </c>
      <c r="M23" s="58">
        <f t="shared" si="4"/>
        <v>7.5983717774762596</v>
      </c>
    </row>
    <row r="24" spans="1:17" ht="17.25" customHeight="1">
      <c r="A24" s="55" t="s">
        <v>243</v>
      </c>
      <c r="B24" s="55" t="s">
        <v>244</v>
      </c>
      <c r="C24" s="128">
        <v>94.8</v>
      </c>
      <c r="D24" s="125">
        <v>129.80000000000001</v>
      </c>
      <c r="E24" s="122">
        <v>99</v>
      </c>
      <c r="F24" s="125">
        <v>99</v>
      </c>
      <c r="G24" s="56">
        <f t="shared" si="7"/>
        <v>0</v>
      </c>
      <c r="H24" s="56">
        <v>72</v>
      </c>
      <c r="I24" s="56">
        <f>SUM(F24/E24*100)</f>
        <v>100</v>
      </c>
      <c r="J24" s="56">
        <f t="shared" si="14"/>
        <v>75.949367088607602</v>
      </c>
      <c r="K24" s="57">
        <f t="shared" si="15"/>
        <v>76.271186440677965</v>
      </c>
      <c r="L24" s="58">
        <f t="shared" si="3"/>
        <v>27</v>
      </c>
      <c r="M24" s="58">
        <f>(F24/H24*100)-100</f>
        <v>37.5</v>
      </c>
    </row>
    <row r="25" spans="1:17" ht="17.25" customHeight="1">
      <c r="A25" s="55" t="s">
        <v>370</v>
      </c>
      <c r="B25" s="129" t="s">
        <v>371</v>
      </c>
      <c r="C25" s="128">
        <v>1.6</v>
      </c>
      <c r="D25" s="56">
        <v>0</v>
      </c>
      <c r="E25" s="56">
        <v>0</v>
      </c>
      <c r="F25" s="56">
        <v>0</v>
      </c>
      <c r="G25" s="56">
        <f t="shared" si="7"/>
        <v>0</v>
      </c>
      <c r="H25" s="56">
        <v>0</v>
      </c>
      <c r="I25" s="56">
        <v>0</v>
      </c>
      <c r="J25" s="56">
        <f t="shared" si="14"/>
        <v>0</v>
      </c>
      <c r="K25" s="57">
        <v>0</v>
      </c>
      <c r="L25" s="58">
        <f t="shared" si="3"/>
        <v>0</v>
      </c>
      <c r="M25" s="58">
        <v>0</v>
      </c>
    </row>
    <row r="26" spans="1:17" ht="22.5" customHeight="1">
      <c r="A26" s="127" t="s">
        <v>245</v>
      </c>
      <c r="B26" s="60" t="s">
        <v>246</v>
      </c>
      <c r="C26" s="128">
        <v>609.79999999999995</v>
      </c>
      <c r="D26" s="125">
        <v>845.2</v>
      </c>
      <c r="E26" s="122">
        <v>661.2</v>
      </c>
      <c r="F26" s="125">
        <v>551.1</v>
      </c>
      <c r="G26" s="56">
        <f>SUM(F26-E26)</f>
        <v>-110.10000000000002</v>
      </c>
      <c r="H26" s="56">
        <v>457.6</v>
      </c>
      <c r="I26" s="56">
        <f>SUM(F26/E26*100)</f>
        <v>83.348457350272227</v>
      </c>
      <c r="J26" s="56">
        <f t="shared" si="14"/>
        <v>75.040997048212546</v>
      </c>
      <c r="K26" s="57">
        <f t="shared" si="15"/>
        <v>65.203502129673453</v>
      </c>
      <c r="L26" s="58">
        <f>F26-H26</f>
        <v>93.5</v>
      </c>
      <c r="M26" s="58">
        <f>(F26/H26*100)-100</f>
        <v>20.432692307692307</v>
      </c>
      <c r="P26" s="82"/>
      <c r="Q26" s="82"/>
    </row>
    <row r="27" spans="1:17" ht="16.5" customHeight="1">
      <c r="A27" s="55" t="s">
        <v>247</v>
      </c>
      <c r="B27" s="55" t="s">
        <v>205</v>
      </c>
      <c r="C27" s="128">
        <v>2196.9</v>
      </c>
      <c r="D27" s="125">
        <v>1461</v>
      </c>
      <c r="E27" s="122">
        <v>1160.7</v>
      </c>
      <c r="F27" s="123">
        <v>1090.5</v>
      </c>
      <c r="G27" s="56">
        <f>SUM(F27-E27)</f>
        <v>-70.200000000000045</v>
      </c>
      <c r="H27" s="56">
        <v>1544.1</v>
      </c>
      <c r="I27" s="56">
        <f>SUM(F27/E27*100)</f>
        <v>93.951925562160767</v>
      </c>
      <c r="J27" s="56">
        <f t="shared" si="14"/>
        <v>70.285402157585679</v>
      </c>
      <c r="K27" s="57">
        <f t="shared" si="15"/>
        <v>74.640657084188916</v>
      </c>
      <c r="L27" s="58">
        <f>F27-H27</f>
        <v>-453.59999999999991</v>
      </c>
      <c r="M27" s="58">
        <f>(F27/H27*100)-100</f>
        <v>-29.376335729551201</v>
      </c>
    </row>
    <row r="28" spans="1:17" ht="23.25" customHeight="1">
      <c r="A28" s="127" t="s">
        <v>248</v>
      </c>
      <c r="B28" s="60" t="s">
        <v>206</v>
      </c>
      <c r="C28" s="56">
        <f>C29+C30</f>
        <v>5031</v>
      </c>
      <c r="D28" s="56">
        <f>D29+D30</f>
        <v>8301.9</v>
      </c>
      <c r="E28" s="56">
        <f>E29+E30</f>
        <v>6270.2</v>
      </c>
      <c r="F28" s="56">
        <f>F29+F30</f>
        <v>3287.5</v>
      </c>
      <c r="G28" s="56">
        <f>SUM(F28-E28)</f>
        <v>-2982.7</v>
      </c>
      <c r="H28" s="56">
        <f>H29+H30</f>
        <v>1498.4</v>
      </c>
      <c r="I28" s="56">
        <f>SUM(F28/E28*100)</f>
        <v>52.430544480239874</v>
      </c>
      <c r="J28" s="56">
        <f t="shared" si="14"/>
        <v>29.783343271715367</v>
      </c>
      <c r="K28" s="57">
        <f t="shared" si="15"/>
        <v>39.599368819185969</v>
      </c>
      <c r="L28" s="58">
        <f t="shared" si="3"/>
        <v>1789.1</v>
      </c>
      <c r="M28" s="58">
        <f t="shared" ref="M28" si="16">(F28/H28*100)-100</f>
        <v>119.40069407367858</v>
      </c>
    </row>
    <row r="29" spans="1:17" ht="37.5" customHeight="1">
      <c r="A29" s="127" t="s">
        <v>249</v>
      </c>
      <c r="B29" s="60" t="s">
        <v>250</v>
      </c>
      <c r="C29" s="124">
        <v>1441</v>
      </c>
      <c r="D29" s="125">
        <v>3999.1</v>
      </c>
      <c r="E29" s="122">
        <v>3583.1</v>
      </c>
      <c r="F29" s="125">
        <v>2048.9</v>
      </c>
      <c r="G29" s="56">
        <f t="shared" si="7"/>
        <v>-1534.1999999999998</v>
      </c>
      <c r="H29" s="56">
        <v>675.8</v>
      </c>
      <c r="I29" s="56">
        <f t="shared" si="13"/>
        <v>57.182328151600572</v>
      </c>
      <c r="J29" s="56">
        <f t="shared" si="14"/>
        <v>46.897987508674525</v>
      </c>
      <c r="K29" s="57">
        <f t="shared" si="15"/>
        <v>51.234027656222658</v>
      </c>
      <c r="L29" s="130">
        <f t="shared" si="3"/>
        <v>1373.1000000000001</v>
      </c>
      <c r="M29" s="58">
        <f>(F29/H29*100)-100</f>
        <v>203.18141461970998</v>
      </c>
      <c r="N29" s="131"/>
      <c r="O29" s="82"/>
    </row>
    <row r="30" spans="1:17" ht="16.5" customHeight="1">
      <c r="A30" s="55" t="s">
        <v>251</v>
      </c>
      <c r="B30" s="55" t="s">
        <v>207</v>
      </c>
      <c r="C30" s="124">
        <v>3590</v>
      </c>
      <c r="D30" s="126">
        <v>4302.8</v>
      </c>
      <c r="E30" s="122">
        <v>2687.1</v>
      </c>
      <c r="F30" s="125">
        <v>1238.5999999999999</v>
      </c>
      <c r="G30" s="56">
        <f t="shared" si="7"/>
        <v>-1448.5</v>
      </c>
      <c r="H30" s="56">
        <v>822.6</v>
      </c>
      <c r="I30" s="56">
        <f t="shared" si="13"/>
        <v>46.094302407800228</v>
      </c>
      <c r="J30" s="56">
        <f t="shared" si="14"/>
        <v>22.913649025069638</v>
      </c>
      <c r="K30" s="57">
        <f t="shared" si="15"/>
        <v>28.785906851352607</v>
      </c>
      <c r="L30" s="58">
        <f t="shared" si="3"/>
        <v>415.99999999999989</v>
      </c>
      <c r="M30" s="58">
        <f>(F30/H30*100)-100</f>
        <v>50.571359105275945</v>
      </c>
    </row>
    <row r="31" spans="1:17" ht="16.5" customHeight="1">
      <c r="A31" s="50" t="s">
        <v>252</v>
      </c>
      <c r="B31" s="50" t="s">
        <v>253</v>
      </c>
      <c r="C31" s="52">
        <f>SUM(C32+C41+C50+C51+C46)</f>
        <v>8483</v>
      </c>
      <c r="D31" s="52">
        <f>SUM(D32+D41+D50+D51+D46)</f>
        <v>9339.2999999999993</v>
      </c>
      <c r="E31" s="52">
        <f>SUM(E32+E41+E50+E51+E46)</f>
        <v>6823</v>
      </c>
      <c r="F31" s="52">
        <f>SUM(F32+F41+F50+F51+F46)</f>
        <v>7642.7000000000007</v>
      </c>
      <c r="G31" s="52">
        <f>SUM(F31-E31)</f>
        <v>819.70000000000073</v>
      </c>
      <c r="H31" s="52">
        <f>SUM(H32+H41+H50+H51+H46)</f>
        <v>5951</v>
      </c>
      <c r="I31" s="52">
        <f>SUM(F31/E31*100)</f>
        <v>112.01377693096879</v>
      </c>
      <c r="J31" s="52">
        <f t="shared" si="14"/>
        <v>70.152068843569495</v>
      </c>
      <c r="K31" s="53">
        <f t="shared" si="15"/>
        <v>81.833756277237072</v>
      </c>
      <c r="L31" s="54">
        <f>F31-H31</f>
        <v>1691.7000000000007</v>
      </c>
      <c r="M31" s="54">
        <f t="shared" si="4"/>
        <v>28.427155099983224</v>
      </c>
      <c r="P31" s="83"/>
    </row>
    <row r="32" spans="1:17" ht="16.5" customHeight="1">
      <c r="A32" s="55" t="s">
        <v>254</v>
      </c>
      <c r="B32" s="55" t="s">
        <v>208</v>
      </c>
      <c r="C32" s="56">
        <f>SUM(C33+C34+C35+C36+C37+C38+C39+C40)</f>
        <v>683.50000000000011</v>
      </c>
      <c r="D32" s="56">
        <f>SUM(D33+D34+D35+D36+D37+D38+D39+D40)</f>
        <v>776</v>
      </c>
      <c r="E32" s="56">
        <f>SUM(E33+E34+E35+E36+E37+E38+E39+E40)</f>
        <v>459.5</v>
      </c>
      <c r="F32" s="56">
        <f>SUM(F33+F34+F35+F36+F37+F38+F39+F40)</f>
        <v>354.1</v>
      </c>
      <c r="G32" s="56">
        <f>SUM(F32-E32)</f>
        <v>-105.39999999999998</v>
      </c>
      <c r="H32" s="56">
        <f>SUM(H33+H34+H35+H36+H37+H38+H39+H40)</f>
        <v>327.39999999999998</v>
      </c>
      <c r="I32" s="56">
        <f>SUM(F32/E32*100)</f>
        <v>77.062023939064204</v>
      </c>
      <c r="J32" s="56">
        <f t="shared" si="14"/>
        <v>47.900512070226767</v>
      </c>
      <c r="K32" s="57">
        <f t="shared" si="15"/>
        <v>45.631443298969074</v>
      </c>
      <c r="L32" s="58">
        <f>F32-H32</f>
        <v>26.700000000000045</v>
      </c>
      <c r="M32" s="58">
        <f>(F32/H32*100)-100</f>
        <v>8.1551618814905424</v>
      </c>
    </row>
    <row r="33" spans="1:13" ht="16.5" customHeight="1">
      <c r="A33" s="55" t="s">
        <v>255</v>
      </c>
      <c r="B33" s="55" t="s">
        <v>11</v>
      </c>
      <c r="C33" s="124">
        <v>7.9</v>
      </c>
      <c r="D33" s="56">
        <v>0</v>
      </c>
      <c r="E33" s="122">
        <v>0</v>
      </c>
      <c r="F33" s="125">
        <v>75.400000000000006</v>
      </c>
      <c r="G33" s="56">
        <f t="shared" si="7"/>
        <v>75.400000000000006</v>
      </c>
      <c r="H33" s="56">
        <v>7.6</v>
      </c>
      <c r="I33" s="56">
        <v>0</v>
      </c>
      <c r="J33" s="56">
        <f>SUM(H33/C33*100)</f>
        <v>96.202531645569607</v>
      </c>
      <c r="K33" s="57">
        <v>0</v>
      </c>
      <c r="L33" s="58">
        <f>F33-H33</f>
        <v>67.800000000000011</v>
      </c>
      <c r="M33" s="58">
        <f>(F33/H33*100)-100</f>
        <v>892.10526315789491</v>
      </c>
    </row>
    <row r="34" spans="1:13" ht="15" customHeight="1">
      <c r="A34" s="55" t="s">
        <v>311</v>
      </c>
      <c r="B34" s="55" t="s">
        <v>312</v>
      </c>
      <c r="C34" s="124">
        <v>45.2</v>
      </c>
      <c r="D34" s="56">
        <v>0</v>
      </c>
      <c r="E34" s="56">
        <v>0</v>
      </c>
      <c r="F34" s="56">
        <v>0</v>
      </c>
      <c r="G34" s="56">
        <f t="shared" ref="G34:G54" si="17">SUM(F34-E34)</f>
        <v>0</v>
      </c>
      <c r="H34" s="56">
        <v>45.2</v>
      </c>
      <c r="I34" s="56">
        <v>0</v>
      </c>
      <c r="J34" s="56">
        <f t="shared" si="14"/>
        <v>100</v>
      </c>
      <c r="K34" s="57">
        <v>0</v>
      </c>
      <c r="L34" s="58">
        <f>F34-H34</f>
        <v>-45.2</v>
      </c>
      <c r="M34" s="58">
        <v>0</v>
      </c>
    </row>
    <row r="35" spans="1:13" ht="15" customHeight="1">
      <c r="A35" s="55" t="s">
        <v>372</v>
      </c>
      <c r="B35" s="55" t="s">
        <v>257</v>
      </c>
      <c r="C35" s="124">
        <v>237.5</v>
      </c>
      <c r="D35" s="123">
        <v>230</v>
      </c>
      <c r="E35" s="122">
        <v>16</v>
      </c>
      <c r="F35" s="123">
        <v>8.6999999999999993</v>
      </c>
      <c r="G35" s="56">
        <f t="shared" si="17"/>
        <v>-7.3000000000000007</v>
      </c>
      <c r="H35" s="56">
        <v>11.4</v>
      </c>
      <c r="I35" s="56">
        <f t="shared" ref="I35:I48" si="18">SUM(F35/E35*100)</f>
        <v>54.374999999999993</v>
      </c>
      <c r="J35" s="56">
        <f t="shared" ref="J35:J54" si="19">SUM(H35/C35*100)</f>
        <v>4.8</v>
      </c>
      <c r="K35" s="57">
        <f t="shared" si="15"/>
        <v>3.7826086956521738</v>
      </c>
      <c r="L35" s="58">
        <f t="shared" ref="L35:L52" si="20">F35-H35</f>
        <v>-2.7000000000000011</v>
      </c>
      <c r="M35" s="58">
        <f>(F35/H35*100)-100</f>
        <v>-23.684210526315795</v>
      </c>
    </row>
    <row r="36" spans="1:13" ht="12" customHeight="1">
      <c r="A36" s="55" t="s">
        <v>256</v>
      </c>
      <c r="B36" s="55" t="s">
        <v>259</v>
      </c>
      <c r="C36" s="124">
        <v>39</v>
      </c>
      <c r="D36" s="123">
        <v>52</v>
      </c>
      <c r="E36" s="122">
        <v>52</v>
      </c>
      <c r="F36" s="123">
        <v>37.200000000000003</v>
      </c>
      <c r="G36" s="56">
        <f t="shared" si="17"/>
        <v>-14.799999999999997</v>
      </c>
      <c r="H36" s="56">
        <v>39</v>
      </c>
      <c r="I36" s="56">
        <f t="shared" si="18"/>
        <v>71.538461538461533</v>
      </c>
      <c r="J36" s="56">
        <f t="shared" si="19"/>
        <v>100</v>
      </c>
      <c r="K36" s="57">
        <f t="shared" si="15"/>
        <v>71.538461538461533</v>
      </c>
      <c r="L36" s="58">
        <f t="shared" si="20"/>
        <v>-1.7999999999999972</v>
      </c>
      <c r="M36" s="58">
        <f>(F36/H36*100)-100</f>
        <v>-4.6153846153846132</v>
      </c>
    </row>
    <row r="37" spans="1:13" ht="13.5" customHeight="1">
      <c r="A37" s="55" t="s">
        <v>258</v>
      </c>
      <c r="B37" s="55" t="s">
        <v>209</v>
      </c>
      <c r="C37" s="124">
        <v>206.8</v>
      </c>
      <c r="D37" s="123">
        <v>349</v>
      </c>
      <c r="E37" s="122">
        <v>270</v>
      </c>
      <c r="F37" s="123">
        <v>137.4</v>
      </c>
      <c r="G37" s="56">
        <f t="shared" si="17"/>
        <v>-132.6</v>
      </c>
      <c r="H37" s="56">
        <v>136</v>
      </c>
      <c r="I37" s="56">
        <f>SUM(F37/E37*100)</f>
        <v>50.888888888888893</v>
      </c>
      <c r="J37" s="56">
        <f>SUM(H37/C37*100)</f>
        <v>65.764023210831709</v>
      </c>
      <c r="K37" s="57">
        <f>SUM(F37/D37*100)</f>
        <v>39.369627507163322</v>
      </c>
      <c r="L37" s="58">
        <f t="shared" si="20"/>
        <v>1.4000000000000057</v>
      </c>
      <c r="M37" s="58">
        <f t="shared" ref="M37:M39" si="21">(F37/H37*100)-100</f>
        <v>1.029411764705884</v>
      </c>
    </row>
    <row r="38" spans="1:13" ht="12.6" customHeight="1">
      <c r="A38" s="55" t="s">
        <v>373</v>
      </c>
      <c r="B38" s="55" t="s">
        <v>300</v>
      </c>
      <c r="C38" s="124">
        <v>54.6</v>
      </c>
      <c r="D38" s="56">
        <v>55</v>
      </c>
      <c r="E38" s="56">
        <v>53.5</v>
      </c>
      <c r="F38" s="56">
        <v>54.2</v>
      </c>
      <c r="G38" s="56">
        <f>SUM(F38-E38)</f>
        <v>0.70000000000000284</v>
      </c>
      <c r="H38" s="56">
        <v>27.8</v>
      </c>
      <c r="I38" s="56">
        <f>SUM(F38/E38*100)</f>
        <v>101.30841121495328</v>
      </c>
      <c r="J38" s="56">
        <f t="shared" si="19"/>
        <v>50.915750915750912</v>
      </c>
      <c r="K38" s="57">
        <v>0</v>
      </c>
      <c r="L38" s="58">
        <f t="shared" si="20"/>
        <v>26.400000000000002</v>
      </c>
      <c r="M38" s="58">
        <f t="shared" si="21"/>
        <v>94.964028776978438</v>
      </c>
    </row>
    <row r="39" spans="1:13" ht="12.6" customHeight="1">
      <c r="A39" s="55" t="s">
        <v>374</v>
      </c>
      <c r="B39" s="55" t="s">
        <v>299</v>
      </c>
      <c r="C39" s="124">
        <v>79.8</v>
      </c>
      <c r="D39" s="123">
        <v>90</v>
      </c>
      <c r="E39" s="122">
        <v>68</v>
      </c>
      <c r="F39" s="123">
        <v>41</v>
      </c>
      <c r="G39" s="56">
        <f>SUM(F39-E39)</f>
        <v>-27</v>
      </c>
      <c r="H39" s="56">
        <v>60.4</v>
      </c>
      <c r="I39" s="56">
        <f t="shared" ref="I39" si="22">SUM(F39/E39*100)</f>
        <v>60.294117647058819</v>
      </c>
      <c r="J39" s="56">
        <f t="shared" si="19"/>
        <v>75.689223057644099</v>
      </c>
      <c r="K39" s="57">
        <f t="shared" ref="K39" si="23">SUM(F39/D39*100)</f>
        <v>45.555555555555557</v>
      </c>
      <c r="L39" s="58">
        <f t="shared" si="20"/>
        <v>-19.399999999999999</v>
      </c>
      <c r="M39" s="58">
        <f t="shared" si="21"/>
        <v>-32.119205298013242</v>
      </c>
    </row>
    <row r="40" spans="1:13" ht="12.6" customHeight="1">
      <c r="A40" s="55" t="s">
        <v>375</v>
      </c>
      <c r="B40" s="132" t="s">
        <v>376</v>
      </c>
      <c r="C40" s="121">
        <v>12.7</v>
      </c>
      <c r="D40" s="56">
        <v>0</v>
      </c>
      <c r="E40" s="56">
        <v>0</v>
      </c>
      <c r="F40" s="56">
        <v>0.2</v>
      </c>
      <c r="G40" s="56">
        <f>SUM(F40-E40)</f>
        <v>0.2</v>
      </c>
      <c r="H40" s="56">
        <v>0</v>
      </c>
      <c r="I40" s="56">
        <v>0</v>
      </c>
      <c r="J40" s="56">
        <f t="shared" si="19"/>
        <v>0</v>
      </c>
      <c r="K40" s="57">
        <v>0</v>
      </c>
      <c r="L40" s="58">
        <f t="shared" si="20"/>
        <v>0.2</v>
      </c>
      <c r="M40" s="58">
        <v>0</v>
      </c>
    </row>
    <row r="41" spans="1:13">
      <c r="A41" s="55" t="s">
        <v>260</v>
      </c>
      <c r="B41" s="55" t="s">
        <v>210</v>
      </c>
      <c r="C41" s="56">
        <f>SUM(C42:C45)</f>
        <v>4320.7</v>
      </c>
      <c r="D41" s="56">
        <f>SUM(D42:D45)</f>
        <v>5193.3</v>
      </c>
      <c r="E41" s="56">
        <f>SUM(E42:E45)</f>
        <v>3739.5</v>
      </c>
      <c r="F41" s="56">
        <f>SUM(F42:F45)</f>
        <v>3969.8</v>
      </c>
      <c r="G41" s="56">
        <f>SUM(F41-E41)</f>
        <v>230.30000000000018</v>
      </c>
      <c r="H41" s="56">
        <f>SUM(H42:H45)</f>
        <v>2780.2000000000003</v>
      </c>
      <c r="I41" s="56">
        <f>SUM(F41/E41*100)</f>
        <v>106.1585773499131</v>
      </c>
      <c r="J41" s="56">
        <f t="shared" si="19"/>
        <v>64.346055037378207</v>
      </c>
      <c r="K41" s="57">
        <f t="shared" si="15"/>
        <v>76.44079872142953</v>
      </c>
      <c r="L41" s="58">
        <f t="shared" si="20"/>
        <v>1189.5999999999999</v>
      </c>
      <c r="M41" s="58">
        <f t="shared" ref="M41:M49" si="24">(F41/H41*100)-100</f>
        <v>42.788288612330035</v>
      </c>
    </row>
    <row r="42" spans="1:13">
      <c r="A42" s="55" t="s">
        <v>261</v>
      </c>
      <c r="B42" s="55" t="s">
        <v>262</v>
      </c>
      <c r="C42" s="124">
        <v>1215.8</v>
      </c>
      <c r="D42" s="123">
        <v>1594.7</v>
      </c>
      <c r="E42" s="122">
        <v>1130.5</v>
      </c>
      <c r="F42" s="123">
        <v>1056.0999999999999</v>
      </c>
      <c r="G42" s="56">
        <f t="shared" si="17"/>
        <v>-74.400000000000091</v>
      </c>
      <c r="H42" s="56">
        <v>796.5</v>
      </c>
      <c r="I42" s="56">
        <f t="shared" si="18"/>
        <v>93.418841220698795</v>
      </c>
      <c r="J42" s="56">
        <f t="shared" si="19"/>
        <v>65.512419805889138</v>
      </c>
      <c r="K42" s="57">
        <f t="shared" si="15"/>
        <v>66.225622374114252</v>
      </c>
      <c r="L42" s="58">
        <f t="shared" si="20"/>
        <v>259.59999999999991</v>
      </c>
      <c r="M42" s="58">
        <f>(F42/H42*100)-100</f>
        <v>32.592592592592581</v>
      </c>
    </row>
    <row r="43" spans="1:13" ht="23.25" customHeight="1">
      <c r="A43" s="127" t="s">
        <v>313</v>
      </c>
      <c r="B43" s="60" t="s">
        <v>212</v>
      </c>
      <c r="C43" s="124">
        <v>161</v>
      </c>
      <c r="D43" s="125">
        <v>186</v>
      </c>
      <c r="E43" s="122">
        <v>135.1</v>
      </c>
      <c r="F43" s="125">
        <v>123.8</v>
      </c>
      <c r="G43" s="56">
        <f t="shared" si="17"/>
        <v>-11.299999999999997</v>
      </c>
      <c r="H43" s="56">
        <v>116.9</v>
      </c>
      <c r="I43" s="56">
        <f t="shared" si="18"/>
        <v>91.635825314581794</v>
      </c>
      <c r="J43" s="56">
        <f t="shared" si="19"/>
        <v>72.608695652173921</v>
      </c>
      <c r="K43" s="57">
        <f t="shared" si="15"/>
        <v>66.559139784946225</v>
      </c>
      <c r="L43" s="58">
        <f t="shared" si="20"/>
        <v>6.8999999999999915</v>
      </c>
      <c r="M43" s="58">
        <f t="shared" si="24"/>
        <v>5.9024807527801499</v>
      </c>
    </row>
    <row r="44" spans="1:13" ht="24.75" customHeight="1">
      <c r="A44" s="127" t="s">
        <v>314</v>
      </c>
      <c r="B44" s="60" t="s">
        <v>263</v>
      </c>
      <c r="C44" s="124">
        <v>2027.4</v>
      </c>
      <c r="D44" s="125">
        <v>2312.6</v>
      </c>
      <c r="E44" s="122">
        <v>1673.9</v>
      </c>
      <c r="F44" s="125">
        <v>1749.6</v>
      </c>
      <c r="G44" s="56">
        <f t="shared" si="17"/>
        <v>75.699999999999818</v>
      </c>
      <c r="H44" s="56">
        <v>1464.4</v>
      </c>
      <c r="I44" s="56">
        <f t="shared" si="18"/>
        <v>104.52237290160701</v>
      </c>
      <c r="J44" s="56">
        <f>SUM(H44/C44*100)</f>
        <v>72.230442931833878</v>
      </c>
      <c r="K44" s="57">
        <f t="shared" si="15"/>
        <v>75.655106806192165</v>
      </c>
      <c r="L44" s="58">
        <f t="shared" si="20"/>
        <v>285.19999999999982</v>
      </c>
      <c r="M44" s="58">
        <f t="shared" si="24"/>
        <v>19.475553127560758</v>
      </c>
    </row>
    <row r="45" spans="1:13">
      <c r="A45" s="55" t="s">
        <v>315</v>
      </c>
      <c r="B45" s="60" t="s">
        <v>328</v>
      </c>
      <c r="C45" s="124">
        <v>916.5</v>
      </c>
      <c r="D45" s="56">
        <v>1100</v>
      </c>
      <c r="E45" s="56">
        <v>800</v>
      </c>
      <c r="F45" s="56">
        <v>1040.3</v>
      </c>
      <c r="G45" s="56">
        <f t="shared" si="17"/>
        <v>240.29999999999995</v>
      </c>
      <c r="H45" s="56">
        <v>402.4</v>
      </c>
      <c r="I45" s="56">
        <f>SUM(F45/E45*100)</f>
        <v>130.03749999999999</v>
      </c>
      <c r="J45" s="56">
        <f>SUM(H45/C45*100)</f>
        <v>43.906164757228581</v>
      </c>
      <c r="K45" s="57">
        <f>SUM(F45/D45*100)</f>
        <v>94.572727272727263</v>
      </c>
      <c r="L45" s="58">
        <f>F45-H45</f>
        <v>637.9</v>
      </c>
      <c r="M45" s="58">
        <v>0</v>
      </c>
    </row>
    <row r="46" spans="1:13">
      <c r="A46" s="55" t="s">
        <v>267</v>
      </c>
      <c r="B46" s="55" t="s">
        <v>264</v>
      </c>
      <c r="C46" s="56">
        <f>SUM(C47+C48)</f>
        <v>3012.5</v>
      </c>
      <c r="D46" s="56">
        <f>SUM(D47+D48)</f>
        <v>2960</v>
      </c>
      <c r="E46" s="56">
        <f>SUM(E47+E48)</f>
        <v>2364</v>
      </c>
      <c r="F46" s="56">
        <f>SUM(F47+F48)</f>
        <v>2683.9</v>
      </c>
      <c r="G46" s="56">
        <f>SUM(F46-E46)</f>
        <v>319.90000000000009</v>
      </c>
      <c r="H46" s="56">
        <f>SUM(H47:H48)</f>
        <v>2442</v>
      </c>
      <c r="I46" s="56">
        <f>SUM(F46/E46*100)</f>
        <v>113.5321489001692</v>
      </c>
      <c r="J46" s="56">
        <f>SUM(H46/C46*100)</f>
        <v>81.062240663900425</v>
      </c>
      <c r="K46" s="57">
        <f t="shared" si="15"/>
        <v>90.672297297297305</v>
      </c>
      <c r="L46" s="58">
        <f>F46-H46</f>
        <v>241.90000000000009</v>
      </c>
      <c r="M46" s="58">
        <f t="shared" si="24"/>
        <v>9.905814905814907</v>
      </c>
    </row>
    <row r="47" spans="1:13">
      <c r="A47" s="55" t="s">
        <v>377</v>
      </c>
      <c r="B47" s="55" t="s">
        <v>265</v>
      </c>
      <c r="C47" s="124">
        <v>104</v>
      </c>
      <c r="D47" s="123">
        <v>160</v>
      </c>
      <c r="E47" s="122">
        <v>114</v>
      </c>
      <c r="F47" s="123">
        <v>93.4</v>
      </c>
      <c r="G47" s="56">
        <f>SUM(F47-E47)</f>
        <v>-20.599999999999994</v>
      </c>
      <c r="H47" s="56">
        <v>79.400000000000006</v>
      </c>
      <c r="I47" s="56">
        <f t="shared" si="18"/>
        <v>81.929824561403521</v>
      </c>
      <c r="J47" s="56">
        <f t="shared" si="19"/>
        <v>76.346153846153854</v>
      </c>
      <c r="K47" s="57">
        <f t="shared" si="15"/>
        <v>58.375</v>
      </c>
      <c r="L47" s="58">
        <f t="shared" si="20"/>
        <v>14</v>
      </c>
      <c r="M47" s="58">
        <f t="shared" si="24"/>
        <v>17.632241813602008</v>
      </c>
    </row>
    <row r="48" spans="1:13" ht="12.75" customHeight="1">
      <c r="A48" s="55" t="s">
        <v>378</v>
      </c>
      <c r="B48" s="55" t="s">
        <v>213</v>
      </c>
      <c r="C48" s="124">
        <v>2908.5</v>
      </c>
      <c r="D48" s="123">
        <v>2800</v>
      </c>
      <c r="E48" s="122">
        <v>2250</v>
      </c>
      <c r="F48" s="123">
        <v>2590.5</v>
      </c>
      <c r="G48" s="56">
        <f>SUM(F48-E48)</f>
        <v>340.5</v>
      </c>
      <c r="H48" s="56">
        <v>2362.6</v>
      </c>
      <c r="I48" s="56">
        <f t="shared" si="18"/>
        <v>115.13333333333333</v>
      </c>
      <c r="J48" s="56">
        <f t="shared" si="19"/>
        <v>81.230875021488743</v>
      </c>
      <c r="K48" s="57">
        <f t="shared" si="15"/>
        <v>92.517857142857139</v>
      </c>
      <c r="L48" s="58">
        <f t="shared" si="20"/>
        <v>227.90000000000009</v>
      </c>
      <c r="M48" s="58">
        <f>(F48/H48*100)-100</f>
        <v>9.6461525438076734</v>
      </c>
    </row>
    <row r="49" spans="1:13" ht="15.75" customHeight="1">
      <c r="A49" s="55" t="s">
        <v>379</v>
      </c>
      <c r="B49" s="55" t="s">
        <v>266</v>
      </c>
      <c r="C49" s="124">
        <v>2837</v>
      </c>
      <c r="D49" s="125">
        <v>2700</v>
      </c>
      <c r="E49" s="122">
        <v>2160</v>
      </c>
      <c r="F49" s="125">
        <v>2536.3000000000002</v>
      </c>
      <c r="G49" s="56">
        <f t="shared" si="17"/>
        <v>376.30000000000018</v>
      </c>
      <c r="H49" s="56">
        <v>2319.6999999999998</v>
      </c>
      <c r="I49" s="56">
        <f>SUM(F49/E49*100)</f>
        <v>117.42129629629629</v>
      </c>
      <c r="J49" s="56">
        <f t="shared" si="19"/>
        <v>81.76594994712724</v>
      </c>
      <c r="K49" s="57">
        <f t="shared" si="15"/>
        <v>93.937037037037044</v>
      </c>
      <c r="L49" s="58">
        <f t="shared" si="20"/>
        <v>216.60000000000036</v>
      </c>
      <c r="M49" s="58">
        <f t="shared" si="24"/>
        <v>9.3374143208173592</v>
      </c>
    </row>
    <row r="50" spans="1:13" ht="15" customHeight="1">
      <c r="A50" s="127" t="s">
        <v>269</v>
      </c>
      <c r="B50" s="60" t="s">
        <v>268</v>
      </c>
      <c r="C50" s="124">
        <v>174.5</v>
      </c>
      <c r="D50" s="123">
        <v>110</v>
      </c>
      <c r="E50" s="122">
        <v>80</v>
      </c>
      <c r="F50" s="125">
        <v>169.2</v>
      </c>
      <c r="G50" s="56">
        <f t="shared" si="17"/>
        <v>89.199999999999989</v>
      </c>
      <c r="H50" s="56">
        <v>116.2</v>
      </c>
      <c r="I50" s="56">
        <f t="shared" ref="I50:I51" si="25">SUM(F50/E50*100)</f>
        <v>211.49999999999997</v>
      </c>
      <c r="J50" s="56">
        <f t="shared" si="19"/>
        <v>66.590257879656164</v>
      </c>
      <c r="K50" s="57">
        <f t="shared" si="15"/>
        <v>153.81818181818181</v>
      </c>
      <c r="L50" s="58">
        <f t="shared" si="20"/>
        <v>52.999999999999986</v>
      </c>
      <c r="M50" s="58">
        <f>(F50/H50*100)-100</f>
        <v>45.611015490533532</v>
      </c>
    </row>
    <row r="51" spans="1:13" ht="12.75" customHeight="1">
      <c r="A51" s="55" t="s">
        <v>380</v>
      </c>
      <c r="B51" s="55" t="s">
        <v>270</v>
      </c>
      <c r="C51" s="124">
        <v>291.8</v>
      </c>
      <c r="D51" s="123">
        <v>300</v>
      </c>
      <c r="E51" s="122">
        <v>180</v>
      </c>
      <c r="F51" s="125">
        <v>465.7</v>
      </c>
      <c r="G51" s="56">
        <f t="shared" si="17"/>
        <v>285.7</v>
      </c>
      <c r="H51" s="56">
        <v>285.2</v>
      </c>
      <c r="I51" s="56">
        <f t="shared" si="25"/>
        <v>258.72222222222223</v>
      </c>
      <c r="J51" s="56">
        <f t="shared" si="19"/>
        <v>97.738176833447554</v>
      </c>
      <c r="K51" s="57">
        <f t="shared" si="15"/>
        <v>155.23333333333335</v>
      </c>
      <c r="L51" s="58">
        <f t="shared" si="20"/>
        <v>180.5</v>
      </c>
      <c r="M51" s="58">
        <f>(F51/H51*100)-100</f>
        <v>63.288920056100977</v>
      </c>
    </row>
    <row r="52" spans="1:13" ht="35.450000000000003" customHeight="1">
      <c r="A52" s="133" t="s">
        <v>3</v>
      </c>
      <c r="B52" s="61" t="s">
        <v>271</v>
      </c>
      <c r="C52" s="52">
        <f>C53</f>
        <v>437.3</v>
      </c>
      <c r="D52" s="52">
        <f>D53</f>
        <v>370</v>
      </c>
      <c r="E52" s="52">
        <f>E53</f>
        <v>295</v>
      </c>
      <c r="F52" s="52">
        <f>F53</f>
        <v>385</v>
      </c>
      <c r="G52" s="52">
        <f t="shared" si="17"/>
        <v>90</v>
      </c>
      <c r="H52" s="52">
        <f>H53</f>
        <v>324.89999999999998</v>
      </c>
      <c r="I52" s="52">
        <f t="shared" ref="I52:I54" si="26">SUM(F52/E52*100)</f>
        <v>130.5084745762712</v>
      </c>
      <c r="J52" s="52">
        <f t="shared" si="19"/>
        <v>74.296821404070428</v>
      </c>
      <c r="K52" s="53">
        <f>SUM(F52/D52*100)</f>
        <v>104.05405405405406</v>
      </c>
      <c r="L52" s="54">
        <f t="shared" si="20"/>
        <v>60.100000000000023</v>
      </c>
      <c r="M52" s="54">
        <f>(F52/H52*100)-100</f>
        <v>18.497999384425981</v>
      </c>
    </row>
    <row r="53" spans="1:13" ht="21.75" customHeight="1">
      <c r="A53" s="134" t="s">
        <v>211</v>
      </c>
      <c r="B53" s="62" t="s">
        <v>214</v>
      </c>
      <c r="C53" s="124">
        <v>437.3</v>
      </c>
      <c r="D53" s="125">
        <v>370</v>
      </c>
      <c r="E53" s="63">
        <v>295</v>
      </c>
      <c r="F53" s="125">
        <v>385</v>
      </c>
      <c r="G53" s="56">
        <f t="shared" si="17"/>
        <v>90</v>
      </c>
      <c r="H53" s="63">
        <v>324.89999999999998</v>
      </c>
      <c r="I53" s="56">
        <f>SUM(F53/E53*100)</f>
        <v>130.5084745762712</v>
      </c>
      <c r="J53" s="56">
        <f t="shared" si="19"/>
        <v>74.296821404070428</v>
      </c>
      <c r="K53" s="57">
        <f t="shared" ref="K53:K54" si="27">SUM(F53/D53*100)</f>
        <v>104.05405405405406</v>
      </c>
      <c r="L53" s="58">
        <f>F53-H53</f>
        <v>60.100000000000023</v>
      </c>
      <c r="M53" s="58">
        <f>(F53/H53*100)-100</f>
        <v>18.497999384425981</v>
      </c>
    </row>
    <row r="54" spans="1:13" ht="13.5" customHeight="1">
      <c r="A54" s="55" t="s">
        <v>272</v>
      </c>
      <c r="B54" s="135" t="s">
        <v>301</v>
      </c>
      <c r="C54" s="124">
        <v>236.1</v>
      </c>
      <c r="D54" s="125">
        <v>250</v>
      </c>
      <c r="E54" s="122">
        <v>194</v>
      </c>
      <c r="F54" s="123">
        <v>277.60000000000002</v>
      </c>
      <c r="G54" s="56">
        <f t="shared" si="17"/>
        <v>83.600000000000023</v>
      </c>
      <c r="H54" s="56">
        <v>216</v>
      </c>
      <c r="I54" s="56">
        <f t="shared" si="26"/>
        <v>143.09278350515464</v>
      </c>
      <c r="J54" s="56">
        <f t="shared" si="19"/>
        <v>91.486658195679809</v>
      </c>
      <c r="K54" s="57">
        <f t="shared" si="27"/>
        <v>111.04</v>
      </c>
      <c r="L54" s="58">
        <f>F54-H54</f>
        <v>61.600000000000023</v>
      </c>
      <c r="M54" s="58">
        <f>(F54/H54*100)-100</f>
        <v>28.518518518518533</v>
      </c>
    </row>
    <row r="55" spans="1:13" ht="13.5" customHeight="1">
      <c r="I55" s="64"/>
      <c r="J55" s="64"/>
      <c r="K55" s="64"/>
      <c r="L55" s="64"/>
    </row>
    <row r="56" spans="1:13" ht="13.5" customHeight="1">
      <c r="A56" s="165" t="s">
        <v>329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89" t="s">
        <v>330</v>
      </c>
      <c r="L56" s="189"/>
      <c r="M56" s="189"/>
    </row>
    <row r="57" spans="1:13" ht="13.5" customHeight="1"/>
    <row r="58" spans="1:13" ht="13.5" customHeight="1"/>
    <row r="59" spans="1:13" ht="13.5" customHeight="1"/>
    <row r="60" spans="1:13" ht="13.5" customHeight="1"/>
    <row r="61" spans="1:13" ht="13.5" customHeight="1"/>
    <row r="62" spans="1:13" ht="13.5" customHeight="1"/>
    <row r="63" spans="1:13" ht="13.5" customHeight="1"/>
    <row r="64" spans="1:13" ht="13.5" customHeight="1"/>
  </sheetData>
  <mergeCells count="12">
    <mergeCell ref="L1:M1"/>
    <mergeCell ref="L4:M4"/>
    <mergeCell ref="A2:M2"/>
    <mergeCell ref="L3:M3"/>
    <mergeCell ref="A4:A5"/>
    <mergeCell ref="B4:B5"/>
    <mergeCell ref="K56:M56"/>
    <mergeCell ref="C4:C5"/>
    <mergeCell ref="D4:D5"/>
    <mergeCell ref="E4:G4"/>
    <mergeCell ref="H4:H5"/>
    <mergeCell ref="I4:K4"/>
  </mergeCells>
  <phoneticPr fontId="0" type="noConversion"/>
  <pageMargins left="0.47244094488188981" right="0.35433070866141736" top="0.86614173228346458" bottom="0.62992125984251968" header="0.51181102362204722" footer="0.51181102362204722"/>
  <pageSetup paperSize="9" orientation="landscape" horizontalDpi="4294967293" verticalDpi="4294967293" r:id="rId1"/>
  <headerFooter differentFirst="1" alignWithMargins="0">
    <oddHeader>&amp;C&amp;N&amp;R1 lentelė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zoomScaleNormal="100" workbookViewId="0"/>
  </sheetViews>
  <sheetFormatPr defaultRowHeight="12.75"/>
  <cols>
    <col min="1" max="1" width="5.140625" customWidth="1"/>
    <col min="4" max="4" width="7.42578125" customWidth="1"/>
    <col min="5" max="5" width="13.85546875" customWidth="1"/>
    <col min="6" max="6" width="9.7109375" customWidth="1"/>
    <col min="7" max="7" width="8.5703125" customWidth="1"/>
    <col min="8" max="8" width="7.85546875" customWidth="1"/>
    <col min="9" max="9" width="8.140625" customWidth="1"/>
    <col min="10" max="10" width="9.5703125" bestFit="1" customWidth="1"/>
  </cols>
  <sheetData>
    <row r="1" spans="1:10">
      <c r="J1" t="s">
        <v>164</v>
      </c>
    </row>
    <row r="3" spans="1:10">
      <c r="A3" s="207" t="s">
        <v>381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>
      <c r="A4" s="207" t="s">
        <v>12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0">
      <c r="J5" s="103" t="s">
        <v>10</v>
      </c>
    </row>
    <row r="6" spans="1:10">
      <c r="A6" s="107" t="s">
        <v>273</v>
      </c>
      <c r="B6" s="208" t="s">
        <v>13</v>
      </c>
      <c r="C6" s="209"/>
      <c r="D6" s="209"/>
      <c r="E6" s="210"/>
      <c r="F6" s="214" t="s">
        <v>14</v>
      </c>
      <c r="G6" s="214" t="s">
        <v>382</v>
      </c>
      <c r="H6" s="216" t="s">
        <v>15</v>
      </c>
      <c r="I6" s="218" t="s">
        <v>8</v>
      </c>
      <c r="J6" s="219"/>
    </row>
    <row r="7" spans="1:10" ht="23.25" customHeight="1">
      <c r="A7" s="108" t="s">
        <v>274</v>
      </c>
      <c r="B7" s="211"/>
      <c r="C7" s="212"/>
      <c r="D7" s="212"/>
      <c r="E7" s="213"/>
      <c r="F7" s="215"/>
      <c r="G7" s="215"/>
      <c r="H7" s="217"/>
      <c r="I7" s="65" t="s">
        <v>275</v>
      </c>
      <c r="J7" s="138" t="s">
        <v>383</v>
      </c>
    </row>
    <row r="8" spans="1:10">
      <c r="A8" s="4" t="s">
        <v>0</v>
      </c>
      <c r="B8" s="203" t="s">
        <v>16</v>
      </c>
      <c r="C8" s="204"/>
      <c r="D8" s="204"/>
      <c r="E8" s="205"/>
      <c r="F8" s="4">
        <v>132.6</v>
      </c>
      <c r="G8" s="4">
        <v>102.6</v>
      </c>
      <c r="H8" s="4">
        <v>88.3</v>
      </c>
      <c r="I8" s="7">
        <f t="shared" ref="I8:I47" si="0">SUM(H8/F8*100)</f>
        <v>66.59125188536953</v>
      </c>
      <c r="J8" s="7">
        <f t="shared" ref="J8:J48" si="1">SUM(H8/G8*100)</f>
        <v>86.062378167641327</v>
      </c>
    </row>
    <row r="9" spans="1:10">
      <c r="A9" s="4" t="s">
        <v>1</v>
      </c>
      <c r="B9" s="203" t="s">
        <v>17</v>
      </c>
      <c r="C9" s="204"/>
      <c r="D9" s="204"/>
      <c r="E9" s="205"/>
      <c r="F9" s="4">
        <v>92.9</v>
      </c>
      <c r="G9" s="4">
        <f>60.5+12</f>
        <v>72.5</v>
      </c>
      <c r="H9" s="4">
        <v>62.3</v>
      </c>
      <c r="I9" s="7">
        <f t="shared" si="0"/>
        <v>67.061356297093639</v>
      </c>
      <c r="J9" s="7">
        <f t="shared" si="1"/>
        <v>85.931034482758619</v>
      </c>
    </row>
    <row r="10" spans="1:10">
      <c r="A10" s="4" t="s">
        <v>2</v>
      </c>
      <c r="B10" s="203" t="s">
        <v>331</v>
      </c>
      <c r="C10" s="204"/>
      <c r="D10" s="204"/>
      <c r="E10" s="205"/>
      <c r="F10" s="4">
        <v>92.2</v>
      </c>
      <c r="G10" s="4">
        <f>64.3+5</f>
        <v>69.3</v>
      </c>
      <c r="H10" s="4">
        <v>59.9</v>
      </c>
      <c r="I10" s="7">
        <f t="shared" si="0"/>
        <v>64.967462039045557</v>
      </c>
      <c r="J10" s="7">
        <f t="shared" si="1"/>
        <v>86.435786435786426</v>
      </c>
    </row>
    <row r="11" spans="1:10">
      <c r="A11" s="4" t="s">
        <v>3</v>
      </c>
      <c r="B11" s="203" t="s">
        <v>18</v>
      </c>
      <c r="C11" s="204"/>
      <c r="D11" s="204"/>
      <c r="E11" s="205"/>
      <c r="F11" s="4">
        <v>52.1</v>
      </c>
      <c r="G11" s="4">
        <f>29.2+3.5+4.1</f>
        <v>36.800000000000004</v>
      </c>
      <c r="H11" s="4">
        <v>27.5</v>
      </c>
      <c r="I11" s="7">
        <f t="shared" si="0"/>
        <v>52.783109404990405</v>
      </c>
      <c r="J11" s="7">
        <f t="shared" si="1"/>
        <v>74.728260869565204</v>
      </c>
    </row>
    <row r="12" spans="1:10">
      <c r="A12" s="4" t="s">
        <v>4</v>
      </c>
      <c r="B12" s="203" t="s">
        <v>339</v>
      </c>
      <c r="C12" s="204"/>
      <c r="D12" s="204"/>
      <c r="E12" s="205"/>
      <c r="F12" s="4">
        <v>73.2</v>
      </c>
      <c r="G12" s="4">
        <v>59</v>
      </c>
      <c r="H12" s="4">
        <v>61.2</v>
      </c>
      <c r="I12" s="7">
        <f t="shared" si="0"/>
        <v>83.606557377049185</v>
      </c>
      <c r="J12" s="7">
        <f t="shared" si="1"/>
        <v>103.72881355932205</v>
      </c>
    </row>
    <row r="13" spans="1:10">
      <c r="A13" s="4" t="s">
        <v>5</v>
      </c>
      <c r="B13" s="3" t="s">
        <v>19</v>
      </c>
      <c r="E13" s="8"/>
      <c r="F13" s="4">
        <v>157.19999999999999</v>
      </c>
      <c r="G13" s="4">
        <v>118.9</v>
      </c>
      <c r="H13" s="4">
        <v>109.7</v>
      </c>
      <c r="I13" s="7">
        <f t="shared" si="0"/>
        <v>69.783715012722652</v>
      </c>
      <c r="J13" s="7">
        <f t="shared" si="1"/>
        <v>92.262405382674515</v>
      </c>
    </row>
    <row r="14" spans="1:10">
      <c r="A14" s="4" t="s">
        <v>6</v>
      </c>
      <c r="B14" s="203" t="s">
        <v>340</v>
      </c>
      <c r="C14" s="204"/>
      <c r="D14" s="204"/>
      <c r="E14" s="205"/>
      <c r="F14" s="4">
        <v>43</v>
      </c>
      <c r="G14" s="4">
        <v>33</v>
      </c>
      <c r="H14" s="4">
        <v>30.4</v>
      </c>
      <c r="I14" s="7">
        <f t="shared" si="0"/>
        <v>70.697674418604649</v>
      </c>
      <c r="J14" s="7">
        <f t="shared" si="1"/>
        <v>92.12121212121211</v>
      </c>
    </row>
    <row r="15" spans="1:10">
      <c r="A15" s="4" t="s">
        <v>7</v>
      </c>
      <c r="B15" s="206" t="s">
        <v>384</v>
      </c>
      <c r="C15" s="204"/>
      <c r="D15" s="204"/>
      <c r="E15" s="205"/>
      <c r="F15" s="4">
        <v>13.4</v>
      </c>
      <c r="G15" s="4">
        <v>10.4</v>
      </c>
      <c r="H15" s="4">
        <v>7.5</v>
      </c>
      <c r="I15" s="7">
        <f t="shared" si="0"/>
        <v>55.970149253731336</v>
      </c>
      <c r="J15" s="7">
        <f t="shared" si="1"/>
        <v>72.115384615384613</v>
      </c>
    </row>
    <row r="16" spans="1:10">
      <c r="A16" s="4" t="s">
        <v>20</v>
      </c>
      <c r="B16" s="203" t="s">
        <v>21</v>
      </c>
      <c r="C16" s="204"/>
      <c r="D16" s="204"/>
      <c r="E16" s="205"/>
      <c r="F16" s="4">
        <v>107.5</v>
      </c>
      <c r="G16" s="4">
        <v>80.599999999999994</v>
      </c>
      <c r="H16" s="4">
        <v>75.7</v>
      </c>
      <c r="I16" s="7">
        <f t="shared" si="0"/>
        <v>70.418604651162795</v>
      </c>
      <c r="J16" s="7">
        <f t="shared" si="1"/>
        <v>93.920595533498769</v>
      </c>
    </row>
    <row r="17" spans="1:10">
      <c r="A17" s="4" t="s">
        <v>22</v>
      </c>
      <c r="B17" s="203" t="s">
        <v>24</v>
      </c>
      <c r="C17" s="204"/>
      <c r="D17" s="204"/>
      <c r="E17" s="205"/>
      <c r="F17" s="4">
        <v>60.8</v>
      </c>
      <c r="G17" s="4">
        <v>44.6</v>
      </c>
      <c r="H17" s="4">
        <v>36.700000000000003</v>
      </c>
      <c r="I17" s="7">
        <f t="shared" si="0"/>
        <v>60.361842105263165</v>
      </c>
      <c r="J17" s="7">
        <f t="shared" si="1"/>
        <v>82.286995515695068</v>
      </c>
    </row>
    <row r="18" spans="1:10">
      <c r="A18" s="4" t="s">
        <v>23</v>
      </c>
      <c r="B18" s="203" t="s">
        <v>26</v>
      </c>
      <c r="C18" s="204"/>
      <c r="D18" s="204"/>
      <c r="E18" s="205"/>
      <c r="F18" s="4">
        <v>104.5</v>
      </c>
      <c r="G18" s="4">
        <f>66+15.5</f>
        <v>81.5</v>
      </c>
      <c r="H18" s="4">
        <v>68.2</v>
      </c>
      <c r="I18" s="7">
        <f t="shared" si="0"/>
        <v>65.26315789473685</v>
      </c>
      <c r="J18" s="7">
        <f t="shared" si="1"/>
        <v>83.680981595092035</v>
      </c>
    </row>
    <row r="19" spans="1:10">
      <c r="A19" s="4" t="s">
        <v>25</v>
      </c>
      <c r="B19" s="203" t="s">
        <v>29</v>
      </c>
      <c r="C19" s="204"/>
      <c r="D19" s="204"/>
      <c r="E19" s="205"/>
      <c r="F19" s="4">
        <v>52.8</v>
      </c>
      <c r="G19" s="4">
        <v>39.799999999999997</v>
      </c>
      <c r="H19" s="4">
        <v>37.299999999999997</v>
      </c>
      <c r="I19" s="7">
        <f t="shared" si="0"/>
        <v>70.643939393939391</v>
      </c>
      <c r="J19" s="7">
        <f t="shared" si="1"/>
        <v>93.718592964824126</v>
      </c>
    </row>
    <row r="20" spans="1:10">
      <c r="A20" s="4" t="s">
        <v>27</v>
      </c>
      <c r="B20" s="203" t="s">
        <v>32</v>
      </c>
      <c r="C20" s="204"/>
      <c r="D20" s="204"/>
      <c r="E20" s="205"/>
      <c r="F20" s="4">
        <v>121.7</v>
      </c>
      <c r="G20" s="4">
        <v>88.7</v>
      </c>
      <c r="H20" s="4">
        <v>85.5</v>
      </c>
      <c r="I20" s="7">
        <f t="shared" si="0"/>
        <v>70.254724732949882</v>
      </c>
      <c r="J20" s="7">
        <f t="shared" si="1"/>
        <v>96.392333709131904</v>
      </c>
    </row>
    <row r="21" spans="1:10">
      <c r="A21" s="4" t="s">
        <v>28</v>
      </c>
      <c r="B21" s="203" t="s">
        <v>34</v>
      </c>
      <c r="C21" s="204"/>
      <c r="D21" s="204"/>
      <c r="E21" s="205"/>
      <c r="F21" s="4">
        <v>104.4</v>
      </c>
      <c r="G21" s="4">
        <f>73.4+5.8</f>
        <v>79.2</v>
      </c>
      <c r="H21" s="4">
        <v>81.599999999999994</v>
      </c>
      <c r="I21" s="7">
        <f t="shared" si="0"/>
        <v>78.160919540229884</v>
      </c>
      <c r="J21" s="7">
        <f t="shared" si="1"/>
        <v>103.03030303030303</v>
      </c>
    </row>
    <row r="22" spans="1:10">
      <c r="A22" s="4" t="s">
        <v>30</v>
      </c>
      <c r="B22" s="203" t="s">
        <v>37</v>
      </c>
      <c r="C22" s="204"/>
      <c r="D22" s="204"/>
      <c r="E22" s="205"/>
      <c r="F22" s="4">
        <v>126</v>
      </c>
      <c r="G22" s="4">
        <f>80+16</f>
        <v>96</v>
      </c>
      <c r="H22" s="4">
        <v>79.7</v>
      </c>
      <c r="I22" s="7">
        <f t="shared" si="0"/>
        <v>63.253968253968253</v>
      </c>
      <c r="J22" s="7">
        <f t="shared" si="1"/>
        <v>83.020833333333329</v>
      </c>
    </row>
    <row r="23" spans="1:10">
      <c r="A23" s="4" t="s">
        <v>31</v>
      </c>
      <c r="B23" s="203" t="s">
        <v>39</v>
      </c>
      <c r="C23" s="204"/>
      <c r="D23" s="204"/>
      <c r="E23" s="205"/>
      <c r="F23" s="4">
        <v>116.6</v>
      </c>
      <c r="G23" s="4">
        <v>84</v>
      </c>
      <c r="H23" s="4">
        <v>85</v>
      </c>
      <c r="I23" s="7">
        <f t="shared" si="0"/>
        <v>72.898799313893662</v>
      </c>
      <c r="J23" s="7">
        <f t="shared" si="1"/>
        <v>101.19047619047619</v>
      </c>
    </row>
    <row r="24" spans="1:10">
      <c r="A24" s="4" t="s">
        <v>33</v>
      </c>
      <c r="B24" s="203" t="s">
        <v>41</v>
      </c>
      <c r="C24" s="204"/>
      <c r="D24" s="204"/>
      <c r="E24" s="205"/>
      <c r="F24" s="4">
        <v>80.2</v>
      </c>
      <c r="G24" s="4">
        <v>58</v>
      </c>
      <c r="H24" s="4">
        <v>48.2</v>
      </c>
      <c r="I24" s="7">
        <f t="shared" si="0"/>
        <v>60.099750623441395</v>
      </c>
      <c r="J24" s="7">
        <f t="shared" si="1"/>
        <v>83.103448275862064</v>
      </c>
    </row>
    <row r="25" spans="1:10">
      <c r="A25" s="4" t="s">
        <v>35</v>
      </c>
      <c r="B25" s="203" t="s">
        <v>47</v>
      </c>
      <c r="C25" s="204"/>
      <c r="D25" s="204"/>
      <c r="E25" s="205"/>
      <c r="F25" s="4">
        <v>105.4</v>
      </c>
      <c r="G25" s="4">
        <v>74</v>
      </c>
      <c r="H25" s="4">
        <v>79.599999999999994</v>
      </c>
      <c r="I25" s="7">
        <f t="shared" si="0"/>
        <v>75.521821631878552</v>
      </c>
      <c r="J25" s="7">
        <f t="shared" si="1"/>
        <v>107.56756756756755</v>
      </c>
    </row>
    <row r="26" spans="1:10">
      <c r="A26" s="4" t="s">
        <v>36</v>
      </c>
      <c r="B26" s="203" t="s">
        <v>50</v>
      </c>
      <c r="C26" s="204"/>
      <c r="D26" s="204"/>
      <c r="E26" s="205"/>
      <c r="F26" s="4">
        <v>123.8</v>
      </c>
      <c r="G26" s="4">
        <v>89</v>
      </c>
      <c r="H26" s="4">
        <v>83.1</v>
      </c>
      <c r="I26" s="7">
        <f t="shared" si="0"/>
        <v>67.124394184168011</v>
      </c>
      <c r="J26" s="7">
        <f t="shared" si="1"/>
        <v>93.370786516853926</v>
      </c>
    </row>
    <row r="27" spans="1:10">
      <c r="A27" s="4" t="s">
        <v>38</v>
      </c>
      <c r="B27" s="203" t="s">
        <v>53</v>
      </c>
      <c r="C27" s="204"/>
      <c r="D27" s="204"/>
      <c r="E27" s="205"/>
      <c r="F27" s="4">
        <v>68.099999999999994</v>
      </c>
      <c r="G27" s="4">
        <v>49</v>
      </c>
      <c r="H27" s="4">
        <v>46.6</v>
      </c>
      <c r="I27" s="7">
        <f t="shared" si="0"/>
        <v>68.428781204111615</v>
      </c>
      <c r="J27" s="7">
        <f t="shared" si="1"/>
        <v>95.102040816326536</v>
      </c>
    </row>
    <row r="28" spans="1:10">
      <c r="A28" s="4" t="s">
        <v>40</v>
      </c>
      <c r="B28" s="203" t="s">
        <v>57</v>
      </c>
      <c r="C28" s="204"/>
      <c r="D28" s="204"/>
      <c r="E28" s="205"/>
      <c r="F28" s="4">
        <v>12.2</v>
      </c>
      <c r="G28" s="4">
        <v>8</v>
      </c>
      <c r="H28" s="4">
        <v>8.9</v>
      </c>
      <c r="I28" s="7">
        <f t="shared" si="0"/>
        <v>72.950819672131146</v>
      </c>
      <c r="J28" s="7">
        <f t="shared" si="1"/>
        <v>111.25</v>
      </c>
    </row>
    <row r="29" spans="1:10">
      <c r="A29" s="4" t="s">
        <v>42</v>
      </c>
      <c r="B29" s="203" t="s">
        <v>59</v>
      </c>
      <c r="C29" s="204"/>
      <c r="D29" s="204"/>
      <c r="E29" s="205"/>
      <c r="F29" s="4">
        <v>110.6</v>
      </c>
      <c r="G29" s="4">
        <v>83</v>
      </c>
      <c r="H29" s="4">
        <v>82.2</v>
      </c>
      <c r="I29" s="7">
        <f t="shared" si="0"/>
        <v>74.321880650994572</v>
      </c>
      <c r="J29" s="7">
        <f t="shared" si="1"/>
        <v>99.036144578313255</v>
      </c>
    </row>
    <row r="30" spans="1:10">
      <c r="A30" s="4" t="s">
        <v>43</v>
      </c>
      <c r="B30" s="203" t="s">
        <v>61</v>
      </c>
      <c r="C30" s="204"/>
      <c r="D30" s="204"/>
      <c r="E30" s="205"/>
      <c r="F30" s="4">
        <v>0.5</v>
      </c>
      <c r="G30" s="4">
        <v>0.4</v>
      </c>
      <c r="H30" s="4">
        <v>0</v>
      </c>
      <c r="I30" s="7">
        <f t="shared" si="0"/>
        <v>0</v>
      </c>
      <c r="J30" s="7">
        <f t="shared" si="1"/>
        <v>0</v>
      </c>
    </row>
    <row r="31" spans="1:10">
      <c r="A31" s="4" t="s">
        <v>44</v>
      </c>
      <c r="B31" s="203" t="s">
        <v>63</v>
      </c>
      <c r="C31" s="204"/>
      <c r="D31" s="204"/>
      <c r="E31" s="205"/>
      <c r="F31" s="4">
        <v>80</v>
      </c>
      <c r="G31" s="4">
        <v>55</v>
      </c>
      <c r="H31" s="4">
        <v>72.5</v>
      </c>
      <c r="I31" s="7">
        <f t="shared" si="0"/>
        <v>90.625</v>
      </c>
      <c r="J31" s="7">
        <f t="shared" si="1"/>
        <v>131.81818181818181</v>
      </c>
    </row>
    <row r="32" spans="1:10" ht="27" customHeight="1">
      <c r="A32" s="4" t="s">
        <v>45</v>
      </c>
      <c r="B32" s="220" t="s">
        <v>65</v>
      </c>
      <c r="C32" s="221"/>
      <c r="D32" s="221"/>
      <c r="E32" s="222"/>
      <c r="F32" s="4">
        <v>4</v>
      </c>
      <c r="G32" s="4">
        <v>3</v>
      </c>
      <c r="H32" s="4">
        <v>1.7</v>
      </c>
      <c r="I32" s="7">
        <f t="shared" si="0"/>
        <v>42.5</v>
      </c>
      <c r="J32" s="7">
        <f t="shared" si="1"/>
        <v>56.666666666666664</v>
      </c>
    </row>
    <row r="33" spans="1:10" ht="13.5" customHeight="1">
      <c r="A33" s="4" t="s">
        <v>46</v>
      </c>
      <c r="B33" s="203" t="s">
        <v>67</v>
      </c>
      <c r="C33" s="204"/>
      <c r="D33" s="204"/>
      <c r="E33" s="205"/>
      <c r="F33" s="4">
        <v>64.900000000000006</v>
      </c>
      <c r="G33" s="4">
        <v>45.9</v>
      </c>
      <c r="H33" s="4">
        <v>31.9</v>
      </c>
      <c r="I33" s="7">
        <f t="shared" si="0"/>
        <v>49.152542372881349</v>
      </c>
      <c r="J33" s="7">
        <f t="shared" si="1"/>
        <v>69.498910675381268</v>
      </c>
    </row>
    <row r="34" spans="1:10" ht="13.5" customHeight="1">
      <c r="A34" s="4" t="s">
        <v>48</v>
      </c>
      <c r="B34" s="203" t="s">
        <v>69</v>
      </c>
      <c r="C34" s="204"/>
      <c r="D34" s="204"/>
      <c r="E34" s="205"/>
      <c r="F34" s="4">
        <v>75.3</v>
      </c>
      <c r="G34" s="4">
        <v>56.3</v>
      </c>
      <c r="H34" s="4">
        <v>60.2</v>
      </c>
      <c r="I34" s="7">
        <f t="shared" si="0"/>
        <v>79.946879150066408</v>
      </c>
      <c r="J34" s="7">
        <f t="shared" si="1"/>
        <v>106.92717584369451</v>
      </c>
    </row>
    <row r="35" spans="1:10" ht="13.5" customHeight="1">
      <c r="A35" s="4" t="s">
        <v>49</v>
      </c>
      <c r="B35" s="203" t="s">
        <v>71</v>
      </c>
      <c r="C35" s="204"/>
      <c r="D35" s="204"/>
      <c r="E35" s="205"/>
      <c r="F35" s="4">
        <v>49</v>
      </c>
      <c r="G35" s="4">
        <f>26+15</f>
        <v>41</v>
      </c>
      <c r="H35" s="4">
        <v>39.299999999999997</v>
      </c>
      <c r="I35" s="7">
        <f t="shared" si="0"/>
        <v>80.204081632653057</v>
      </c>
      <c r="J35" s="7">
        <f t="shared" si="1"/>
        <v>95.853658536585357</v>
      </c>
    </row>
    <row r="36" spans="1:10" ht="13.5" customHeight="1">
      <c r="A36" s="4" t="s">
        <v>51</v>
      </c>
      <c r="B36" s="203" t="s">
        <v>72</v>
      </c>
      <c r="C36" s="204"/>
      <c r="D36" s="204"/>
      <c r="E36" s="205"/>
      <c r="F36" s="4">
        <v>1224</v>
      </c>
      <c r="G36" s="4">
        <v>888.1</v>
      </c>
      <c r="H36" s="4">
        <v>1009.6</v>
      </c>
      <c r="I36" s="7">
        <f t="shared" si="0"/>
        <v>82.48366013071896</v>
      </c>
      <c r="J36" s="7">
        <f t="shared" si="1"/>
        <v>113.68089179146492</v>
      </c>
    </row>
    <row r="37" spans="1:10">
      <c r="A37" s="4" t="s">
        <v>52</v>
      </c>
      <c r="B37" s="203" t="s">
        <v>73</v>
      </c>
      <c r="C37" s="204"/>
      <c r="D37" s="204"/>
      <c r="E37" s="205"/>
      <c r="F37" s="4">
        <v>4.5</v>
      </c>
      <c r="G37" s="4">
        <f>0.8+3.5</f>
        <v>4.3</v>
      </c>
      <c r="H37" s="4">
        <v>4.0999999999999996</v>
      </c>
      <c r="I37" s="7">
        <f t="shared" si="0"/>
        <v>91.1111111111111</v>
      </c>
      <c r="J37" s="7">
        <f t="shared" si="1"/>
        <v>95.348837209302317</v>
      </c>
    </row>
    <row r="38" spans="1:10">
      <c r="A38" s="4" t="s">
        <v>54</v>
      </c>
      <c r="B38" s="203" t="s">
        <v>74</v>
      </c>
      <c r="C38" s="204"/>
      <c r="D38" s="204"/>
      <c r="E38" s="205"/>
      <c r="F38" s="4">
        <v>20</v>
      </c>
      <c r="G38" s="4">
        <v>14</v>
      </c>
      <c r="H38" s="4">
        <v>13</v>
      </c>
      <c r="I38" s="7">
        <f t="shared" si="0"/>
        <v>65</v>
      </c>
      <c r="J38" s="7">
        <f t="shared" si="1"/>
        <v>92.857142857142861</v>
      </c>
    </row>
    <row r="39" spans="1:10">
      <c r="A39" s="4" t="s">
        <v>55</v>
      </c>
      <c r="B39" s="203" t="s">
        <v>75</v>
      </c>
      <c r="C39" s="204"/>
      <c r="D39" s="204"/>
      <c r="E39" s="205"/>
      <c r="F39" s="4">
        <v>328.5</v>
      </c>
      <c r="G39" s="4">
        <v>246</v>
      </c>
      <c r="H39" s="4">
        <v>163.69999999999999</v>
      </c>
      <c r="I39" s="7">
        <f t="shared" si="0"/>
        <v>49.832572298325715</v>
      </c>
      <c r="J39" s="7">
        <f t="shared" si="1"/>
        <v>66.544715447154474</v>
      </c>
    </row>
    <row r="40" spans="1:10">
      <c r="A40" s="4" t="s">
        <v>56</v>
      </c>
      <c r="B40" s="203" t="s">
        <v>76</v>
      </c>
      <c r="C40" s="204"/>
      <c r="D40" s="204"/>
      <c r="E40" s="205"/>
      <c r="F40" s="4">
        <v>2</v>
      </c>
      <c r="G40" s="4">
        <v>1.5</v>
      </c>
      <c r="H40" s="4">
        <v>0.9</v>
      </c>
      <c r="I40" s="7">
        <f t="shared" si="0"/>
        <v>45</v>
      </c>
      <c r="J40" s="7">
        <f t="shared" si="1"/>
        <v>60</v>
      </c>
    </row>
    <row r="41" spans="1:10">
      <c r="A41" s="4" t="s">
        <v>58</v>
      </c>
      <c r="B41" s="203" t="s">
        <v>77</v>
      </c>
      <c r="C41" s="204"/>
      <c r="D41" s="204"/>
      <c r="E41" s="205"/>
      <c r="F41" s="4">
        <v>2</v>
      </c>
      <c r="G41" s="4">
        <v>1.5</v>
      </c>
      <c r="H41" s="4">
        <v>0.5</v>
      </c>
      <c r="I41" s="7">
        <f t="shared" si="0"/>
        <v>25</v>
      </c>
      <c r="J41" s="7">
        <f t="shared" si="1"/>
        <v>33.333333333333329</v>
      </c>
    </row>
    <row r="42" spans="1:10">
      <c r="A42" s="4" t="s">
        <v>60</v>
      </c>
      <c r="B42" s="203" t="s">
        <v>78</v>
      </c>
      <c r="C42" s="204"/>
      <c r="D42" s="204"/>
      <c r="E42" s="205"/>
      <c r="F42" s="4">
        <f>4+4.5</f>
        <v>8.5</v>
      </c>
      <c r="G42" s="4">
        <v>8.5</v>
      </c>
      <c r="H42" s="4">
        <v>8.4</v>
      </c>
      <c r="I42" s="7">
        <f t="shared" si="0"/>
        <v>98.82352941176471</v>
      </c>
      <c r="J42" s="7">
        <f t="shared" si="1"/>
        <v>98.82352941176471</v>
      </c>
    </row>
    <row r="43" spans="1:10">
      <c r="A43" s="4" t="s">
        <v>62</v>
      </c>
      <c r="B43" s="203" t="s">
        <v>79</v>
      </c>
      <c r="C43" s="204"/>
      <c r="D43" s="204"/>
      <c r="E43" s="205"/>
      <c r="F43" s="4">
        <v>14.5</v>
      </c>
      <c r="G43" s="4">
        <v>10.5</v>
      </c>
      <c r="H43" s="4">
        <v>8.1</v>
      </c>
      <c r="I43" s="7">
        <f t="shared" si="0"/>
        <v>55.862068965517238</v>
      </c>
      <c r="J43" s="7">
        <f t="shared" si="1"/>
        <v>77.142857142857139</v>
      </c>
    </row>
    <row r="44" spans="1:10">
      <c r="A44" s="4" t="s">
        <v>64</v>
      </c>
      <c r="B44" s="203" t="s">
        <v>80</v>
      </c>
      <c r="C44" s="204"/>
      <c r="D44" s="204"/>
      <c r="E44" s="205"/>
      <c r="F44" s="4">
        <v>3.8</v>
      </c>
      <c r="G44" s="4">
        <v>3</v>
      </c>
      <c r="H44" s="4">
        <v>0.4</v>
      </c>
      <c r="I44" s="7">
        <f t="shared" si="0"/>
        <v>10.526315789473685</v>
      </c>
      <c r="J44" s="66">
        <f t="shared" si="1"/>
        <v>13.333333333333334</v>
      </c>
    </row>
    <row r="45" spans="1:10">
      <c r="A45" s="4" t="s">
        <v>66</v>
      </c>
      <c r="B45" s="203" t="s">
        <v>81</v>
      </c>
      <c r="C45" s="204"/>
      <c r="D45" s="204"/>
      <c r="E45" s="205"/>
      <c r="F45" s="4">
        <v>68.599999999999994</v>
      </c>
      <c r="G45" s="4">
        <f>31+10</f>
        <v>41</v>
      </c>
      <c r="H45" s="4">
        <v>45.2</v>
      </c>
      <c r="I45" s="7">
        <f t="shared" si="0"/>
        <v>65.889212827988359</v>
      </c>
      <c r="J45" s="66">
        <f t="shared" si="1"/>
        <v>110.2439024390244</v>
      </c>
    </row>
    <row r="46" spans="1:10">
      <c r="A46" s="4" t="s">
        <v>68</v>
      </c>
      <c r="B46" s="203" t="s">
        <v>82</v>
      </c>
      <c r="C46" s="204"/>
      <c r="D46" s="204"/>
      <c r="E46" s="205"/>
      <c r="F46" s="4">
        <v>1</v>
      </c>
      <c r="G46" s="4">
        <v>0.2</v>
      </c>
      <c r="H46" s="4">
        <v>0</v>
      </c>
      <c r="I46" s="7">
        <f t="shared" si="0"/>
        <v>0</v>
      </c>
      <c r="J46" s="66">
        <f t="shared" si="1"/>
        <v>0</v>
      </c>
    </row>
    <row r="47" spans="1:10">
      <c r="A47" s="4" t="s">
        <v>70</v>
      </c>
      <c r="B47" s="203" t="s">
        <v>83</v>
      </c>
      <c r="C47" s="204"/>
      <c r="D47" s="204"/>
      <c r="E47" s="205"/>
      <c r="F47" s="4">
        <v>1105</v>
      </c>
      <c r="G47" s="4">
        <v>726.3</v>
      </c>
      <c r="H47" s="4">
        <v>1041.4000000000001</v>
      </c>
      <c r="I47" s="7">
        <f t="shared" si="0"/>
        <v>94.244343891402721</v>
      </c>
      <c r="J47" s="66">
        <f t="shared" si="1"/>
        <v>143.38427646977837</v>
      </c>
    </row>
    <row r="48" spans="1:10">
      <c r="A48" s="5"/>
      <c r="B48" s="112" t="s">
        <v>84</v>
      </c>
      <c r="C48" s="6"/>
      <c r="D48" s="6"/>
      <c r="E48" s="2"/>
      <c r="F48" s="9">
        <f>SUM(F8:F47)</f>
        <v>5007.3</v>
      </c>
      <c r="G48" s="9">
        <f>SUM(G8:G47)</f>
        <v>3604.4000000000005</v>
      </c>
      <c r="H48" s="9">
        <f>SUM(H8:H47)</f>
        <v>3846</v>
      </c>
      <c r="I48" s="7">
        <f>SUM(H48/F48*100)</f>
        <v>76.807860523635483</v>
      </c>
      <c r="J48" s="7">
        <f t="shared" si="1"/>
        <v>106.70291865497722</v>
      </c>
    </row>
    <row r="50" spans="5:7">
      <c r="E50" s="10"/>
      <c r="F50" s="10"/>
      <c r="G50" s="10"/>
    </row>
  </sheetData>
  <mergeCells count="46">
    <mergeCell ref="B28:E28"/>
    <mergeCell ref="B33:E33"/>
    <mergeCell ref="B20:E20"/>
    <mergeCell ref="B21:E21"/>
    <mergeCell ref="B16:E16"/>
    <mergeCell ref="B17:E17"/>
    <mergeCell ref="B19:E19"/>
    <mergeCell ref="B24:E24"/>
    <mergeCell ref="B25:E25"/>
    <mergeCell ref="B26:E26"/>
    <mergeCell ref="B27:E27"/>
    <mergeCell ref="B29:E29"/>
    <mergeCell ref="B30:E30"/>
    <mergeCell ref="B31:E31"/>
    <mergeCell ref="B32:E32"/>
    <mergeCell ref="A3:J3"/>
    <mergeCell ref="A4:J4"/>
    <mergeCell ref="B6:E7"/>
    <mergeCell ref="F6:F7"/>
    <mergeCell ref="G6:G7"/>
    <mergeCell ref="H6:H7"/>
    <mergeCell ref="I6:J6"/>
    <mergeCell ref="B8:E8"/>
    <mergeCell ref="B9:E9"/>
    <mergeCell ref="B10:E10"/>
    <mergeCell ref="B11:E11"/>
    <mergeCell ref="B12:E12"/>
    <mergeCell ref="B14:E14"/>
    <mergeCell ref="B15:E15"/>
    <mergeCell ref="B18:E18"/>
    <mergeCell ref="B22:E22"/>
    <mergeCell ref="B23:E23"/>
    <mergeCell ref="B34:E34"/>
    <mergeCell ref="B35:E35"/>
    <mergeCell ref="B36:E36"/>
    <mergeCell ref="B37:E37"/>
    <mergeCell ref="B38:E38"/>
    <mergeCell ref="B44:E44"/>
    <mergeCell ref="B45:E45"/>
    <mergeCell ref="B46:E46"/>
    <mergeCell ref="B47:E47"/>
    <mergeCell ref="B39:E39"/>
    <mergeCell ref="B40:E40"/>
    <mergeCell ref="B41:E41"/>
    <mergeCell ref="B42:E42"/>
    <mergeCell ref="B43:E43"/>
  </mergeCells>
  <phoneticPr fontId="2" type="noConversion"/>
  <pageMargins left="0.70866141732283472" right="0.55118110236220474" top="0.6692913385826772" bottom="0.15748031496062992" header="0.31496062992125984" footer="0.19685039370078741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9EBA-E4E7-4E3A-B128-9BD22E3AA475}">
  <dimension ref="A1:J35"/>
  <sheetViews>
    <sheetView zoomScaleNormal="100" workbookViewId="0"/>
  </sheetViews>
  <sheetFormatPr defaultRowHeight="12.75"/>
  <cols>
    <col min="1" max="1" width="5.140625" customWidth="1"/>
    <col min="4" max="4" width="7.42578125" customWidth="1"/>
    <col min="5" max="5" width="13.28515625" customWidth="1"/>
    <col min="6" max="6" width="9.7109375" customWidth="1"/>
    <col min="7" max="7" width="9" customWidth="1"/>
    <col min="8" max="8" width="7.85546875" customWidth="1"/>
    <col min="9" max="9" width="8.140625" customWidth="1"/>
    <col min="10" max="10" width="9.5703125" bestFit="1" customWidth="1"/>
  </cols>
  <sheetData>
    <row r="1" spans="1:10">
      <c r="J1" t="s">
        <v>165</v>
      </c>
    </row>
    <row r="3" spans="1:10">
      <c r="A3" s="207" t="s">
        <v>385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>
      <c r="A4" s="207" t="s">
        <v>85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0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>
      <c r="I6" s="225" t="s">
        <v>86</v>
      </c>
      <c r="J6" s="225"/>
    </row>
    <row r="7" spans="1:10" ht="23.25" customHeight="1">
      <c r="A7" s="107" t="s">
        <v>273</v>
      </c>
      <c r="B7" s="208" t="s">
        <v>13</v>
      </c>
      <c r="C7" s="209"/>
      <c r="D7" s="209"/>
      <c r="E7" s="210"/>
      <c r="F7" s="214" t="s">
        <v>14</v>
      </c>
      <c r="G7" s="214" t="s">
        <v>382</v>
      </c>
      <c r="H7" s="216" t="s">
        <v>15</v>
      </c>
      <c r="I7" s="218" t="s">
        <v>8</v>
      </c>
      <c r="J7" s="219"/>
    </row>
    <row r="8" spans="1:10">
      <c r="A8" s="108" t="s">
        <v>274</v>
      </c>
      <c r="B8" s="211"/>
      <c r="C8" s="212"/>
      <c r="D8" s="212"/>
      <c r="E8" s="213"/>
      <c r="F8" s="215"/>
      <c r="G8" s="215"/>
      <c r="H8" s="217"/>
      <c r="I8" s="65" t="s">
        <v>275</v>
      </c>
      <c r="J8" s="138" t="s">
        <v>386</v>
      </c>
    </row>
    <row r="9" spans="1:10">
      <c r="A9" s="4" t="s">
        <v>0</v>
      </c>
      <c r="B9" s="5" t="s">
        <v>16</v>
      </c>
      <c r="C9" s="6"/>
      <c r="D9" s="6"/>
      <c r="E9" s="2"/>
      <c r="F9" s="4">
        <v>3.2</v>
      </c>
      <c r="G9" s="4">
        <f>0.7+0.8+1</f>
        <v>2.5</v>
      </c>
      <c r="H9" s="4">
        <v>2</v>
      </c>
      <c r="I9" s="7">
        <f t="shared" ref="I9:I32" si="0">SUM(H9/F9*100)</f>
        <v>62.5</v>
      </c>
      <c r="J9" s="7">
        <f t="shared" ref="J9:J11" si="1">SUM(H9/G9*100)</f>
        <v>80</v>
      </c>
    </row>
    <row r="10" spans="1:10">
      <c r="A10" s="4" t="s">
        <v>1</v>
      </c>
      <c r="B10" s="5" t="s">
        <v>17</v>
      </c>
      <c r="C10" s="6"/>
      <c r="D10" s="6"/>
      <c r="E10" s="2"/>
      <c r="F10" s="4">
        <v>3</v>
      </c>
      <c r="G10" s="4">
        <f>0.5+1+0.5+0.5</f>
        <v>2.5</v>
      </c>
      <c r="H10" s="4">
        <v>2.2999999999999998</v>
      </c>
      <c r="I10" s="7">
        <f t="shared" si="0"/>
        <v>76.666666666666657</v>
      </c>
      <c r="J10" s="7">
        <f t="shared" si="1"/>
        <v>92</v>
      </c>
    </row>
    <row r="11" spans="1:10">
      <c r="A11" s="4" t="s">
        <v>2</v>
      </c>
      <c r="B11" s="5" t="s">
        <v>87</v>
      </c>
      <c r="C11" s="6"/>
      <c r="D11" s="6"/>
      <c r="E11" s="2"/>
      <c r="F11" s="4">
        <v>0.7</v>
      </c>
      <c r="G11" s="4">
        <f>0.5+0.3</f>
        <v>0.8</v>
      </c>
      <c r="H11" s="4">
        <v>0.5</v>
      </c>
      <c r="I11" s="7">
        <f t="shared" si="0"/>
        <v>71.428571428571431</v>
      </c>
      <c r="J11" s="7">
        <f t="shared" si="1"/>
        <v>62.5</v>
      </c>
    </row>
    <row r="12" spans="1:10">
      <c r="A12" s="4" t="s">
        <v>3</v>
      </c>
      <c r="B12" s="203" t="s">
        <v>18</v>
      </c>
      <c r="C12" s="204"/>
      <c r="D12" s="204"/>
      <c r="E12" s="205"/>
      <c r="F12" s="4">
        <v>0.5</v>
      </c>
      <c r="G12" s="4">
        <f>0.1+0.2+0.1</f>
        <v>0.4</v>
      </c>
      <c r="H12" s="4">
        <v>0.1</v>
      </c>
      <c r="I12" s="7">
        <f t="shared" si="0"/>
        <v>20</v>
      </c>
      <c r="J12" s="7">
        <f t="shared" ref="J12:J32" si="2">SUM(H12/G12*100)</f>
        <v>25</v>
      </c>
    </row>
    <row r="13" spans="1:10">
      <c r="A13" s="4" t="s">
        <v>4</v>
      </c>
      <c r="B13" s="5" t="s">
        <v>19</v>
      </c>
      <c r="C13" s="6"/>
      <c r="D13" s="6"/>
      <c r="E13" s="2"/>
      <c r="F13" s="4">
        <v>12.5</v>
      </c>
      <c r="G13" s="4">
        <f>2.5+2.5+2+2</f>
        <v>9</v>
      </c>
      <c r="H13" s="4">
        <v>9</v>
      </c>
      <c r="I13" s="7">
        <f t="shared" si="0"/>
        <v>72</v>
      </c>
      <c r="J13" s="7">
        <f t="shared" si="2"/>
        <v>100</v>
      </c>
    </row>
    <row r="14" spans="1:10">
      <c r="A14" s="4" t="s">
        <v>5</v>
      </c>
      <c r="B14" s="206" t="s">
        <v>340</v>
      </c>
      <c r="C14" s="204"/>
      <c r="D14" s="204"/>
      <c r="E14" s="205"/>
      <c r="F14" s="4">
        <v>1.5</v>
      </c>
      <c r="G14" s="4">
        <f>0.4+0.4+0.4</f>
        <v>1.2000000000000002</v>
      </c>
      <c r="H14" s="4">
        <v>1.4</v>
      </c>
      <c r="I14" s="7">
        <f>SUM(H14/F14*100)</f>
        <v>93.333333333333329</v>
      </c>
      <c r="J14" s="7">
        <f t="shared" si="2"/>
        <v>116.66666666666666</v>
      </c>
    </row>
    <row r="15" spans="1:10">
      <c r="A15" s="4" t="s">
        <v>6</v>
      </c>
      <c r="B15" s="203" t="s">
        <v>21</v>
      </c>
      <c r="C15" s="204"/>
      <c r="D15" s="204"/>
      <c r="E15" s="205"/>
      <c r="F15" s="4">
        <v>3</v>
      </c>
      <c r="G15" s="4">
        <f>0.5+0.5+1</f>
        <v>2</v>
      </c>
      <c r="H15" s="4">
        <v>2.4</v>
      </c>
      <c r="I15" s="7">
        <f t="shared" si="0"/>
        <v>80</v>
      </c>
      <c r="J15" s="7">
        <f t="shared" si="2"/>
        <v>120</v>
      </c>
    </row>
    <row r="16" spans="1:10">
      <c r="A16" s="4" t="s">
        <v>7</v>
      </c>
      <c r="B16" s="203" t="s">
        <v>24</v>
      </c>
      <c r="C16" s="204"/>
      <c r="D16" s="204"/>
      <c r="E16" s="205"/>
      <c r="F16" s="4">
        <v>7.4</v>
      </c>
      <c r="G16" s="4">
        <f>2+1.7+1.7</f>
        <v>5.4</v>
      </c>
      <c r="H16" s="4">
        <v>5</v>
      </c>
      <c r="I16" s="7">
        <f t="shared" si="0"/>
        <v>67.567567567567565</v>
      </c>
      <c r="J16" s="7">
        <f t="shared" si="2"/>
        <v>92.592592592592581</v>
      </c>
    </row>
    <row r="17" spans="1:10">
      <c r="A17" s="4" t="s">
        <v>20</v>
      </c>
      <c r="B17" s="203" t="s">
        <v>26</v>
      </c>
      <c r="C17" s="204"/>
      <c r="D17" s="204"/>
      <c r="E17" s="205"/>
      <c r="F17" s="4">
        <v>2.5</v>
      </c>
      <c r="G17" s="4">
        <f>0.6+0.7+0.6</f>
        <v>1.9</v>
      </c>
      <c r="H17" s="4">
        <v>1.8</v>
      </c>
      <c r="I17" s="7">
        <f t="shared" si="0"/>
        <v>72</v>
      </c>
      <c r="J17" s="7">
        <f t="shared" si="2"/>
        <v>94.736842105263165</v>
      </c>
    </row>
    <row r="18" spans="1:10">
      <c r="A18" s="4" t="s">
        <v>22</v>
      </c>
      <c r="B18" s="203" t="s">
        <v>32</v>
      </c>
      <c r="C18" s="204"/>
      <c r="D18" s="204"/>
      <c r="E18" s="205"/>
      <c r="F18" s="4">
        <v>4.8</v>
      </c>
      <c r="G18" s="4">
        <f>1.2+1.2+1.2</f>
        <v>3.5999999999999996</v>
      </c>
      <c r="H18" s="4">
        <v>3</v>
      </c>
      <c r="I18" s="7">
        <f t="shared" si="0"/>
        <v>62.5</v>
      </c>
      <c r="J18" s="7">
        <f t="shared" si="2"/>
        <v>83.333333333333343</v>
      </c>
    </row>
    <row r="19" spans="1:10">
      <c r="A19" s="21" t="s">
        <v>23</v>
      </c>
      <c r="B19" s="203" t="s">
        <v>34</v>
      </c>
      <c r="C19" s="204"/>
      <c r="D19" s="204"/>
      <c r="E19" s="205"/>
      <c r="F19" s="4">
        <v>0.7</v>
      </c>
      <c r="G19" s="4">
        <v>0.7</v>
      </c>
      <c r="H19" s="4">
        <v>0.6</v>
      </c>
      <c r="I19" s="7">
        <f>SUM(H19/F19*100)</f>
        <v>85.714285714285722</v>
      </c>
      <c r="J19" s="7">
        <f t="shared" si="2"/>
        <v>85.714285714285722</v>
      </c>
    </row>
    <row r="20" spans="1:10">
      <c r="A20" s="21" t="s">
        <v>25</v>
      </c>
      <c r="B20" s="206" t="s">
        <v>341</v>
      </c>
      <c r="C20" s="204"/>
      <c r="D20" s="204"/>
      <c r="E20" s="205"/>
      <c r="F20" s="4">
        <v>1.2</v>
      </c>
      <c r="G20" s="4">
        <f>0.3+0.3+0.3</f>
        <v>0.89999999999999991</v>
      </c>
      <c r="H20" s="4">
        <v>0.4</v>
      </c>
      <c r="I20" s="7">
        <f>SUM(H20/F20*100)</f>
        <v>33.333333333333336</v>
      </c>
      <c r="J20" s="7">
        <f>SUM(H20/G20*100)</f>
        <v>44.44444444444445</v>
      </c>
    </row>
    <row r="21" spans="1:10">
      <c r="A21" s="21" t="s">
        <v>27</v>
      </c>
      <c r="B21" s="206" t="s">
        <v>342</v>
      </c>
      <c r="C21" s="204"/>
      <c r="D21" s="204"/>
      <c r="E21" s="205"/>
      <c r="F21" s="4">
        <v>0.3</v>
      </c>
      <c r="G21" s="4">
        <f>0.2+0.1</f>
        <v>0.30000000000000004</v>
      </c>
      <c r="H21" s="4">
        <v>0.5</v>
      </c>
      <c r="I21" s="7">
        <f>SUM(H21/F21*100)</f>
        <v>166.66666666666669</v>
      </c>
      <c r="J21" s="7">
        <f>SUM(H21/G21*100)</f>
        <v>166.66666666666666</v>
      </c>
    </row>
    <row r="22" spans="1:10">
      <c r="A22" s="21" t="s">
        <v>28</v>
      </c>
      <c r="B22" s="206" t="s">
        <v>343</v>
      </c>
      <c r="C22" s="204"/>
      <c r="D22" s="204"/>
      <c r="E22" s="205"/>
      <c r="F22" s="4">
        <v>0.3</v>
      </c>
      <c r="G22" s="4">
        <f>0.1+0.1+0.1</f>
        <v>0.30000000000000004</v>
      </c>
      <c r="H22" s="4">
        <v>0.1</v>
      </c>
      <c r="I22" s="7">
        <f t="shared" ref="I22:I23" si="3">SUM(H22/F22*100)</f>
        <v>33.333333333333336</v>
      </c>
      <c r="J22" s="7">
        <f t="shared" ref="J22:J23" si="4">SUM(H22/G22*100)</f>
        <v>33.333333333333329</v>
      </c>
    </row>
    <row r="23" spans="1:10">
      <c r="A23" s="21" t="s">
        <v>30</v>
      </c>
      <c r="B23" s="206" t="s">
        <v>344</v>
      </c>
      <c r="C23" s="204"/>
      <c r="D23" s="204"/>
      <c r="E23" s="205"/>
      <c r="F23" s="4">
        <v>0.7</v>
      </c>
      <c r="G23" s="4">
        <f>0.4+0.1+0.1</f>
        <v>0.6</v>
      </c>
      <c r="H23" s="4">
        <v>0.6</v>
      </c>
      <c r="I23" s="7">
        <f t="shared" si="3"/>
        <v>85.714285714285722</v>
      </c>
      <c r="J23" s="7">
        <f t="shared" si="4"/>
        <v>100</v>
      </c>
    </row>
    <row r="24" spans="1:10">
      <c r="A24" s="21" t="s">
        <v>31</v>
      </c>
      <c r="B24" s="203" t="s">
        <v>72</v>
      </c>
      <c r="C24" s="204"/>
      <c r="D24" s="204"/>
      <c r="E24" s="205"/>
      <c r="F24" s="4">
        <v>0.3</v>
      </c>
      <c r="G24" s="4">
        <f>0.1+0.1+0.1</f>
        <v>0.30000000000000004</v>
      </c>
      <c r="H24" s="4">
        <v>0.1</v>
      </c>
      <c r="I24" s="7">
        <f t="shared" si="0"/>
        <v>33.333333333333336</v>
      </c>
      <c r="J24" s="7">
        <f t="shared" si="2"/>
        <v>33.333333333333329</v>
      </c>
    </row>
    <row r="25" spans="1:10">
      <c r="A25" s="21" t="s">
        <v>33</v>
      </c>
      <c r="B25" s="203" t="s">
        <v>73</v>
      </c>
      <c r="C25" s="204"/>
      <c r="D25" s="204"/>
      <c r="E25" s="205"/>
      <c r="F25" s="4">
        <v>4.5</v>
      </c>
      <c r="G25" s="4">
        <f>1+0.9+1+0.8</f>
        <v>3.7</v>
      </c>
      <c r="H25" s="4">
        <v>3.2</v>
      </c>
      <c r="I25" s="7">
        <f t="shared" si="0"/>
        <v>71.111111111111114</v>
      </c>
      <c r="J25" s="7">
        <f t="shared" si="2"/>
        <v>86.486486486486484</v>
      </c>
    </row>
    <row r="26" spans="1:10">
      <c r="A26" s="21" t="s">
        <v>35</v>
      </c>
      <c r="B26" s="203" t="s">
        <v>75</v>
      </c>
      <c r="C26" s="204"/>
      <c r="D26" s="204"/>
      <c r="E26" s="205"/>
      <c r="F26" s="4">
        <v>6</v>
      </c>
      <c r="G26" s="4">
        <f>1.5+1.5+1.5</f>
        <v>4.5</v>
      </c>
      <c r="H26" s="4">
        <v>2.7</v>
      </c>
      <c r="I26" s="7">
        <f t="shared" si="0"/>
        <v>45</v>
      </c>
      <c r="J26" s="7">
        <f t="shared" si="2"/>
        <v>60.000000000000007</v>
      </c>
    </row>
    <row r="27" spans="1:10">
      <c r="A27" s="21" t="s">
        <v>36</v>
      </c>
      <c r="B27" s="203" t="s">
        <v>77</v>
      </c>
      <c r="C27" s="204"/>
      <c r="D27" s="204"/>
      <c r="E27" s="205"/>
      <c r="F27" s="4">
        <v>4</v>
      </c>
      <c r="G27" s="4">
        <f>2+1.4</f>
        <v>3.4</v>
      </c>
      <c r="H27" s="4">
        <v>2.9</v>
      </c>
      <c r="I27" s="7">
        <f t="shared" si="0"/>
        <v>72.5</v>
      </c>
      <c r="J27" s="7">
        <f t="shared" si="2"/>
        <v>85.294117647058826</v>
      </c>
    </row>
    <row r="28" spans="1:10">
      <c r="A28" s="21" t="s">
        <v>38</v>
      </c>
      <c r="B28" s="203" t="s">
        <v>78</v>
      </c>
      <c r="C28" s="204"/>
      <c r="D28" s="204"/>
      <c r="E28" s="205"/>
      <c r="F28" s="4">
        <v>2.5</v>
      </c>
      <c r="G28" s="4">
        <f>0.7+0.6+0.6</f>
        <v>1.9</v>
      </c>
      <c r="H28" s="4">
        <v>0.8</v>
      </c>
      <c r="I28" s="7">
        <f t="shared" si="0"/>
        <v>32</v>
      </c>
      <c r="J28" s="7">
        <f t="shared" si="2"/>
        <v>42.10526315789474</v>
      </c>
    </row>
    <row r="29" spans="1:10">
      <c r="A29" s="21" t="s">
        <v>40</v>
      </c>
      <c r="B29" s="203" t="s">
        <v>79</v>
      </c>
      <c r="C29" s="204"/>
      <c r="D29" s="204"/>
      <c r="E29" s="205"/>
      <c r="F29" s="4">
        <v>0.5</v>
      </c>
      <c r="G29" s="4">
        <f>0.2+0.1+0.1</f>
        <v>0.4</v>
      </c>
      <c r="H29" s="4">
        <v>0.8</v>
      </c>
      <c r="I29" s="7">
        <f t="shared" si="0"/>
        <v>160</v>
      </c>
      <c r="J29" s="7">
        <f t="shared" si="2"/>
        <v>200</v>
      </c>
    </row>
    <row r="30" spans="1:10">
      <c r="A30" s="21" t="s">
        <v>42</v>
      </c>
      <c r="B30" s="203" t="s">
        <v>80</v>
      </c>
      <c r="C30" s="204"/>
      <c r="D30" s="204"/>
      <c r="E30" s="205"/>
      <c r="F30" s="4">
        <f>1.2+0.4+0.4</f>
        <v>2</v>
      </c>
      <c r="G30" s="4">
        <f>0.4+0.4+0.3+0.4+0.2</f>
        <v>1.7</v>
      </c>
      <c r="H30" s="4">
        <v>1.8</v>
      </c>
      <c r="I30" s="7">
        <f t="shared" si="0"/>
        <v>90</v>
      </c>
      <c r="J30" s="7">
        <f t="shared" si="2"/>
        <v>105.88235294117648</v>
      </c>
    </row>
    <row r="31" spans="1:10">
      <c r="A31" s="21" t="s">
        <v>43</v>
      </c>
      <c r="B31" s="203" t="s">
        <v>81</v>
      </c>
      <c r="C31" s="204"/>
      <c r="D31" s="204"/>
      <c r="E31" s="205"/>
      <c r="F31" s="4">
        <v>31.4</v>
      </c>
      <c r="G31" s="4">
        <f>6.6+6.6+5+4.6</f>
        <v>22.799999999999997</v>
      </c>
      <c r="H31" s="4">
        <v>15.8</v>
      </c>
      <c r="I31" s="7">
        <f t="shared" si="0"/>
        <v>50.318471337579616</v>
      </c>
      <c r="J31" s="7">
        <f t="shared" si="2"/>
        <v>69.298245614035096</v>
      </c>
    </row>
    <row r="32" spans="1:10">
      <c r="A32" s="21" t="s">
        <v>44</v>
      </c>
      <c r="B32" s="203" t="s">
        <v>83</v>
      </c>
      <c r="C32" s="204"/>
      <c r="D32" s="204"/>
      <c r="E32" s="205"/>
      <c r="F32" s="4">
        <v>92.5</v>
      </c>
      <c r="G32" s="4">
        <f>21.5+21.6+21.2</f>
        <v>64.3</v>
      </c>
      <c r="H32" s="4">
        <v>66</v>
      </c>
      <c r="I32" s="7">
        <f t="shared" si="0"/>
        <v>71.351351351351354</v>
      </c>
      <c r="J32" s="7">
        <f t="shared" si="2"/>
        <v>102.6438569206843</v>
      </c>
    </row>
    <row r="33" spans="1:10" ht="15" customHeight="1">
      <c r="A33" s="5"/>
      <c r="B33" s="223" t="s">
        <v>84</v>
      </c>
      <c r="C33" s="223"/>
      <c r="D33" s="223"/>
      <c r="E33" s="224"/>
      <c r="F33" s="9">
        <f>SUM(F9:F32)</f>
        <v>186</v>
      </c>
      <c r="G33" s="9">
        <f>SUM(G9:G32)</f>
        <v>135.09999999999997</v>
      </c>
      <c r="H33" s="9">
        <f>SUM(H9:H32)</f>
        <v>123.8</v>
      </c>
      <c r="I33" s="7">
        <f>SUM(H33/F33*100)</f>
        <v>66.559139784946225</v>
      </c>
      <c r="J33" s="7">
        <f>SUM(H33/G33*100)</f>
        <v>91.635825314581808</v>
      </c>
    </row>
    <row r="35" spans="1:10">
      <c r="E35" s="10"/>
      <c r="F35" s="10"/>
      <c r="G35" s="10"/>
    </row>
  </sheetData>
  <mergeCells count="29">
    <mergeCell ref="B19:E19"/>
    <mergeCell ref="A3:J3"/>
    <mergeCell ref="A4:J4"/>
    <mergeCell ref="F7:F8"/>
    <mergeCell ref="G7:G8"/>
    <mergeCell ref="H7:H8"/>
    <mergeCell ref="B12:E12"/>
    <mergeCell ref="B15:E15"/>
    <mergeCell ref="I7:J7"/>
    <mergeCell ref="B7:E8"/>
    <mergeCell ref="B16:E16"/>
    <mergeCell ref="B17:E17"/>
    <mergeCell ref="B18:E18"/>
    <mergeCell ref="I6:J6"/>
    <mergeCell ref="B14:E14"/>
    <mergeCell ref="B33:E33"/>
    <mergeCell ref="B20:E20"/>
    <mergeCell ref="B21:E21"/>
    <mergeCell ref="B22:E22"/>
    <mergeCell ref="B23:E23"/>
    <mergeCell ref="B32:E32"/>
    <mergeCell ref="B29:E29"/>
    <mergeCell ref="B30:E30"/>
    <mergeCell ref="B31:E31"/>
    <mergeCell ref="B24:E24"/>
    <mergeCell ref="B25:E25"/>
    <mergeCell ref="B26:E26"/>
    <mergeCell ref="B27:E27"/>
    <mergeCell ref="B28:E28"/>
  </mergeCells>
  <pageMargins left="0.70866141732283472" right="0.55118110236220474" top="0.6692913385826772" bottom="0.15748031496062992" header="0.3149606299212598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29"/>
  <sheetViews>
    <sheetView showZeros="0" zoomScale="110" zoomScaleNormal="110" workbookViewId="0"/>
  </sheetViews>
  <sheetFormatPr defaultColWidth="8.85546875" defaultRowHeight="12"/>
  <cols>
    <col min="1" max="1" width="20.5703125" style="13" customWidth="1"/>
    <col min="2" max="2" width="9.28515625" style="13" customWidth="1"/>
    <col min="3" max="3" width="7.28515625" style="13" customWidth="1"/>
    <col min="4" max="4" width="7.140625" style="13" customWidth="1"/>
    <col min="5" max="5" width="7.5703125" style="13" customWidth="1"/>
    <col min="6" max="6" width="9.140625" style="13" customWidth="1"/>
    <col min="7" max="7" width="7.42578125" style="13" customWidth="1"/>
    <col min="8" max="8" width="7.28515625" style="13" customWidth="1"/>
    <col min="9" max="9" width="8.140625" style="13" customWidth="1"/>
    <col min="10" max="10" width="9.140625" style="13" customWidth="1"/>
    <col min="11" max="12" width="7.7109375" style="13" customWidth="1"/>
    <col min="13" max="13" width="6.85546875" style="13" customWidth="1"/>
    <col min="14" max="14" width="9.42578125" style="13" customWidth="1"/>
    <col min="15" max="15" width="7.5703125" style="13" customWidth="1"/>
    <col min="16" max="17" width="6.85546875" style="13" customWidth="1"/>
    <col min="18" max="16384" width="8.85546875" style="13"/>
  </cols>
  <sheetData>
    <row r="1" spans="1:17">
      <c r="P1" s="272" t="s">
        <v>302</v>
      </c>
      <c r="Q1" s="272"/>
    </row>
    <row r="2" spans="1:17">
      <c r="A2" s="232"/>
      <c r="B2" s="232"/>
      <c r="C2" s="232"/>
      <c r="D2" s="232"/>
      <c r="E2" s="232"/>
      <c r="F2" s="232"/>
      <c r="G2" s="232"/>
      <c r="H2" s="232"/>
      <c r="I2" s="232"/>
      <c r="J2" s="11"/>
      <c r="K2" s="11"/>
      <c r="L2" s="12"/>
      <c r="M2" s="12"/>
      <c r="N2" s="12"/>
      <c r="O2" s="12"/>
    </row>
    <row r="3" spans="1:17">
      <c r="A3" s="14"/>
      <c r="B3" s="14"/>
      <c r="C3" s="14"/>
      <c r="D3" s="14"/>
      <c r="E3" s="14"/>
      <c r="F3" s="14"/>
      <c r="G3" s="14"/>
      <c r="H3" s="14"/>
      <c r="I3" s="14"/>
      <c r="J3" s="11"/>
      <c r="K3" s="11"/>
      <c r="L3" s="12"/>
      <c r="M3" s="12"/>
      <c r="N3" s="12"/>
      <c r="O3" s="12"/>
    </row>
    <row r="4" spans="1:17" ht="12.75">
      <c r="A4" s="233" t="s">
        <v>413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17" ht="14.25" customHeight="1" thickBo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71"/>
      <c r="Q5" s="171" t="s">
        <v>408</v>
      </c>
    </row>
    <row r="6" spans="1:17" ht="15" customHeight="1" thickBot="1">
      <c r="A6" s="234" t="s">
        <v>88</v>
      </c>
      <c r="B6" s="234" t="s">
        <v>194</v>
      </c>
      <c r="C6" s="234" t="s">
        <v>89</v>
      </c>
      <c r="D6" s="237" t="s">
        <v>90</v>
      </c>
      <c r="E6" s="238"/>
      <c r="F6" s="238"/>
      <c r="G6" s="239"/>
      <c r="H6" s="237" t="s">
        <v>345</v>
      </c>
      <c r="I6" s="238"/>
      <c r="J6" s="238"/>
      <c r="K6" s="239"/>
      <c r="L6" s="240" t="s">
        <v>91</v>
      </c>
      <c r="M6" s="241"/>
      <c r="N6" s="241"/>
      <c r="O6" s="242"/>
      <c r="P6" s="243" t="s">
        <v>92</v>
      </c>
      <c r="Q6" s="244"/>
    </row>
    <row r="7" spans="1:17" ht="15" customHeight="1">
      <c r="A7" s="235"/>
      <c r="B7" s="235"/>
      <c r="C7" s="235"/>
      <c r="D7" s="245" t="s">
        <v>93</v>
      </c>
      <c r="E7" s="247" t="s">
        <v>94</v>
      </c>
      <c r="F7" s="248"/>
      <c r="G7" s="249"/>
      <c r="H7" s="245" t="s">
        <v>93</v>
      </c>
      <c r="I7" s="247" t="s">
        <v>94</v>
      </c>
      <c r="J7" s="248"/>
      <c r="K7" s="249"/>
      <c r="L7" s="250" t="s">
        <v>93</v>
      </c>
      <c r="M7" s="252" t="s">
        <v>94</v>
      </c>
      <c r="N7" s="253"/>
      <c r="O7" s="254"/>
      <c r="P7" s="255" t="s">
        <v>95</v>
      </c>
      <c r="Q7" s="258" t="s">
        <v>96</v>
      </c>
    </row>
    <row r="8" spans="1:17" ht="14.25" customHeight="1">
      <c r="A8" s="235"/>
      <c r="B8" s="235"/>
      <c r="C8" s="235"/>
      <c r="D8" s="245"/>
      <c r="E8" s="261" t="s">
        <v>97</v>
      </c>
      <c r="F8" s="262"/>
      <c r="G8" s="263" t="s">
        <v>98</v>
      </c>
      <c r="H8" s="245"/>
      <c r="I8" s="261" t="s">
        <v>97</v>
      </c>
      <c r="J8" s="262"/>
      <c r="K8" s="263" t="s">
        <v>98</v>
      </c>
      <c r="L8" s="250"/>
      <c r="M8" s="265" t="s">
        <v>97</v>
      </c>
      <c r="N8" s="266"/>
      <c r="O8" s="267" t="s">
        <v>98</v>
      </c>
      <c r="P8" s="256"/>
      <c r="Q8" s="259"/>
    </row>
    <row r="9" spans="1:17" ht="39" customHeight="1" thickBot="1">
      <c r="A9" s="236"/>
      <c r="B9" s="236"/>
      <c r="C9" s="236"/>
      <c r="D9" s="246"/>
      <c r="E9" s="172" t="s">
        <v>93</v>
      </c>
      <c r="F9" s="173" t="s">
        <v>346</v>
      </c>
      <c r="G9" s="264"/>
      <c r="H9" s="246"/>
      <c r="I9" s="172" t="s">
        <v>93</v>
      </c>
      <c r="J9" s="173" t="s">
        <v>346</v>
      </c>
      <c r="K9" s="264"/>
      <c r="L9" s="251"/>
      <c r="M9" s="174" t="s">
        <v>93</v>
      </c>
      <c r="N9" s="175" t="s">
        <v>346</v>
      </c>
      <c r="O9" s="268"/>
      <c r="P9" s="257"/>
      <c r="Q9" s="260"/>
    </row>
    <row r="10" spans="1:17" ht="12" customHeight="1">
      <c r="A10" s="176">
        <v>1</v>
      </c>
      <c r="B10" s="176">
        <v>2</v>
      </c>
      <c r="C10" s="176">
        <v>3</v>
      </c>
      <c r="D10" s="177">
        <v>4</v>
      </c>
      <c r="E10" s="177">
        <v>5</v>
      </c>
      <c r="F10" s="177">
        <v>6</v>
      </c>
      <c r="G10" s="177">
        <v>7</v>
      </c>
      <c r="H10" s="177">
        <v>8</v>
      </c>
      <c r="I10" s="177">
        <v>9</v>
      </c>
      <c r="J10" s="177">
        <v>10</v>
      </c>
      <c r="K10" s="177">
        <v>11</v>
      </c>
      <c r="L10" s="178">
        <v>12</v>
      </c>
      <c r="M10" s="178">
        <v>13</v>
      </c>
      <c r="N10" s="178">
        <v>14</v>
      </c>
      <c r="O10" s="178">
        <v>15</v>
      </c>
      <c r="P10" s="177">
        <v>16</v>
      </c>
      <c r="Q10" s="177">
        <v>17</v>
      </c>
    </row>
    <row r="11" spans="1:17" ht="25.5" customHeight="1">
      <c r="A11" s="100" t="s">
        <v>99</v>
      </c>
      <c r="B11" s="100"/>
      <c r="C11" s="101"/>
      <c r="D11" s="102">
        <f t="shared" ref="D11:O11" si="0">SUBTOTAL(9,D12:D75)</f>
        <v>69419.399999999994</v>
      </c>
      <c r="E11" s="102">
        <f t="shared" si="0"/>
        <v>37317.1</v>
      </c>
      <c r="F11" s="102">
        <f t="shared" si="0"/>
        <v>8920.2999999999993</v>
      </c>
      <c r="G11" s="102">
        <f t="shared" si="0"/>
        <v>32102.299999999992</v>
      </c>
      <c r="H11" s="102">
        <f t="shared" si="0"/>
        <v>57407.999999999993</v>
      </c>
      <c r="I11" s="102">
        <f t="shared" si="0"/>
        <v>31578.1</v>
      </c>
      <c r="J11" s="102">
        <f t="shared" si="0"/>
        <v>7365.1</v>
      </c>
      <c r="K11" s="102">
        <f t="shared" si="0"/>
        <v>25829.899999999998</v>
      </c>
      <c r="L11" s="102">
        <f t="shared" si="0"/>
        <v>43228.7</v>
      </c>
      <c r="M11" s="102">
        <f t="shared" si="0"/>
        <v>26464</v>
      </c>
      <c r="N11" s="102">
        <f t="shared" si="0"/>
        <v>6399.5</v>
      </c>
      <c r="O11" s="102">
        <f t="shared" si="0"/>
        <v>16764.600000000002</v>
      </c>
      <c r="P11" s="116">
        <f>SUM(L11/D11*100)</f>
        <v>62.271785696793692</v>
      </c>
      <c r="Q11" s="116">
        <f>SUM(L11/H11*100)</f>
        <v>75.300829152731325</v>
      </c>
    </row>
    <row r="12" spans="1:17">
      <c r="A12" s="229"/>
      <c r="B12" s="226" t="s">
        <v>338</v>
      </c>
      <c r="C12" s="17" t="s">
        <v>100</v>
      </c>
      <c r="D12" s="18">
        <v>2430.9</v>
      </c>
      <c r="E12" s="18">
        <v>576.29999999999995</v>
      </c>
      <c r="F12" s="18">
        <v>136.19999999999999</v>
      </c>
      <c r="G12" s="18">
        <v>1854.6</v>
      </c>
      <c r="H12" s="18">
        <v>1915.1</v>
      </c>
      <c r="I12" s="18">
        <v>476.5</v>
      </c>
      <c r="J12" s="18">
        <v>98.6</v>
      </c>
      <c r="K12" s="18">
        <v>1438.6</v>
      </c>
      <c r="L12" s="180">
        <v>1474.2</v>
      </c>
      <c r="M12" s="180">
        <v>437.9</v>
      </c>
      <c r="N12" s="180">
        <v>70</v>
      </c>
      <c r="O12" s="180">
        <v>1036.3</v>
      </c>
      <c r="P12" s="18"/>
      <c r="Q12" s="19"/>
    </row>
    <row r="13" spans="1:17">
      <c r="A13" s="231"/>
      <c r="B13" s="228"/>
      <c r="C13" s="17" t="s">
        <v>297</v>
      </c>
      <c r="D13" s="18">
        <v>2530</v>
      </c>
      <c r="E13" s="18">
        <v>2530</v>
      </c>
      <c r="F13" s="18">
        <v>0</v>
      </c>
      <c r="G13" s="18">
        <v>0</v>
      </c>
      <c r="H13" s="18">
        <v>2141.1999999999998</v>
      </c>
      <c r="I13" s="18">
        <v>2141.1999999999998</v>
      </c>
      <c r="J13" s="18">
        <v>0</v>
      </c>
      <c r="K13" s="18">
        <v>0</v>
      </c>
      <c r="L13" s="180">
        <v>1999.6</v>
      </c>
      <c r="M13" s="180">
        <v>1999.6</v>
      </c>
      <c r="N13" s="180">
        <v>0</v>
      </c>
      <c r="O13" s="180">
        <v>0</v>
      </c>
      <c r="P13" s="18"/>
      <c r="Q13" s="19"/>
    </row>
    <row r="14" spans="1:17">
      <c r="A14" s="231"/>
      <c r="B14" s="228"/>
      <c r="C14" s="17" t="s">
        <v>101</v>
      </c>
      <c r="D14" s="18">
        <v>1405.2</v>
      </c>
      <c r="E14" s="18">
        <v>1405.2</v>
      </c>
      <c r="F14" s="18">
        <v>0</v>
      </c>
      <c r="G14" s="18">
        <v>0</v>
      </c>
      <c r="H14" s="18">
        <v>991.9</v>
      </c>
      <c r="I14" s="18">
        <v>991.9</v>
      </c>
      <c r="J14" s="18">
        <v>0</v>
      </c>
      <c r="K14" s="18">
        <v>0</v>
      </c>
      <c r="L14" s="180">
        <v>982.5</v>
      </c>
      <c r="M14" s="180">
        <v>982.5</v>
      </c>
      <c r="N14" s="180">
        <v>0</v>
      </c>
      <c r="O14" s="180">
        <v>0</v>
      </c>
      <c r="P14" s="18"/>
      <c r="Q14" s="19"/>
    </row>
    <row r="15" spans="1:17">
      <c r="A15" s="231"/>
      <c r="B15" s="228"/>
      <c r="C15" s="17" t="s">
        <v>347</v>
      </c>
      <c r="D15" s="18">
        <v>1.2</v>
      </c>
      <c r="E15" s="18">
        <v>1.2</v>
      </c>
      <c r="F15" s="18">
        <v>0</v>
      </c>
      <c r="G15" s="18">
        <v>0</v>
      </c>
      <c r="H15" s="18">
        <v>1.2</v>
      </c>
      <c r="I15" s="18">
        <v>1.2</v>
      </c>
      <c r="J15" s="18">
        <v>0</v>
      </c>
      <c r="K15" s="18">
        <v>0</v>
      </c>
      <c r="L15" s="180">
        <v>1.2</v>
      </c>
      <c r="M15" s="180">
        <v>1.2</v>
      </c>
      <c r="N15" s="180">
        <v>0</v>
      </c>
      <c r="O15" s="180">
        <v>0</v>
      </c>
      <c r="P15" s="18"/>
      <c r="Q15" s="19"/>
    </row>
    <row r="16" spans="1:17">
      <c r="A16" s="231"/>
      <c r="B16" s="228"/>
      <c r="C16" s="17" t="s">
        <v>102</v>
      </c>
      <c r="D16" s="18">
        <v>3469.4</v>
      </c>
      <c r="E16" s="18">
        <v>1867.5</v>
      </c>
      <c r="F16" s="18">
        <v>0</v>
      </c>
      <c r="G16" s="18">
        <v>1601.9</v>
      </c>
      <c r="H16" s="18">
        <v>2754.2</v>
      </c>
      <c r="I16" s="18">
        <v>1263.3</v>
      </c>
      <c r="J16" s="18">
        <v>0</v>
      </c>
      <c r="K16" s="18">
        <v>1490.9</v>
      </c>
      <c r="L16" s="180">
        <v>2257.6999999999998</v>
      </c>
      <c r="M16" s="180">
        <v>991.2</v>
      </c>
      <c r="N16" s="180">
        <v>0</v>
      </c>
      <c r="O16" s="180">
        <v>1266.5</v>
      </c>
      <c r="P16" s="18"/>
      <c r="Q16" s="19"/>
    </row>
    <row r="17" spans="1:17">
      <c r="A17" s="231"/>
      <c r="B17" s="228"/>
      <c r="C17" s="17" t="s">
        <v>103</v>
      </c>
      <c r="D17" s="18">
        <v>2400</v>
      </c>
      <c r="E17" s="18">
        <v>0</v>
      </c>
      <c r="F17" s="18">
        <v>0</v>
      </c>
      <c r="G17" s="18">
        <v>2400</v>
      </c>
      <c r="H17" s="18">
        <v>1200</v>
      </c>
      <c r="I17" s="18">
        <v>0</v>
      </c>
      <c r="J17" s="18">
        <v>0</v>
      </c>
      <c r="K17" s="18">
        <v>1200</v>
      </c>
      <c r="L17" s="180">
        <v>785.6</v>
      </c>
      <c r="M17" s="180">
        <v>0</v>
      </c>
      <c r="N17" s="180">
        <v>0</v>
      </c>
      <c r="O17" s="180">
        <v>785.6</v>
      </c>
      <c r="P17" s="18"/>
      <c r="Q17" s="19"/>
    </row>
    <row r="18" spans="1:17">
      <c r="A18" s="231"/>
      <c r="B18" s="228"/>
      <c r="C18" s="17" t="s">
        <v>104</v>
      </c>
      <c r="D18" s="18">
        <v>275.89999999999998</v>
      </c>
      <c r="E18" s="18">
        <v>275.89999999999998</v>
      </c>
      <c r="F18" s="18">
        <v>8</v>
      </c>
      <c r="G18" s="18">
        <v>0</v>
      </c>
      <c r="H18" s="18">
        <v>207</v>
      </c>
      <c r="I18" s="18">
        <v>207</v>
      </c>
      <c r="J18" s="18">
        <v>6</v>
      </c>
      <c r="K18" s="18">
        <v>0</v>
      </c>
      <c r="L18" s="180">
        <v>172.4</v>
      </c>
      <c r="M18" s="180">
        <v>172.4</v>
      </c>
      <c r="N18" s="180">
        <v>5.9</v>
      </c>
      <c r="O18" s="180">
        <v>0</v>
      </c>
      <c r="P18" s="18"/>
      <c r="Q18" s="19"/>
    </row>
    <row r="19" spans="1:17" ht="22.5">
      <c r="A19" s="231"/>
      <c r="B19" s="228"/>
      <c r="C19" s="17" t="s">
        <v>332</v>
      </c>
      <c r="D19" s="18">
        <v>1.1000000000000001</v>
      </c>
      <c r="E19" s="18">
        <v>1.1000000000000001</v>
      </c>
      <c r="F19" s="18">
        <v>0</v>
      </c>
      <c r="G19" s="18">
        <v>0</v>
      </c>
      <c r="H19" s="18">
        <v>1.1000000000000001</v>
      </c>
      <c r="I19" s="18">
        <v>1.1000000000000001</v>
      </c>
      <c r="J19" s="18">
        <v>0</v>
      </c>
      <c r="K19" s="18">
        <v>0</v>
      </c>
      <c r="L19" s="180">
        <v>1.1000000000000001</v>
      </c>
      <c r="M19" s="180">
        <v>1.1000000000000001</v>
      </c>
      <c r="N19" s="180">
        <v>0</v>
      </c>
      <c r="O19" s="180">
        <v>0</v>
      </c>
      <c r="P19" s="18"/>
      <c r="Q19" s="19"/>
    </row>
    <row r="20" spans="1:17" ht="22.5">
      <c r="A20" s="231"/>
      <c r="B20" s="228"/>
      <c r="C20" s="17" t="s">
        <v>322</v>
      </c>
      <c r="D20" s="18">
        <v>180</v>
      </c>
      <c r="E20" s="18">
        <v>0</v>
      </c>
      <c r="F20" s="18">
        <v>0</v>
      </c>
      <c r="G20" s="18">
        <v>180</v>
      </c>
      <c r="H20" s="18">
        <v>180</v>
      </c>
      <c r="I20" s="18">
        <v>0</v>
      </c>
      <c r="J20" s="18">
        <v>0</v>
      </c>
      <c r="K20" s="18">
        <v>180</v>
      </c>
      <c r="L20" s="180">
        <v>0</v>
      </c>
      <c r="M20" s="180">
        <v>0</v>
      </c>
      <c r="N20" s="180">
        <v>0</v>
      </c>
      <c r="O20" s="180">
        <v>0</v>
      </c>
      <c r="P20" s="18"/>
      <c r="Q20" s="19"/>
    </row>
    <row r="21" spans="1:17">
      <c r="A21" s="231"/>
      <c r="B21" s="227"/>
      <c r="C21" s="17" t="s">
        <v>105</v>
      </c>
      <c r="D21" s="18">
        <v>218.6</v>
      </c>
      <c r="E21" s="18">
        <v>90.3</v>
      </c>
      <c r="F21" s="18">
        <v>0</v>
      </c>
      <c r="G21" s="18">
        <v>128.30000000000001</v>
      </c>
      <c r="H21" s="18">
        <v>198.1</v>
      </c>
      <c r="I21" s="18">
        <v>69.8</v>
      </c>
      <c r="J21" s="18">
        <v>0</v>
      </c>
      <c r="K21" s="18">
        <v>128.30000000000001</v>
      </c>
      <c r="L21" s="180">
        <v>20</v>
      </c>
      <c r="M21" s="180">
        <v>18.5</v>
      </c>
      <c r="N21" s="180">
        <v>0</v>
      </c>
      <c r="O21" s="180">
        <v>1.5</v>
      </c>
      <c r="P21" s="18"/>
      <c r="Q21" s="19"/>
    </row>
    <row r="22" spans="1:17">
      <c r="A22" s="231"/>
      <c r="B22" s="226" t="s">
        <v>348</v>
      </c>
      <c r="C22" s="17" t="s">
        <v>100</v>
      </c>
      <c r="D22" s="18">
        <v>1.7</v>
      </c>
      <c r="E22" s="18">
        <v>1.7</v>
      </c>
      <c r="F22" s="18">
        <v>0</v>
      </c>
      <c r="G22" s="18">
        <v>0</v>
      </c>
      <c r="H22" s="18">
        <v>1.7</v>
      </c>
      <c r="I22" s="18">
        <v>1.7</v>
      </c>
      <c r="J22" s="18">
        <v>0</v>
      </c>
      <c r="K22" s="18">
        <v>0</v>
      </c>
      <c r="L22" s="180">
        <v>1.7</v>
      </c>
      <c r="M22" s="180">
        <v>1.7</v>
      </c>
      <c r="N22" s="180">
        <v>0</v>
      </c>
      <c r="O22" s="180">
        <v>0</v>
      </c>
      <c r="P22" s="18"/>
      <c r="Q22" s="19"/>
    </row>
    <row r="23" spans="1:17">
      <c r="A23" s="231"/>
      <c r="B23" s="228"/>
      <c r="C23" s="17" t="s">
        <v>102</v>
      </c>
      <c r="D23" s="18">
        <v>716.2</v>
      </c>
      <c r="E23" s="18">
        <v>213.7</v>
      </c>
      <c r="F23" s="18">
        <v>0</v>
      </c>
      <c r="G23" s="18">
        <v>502.5</v>
      </c>
      <c r="H23" s="18">
        <v>534.20000000000005</v>
      </c>
      <c r="I23" s="18">
        <v>208.7</v>
      </c>
      <c r="J23" s="18">
        <v>0</v>
      </c>
      <c r="K23" s="18">
        <v>325.5</v>
      </c>
      <c r="L23" s="180">
        <v>302.5</v>
      </c>
      <c r="M23" s="180">
        <v>120.1</v>
      </c>
      <c r="N23" s="180">
        <v>0</v>
      </c>
      <c r="O23" s="180">
        <v>182.4</v>
      </c>
      <c r="P23" s="18"/>
      <c r="Q23" s="19"/>
    </row>
    <row r="24" spans="1:17">
      <c r="A24" s="231"/>
      <c r="B24" s="228"/>
      <c r="C24" s="17" t="s">
        <v>104</v>
      </c>
      <c r="D24" s="18">
        <v>458</v>
      </c>
      <c r="E24" s="18">
        <v>458</v>
      </c>
      <c r="F24" s="18">
        <v>0</v>
      </c>
      <c r="G24" s="18">
        <v>0</v>
      </c>
      <c r="H24" s="18">
        <v>389.4</v>
      </c>
      <c r="I24" s="18">
        <v>389.4</v>
      </c>
      <c r="J24" s="18">
        <v>0</v>
      </c>
      <c r="K24" s="18">
        <v>0</v>
      </c>
      <c r="L24" s="180">
        <v>285.60000000000002</v>
      </c>
      <c r="M24" s="180">
        <v>285.60000000000002</v>
      </c>
      <c r="N24" s="180">
        <v>0</v>
      </c>
      <c r="O24" s="180">
        <v>0</v>
      </c>
      <c r="P24" s="18"/>
      <c r="Q24" s="19"/>
    </row>
    <row r="25" spans="1:17" ht="15.75" customHeight="1">
      <c r="A25" s="231"/>
      <c r="B25" s="227"/>
      <c r="C25" s="17" t="s">
        <v>105</v>
      </c>
      <c r="D25" s="18">
        <v>0.2</v>
      </c>
      <c r="E25" s="18">
        <v>0.2</v>
      </c>
      <c r="F25" s="18">
        <v>0</v>
      </c>
      <c r="G25" s="18">
        <v>0</v>
      </c>
      <c r="H25" s="18">
        <v>0.2</v>
      </c>
      <c r="I25" s="18">
        <v>0.2</v>
      </c>
      <c r="J25" s="18">
        <v>0</v>
      </c>
      <c r="K25" s="18">
        <v>0</v>
      </c>
      <c r="L25" s="180">
        <v>0.2</v>
      </c>
      <c r="M25" s="180">
        <v>0.2</v>
      </c>
      <c r="N25" s="180">
        <v>0</v>
      </c>
      <c r="O25" s="180">
        <v>0</v>
      </c>
      <c r="P25" s="18"/>
      <c r="Q25" s="19"/>
    </row>
    <row r="26" spans="1:17">
      <c r="A26" s="231"/>
      <c r="B26" s="226" t="s">
        <v>359</v>
      </c>
      <c r="C26" s="17" t="s">
        <v>106</v>
      </c>
      <c r="D26" s="18">
        <v>547.20000000000005</v>
      </c>
      <c r="E26" s="18">
        <v>497.2</v>
      </c>
      <c r="F26" s="18">
        <v>0</v>
      </c>
      <c r="G26" s="18">
        <v>50</v>
      </c>
      <c r="H26" s="18">
        <v>389.6</v>
      </c>
      <c r="I26" s="18">
        <v>339.6</v>
      </c>
      <c r="J26" s="18">
        <v>0</v>
      </c>
      <c r="K26" s="18">
        <v>50</v>
      </c>
      <c r="L26" s="180">
        <v>236.1</v>
      </c>
      <c r="M26" s="180">
        <v>225.9</v>
      </c>
      <c r="N26" s="180">
        <v>0</v>
      </c>
      <c r="O26" s="180">
        <v>10.199999999999999</v>
      </c>
      <c r="P26" s="18"/>
      <c r="Q26" s="19"/>
    </row>
    <row r="27" spans="1:17">
      <c r="A27" s="231"/>
      <c r="B27" s="228"/>
      <c r="C27" s="17" t="s">
        <v>100</v>
      </c>
      <c r="D27" s="18">
        <v>317</v>
      </c>
      <c r="E27" s="18">
        <v>1.7</v>
      </c>
      <c r="F27" s="18">
        <v>0</v>
      </c>
      <c r="G27" s="18">
        <v>315.3</v>
      </c>
      <c r="H27" s="18">
        <v>317</v>
      </c>
      <c r="I27" s="18">
        <v>1.7</v>
      </c>
      <c r="J27" s="18">
        <v>0</v>
      </c>
      <c r="K27" s="18">
        <v>315.3</v>
      </c>
      <c r="L27" s="180">
        <v>94.8</v>
      </c>
      <c r="M27" s="180">
        <v>0</v>
      </c>
      <c r="N27" s="180">
        <v>0</v>
      </c>
      <c r="O27" s="180">
        <v>94.8</v>
      </c>
      <c r="P27" s="18"/>
      <c r="Q27" s="19"/>
    </row>
    <row r="28" spans="1:17">
      <c r="A28" s="231"/>
      <c r="B28" s="228"/>
      <c r="C28" s="17" t="s">
        <v>107</v>
      </c>
      <c r="D28" s="18">
        <v>2700</v>
      </c>
      <c r="E28" s="18">
        <v>2302.6</v>
      </c>
      <c r="F28" s="18">
        <v>0</v>
      </c>
      <c r="G28" s="18">
        <v>397.4</v>
      </c>
      <c r="H28" s="18">
        <v>2550</v>
      </c>
      <c r="I28" s="18">
        <v>2152.4</v>
      </c>
      <c r="J28" s="18">
        <v>0</v>
      </c>
      <c r="K28" s="18">
        <v>397.6</v>
      </c>
      <c r="L28" s="180">
        <v>2387.1</v>
      </c>
      <c r="M28" s="180">
        <v>2151.4</v>
      </c>
      <c r="N28" s="180">
        <v>0</v>
      </c>
      <c r="O28" s="180">
        <v>235.7</v>
      </c>
      <c r="P28" s="18"/>
      <c r="Q28" s="19"/>
    </row>
    <row r="29" spans="1:17">
      <c r="A29" s="231"/>
      <c r="B29" s="228"/>
      <c r="C29" s="17" t="s">
        <v>108</v>
      </c>
      <c r="D29" s="18">
        <v>73.8</v>
      </c>
      <c r="E29" s="18">
        <v>73.8</v>
      </c>
      <c r="F29" s="18">
        <v>0</v>
      </c>
      <c r="G29" s="18">
        <v>0</v>
      </c>
      <c r="H29" s="18">
        <v>73.8</v>
      </c>
      <c r="I29" s="18">
        <v>73.8</v>
      </c>
      <c r="J29" s="18">
        <v>0</v>
      </c>
      <c r="K29" s="18">
        <v>0</v>
      </c>
      <c r="L29" s="180">
        <v>73.8</v>
      </c>
      <c r="M29" s="180">
        <v>73.8</v>
      </c>
      <c r="N29" s="180">
        <v>0</v>
      </c>
      <c r="O29" s="180">
        <v>0</v>
      </c>
      <c r="P29" s="18"/>
      <c r="Q29" s="19"/>
    </row>
    <row r="30" spans="1:17">
      <c r="A30" s="231"/>
      <c r="B30" s="228"/>
      <c r="C30" s="17" t="s">
        <v>323</v>
      </c>
      <c r="D30" s="18">
        <v>404.2</v>
      </c>
      <c r="E30" s="18">
        <v>404.2</v>
      </c>
      <c r="F30" s="18">
        <v>0</v>
      </c>
      <c r="G30" s="18">
        <v>0</v>
      </c>
      <c r="H30" s="18">
        <v>404.2</v>
      </c>
      <c r="I30" s="18">
        <v>404.2</v>
      </c>
      <c r="J30" s="18">
        <v>0</v>
      </c>
      <c r="K30" s="18">
        <v>0</v>
      </c>
      <c r="L30" s="180">
        <v>404.2</v>
      </c>
      <c r="M30" s="180">
        <v>404.2</v>
      </c>
      <c r="N30" s="180">
        <v>0</v>
      </c>
      <c r="O30" s="180">
        <v>0</v>
      </c>
      <c r="P30" s="18"/>
      <c r="Q30" s="19"/>
    </row>
    <row r="31" spans="1:17">
      <c r="A31" s="231"/>
      <c r="B31" s="228"/>
      <c r="C31" s="17" t="s">
        <v>324</v>
      </c>
      <c r="D31" s="18">
        <v>29.8</v>
      </c>
      <c r="E31" s="18">
        <v>0</v>
      </c>
      <c r="F31" s="18">
        <v>0</v>
      </c>
      <c r="G31" s="18">
        <v>29.8</v>
      </c>
      <c r="H31" s="18">
        <v>29.8</v>
      </c>
      <c r="I31" s="18">
        <v>0</v>
      </c>
      <c r="J31" s="18">
        <v>0</v>
      </c>
      <c r="K31" s="18">
        <v>29.8</v>
      </c>
      <c r="L31" s="180">
        <v>29.8</v>
      </c>
      <c r="M31" s="180">
        <v>0</v>
      </c>
      <c r="N31" s="180">
        <v>0</v>
      </c>
      <c r="O31" s="180">
        <v>29.8</v>
      </c>
      <c r="P31" s="18"/>
      <c r="Q31" s="19"/>
    </row>
    <row r="32" spans="1:17">
      <c r="A32" s="231"/>
      <c r="B32" s="228"/>
      <c r="C32" s="17" t="s">
        <v>109</v>
      </c>
      <c r="D32" s="18">
        <v>10</v>
      </c>
      <c r="E32" s="18">
        <v>10</v>
      </c>
      <c r="F32" s="18">
        <v>0</v>
      </c>
      <c r="G32" s="18">
        <v>0</v>
      </c>
      <c r="H32" s="18">
        <v>7.5</v>
      </c>
      <c r="I32" s="18">
        <v>7.5</v>
      </c>
      <c r="J32" s="18">
        <v>0</v>
      </c>
      <c r="K32" s="18">
        <v>0</v>
      </c>
      <c r="L32" s="180">
        <v>1.9</v>
      </c>
      <c r="M32" s="180">
        <v>1.9</v>
      </c>
      <c r="N32" s="180">
        <v>0</v>
      </c>
      <c r="O32" s="180">
        <v>0</v>
      </c>
      <c r="P32" s="18"/>
      <c r="Q32" s="19"/>
    </row>
    <row r="33" spans="1:17">
      <c r="A33" s="231"/>
      <c r="B33" s="228"/>
      <c r="C33" s="17" t="s">
        <v>102</v>
      </c>
      <c r="D33" s="18">
        <v>3437.6</v>
      </c>
      <c r="E33" s="182">
        <v>1883.2</v>
      </c>
      <c r="F33" s="18">
        <v>970.2</v>
      </c>
      <c r="G33" s="18">
        <v>1510.2</v>
      </c>
      <c r="H33" s="18">
        <v>2786.7</v>
      </c>
      <c r="I33" s="18">
        <v>1496</v>
      </c>
      <c r="J33" s="18">
        <v>742.4</v>
      </c>
      <c r="K33" s="18">
        <v>1290.7</v>
      </c>
      <c r="L33" s="180">
        <v>2200.6999999999998</v>
      </c>
      <c r="M33" s="180">
        <v>1261.0999999999999</v>
      </c>
      <c r="N33" s="180">
        <v>648.79999999999995</v>
      </c>
      <c r="O33" s="180">
        <v>939.6</v>
      </c>
      <c r="P33" s="18"/>
      <c r="Q33" s="19"/>
    </row>
    <row r="34" spans="1:17">
      <c r="A34" s="231"/>
      <c r="B34" s="227"/>
      <c r="C34" s="17" t="s">
        <v>104</v>
      </c>
      <c r="D34" s="18">
        <v>52</v>
      </c>
      <c r="E34" s="18">
        <v>52</v>
      </c>
      <c r="F34" s="18">
        <v>0</v>
      </c>
      <c r="G34" s="18">
        <v>0</v>
      </c>
      <c r="H34" s="18">
        <v>52</v>
      </c>
      <c r="I34" s="18">
        <v>52</v>
      </c>
      <c r="J34" s="18">
        <v>0</v>
      </c>
      <c r="K34" s="18">
        <v>0</v>
      </c>
      <c r="L34" s="180">
        <v>18.8</v>
      </c>
      <c r="M34" s="180">
        <v>18.8</v>
      </c>
      <c r="N34" s="180">
        <v>0</v>
      </c>
      <c r="O34" s="180">
        <v>0</v>
      </c>
      <c r="P34" s="18"/>
      <c r="Q34" s="19"/>
    </row>
    <row r="35" spans="1:17">
      <c r="A35" s="231"/>
      <c r="B35" s="226" t="s">
        <v>350</v>
      </c>
      <c r="C35" s="17" t="s">
        <v>106</v>
      </c>
      <c r="D35" s="18">
        <v>66.900000000000006</v>
      </c>
      <c r="E35" s="18">
        <v>66.900000000000006</v>
      </c>
      <c r="F35" s="18">
        <v>0</v>
      </c>
      <c r="G35" s="18">
        <v>0</v>
      </c>
      <c r="H35" s="18">
        <v>65.3</v>
      </c>
      <c r="I35" s="18">
        <v>65.3</v>
      </c>
      <c r="J35" s="18">
        <v>0</v>
      </c>
      <c r="K35" s="18">
        <v>0</v>
      </c>
      <c r="L35" s="180">
        <v>32.9</v>
      </c>
      <c r="M35" s="180">
        <v>32.9</v>
      </c>
      <c r="N35" s="180">
        <v>0</v>
      </c>
      <c r="O35" s="180">
        <v>0</v>
      </c>
      <c r="P35" s="18"/>
      <c r="Q35" s="19"/>
    </row>
    <row r="36" spans="1:17">
      <c r="A36" s="231"/>
      <c r="B36" s="228"/>
      <c r="C36" s="17" t="s">
        <v>325</v>
      </c>
      <c r="D36" s="18">
        <v>75.400000000000006</v>
      </c>
      <c r="E36" s="18">
        <v>75.400000000000006</v>
      </c>
      <c r="F36" s="18">
        <v>40.5</v>
      </c>
      <c r="G36" s="18">
        <v>0</v>
      </c>
      <c r="H36" s="18">
        <v>70.599999999999994</v>
      </c>
      <c r="I36" s="18">
        <v>70.599999999999994</v>
      </c>
      <c r="J36" s="18">
        <v>35.700000000000003</v>
      </c>
      <c r="K36" s="18">
        <v>0</v>
      </c>
      <c r="L36" s="180">
        <v>53.6</v>
      </c>
      <c r="M36" s="180">
        <v>53.6</v>
      </c>
      <c r="N36" s="180">
        <v>24.8</v>
      </c>
      <c r="O36" s="180">
        <v>0</v>
      </c>
      <c r="P36" s="18"/>
      <c r="Q36" s="19"/>
    </row>
    <row r="37" spans="1:17">
      <c r="A37" s="231"/>
      <c r="B37" s="228"/>
      <c r="C37" s="17" t="s">
        <v>326</v>
      </c>
      <c r="D37" s="18">
        <v>13.3</v>
      </c>
      <c r="E37" s="18">
        <v>13.3</v>
      </c>
      <c r="F37" s="18">
        <v>7</v>
      </c>
      <c r="G37" s="18">
        <v>0</v>
      </c>
      <c r="H37" s="18">
        <v>12.5</v>
      </c>
      <c r="I37" s="18">
        <v>12.5</v>
      </c>
      <c r="J37" s="18">
        <v>6.2</v>
      </c>
      <c r="K37" s="18">
        <v>0</v>
      </c>
      <c r="L37" s="180">
        <v>9.6</v>
      </c>
      <c r="M37" s="180">
        <v>9.6</v>
      </c>
      <c r="N37" s="180">
        <v>4.4000000000000004</v>
      </c>
      <c r="O37" s="180">
        <v>0</v>
      </c>
      <c r="P37" s="18"/>
      <c r="Q37" s="19"/>
    </row>
    <row r="38" spans="1:17">
      <c r="A38" s="231"/>
      <c r="B38" s="228"/>
      <c r="C38" s="17" t="s">
        <v>108</v>
      </c>
      <c r="D38" s="18">
        <v>21.5</v>
      </c>
      <c r="E38" s="18">
        <v>21.5</v>
      </c>
      <c r="F38" s="18">
        <v>0</v>
      </c>
      <c r="G38" s="18">
        <v>0</v>
      </c>
      <c r="H38" s="18">
        <v>21.5</v>
      </c>
      <c r="I38" s="18">
        <v>21.5</v>
      </c>
      <c r="J38" s="18">
        <v>0</v>
      </c>
      <c r="K38" s="18">
        <v>0</v>
      </c>
      <c r="L38" s="180">
        <v>6.7</v>
      </c>
      <c r="M38" s="180">
        <v>6.7</v>
      </c>
      <c r="N38" s="180">
        <v>0</v>
      </c>
      <c r="O38" s="180">
        <v>0</v>
      </c>
      <c r="P38" s="18"/>
      <c r="Q38" s="19"/>
    </row>
    <row r="39" spans="1:17">
      <c r="A39" s="231"/>
      <c r="B39" s="227"/>
      <c r="C39" s="17" t="s">
        <v>102</v>
      </c>
      <c r="D39" s="18">
        <v>624.79999999999995</v>
      </c>
      <c r="E39" s="18">
        <v>380.5</v>
      </c>
      <c r="F39" s="18">
        <v>139.19999999999999</v>
      </c>
      <c r="G39" s="18">
        <v>244.3</v>
      </c>
      <c r="H39" s="18">
        <v>573.6</v>
      </c>
      <c r="I39" s="18">
        <v>329.3</v>
      </c>
      <c r="J39" s="18">
        <v>104.4</v>
      </c>
      <c r="K39" s="18">
        <v>244.3</v>
      </c>
      <c r="L39" s="180">
        <v>489.3</v>
      </c>
      <c r="M39" s="180">
        <v>245.2</v>
      </c>
      <c r="N39" s="180">
        <v>104.6</v>
      </c>
      <c r="O39" s="180">
        <v>244.1</v>
      </c>
      <c r="P39" s="18"/>
      <c r="Q39" s="19"/>
    </row>
    <row r="40" spans="1:17">
      <c r="A40" s="231"/>
      <c r="B40" s="226" t="s">
        <v>351</v>
      </c>
      <c r="C40" s="17" t="s">
        <v>100</v>
      </c>
      <c r="D40" s="18">
        <v>429</v>
      </c>
      <c r="E40" s="18">
        <v>42.7</v>
      </c>
      <c r="F40" s="18">
        <v>1</v>
      </c>
      <c r="G40" s="18">
        <v>430.5</v>
      </c>
      <c r="H40" s="18">
        <v>404.8</v>
      </c>
      <c r="I40" s="18">
        <v>18.5</v>
      </c>
      <c r="J40" s="18">
        <v>0</v>
      </c>
      <c r="K40" s="18">
        <v>386.3</v>
      </c>
      <c r="L40" s="180">
        <v>18.2</v>
      </c>
      <c r="M40" s="180">
        <v>18.2</v>
      </c>
      <c r="N40" s="180">
        <v>0</v>
      </c>
      <c r="O40" s="180">
        <v>0</v>
      </c>
      <c r="P40" s="18"/>
      <c r="Q40" s="19"/>
    </row>
    <row r="41" spans="1:17">
      <c r="A41" s="231"/>
      <c r="B41" s="228"/>
      <c r="C41" s="17" t="s">
        <v>297</v>
      </c>
      <c r="D41" s="18">
        <v>198</v>
      </c>
      <c r="E41" s="18">
        <v>0</v>
      </c>
      <c r="F41" s="18">
        <v>0</v>
      </c>
      <c r="G41" s="18">
        <v>198</v>
      </c>
      <c r="H41" s="18">
        <v>198</v>
      </c>
      <c r="I41" s="18">
        <v>0</v>
      </c>
      <c r="J41" s="18">
        <v>0</v>
      </c>
      <c r="K41" s="18">
        <v>198</v>
      </c>
      <c r="L41" s="180">
        <v>198</v>
      </c>
      <c r="M41" s="180">
        <v>0</v>
      </c>
      <c r="N41" s="180">
        <v>0</v>
      </c>
      <c r="O41" s="180">
        <v>198</v>
      </c>
      <c r="P41" s="18"/>
      <c r="Q41" s="19"/>
    </row>
    <row r="42" spans="1:17">
      <c r="A42" s="231"/>
      <c r="B42" s="228"/>
      <c r="C42" s="17" t="s">
        <v>110</v>
      </c>
      <c r="D42" s="18">
        <v>24.9</v>
      </c>
      <c r="E42" s="18">
        <v>24.9</v>
      </c>
      <c r="F42" s="18">
        <v>0</v>
      </c>
      <c r="G42" s="18">
        <v>0</v>
      </c>
      <c r="H42" s="18">
        <v>24.9</v>
      </c>
      <c r="I42" s="18">
        <v>24.9</v>
      </c>
      <c r="J42" s="18">
        <v>0</v>
      </c>
      <c r="K42" s="18">
        <v>0</v>
      </c>
      <c r="L42" s="180">
        <v>24.9</v>
      </c>
      <c r="M42" s="180">
        <v>24.9</v>
      </c>
      <c r="N42" s="180">
        <v>0</v>
      </c>
      <c r="O42" s="180">
        <v>0</v>
      </c>
      <c r="P42" s="18"/>
      <c r="Q42" s="19"/>
    </row>
    <row r="43" spans="1:17">
      <c r="A43" s="231"/>
      <c r="B43" s="228"/>
      <c r="C43" s="17" t="s">
        <v>109</v>
      </c>
      <c r="D43" s="18">
        <v>26</v>
      </c>
      <c r="E43" s="18">
        <v>26</v>
      </c>
      <c r="F43" s="18">
        <v>0</v>
      </c>
      <c r="G43" s="18">
        <v>0</v>
      </c>
      <c r="H43" s="18">
        <v>17</v>
      </c>
      <c r="I43" s="18">
        <v>17</v>
      </c>
      <c r="J43" s="18">
        <v>0</v>
      </c>
      <c r="K43" s="18">
        <v>0</v>
      </c>
      <c r="L43" s="180">
        <v>6.2</v>
      </c>
      <c r="M43" s="180">
        <v>6.2</v>
      </c>
      <c r="N43" s="180">
        <v>0</v>
      </c>
      <c r="O43" s="180">
        <v>0</v>
      </c>
      <c r="P43" s="18"/>
      <c r="Q43" s="19"/>
    </row>
    <row r="44" spans="1:17">
      <c r="A44" s="231"/>
      <c r="B44" s="228"/>
      <c r="C44" s="17" t="s">
        <v>102</v>
      </c>
      <c r="D44" s="18">
        <v>5496.3</v>
      </c>
      <c r="E44" s="18">
        <v>5037.3</v>
      </c>
      <c r="F44" s="18">
        <v>0</v>
      </c>
      <c r="G44" s="18">
        <v>459</v>
      </c>
      <c r="H44" s="18">
        <v>5121.7</v>
      </c>
      <c r="I44" s="18">
        <v>4662.7</v>
      </c>
      <c r="J44" s="18">
        <v>0</v>
      </c>
      <c r="K44" s="18">
        <v>459</v>
      </c>
      <c r="L44" s="180">
        <v>4428.6000000000004</v>
      </c>
      <c r="M44" s="180">
        <v>4223.7</v>
      </c>
      <c r="N44" s="180">
        <v>0</v>
      </c>
      <c r="O44" s="180">
        <v>204.8</v>
      </c>
      <c r="P44" s="18"/>
      <c r="Q44" s="19"/>
    </row>
    <row r="45" spans="1:17">
      <c r="A45" s="231"/>
      <c r="B45" s="228"/>
      <c r="C45" s="17" t="s">
        <v>352</v>
      </c>
      <c r="D45" s="18">
        <v>103</v>
      </c>
      <c r="E45" s="18">
        <v>0</v>
      </c>
      <c r="F45" s="18">
        <v>0</v>
      </c>
      <c r="G45" s="18">
        <v>103</v>
      </c>
      <c r="H45" s="18">
        <v>103</v>
      </c>
      <c r="I45" s="18">
        <v>0</v>
      </c>
      <c r="J45" s="18">
        <v>0</v>
      </c>
      <c r="K45" s="18">
        <v>103</v>
      </c>
      <c r="L45" s="180">
        <v>0</v>
      </c>
      <c r="M45" s="180">
        <v>0</v>
      </c>
      <c r="N45" s="180">
        <v>0</v>
      </c>
      <c r="O45" s="180">
        <v>0</v>
      </c>
      <c r="P45" s="18"/>
      <c r="Q45" s="19"/>
    </row>
    <row r="46" spans="1:17">
      <c r="A46" s="231"/>
      <c r="B46" s="228"/>
      <c r="C46" s="17" t="s">
        <v>103</v>
      </c>
      <c r="D46" s="18">
        <v>200</v>
      </c>
      <c r="E46" s="18">
        <v>0</v>
      </c>
      <c r="F46" s="18">
        <v>0</v>
      </c>
      <c r="G46" s="18">
        <v>200</v>
      </c>
      <c r="H46" s="18">
        <v>200</v>
      </c>
      <c r="I46" s="18">
        <v>0</v>
      </c>
      <c r="J46" s="18">
        <v>0</v>
      </c>
      <c r="K46" s="18">
        <v>200</v>
      </c>
      <c r="L46" s="180">
        <v>36.4</v>
      </c>
      <c r="M46" s="180">
        <v>0</v>
      </c>
      <c r="N46" s="180">
        <v>0</v>
      </c>
      <c r="O46" s="180">
        <v>36.4</v>
      </c>
      <c r="P46" s="18"/>
      <c r="Q46" s="19"/>
    </row>
    <row r="47" spans="1:17">
      <c r="A47" s="231"/>
      <c r="B47" s="228"/>
      <c r="C47" s="17" t="s">
        <v>104</v>
      </c>
      <c r="D47" s="18">
        <v>3027.5</v>
      </c>
      <c r="E47" s="18">
        <v>3027.5</v>
      </c>
      <c r="F47" s="18">
        <v>71.7</v>
      </c>
      <c r="G47" s="18">
        <v>0</v>
      </c>
      <c r="H47" s="18">
        <v>2654.4</v>
      </c>
      <c r="I47" s="18">
        <v>2654.4</v>
      </c>
      <c r="J47" s="18">
        <v>53.2</v>
      </c>
      <c r="K47" s="18">
        <v>0</v>
      </c>
      <c r="L47" s="180">
        <v>2345.1999999999998</v>
      </c>
      <c r="M47" s="180">
        <v>2345.1999999999998</v>
      </c>
      <c r="N47" s="180">
        <v>49.8</v>
      </c>
      <c r="O47" s="180">
        <v>0</v>
      </c>
      <c r="P47" s="18"/>
      <c r="Q47" s="19"/>
    </row>
    <row r="48" spans="1:17" ht="22.5">
      <c r="A48" s="231"/>
      <c r="B48" s="227"/>
      <c r="C48" s="17" t="s">
        <v>332</v>
      </c>
      <c r="D48" s="18">
        <v>284.60000000000002</v>
      </c>
      <c r="E48" s="18">
        <v>284.60000000000002</v>
      </c>
      <c r="F48" s="18">
        <v>0</v>
      </c>
      <c r="G48" s="18">
        <v>0</v>
      </c>
      <c r="H48" s="18">
        <v>234.6</v>
      </c>
      <c r="I48" s="18">
        <v>234.6</v>
      </c>
      <c r="J48" s="18">
        <v>0</v>
      </c>
      <c r="K48" s="18">
        <v>0</v>
      </c>
      <c r="L48" s="180">
        <v>218.9</v>
      </c>
      <c r="M48" s="180">
        <v>218.9</v>
      </c>
      <c r="N48" s="180">
        <v>0</v>
      </c>
      <c r="O48" s="180">
        <v>0</v>
      </c>
      <c r="P48" s="18"/>
      <c r="Q48" s="19"/>
    </row>
    <row r="49" spans="1:17">
      <c r="A49" s="231"/>
      <c r="B49" s="226" t="s">
        <v>335</v>
      </c>
      <c r="C49" s="17" t="s">
        <v>100</v>
      </c>
      <c r="D49" s="18">
        <v>1122.5</v>
      </c>
      <c r="E49" s="18">
        <v>7</v>
      </c>
      <c r="F49" s="18">
        <v>6.9</v>
      </c>
      <c r="G49" s="18">
        <v>1115.5</v>
      </c>
      <c r="H49" s="18">
        <v>1120.8</v>
      </c>
      <c r="I49" s="18">
        <v>5.3</v>
      </c>
      <c r="J49" s="18">
        <v>5.2</v>
      </c>
      <c r="K49" s="18">
        <v>1115.5</v>
      </c>
      <c r="L49" s="180">
        <v>848.5</v>
      </c>
      <c r="M49" s="180">
        <v>0</v>
      </c>
      <c r="N49" s="180">
        <v>0</v>
      </c>
      <c r="O49" s="180">
        <v>848.5</v>
      </c>
      <c r="P49" s="18"/>
      <c r="Q49" s="19"/>
    </row>
    <row r="50" spans="1:17">
      <c r="A50" s="231"/>
      <c r="B50" s="228"/>
      <c r="C50" s="17" t="s">
        <v>353</v>
      </c>
      <c r="D50" s="18">
        <v>56.1</v>
      </c>
      <c r="E50" s="18">
        <v>0</v>
      </c>
      <c r="F50" s="18">
        <v>0</v>
      </c>
      <c r="G50" s="18">
        <v>56.1</v>
      </c>
      <c r="H50" s="18">
        <v>56.1</v>
      </c>
      <c r="I50" s="18">
        <v>0</v>
      </c>
      <c r="J50" s="18">
        <v>0</v>
      </c>
      <c r="K50" s="18">
        <v>56.1</v>
      </c>
      <c r="L50" s="180">
        <v>16.8</v>
      </c>
      <c r="M50" s="180">
        <v>0</v>
      </c>
      <c r="N50" s="180">
        <v>0</v>
      </c>
      <c r="O50" s="180">
        <v>16.8</v>
      </c>
      <c r="P50" s="18"/>
      <c r="Q50" s="19"/>
    </row>
    <row r="51" spans="1:17">
      <c r="A51" s="231"/>
      <c r="B51" s="228"/>
      <c r="C51" s="17" t="s">
        <v>111</v>
      </c>
      <c r="D51" s="18">
        <v>3155.7</v>
      </c>
      <c r="E51" s="18">
        <v>0</v>
      </c>
      <c r="F51" s="18">
        <v>0</v>
      </c>
      <c r="G51" s="18">
        <v>3155.7</v>
      </c>
      <c r="H51" s="18">
        <v>1687.9</v>
      </c>
      <c r="I51" s="18">
        <v>0</v>
      </c>
      <c r="J51" s="18">
        <v>0</v>
      </c>
      <c r="K51" s="18">
        <v>1687.9</v>
      </c>
      <c r="L51" s="180">
        <v>1139.9000000000001</v>
      </c>
      <c r="M51" s="180">
        <v>0</v>
      </c>
      <c r="N51" s="180">
        <v>0</v>
      </c>
      <c r="O51" s="183">
        <v>1139.9000000000001</v>
      </c>
      <c r="P51" s="18"/>
      <c r="Q51" s="19"/>
    </row>
    <row r="52" spans="1:17">
      <c r="A52" s="231"/>
      <c r="B52" s="228"/>
      <c r="C52" s="17" t="s">
        <v>110</v>
      </c>
      <c r="D52" s="18">
        <v>917.9</v>
      </c>
      <c r="E52" s="18">
        <v>38.1</v>
      </c>
      <c r="F52" s="18">
        <v>0</v>
      </c>
      <c r="G52" s="18">
        <v>879.8</v>
      </c>
      <c r="H52" s="18">
        <v>917.9</v>
      </c>
      <c r="I52" s="18">
        <v>38.1</v>
      </c>
      <c r="J52" s="18">
        <v>0</v>
      </c>
      <c r="K52" s="18">
        <v>879.8</v>
      </c>
      <c r="L52" s="180">
        <v>908.5</v>
      </c>
      <c r="M52" s="180">
        <v>37.1</v>
      </c>
      <c r="N52" s="180">
        <v>0</v>
      </c>
      <c r="O52" s="180">
        <v>871.4</v>
      </c>
      <c r="P52" s="18"/>
      <c r="Q52" s="19"/>
    </row>
    <row r="53" spans="1:17">
      <c r="A53" s="231"/>
      <c r="B53" s="228"/>
      <c r="C53" s="17" t="s">
        <v>109</v>
      </c>
      <c r="D53" s="18">
        <v>1105</v>
      </c>
      <c r="E53" s="18">
        <v>105</v>
      </c>
      <c r="F53" s="18">
        <v>0</v>
      </c>
      <c r="G53" s="18">
        <v>1000</v>
      </c>
      <c r="H53" s="18">
        <v>829</v>
      </c>
      <c r="I53" s="18">
        <v>104</v>
      </c>
      <c r="J53" s="18">
        <v>0</v>
      </c>
      <c r="K53" s="18">
        <v>725</v>
      </c>
      <c r="L53" s="180">
        <v>163.6</v>
      </c>
      <c r="M53" s="180">
        <v>42.1</v>
      </c>
      <c r="N53" s="180">
        <v>0</v>
      </c>
      <c r="O53" s="180">
        <v>121.5</v>
      </c>
      <c r="P53" s="18"/>
      <c r="Q53" s="19"/>
    </row>
    <row r="54" spans="1:17">
      <c r="A54" s="231"/>
      <c r="B54" s="228"/>
      <c r="C54" s="17" t="s">
        <v>102</v>
      </c>
      <c r="D54" s="18">
        <v>2981.4</v>
      </c>
      <c r="E54" s="18">
        <v>1367.9</v>
      </c>
      <c r="F54" s="18">
        <v>8.6</v>
      </c>
      <c r="G54" s="18">
        <v>1613.5</v>
      </c>
      <c r="H54" s="18">
        <v>2668.3</v>
      </c>
      <c r="I54" s="18">
        <v>1054.8</v>
      </c>
      <c r="J54" s="18">
        <v>6.5</v>
      </c>
      <c r="K54" s="18">
        <v>1613.5</v>
      </c>
      <c r="L54" s="180">
        <v>1408.7</v>
      </c>
      <c r="M54" s="180">
        <v>547</v>
      </c>
      <c r="N54" s="180">
        <v>0</v>
      </c>
      <c r="O54" s="180">
        <v>861.7</v>
      </c>
      <c r="P54" s="18"/>
      <c r="Q54" s="19"/>
    </row>
    <row r="55" spans="1:17">
      <c r="A55" s="231"/>
      <c r="B55" s="228"/>
      <c r="C55" s="17" t="s">
        <v>352</v>
      </c>
      <c r="D55" s="18">
        <v>36</v>
      </c>
      <c r="E55" s="18">
        <v>0</v>
      </c>
      <c r="F55" s="18">
        <v>0</v>
      </c>
      <c r="G55" s="18">
        <v>36</v>
      </c>
      <c r="H55" s="18">
        <v>36</v>
      </c>
      <c r="I55" s="18">
        <v>0</v>
      </c>
      <c r="J55" s="18">
        <v>0</v>
      </c>
      <c r="K55" s="18">
        <v>36</v>
      </c>
      <c r="L55" s="180">
        <v>29.3</v>
      </c>
      <c r="M55" s="180">
        <v>0</v>
      </c>
      <c r="N55" s="180">
        <v>0</v>
      </c>
      <c r="O55" s="180">
        <v>29.3</v>
      </c>
      <c r="P55" s="18"/>
      <c r="Q55" s="19"/>
    </row>
    <row r="56" spans="1:17">
      <c r="A56" s="231"/>
      <c r="B56" s="228"/>
      <c r="C56" s="17" t="s">
        <v>103</v>
      </c>
      <c r="D56" s="18">
        <v>500</v>
      </c>
      <c r="E56" s="18">
        <v>0</v>
      </c>
      <c r="F56" s="18">
        <v>0</v>
      </c>
      <c r="G56" s="18">
        <v>500</v>
      </c>
      <c r="H56" s="18">
        <v>500</v>
      </c>
      <c r="I56" s="18">
        <v>0</v>
      </c>
      <c r="J56" s="18">
        <v>0</v>
      </c>
      <c r="K56" s="18">
        <v>500</v>
      </c>
      <c r="L56" s="180">
        <v>443.6</v>
      </c>
      <c r="M56" s="180">
        <v>0</v>
      </c>
      <c r="N56" s="180">
        <v>0</v>
      </c>
      <c r="O56" s="180">
        <v>443.6</v>
      </c>
      <c r="P56" s="18"/>
      <c r="Q56" s="19"/>
    </row>
    <row r="57" spans="1:17">
      <c r="A57" s="231"/>
      <c r="B57" s="228"/>
      <c r="C57" s="17" t="s">
        <v>105</v>
      </c>
      <c r="D57" s="18">
        <v>31.6</v>
      </c>
      <c r="E57" s="18">
        <v>0</v>
      </c>
      <c r="F57" s="18">
        <v>0</v>
      </c>
      <c r="G57" s="18">
        <v>31.6</v>
      </c>
      <c r="H57" s="18">
        <v>31.6</v>
      </c>
      <c r="I57" s="18">
        <v>0</v>
      </c>
      <c r="J57" s="18">
        <v>0</v>
      </c>
      <c r="K57" s="18">
        <v>31.6</v>
      </c>
      <c r="L57" s="180">
        <v>29.3</v>
      </c>
      <c r="M57" s="180">
        <v>0</v>
      </c>
      <c r="N57" s="180">
        <v>0</v>
      </c>
      <c r="O57" s="180">
        <v>29.3</v>
      </c>
      <c r="P57" s="18"/>
      <c r="Q57" s="19"/>
    </row>
    <row r="58" spans="1:17">
      <c r="A58" s="231"/>
      <c r="B58" s="228"/>
      <c r="C58" s="17" t="s">
        <v>327</v>
      </c>
      <c r="D58" s="18">
        <v>3419.9</v>
      </c>
      <c r="E58" s="18">
        <v>1683.6</v>
      </c>
      <c r="F58" s="18">
        <v>0</v>
      </c>
      <c r="G58" s="18">
        <v>1736.3</v>
      </c>
      <c r="H58" s="18">
        <v>3329.5</v>
      </c>
      <c r="I58" s="18">
        <v>1593.2</v>
      </c>
      <c r="J58" s="18">
        <v>0</v>
      </c>
      <c r="K58" s="18">
        <v>1736.3</v>
      </c>
      <c r="L58" s="180">
        <v>2741.5</v>
      </c>
      <c r="M58" s="180">
        <v>1397.1</v>
      </c>
      <c r="N58" s="180">
        <v>0</v>
      </c>
      <c r="O58" s="180">
        <v>1344.4</v>
      </c>
      <c r="P58" s="18"/>
      <c r="Q58" s="19"/>
    </row>
    <row r="59" spans="1:17">
      <c r="A59" s="231"/>
      <c r="B59" s="227"/>
      <c r="C59" s="17" t="s">
        <v>112</v>
      </c>
      <c r="D59" s="18">
        <v>100</v>
      </c>
      <c r="E59" s="18">
        <v>0</v>
      </c>
      <c r="F59" s="18">
        <v>0</v>
      </c>
      <c r="G59" s="18">
        <v>100</v>
      </c>
      <c r="H59" s="18">
        <v>100</v>
      </c>
      <c r="I59" s="18">
        <v>0</v>
      </c>
      <c r="J59" s="18">
        <v>0</v>
      </c>
      <c r="K59" s="18">
        <v>100</v>
      </c>
      <c r="L59" s="180">
        <v>82</v>
      </c>
      <c r="M59" s="180">
        <v>0</v>
      </c>
      <c r="N59" s="180">
        <v>0</v>
      </c>
      <c r="O59" s="180">
        <v>82</v>
      </c>
      <c r="P59" s="18"/>
      <c r="Q59" s="19"/>
    </row>
    <row r="60" spans="1:17">
      <c r="A60" s="231"/>
      <c r="B60" s="226" t="s">
        <v>358</v>
      </c>
      <c r="C60" s="17" t="s">
        <v>100</v>
      </c>
      <c r="D60" s="18">
        <v>35.1</v>
      </c>
      <c r="E60" s="18">
        <v>0</v>
      </c>
      <c r="F60" s="18">
        <v>0</v>
      </c>
      <c r="G60" s="18">
        <v>35.1</v>
      </c>
      <c r="H60" s="18">
        <v>35.1</v>
      </c>
      <c r="I60" s="18">
        <v>0</v>
      </c>
      <c r="J60" s="18">
        <v>0</v>
      </c>
      <c r="K60" s="18">
        <v>35.1</v>
      </c>
      <c r="L60" s="180">
        <v>0</v>
      </c>
      <c r="M60" s="180">
        <v>0</v>
      </c>
      <c r="N60" s="180">
        <v>0</v>
      </c>
      <c r="O60" s="180">
        <v>0</v>
      </c>
      <c r="P60" s="18"/>
      <c r="Q60" s="19"/>
    </row>
    <row r="61" spans="1:17">
      <c r="A61" s="231"/>
      <c r="B61" s="228"/>
      <c r="C61" s="17" t="s">
        <v>102</v>
      </c>
      <c r="D61" s="18">
        <v>2149.3000000000002</v>
      </c>
      <c r="E61" s="18">
        <v>708.8</v>
      </c>
      <c r="F61" s="18">
        <v>0</v>
      </c>
      <c r="G61" s="18">
        <v>1440.5</v>
      </c>
      <c r="H61" s="18">
        <v>2075.6</v>
      </c>
      <c r="I61" s="18">
        <v>634.20000000000005</v>
      </c>
      <c r="J61" s="18">
        <v>0</v>
      </c>
      <c r="K61" s="18">
        <v>1441.4</v>
      </c>
      <c r="L61" s="180">
        <v>1077.4000000000001</v>
      </c>
      <c r="M61" s="180">
        <v>263.8</v>
      </c>
      <c r="N61" s="180">
        <v>0</v>
      </c>
      <c r="O61" s="180">
        <v>813.6</v>
      </c>
      <c r="P61" s="18"/>
      <c r="Q61" s="19"/>
    </row>
    <row r="62" spans="1:17">
      <c r="A62" s="231"/>
      <c r="B62" s="228"/>
      <c r="C62" s="17" t="s">
        <v>352</v>
      </c>
      <c r="D62" s="18">
        <v>10.5</v>
      </c>
      <c r="E62" s="18">
        <v>0</v>
      </c>
      <c r="F62" s="18">
        <v>0</v>
      </c>
      <c r="G62" s="18">
        <v>10.5</v>
      </c>
      <c r="H62" s="18">
        <v>10.5</v>
      </c>
      <c r="I62" s="18">
        <v>0</v>
      </c>
      <c r="J62" s="18">
        <v>0</v>
      </c>
      <c r="K62" s="18">
        <v>10.5</v>
      </c>
      <c r="L62" s="180">
        <v>0</v>
      </c>
      <c r="M62" s="180">
        <v>0</v>
      </c>
      <c r="N62" s="180">
        <v>0</v>
      </c>
      <c r="O62" s="180">
        <v>0</v>
      </c>
      <c r="P62" s="18"/>
      <c r="Q62" s="19"/>
    </row>
    <row r="63" spans="1:17" ht="22.5">
      <c r="A63" s="231"/>
      <c r="B63" s="228"/>
      <c r="C63" s="17" t="s">
        <v>322</v>
      </c>
      <c r="D63" s="18">
        <v>513</v>
      </c>
      <c r="E63" s="18">
        <v>0</v>
      </c>
      <c r="F63" s="18">
        <v>0</v>
      </c>
      <c r="G63" s="18">
        <v>513</v>
      </c>
      <c r="H63" s="18">
        <v>500</v>
      </c>
      <c r="I63" s="18">
        <v>0</v>
      </c>
      <c r="J63" s="18">
        <v>0</v>
      </c>
      <c r="K63" s="18">
        <v>500</v>
      </c>
      <c r="L63" s="180">
        <v>0</v>
      </c>
      <c r="M63" s="180">
        <v>0</v>
      </c>
      <c r="N63" s="180">
        <v>0</v>
      </c>
      <c r="O63" s="180">
        <v>0</v>
      </c>
      <c r="P63" s="18"/>
      <c r="Q63" s="19"/>
    </row>
    <row r="64" spans="1:17">
      <c r="A64" s="231"/>
      <c r="B64" s="228"/>
      <c r="C64" s="17" t="s">
        <v>105</v>
      </c>
      <c r="D64" s="18">
        <v>8.3000000000000007</v>
      </c>
      <c r="E64" s="18">
        <v>0</v>
      </c>
      <c r="F64" s="18">
        <v>0</v>
      </c>
      <c r="G64" s="18">
        <v>8.3000000000000007</v>
      </c>
      <c r="H64" s="18">
        <v>8.3000000000000007</v>
      </c>
      <c r="I64" s="18">
        <v>0</v>
      </c>
      <c r="J64" s="18">
        <v>0</v>
      </c>
      <c r="K64" s="18">
        <v>8.3000000000000007</v>
      </c>
      <c r="L64" s="180">
        <v>0</v>
      </c>
      <c r="M64" s="180">
        <v>0</v>
      </c>
      <c r="N64" s="180">
        <v>0</v>
      </c>
      <c r="O64" s="180">
        <v>0</v>
      </c>
      <c r="P64" s="18"/>
      <c r="Q64" s="19"/>
    </row>
    <row r="65" spans="1:18">
      <c r="A65" s="231"/>
      <c r="B65" s="227"/>
      <c r="C65" s="17" t="s">
        <v>327</v>
      </c>
      <c r="D65" s="18">
        <v>865.7</v>
      </c>
      <c r="E65" s="18">
        <v>0</v>
      </c>
      <c r="F65" s="18">
        <v>0</v>
      </c>
      <c r="G65" s="18">
        <v>865.7</v>
      </c>
      <c r="H65" s="18">
        <v>865.7</v>
      </c>
      <c r="I65" s="18">
        <v>0</v>
      </c>
      <c r="J65" s="18">
        <v>0</v>
      </c>
      <c r="K65" s="18">
        <v>865.7</v>
      </c>
      <c r="L65" s="180">
        <v>482.1</v>
      </c>
      <c r="M65" s="180">
        <v>0</v>
      </c>
      <c r="N65" s="180">
        <v>0</v>
      </c>
      <c r="O65" s="180">
        <v>482.1</v>
      </c>
      <c r="P65" s="18"/>
      <c r="Q65" s="19"/>
    </row>
    <row r="66" spans="1:18">
      <c r="A66" s="231"/>
      <c r="B66" s="226" t="s">
        <v>415</v>
      </c>
      <c r="C66" s="17" t="s">
        <v>102</v>
      </c>
      <c r="D66" s="18">
        <v>6061</v>
      </c>
      <c r="E66" s="18">
        <v>1194</v>
      </c>
      <c r="F66" s="18">
        <v>265.5</v>
      </c>
      <c r="G66" s="18">
        <v>4867</v>
      </c>
      <c r="H66" s="18">
        <v>3353.4</v>
      </c>
      <c r="I66" s="18">
        <v>906.4</v>
      </c>
      <c r="J66" s="18">
        <v>202.3</v>
      </c>
      <c r="K66" s="18">
        <v>2447</v>
      </c>
      <c r="L66" s="180">
        <v>3092.7</v>
      </c>
      <c r="M66" s="180">
        <v>849.2</v>
      </c>
      <c r="N66" s="180">
        <v>199.7</v>
      </c>
      <c r="O66" s="180">
        <v>2243.5</v>
      </c>
      <c r="P66" s="18"/>
      <c r="Q66" s="19"/>
    </row>
    <row r="67" spans="1:18">
      <c r="A67" s="231"/>
      <c r="B67" s="228"/>
      <c r="C67" s="17" t="s">
        <v>327</v>
      </c>
      <c r="D67" s="18">
        <v>1300</v>
      </c>
      <c r="E67" s="18">
        <v>0</v>
      </c>
      <c r="F67" s="18">
        <v>0</v>
      </c>
      <c r="G67" s="18">
        <v>1300</v>
      </c>
      <c r="H67" s="18">
        <v>1300</v>
      </c>
      <c r="I67" s="18">
        <v>0</v>
      </c>
      <c r="J67" s="18">
        <v>0</v>
      </c>
      <c r="K67" s="18">
        <v>1300</v>
      </c>
      <c r="L67" s="180">
        <v>1300</v>
      </c>
      <c r="M67" s="180">
        <v>0</v>
      </c>
      <c r="N67" s="180">
        <v>0</v>
      </c>
      <c r="O67" s="180">
        <v>1300</v>
      </c>
      <c r="P67" s="18"/>
      <c r="Q67" s="19"/>
    </row>
    <row r="68" spans="1:18" ht="22.5" customHeight="1">
      <c r="A68" s="231"/>
      <c r="B68" s="227"/>
      <c r="C68" s="17" t="s">
        <v>112</v>
      </c>
      <c r="D68" s="18">
        <v>100</v>
      </c>
      <c r="E68" s="18">
        <v>0</v>
      </c>
      <c r="F68" s="18">
        <v>0</v>
      </c>
      <c r="G68" s="18">
        <v>100</v>
      </c>
      <c r="H68" s="18">
        <v>100</v>
      </c>
      <c r="I68" s="18">
        <v>0</v>
      </c>
      <c r="J68" s="18">
        <v>0</v>
      </c>
      <c r="K68" s="18">
        <v>100</v>
      </c>
      <c r="L68" s="180">
        <v>100</v>
      </c>
      <c r="M68" s="180">
        <v>0</v>
      </c>
      <c r="N68" s="180">
        <v>0</v>
      </c>
      <c r="O68" s="180">
        <v>100</v>
      </c>
      <c r="P68" s="18"/>
      <c r="Q68" s="19"/>
    </row>
    <row r="69" spans="1:18">
      <c r="A69" s="231"/>
      <c r="B69" s="226" t="s">
        <v>334</v>
      </c>
      <c r="C69" s="17" t="s">
        <v>297</v>
      </c>
      <c r="D69" s="18">
        <v>291.10000000000002</v>
      </c>
      <c r="E69" s="18">
        <v>0</v>
      </c>
      <c r="F69" s="18">
        <v>0</v>
      </c>
      <c r="G69" s="18">
        <v>291.10000000000002</v>
      </c>
      <c r="H69" s="18">
        <v>291.10000000000002</v>
      </c>
      <c r="I69" s="18">
        <v>0</v>
      </c>
      <c r="J69" s="18">
        <v>0</v>
      </c>
      <c r="K69" s="18">
        <v>291.10000000000002</v>
      </c>
      <c r="L69" s="180">
        <v>181.1</v>
      </c>
      <c r="M69" s="180">
        <v>0</v>
      </c>
      <c r="N69" s="180">
        <v>0</v>
      </c>
      <c r="O69" s="180">
        <v>181.1</v>
      </c>
      <c r="P69" s="18"/>
      <c r="Q69" s="19"/>
    </row>
    <row r="70" spans="1:18">
      <c r="A70" s="231"/>
      <c r="B70" s="228"/>
      <c r="C70" s="17" t="s">
        <v>110</v>
      </c>
      <c r="D70" s="18">
        <v>0.1</v>
      </c>
      <c r="E70" s="18">
        <v>0.1</v>
      </c>
      <c r="F70" s="18">
        <v>0</v>
      </c>
      <c r="G70" s="18">
        <v>0</v>
      </c>
      <c r="H70" s="18">
        <v>0.1</v>
      </c>
      <c r="I70" s="18">
        <v>0.1</v>
      </c>
      <c r="J70" s="18">
        <v>0</v>
      </c>
      <c r="K70" s="18">
        <v>0</v>
      </c>
      <c r="L70" s="180">
        <v>0.1</v>
      </c>
      <c r="M70" s="180">
        <v>0.1</v>
      </c>
      <c r="N70" s="180">
        <v>0</v>
      </c>
      <c r="O70" s="180">
        <v>0</v>
      </c>
      <c r="P70" s="18"/>
      <c r="Q70" s="19"/>
    </row>
    <row r="71" spans="1:18">
      <c r="A71" s="231"/>
      <c r="B71" s="228"/>
      <c r="C71" s="17" t="s">
        <v>109</v>
      </c>
      <c r="D71" s="18">
        <v>56.5</v>
      </c>
      <c r="E71" s="18">
        <v>56.5</v>
      </c>
      <c r="F71" s="18">
        <v>0</v>
      </c>
      <c r="G71" s="18">
        <v>0</v>
      </c>
      <c r="H71" s="18">
        <v>40.700000000000003</v>
      </c>
      <c r="I71" s="18">
        <v>40.700000000000003</v>
      </c>
      <c r="J71" s="18">
        <v>0</v>
      </c>
      <c r="K71" s="18">
        <v>0</v>
      </c>
      <c r="L71" s="180">
        <v>31.9</v>
      </c>
      <c r="M71" s="180">
        <v>31.9</v>
      </c>
      <c r="N71" s="180">
        <v>0</v>
      </c>
      <c r="O71" s="180">
        <v>0</v>
      </c>
      <c r="P71" s="18"/>
      <c r="Q71" s="19"/>
    </row>
    <row r="72" spans="1:18">
      <c r="A72" s="231"/>
      <c r="B72" s="228"/>
      <c r="C72" s="17" t="s">
        <v>102</v>
      </c>
      <c r="D72" s="18">
        <v>11587.6</v>
      </c>
      <c r="E72" s="18">
        <v>9745.7999999999993</v>
      </c>
      <c r="F72" s="18">
        <v>6657.5</v>
      </c>
      <c r="G72" s="18">
        <v>1841.8</v>
      </c>
      <c r="H72" s="18">
        <v>10198.700000000001</v>
      </c>
      <c r="I72" s="18">
        <v>8286.9</v>
      </c>
      <c r="J72" s="18">
        <v>5636.8</v>
      </c>
      <c r="K72" s="18">
        <v>1911.8</v>
      </c>
      <c r="L72" s="180">
        <v>7139.3</v>
      </c>
      <c r="M72" s="180">
        <v>6549.1</v>
      </c>
      <c r="N72" s="180">
        <v>4898.2</v>
      </c>
      <c r="O72" s="180">
        <v>590.20000000000005</v>
      </c>
      <c r="P72" s="18"/>
      <c r="Q72" s="19"/>
      <c r="R72" s="184"/>
    </row>
    <row r="73" spans="1:18">
      <c r="A73" s="231"/>
      <c r="B73" s="228"/>
      <c r="C73" s="17" t="s">
        <v>104</v>
      </c>
      <c r="D73" s="18">
        <v>709.5</v>
      </c>
      <c r="E73" s="18">
        <v>709.5</v>
      </c>
      <c r="F73" s="18">
        <v>603.70000000000005</v>
      </c>
      <c r="G73" s="18">
        <v>0</v>
      </c>
      <c r="H73" s="18">
        <v>481.5</v>
      </c>
      <c r="I73" s="18">
        <v>481.5</v>
      </c>
      <c r="J73" s="18">
        <v>465.5</v>
      </c>
      <c r="K73" s="18">
        <v>0</v>
      </c>
      <c r="L73" s="180">
        <v>403.2</v>
      </c>
      <c r="M73" s="180">
        <v>403.2</v>
      </c>
      <c r="N73" s="180">
        <v>391.3</v>
      </c>
      <c r="O73" s="180">
        <v>0</v>
      </c>
      <c r="P73" s="18"/>
      <c r="Q73" s="19"/>
    </row>
    <row r="74" spans="1:18" ht="14.25" customHeight="1">
      <c r="A74" s="231"/>
      <c r="B74" s="228"/>
      <c r="C74" s="17" t="s">
        <v>332</v>
      </c>
      <c r="D74" s="18">
        <v>4.4000000000000004</v>
      </c>
      <c r="E74" s="18">
        <v>4.4000000000000004</v>
      </c>
      <c r="F74" s="18">
        <v>4.3</v>
      </c>
      <c r="G74" s="18">
        <v>0</v>
      </c>
      <c r="H74" s="18">
        <v>2.4</v>
      </c>
      <c r="I74" s="18">
        <v>2.4</v>
      </c>
      <c r="J74" s="18">
        <v>2.2999999999999998</v>
      </c>
      <c r="K74" s="18">
        <v>0</v>
      </c>
      <c r="L74" s="180">
        <v>2</v>
      </c>
      <c r="M74" s="180">
        <v>2</v>
      </c>
      <c r="N74" s="180">
        <v>2</v>
      </c>
      <c r="O74" s="180">
        <v>0</v>
      </c>
      <c r="P74" s="18"/>
      <c r="Q74" s="19"/>
    </row>
    <row r="75" spans="1:18">
      <c r="A75" s="230"/>
      <c r="B75" s="227"/>
      <c r="C75" s="17" t="s">
        <v>112</v>
      </c>
      <c r="D75" s="18">
        <v>50</v>
      </c>
      <c r="E75" s="18">
        <v>50</v>
      </c>
      <c r="F75" s="18">
        <v>0</v>
      </c>
      <c r="G75" s="18">
        <v>0</v>
      </c>
      <c r="H75" s="18">
        <v>40</v>
      </c>
      <c r="I75" s="18">
        <v>40</v>
      </c>
      <c r="J75" s="18">
        <v>0</v>
      </c>
      <c r="K75" s="18">
        <v>0</v>
      </c>
      <c r="L75" s="180">
        <v>7.2</v>
      </c>
      <c r="M75" s="180">
        <v>7.2</v>
      </c>
      <c r="N75" s="180">
        <v>0</v>
      </c>
      <c r="O75" s="180">
        <v>0</v>
      </c>
      <c r="P75" s="186"/>
      <c r="Q75" s="186"/>
    </row>
    <row r="76" spans="1:18" ht="21">
      <c r="A76" s="100" t="s">
        <v>113</v>
      </c>
      <c r="B76" s="100"/>
      <c r="C76" s="101"/>
      <c r="D76" s="102">
        <f t="shared" ref="D76:O76" si="1">SUBTOTAL(9,D77:D80)</f>
        <v>1499.6000000000001</v>
      </c>
      <c r="E76" s="102">
        <f t="shared" si="1"/>
        <v>1388.9</v>
      </c>
      <c r="F76" s="102">
        <f t="shared" si="1"/>
        <v>1107.5999999999999</v>
      </c>
      <c r="G76" s="102">
        <f t="shared" si="1"/>
        <v>110.7</v>
      </c>
      <c r="H76" s="102">
        <f t="shared" si="1"/>
        <v>1196.7</v>
      </c>
      <c r="I76" s="102">
        <f t="shared" si="1"/>
        <v>1113.7</v>
      </c>
      <c r="J76" s="102">
        <f t="shared" si="1"/>
        <v>880</v>
      </c>
      <c r="K76" s="102">
        <f t="shared" si="1"/>
        <v>83</v>
      </c>
      <c r="L76" s="102">
        <f t="shared" si="1"/>
        <v>1069.4000000000001</v>
      </c>
      <c r="M76" s="102">
        <f t="shared" si="1"/>
        <v>993.80000000000007</v>
      </c>
      <c r="N76" s="102">
        <f t="shared" si="1"/>
        <v>837.8</v>
      </c>
      <c r="O76" s="102">
        <f t="shared" si="1"/>
        <v>75.599999999999994</v>
      </c>
      <c r="P76" s="116">
        <f>SUM(L76/D76*100)</f>
        <v>71.312349959989334</v>
      </c>
      <c r="Q76" s="116">
        <f>SUM(L76/H76*100)</f>
        <v>89.362413303250605</v>
      </c>
    </row>
    <row r="77" spans="1:18">
      <c r="A77" s="179"/>
      <c r="B77" s="226" t="s">
        <v>411</v>
      </c>
      <c r="C77" s="17" t="s">
        <v>109</v>
      </c>
      <c r="D77" s="18">
        <v>9</v>
      </c>
      <c r="E77" s="18">
        <v>9</v>
      </c>
      <c r="F77" s="18">
        <v>0</v>
      </c>
      <c r="G77" s="18">
        <v>0</v>
      </c>
      <c r="H77" s="18">
        <v>8</v>
      </c>
      <c r="I77" s="18">
        <v>8</v>
      </c>
      <c r="J77" s="18">
        <v>0</v>
      </c>
      <c r="K77" s="18">
        <v>0</v>
      </c>
      <c r="L77" s="180">
        <v>5.7</v>
      </c>
      <c r="M77" s="180">
        <v>5.7</v>
      </c>
      <c r="N77" s="180">
        <v>0</v>
      </c>
      <c r="O77" s="180">
        <v>0</v>
      </c>
      <c r="P77" s="18"/>
      <c r="Q77" s="19"/>
    </row>
    <row r="78" spans="1:18">
      <c r="A78" s="181"/>
      <c r="B78" s="228"/>
      <c r="C78" s="17" t="s">
        <v>102</v>
      </c>
      <c r="D78" s="18">
        <v>1404.9</v>
      </c>
      <c r="E78" s="18">
        <v>1364.9</v>
      </c>
      <c r="F78" s="18">
        <v>1107.5999999999999</v>
      </c>
      <c r="G78" s="18">
        <v>40</v>
      </c>
      <c r="H78" s="18">
        <v>1120.7</v>
      </c>
      <c r="I78" s="18">
        <v>1090.7</v>
      </c>
      <c r="J78" s="18">
        <v>880</v>
      </c>
      <c r="K78" s="18">
        <v>30</v>
      </c>
      <c r="L78" s="180">
        <v>1010.7</v>
      </c>
      <c r="M78" s="180">
        <v>988.1</v>
      </c>
      <c r="N78" s="180">
        <v>837.8</v>
      </c>
      <c r="O78" s="180">
        <v>22.6</v>
      </c>
      <c r="P78" s="18"/>
      <c r="Q78" s="19"/>
    </row>
    <row r="79" spans="1:18" ht="19.5" customHeight="1">
      <c r="A79" s="185"/>
      <c r="B79" s="227"/>
      <c r="C79" s="17" t="s">
        <v>104</v>
      </c>
      <c r="D79" s="18">
        <v>70.7</v>
      </c>
      <c r="E79" s="18">
        <v>0</v>
      </c>
      <c r="F79" s="18">
        <v>0</v>
      </c>
      <c r="G79" s="18">
        <v>70.7</v>
      </c>
      <c r="H79" s="18">
        <v>53</v>
      </c>
      <c r="I79" s="18">
        <v>0</v>
      </c>
      <c r="J79" s="18">
        <v>0</v>
      </c>
      <c r="K79" s="18">
        <v>53</v>
      </c>
      <c r="L79" s="180">
        <v>53</v>
      </c>
      <c r="M79" s="180">
        <v>0</v>
      </c>
      <c r="N79" s="180">
        <v>0</v>
      </c>
      <c r="O79" s="180">
        <v>53</v>
      </c>
      <c r="P79" s="186"/>
      <c r="Q79" s="186"/>
    </row>
    <row r="80" spans="1:18" ht="67.5">
      <c r="A80" s="16"/>
      <c r="B80" s="16" t="s">
        <v>334</v>
      </c>
      <c r="C80" s="17" t="s">
        <v>102</v>
      </c>
      <c r="D80" s="18">
        <v>15</v>
      </c>
      <c r="E80" s="18">
        <v>15</v>
      </c>
      <c r="F80" s="18">
        <v>0</v>
      </c>
      <c r="G80" s="18">
        <v>0</v>
      </c>
      <c r="H80" s="18">
        <v>15</v>
      </c>
      <c r="I80" s="18">
        <v>15</v>
      </c>
      <c r="J80" s="18">
        <v>0</v>
      </c>
      <c r="K80" s="18">
        <v>0</v>
      </c>
      <c r="L80" s="180">
        <v>0</v>
      </c>
      <c r="M80" s="180">
        <v>0</v>
      </c>
      <c r="N80" s="180">
        <v>0</v>
      </c>
      <c r="O80" s="180">
        <v>0</v>
      </c>
      <c r="P80" s="18"/>
      <c r="Q80" s="19"/>
    </row>
    <row r="81" spans="1:17" ht="21">
      <c r="A81" s="100" t="s">
        <v>114</v>
      </c>
      <c r="B81" s="100"/>
      <c r="C81" s="101"/>
      <c r="D81" s="102">
        <f t="shared" ref="D81:O81" si="2">SUBTOTAL(9,D82:D87)</f>
        <v>2581.2000000000003</v>
      </c>
      <c r="E81" s="102">
        <f t="shared" si="2"/>
        <v>2573.8000000000002</v>
      </c>
      <c r="F81" s="102">
        <f t="shared" si="2"/>
        <v>2144.3000000000002</v>
      </c>
      <c r="G81" s="102">
        <f t="shared" si="2"/>
        <v>7.4</v>
      </c>
      <c r="H81" s="102">
        <f t="shared" si="2"/>
        <v>1986.3999999999999</v>
      </c>
      <c r="I81" s="102">
        <f t="shared" si="2"/>
        <v>1979</v>
      </c>
      <c r="J81" s="102">
        <f t="shared" si="2"/>
        <v>1611.7</v>
      </c>
      <c r="K81" s="102">
        <f t="shared" si="2"/>
        <v>7.4</v>
      </c>
      <c r="L81" s="102">
        <f t="shared" si="2"/>
        <v>1633.2</v>
      </c>
      <c r="M81" s="102">
        <f t="shared" si="2"/>
        <v>1627.4</v>
      </c>
      <c r="N81" s="102">
        <f t="shared" si="2"/>
        <v>1389.6</v>
      </c>
      <c r="O81" s="102">
        <f t="shared" si="2"/>
        <v>5.8</v>
      </c>
      <c r="P81" s="116">
        <f>SUM(L81/D81*100)</f>
        <v>63.272896327289629</v>
      </c>
      <c r="Q81" s="116">
        <f>SUM(L81/H81*100)</f>
        <v>82.219089810712859</v>
      </c>
    </row>
    <row r="82" spans="1:17">
      <c r="A82" s="229"/>
      <c r="B82" s="226" t="s">
        <v>355</v>
      </c>
      <c r="C82" s="17" t="s">
        <v>297</v>
      </c>
      <c r="D82" s="18">
        <v>62.3</v>
      </c>
      <c r="E82" s="18">
        <v>60.5</v>
      </c>
      <c r="F82" s="18">
        <v>0</v>
      </c>
      <c r="G82" s="18">
        <v>1.8</v>
      </c>
      <c r="H82" s="18">
        <v>62.3</v>
      </c>
      <c r="I82" s="18">
        <v>60.5</v>
      </c>
      <c r="J82" s="18">
        <v>0</v>
      </c>
      <c r="K82" s="18">
        <v>1.8</v>
      </c>
      <c r="L82" s="180">
        <v>3.7</v>
      </c>
      <c r="M82" s="180">
        <v>1.9</v>
      </c>
      <c r="N82" s="180">
        <v>0</v>
      </c>
      <c r="O82" s="180">
        <v>1.8</v>
      </c>
      <c r="P82" s="18"/>
      <c r="Q82" s="19"/>
    </row>
    <row r="83" spans="1:17">
      <c r="A83" s="231"/>
      <c r="B83" s="228"/>
      <c r="C83" s="17" t="s">
        <v>101</v>
      </c>
      <c r="D83" s="18">
        <v>1843.4</v>
      </c>
      <c r="E83" s="18">
        <v>1839.4</v>
      </c>
      <c r="F83" s="18">
        <v>1755.2</v>
      </c>
      <c r="G83" s="18">
        <v>4</v>
      </c>
      <c r="H83" s="18">
        <v>1378.2</v>
      </c>
      <c r="I83" s="18">
        <v>1374.2</v>
      </c>
      <c r="J83" s="18">
        <v>1302.3</v>
      </c>
      <c r="K83" s="18">
        <v>4</v>
      </c>
      <c r="L83" s="180">
        <v>1184.9000000000001</v>
      </c>
      <c r="M83" s="180">
        <v>1180.9000000000001</v>
      </c>
      <c r="N83" s="180">
        <v>1128.0999999999999</v>
      </c>
      <c r="O83" s="180">
        <v>4</v>
      </c>
      <c r="P83" s="18"/>
      <c r="Q83" s="19"/>
    </row>
    <row r="84" spans="1:17">
      <c r="A84" s="231"/>
      <c r="B84" s="228"/>
      <c r="C84" s="17" t="s">
        <v>347</v>
      </c>
      <c r="D84" s="18">
        <v>9.9</v>
      </c>
      <c r="E84" s="18">
        <v>9.9</v>
      </c>
      <c r="F84" s="18">
        <v>9.8000000000000007</v>
      </c>
      <c r="G84" s="18">
        <v>0</v>
      </c>
      <c r="H84" s="18">
        <v>9.9</v>
      </c>
      <c r="I84" s="18">
        <v>9.9</v>
      </c>
      <c r="J84" s="18">
        <v>9.8000000000000007</v>
      </c>
      <c r="K84" s="18">
        <v>0</v>
      </c>
      <c r="L84" s="180">
        <v>9.9</v>
      </c>
      <c r="M84" s="180">
        <v>9.9</v>
      </c>
      <c r="N84" s="180">
        <v>9.8000000000000007</v>
      </c>
      <c r="O84" s="180">
        <v>0</v>
      </c>
      <c r="P84" s="18"/>
      <c r="Q84" s="19"/>
    </row>
    <row r="85" spans="1:17">
      <c r="A85" s="231"/>
      <c r="B85" s="228"/>
      <c r="C85" s="17" t="s">
        <v>109</v>
      </c>
      <c r="D85" s="18">
        <v>135.80000000000001</v>
      </c>
      <c r="E85" s="18">
        <v>135.80000000000001</v>
      </c>
      <c r="F85" s="18">
        <v>24.7</v>
      </c>
      <c r="G85" s="18">
        <v>0</v>
      </c>
      <c r="H85" s="18">
        <v>118.6</v>
      </c>
      <c r="I85" s="18">
        <v>118.6</v>
      </c>
      <c r="J85" s="18">
        <v>18.899999999999999</v>
      </c>
      <c r="K85" s="18">
        <v>0</v>
      </c>
      <c r="L85" s="180">
        <v>89.1</v>
      </c>
      <c r="M85" s="180">
        <v>89.1</v>
      </c>
      <c r="N85" s="180">
        <v>10.5</v>
      </c>
      <c r="O85" s="180">
        <v>0</v>
      </c>
      <c r="P85" s="186"/>
      <c r="Q85" s="186"/>
    </row>
    <row r="86" spans="1:17">
      <c r="A86" s="231"/>
      <c r="B86" s="228"/>
      <c r="C86" s="17" t="s">
        <v>102</v>
      </c>
      <c r="D86" s="18">
        <v>513.5</v>
      </c>
      <c r="E86" s="18">
        <v>511.9</v>
      </c>
      <c r="F86" s="18">
        <v>354.6</v>
      </c>
      <c r="G86" s="18">
        <v>1.6</v>
      </c>
      <c r="H86" s="18">
        <v>401.1</v>
      </c>
      <c r="I86" s="18">
        <v>399.5</v>
      </c>
      <c r="J86" s="18">
        <v>280.7</v>
      </c>
      <c r="K86" s="18">
        <v>1.6</v>
      </c>
      <c r="L86" s="180">
        <v>329.3</v>
      </c>
      <c r="M86" s="180">
        <v>329.3</v>
      </c>
      <c r="N86" s="180">
        <v>241.2</v>
      </c>
      <c r="O86" s="180">
        <v>0</v>
      </c>
      <c r="P86" s="18"/>
      <c r="Q86" s="19"/>
    </row>
    <row r="87" spans="1:17">
      <c r="A87" s="230"/>
      <c r="B87" s="227"/>
      <c r="C87" s="17" t="s">
        <v>104</v>
      </c>
      <c r="D87" s="18">
        <v>16.3</v>
      </c>
      <c r="E87" s="18">
        <v>16.3</v>
      </c>
      <c r="F87" s="18">
        <v>0</v>
      </c>
      <c r="G87" s="18">
        <v>0</v>
      </c>
      <c r="H87" s="18">
        <v>16.3</v>
      </c>
      <c r="I87" s="18">
        <v>16.3</v>
      </c>
      <c r="J87" s="18">
        <v>0</v>
      </c>
      <c r="K87" s="18">
        <v>0</v>
      </c>
      <c r="L87" s="180">
        <v>16.3</v>
      </c>
      <c r="M87" s="180">
        <v>16.3</v>
      </c>
      <c r="N87" s="180">
        <v>0</v>
      </c>
      <c r="O87" s="180">
        <v>0</v>
      </c>
      <c r="P87" s="18"/>
      <c r="Q87" s="19"/>
    </row>
    <row r="88" spans="1:17" ht="21">
      <c r="A88" s="100" t="s">
        <v>19</v>
      </c>
      <c r="B88" s="100"/>
      <c r="C88" s="101"/>
      <c r="D88" s="102">
        <f t="shared" ref="D88:O88" si="3">SUBTOTAL(9,D89:D98)</f>
        <v>3634.2999999999997</v>
      </c>
      <c r="E88" s="102">
        <f t="shared" si="3"/>
        <v>3212.7000000000003</v>
      </c>
      <c r="F88" s="102">
        <f t="shared" si="3"/>
        <v>2789.8000000000006</v>
      </c>
      <c r="G88" s="102">
        <f t="shared" si="3"/>
        <v>421.6</v>
      </c>
      <c r="H88" s="102">
        <f t="shared" si="3"/>
        <v>2637.6000000000004</v>
      </c>
      <c r="I88" s="102">
        <f t="shared" si="3"/>
        <v>2444.1999999999998</v>
      </c>
      <c r="J88" s="102">
        <f t="shared" si="3"/>
        <v>2108</v>
      </c>
      <c r="K88" s="102">
        <f t="shared" si="3"/>
        <v>193.39999999999998</v>
      </c>
      <c r="L88" s="102">
        <f t="shared" si="3"/>
        <v>2458.5</v>
      </c>
      <c r="M88" s="102">
        <f t="shared" si="3"/>
        <v>2275.4</v>
      </c>
      <c r="N88" s="102">
        <f t="shared" si="3"/>
        <v>2028.5</v>
      </c>
      <c r="O88" s="102">
        <f t="shared" si="3"/>
        <v>183.1</v>
      </c>
      <c r="P88" s="116">
        <f>SUM(L88/D88*100)</f>
        <v>67.647139751809163</v>
      </c>
      <c r="Q88" s="116">
        <f>SUM(L88/H88*100)</f>
        <v>93.209736123748854</v>
      </c>
    </row>
    <row r="89" spans="1:17">
      <c r="A89" s="229"/>
      <c r="B89" s="226" t="s">
        <v>409</v>
      </c>
      <c r="C89" s="17" t="s">
        <v>297</v>
      </c>
      <c r="D89" s="18">
        <v>83.7</v>
      </c>
      <c r="E89" s="18">
        <v>33.299999999999997</v>
      </c>
      <c r="F89" s="18">
        <v>0</v>
      </c>
      <c r="G89" s="18">
        <v>50.4</v>
      </c>
      <c r="H89" s="18">
        <v>83.7</v>
      </c>
      <c r="I89" s="18">
        <v>33.299999999999997</v>
      </c>
      <c r="J89" s="18">
        <v>0</v>
      </c>
      <c r="K89" s="18">
        <v>50.4</v>
      </c>
      <c r="L89" s="180">
        <v>47</v>
      </c>
      <c r="M89" s="180">
        <v>6.5</v>
      </c>
      <c r="N89" s="180">
        <v>0</v>
      </c>
      <c r="O89" s="180">
        <v>40.5</v>
      </c>
      <c r="P89" s="18"/>
      <c r="Q89" s="19"/>
    </row>
    <row r="90" spans="1:17">
      <c r="A90" s="231"/>
      <c r="B90" s="228"/>
      <c r="C90" s="17" t="s">
        <v>101</v>
      </c>
      <c r="D90" s="18">
        <v>2131.9</v>
      </c>
      <c r="E90" s="18">
        <v>2118.4</v>
      </c>
      <c r="F90" s="18">
        <v>2041.3</v>
      </c>
      <c r="G90" s="18">
        <v>13.5</v>
      </c>
      <c r="H90" s="18">
        <v>1605.1</v>
      </c>
      <c r="I90" s="18">
        <v>1591.6</v>
      </c>
      <c r="J90" s="18">
        <v>1531.9</v>
      </c>
      <c r="K90" s="18">
        <v>13.5</v>
      </c>
      <c r="L90" s="180">
        <v>1529.8</v>
      </c>
      <c r="M90" s="180">
        <v>1516.3</v>
      </c>
      <c r="N90" s="180">
        <v>1472.1</v>
      </c>
      <c r="O90" s="180">
        <v>13.5</v>
      </c>
      <c r="P90" s="18"/>
      <c r="Q90" s="19"/>
    </row>
    <row r="91" spans="1:17">
      <c r="A91" s="231"/>
      <c r="B91" s="228"/>
      <c r="C91" s="17" t="s">
        <v>347</v>
      </c>
      <c r="D91" s="18">
        <v>39.6</v>
      </c>
      <c r="E91" s="18">
        <v>39.6</v>
      </c>
      <c r="F91" s="18">
        <v>39</v>
      </c>
      <c r="G91" s="18">
        <v>0</v>
      </c>
      <c r="H91" s="18">
        <v>39.6</v>
      </c>
      <c r="I91" s="18">
        <v>39.6</v>
      </c>
      <c r="J91" s="18">
        <v>39</v>
      </c>
      <c r="K91" s="18">
        <v>0</v>
      </c>
      <c r="L91" s="180">
        <v>39.6</v>
      </c>
      <c r="M91" s="180">
        <v>39.6</v>
      </c>
      <c r="N91" s="180">
        <v>39</v>
      </c>
      <c r="O91" s="180">
        <v>0</v>
      </c>
      <c r="P91" s="18"/>
      <c r="Q91" s="19"/>
    </row>
    <row r="92" spans="1:17">
      <c r="A92" s="231"/>
      <c r="B92" s="228"/>
      <c r="C92" s="17" t="s">
        <v>109</v>
      </c>
      <c r="D92" s="18">
        <v>169.7</v>
      </c>
      <c r="E92" s="18">
        <v>166.7</v>
      </c>
      <c r="F92" s="18">
        <v>17.3</v>
      </c>
      <c r="G92" s="18">
        <v>3</v>
      </c>
      <c r="H92" s="18">
        <v>134.30000000000001</v>
      </c>
      <c r="I92" s="18">
        <v>131.30000000000001</v>
      </c>
      <c r="J92" s="18">
        <v>13.5</v>
      </c>
      <c r="K92" s="18">
        <v>3</v>
      </c>
      <c r="L92" s="180">
        <v>108</v>
      </c>
      <c r="M92" s="180">
        <v>105</v>
      </c>
      <c r="N92" s="180">
        <v>12.9</v>
      </c>
      <c r="O92" s="180">
        <v>3</v>
      </c>
      <c r="P92" s="18"/>
      <c r="Q92" s="19"/>
    </row>
    <row r="93" spans="1:17">
      <c r="A93" s="231"/>
      <c r="B93" s="228"/>
      <c r="C93" s="17" t="s">
        <v>102</v>
      </c>
      <c r="D93" s="18">
        <v>858.6</v>
      </c>
      <c r="E93" s="18">
        <v>844.8</v>
      </c>
      <c r="F93" s="18">
        <v>682.4</v>
      </c>
      <c r="G93" s="18">
        <v>13.8</v>
      </c>
      <c r="H93" s="18">
        <v>652.29999999999995</v>
      </c>
      <c r="I93" s="18">
        <v>638.5</v>
      </c>
      <c r="J93" s="18">
        <v>513.79999999999995</v>
      </c>
      <c r="K93" s="18">
        <v>13.8</v>
      </c>
      <c r="L93" s="180">
        <v>611.9</v>
      </c>
      <c r="M93" s="180">
        <v>598.1</v>
      </c>
      <c r="N93" s="180">
        <v>494.7</v>
      </c>
      <c r="O93" s="180">
        <v>13.8</v>
      </c>
      <c r="P93" s="18"/>
      <c r="Q93" s="19"/>
    </row>
    <row r="94" spans="1:17" ht="22.5">
      <c r="A94" s="231"/>
      <c r="B94" s="227"/>
      <c r="C94" s="17" t="s">
        <v>332</v>
      </c>
      <c r="D94" s="18">
        <v>9.9</v>
      </c>
      <c r="E94" s="18">
        <v>9.9</v>
      </c>
      <c r="F94" s="18">
        <v>9.8000000000000007</v>
      </c>
      <c r="G94" s="18">
        <v>0</v>
      </c>
      <c r="H94" s="18">
        <v>9.9</v>
      </c>
      <c r="I94" s="18">
        <v>9.9</v>
      </c>
      <c r="J94" s="18">
        <v>9.8000000000000007</v>
      </c>
      <c r="K94" s="18">
        <v>0</v>
      </c>
      <c r="L94" s="180">
        <v>9.9</v>
      </c>
      <c r="M94" s="180">
        <v>9.9</v>
      </c>
      <c r="N94" s="180">
        <v>9.8000000000000007</v>
      </c>
      <c r="O94" s="180">
        <v>0</v>
      </c>
      <c r="P94" s="18"/>
      <c r="Q94" s="19"/>
    </row>
    <row r="95" spans="1:17">
      <c r="A95" s="231"/>
      <c r="B95" s="226" t="s">
        <v>354</v>
      </c>
      <c r="C95" s="17" t="s">
        <v>100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0">
        <v>0</v>
      </c>
      <c r="M95" s="180">
        <v>0</v>
      </c>
      <c r="N95" s="180">
        <v>0</v>
      </c>
      <c r="O95" s="180">
        <v>0</v>
      </c>
      <c r="P95" s="18"/>
      <c r="Q95" s="19"/>
    </row>
    <row r="96" spans="1:17">
      <c r="A96" s="231"/>
      <c r="B96" s="228"/>
      <c r="C96" s="17" t="s">
        <v>353</v>
      </c>
      <c r="D96" s="18">
        <v>96.1</v>
      </c>
      <c r="E96" s="18">
        <v>0</v>
      </c>
      <c r="F96" s="18">
        <v>0</v>
      </c>
      <c r="G96" s="18">
        <v>96.1</v>
      </c>
      <c r="H96" s="18">
        <v>28.9</v>
      </c>
      <c r="I96" s="18">
        <v>0</v>
      </c>
      <c r="J96" s="18">
        <v>0</v>
      </c>
      <c r="K96" s="18">
        <v>28.9</v>
      </c>
      <c r="L96" s="180">
        <v>28.8</v>
      </c>
      <c r="M96" s="180">
        <v>0</v>
      </c>
      <c r="N96" s="180">
        <v>0</v>
      </c>
      <c r="O96" s="180">
        <v>28.8</v>
      </c>
      <c r="P96" s="186"/>
      <c r="Q96" s="186"/>
    </row>
    <row r="97" spans="1:17" ht="21" customHeight="1">
      <c r="A97" s="231"/>
      <c r="B97" s="227"/>
      <c r="C97" s="17" t="s">
        <v>102</v>
      </c>
      <c r="D97" s="18">
        <v>176</v>
      </c>
      <c r="E97" s="18">
        <v>0</v>
      </c>
      <c r="F97" s="18">
        <v>0</v>
      </c>
      <c r="G97" s="18">
        <v>176</v>
      </c>
      <c r="H97" s="18">
        <v>15</v>
      </c>
      <c r="I97" s="18">
        <v>0</v>
      </c>
      <c r="J97" s="18">
        <v>0</v>
      </c>
      <c r="K97" s="18">
        <v>15</v>
      </c>
      <c r="L97" s="180">
        <v>14.7</v>
      </c>
      <c r="M97" s="180">
        <v>0</v>
      </c>
      <c r="N97" s="180">
        <v>0</v>
      </c>
      <c r="O97" s="180">
        <v>14.7</v>
      </c>
      <c r="P97" s="18"/>
      <c r="Q97" s="19"/>
    </row>
    <row r="98" spans="1:17" ht="67.5">
      <c r="A98" s="230"/>
      <c r="B98" s="16" t="s">
        <v>334</v>
      </c>
      <c r="C98" s="17" t="s">
        <v>297</v>
      </c>
      <c r="D98" s="18">
        <v>68.8</v>
      </c>
      <c r="E98" s="18">
        <v>0</v>
      </c>
      <c r="F98" s="18">
        <v>0</v>
      </c>
      <c r="G98" s="18">
        <v>68.8</v>
      </c>
      <c r="H98" s="18">
        <v>68.8</v>
      </c>
      <c r="I98" s="18">
        <v>0</v>
      </c>
      <c r="J98" s="18">
        <v>0</v>
      </c>
      <c r="K98" s="18">
        <v>68.8</v>
      </c>
      <c r="L98" s="180">
        <v>68.8</v>
      </c>
      <c r="M98" s="180">
        <v>0</v>
      </c>
      <c r="N98" s="180">
        <v>0</v>
      </c>
      <c r="O98" s="180">
        <v>68.8</v>
      </c>
      <c r="P98" s="18"/>
      <c r="Q98" s="19"/>
    </row>
    <row r="99" spans="1:17" ht="21">
      <c r="A99" s="100" t="s">
        <v>339</v>
      </c>
      <c r="B99" s="100"/>
      <c r="C99" s="101"/>
      <c r="D99" s="102">
        <f t="shared" ref="D99:O99" si="4">SUBTOTAL(9,D100:D109)</f>
        <v>2907.4</v>
      </c>
      <c r="E99" s="102">
        <f t="shared" si="4"/>
        <v>2725.6000000000004</v>
      </c>
      <c r="F99" s="102">
        <f t="shared" si="4"/>
        <v>2350.7000000000003</v>
      </c>
      <c r="G99" s="102">
        <f t="shared" si="4"/>
        <v>181.8</v>
      </c>
      <c r="H99" s="102">
        <f t="shared" si="4"/>
        <v>2060.1</v>
      </c>
      <c r="I99" s="102">
        <f t="shared" si="4"/>
        <v>1879.5</v>
      </c>
      <c r="J99" s="102">
        <f t="shared" si="4"/>
        <v>1580.7</v>
      </c>
      <c r="K99" s="102">
        <f t="shared" si="4"/>
        <v>180.60000000000002</v>
      </c>
      <c r="L99" s="102">
        <f t="shared" si="4"/>
        <v>1824.8000000000002</v>
      </c>
      <c r="M99" s="102">
        <f t="shared" si="4"/>
        <v>1796</v>
      </c>
      <c r="N99" s="102">
        <f t="shared" si="4"/>
        <v>1556.6000000000001</v>
      </c>
      <c r="O99" s="102">
        <f t="shared" si="4"/>
        <v>28.8</v>
      </c>
      <c r="P99" s="116">
        <f>SUM(L99/D99*100)</f>
        <v>62.763981564284244</v>
      </c>
      <c r="Q99" s="116">
        <f>SUM(L99/H99*100)</f>
        <v>88.578224358040885</v>
      </c>
    </row>
    <row r="100" spans="1:17">
      <c r="A100" s="229"/>
      <c r="B100" s="226" t="s">
        <v>338</v>
      </c>
      <c r="C100" s="17" t="s">
        <v>297</v>
      </c>
      <c r="D100" s="18">
        <v>65.3</v>
      </c>
      <c r="E100" s="18">
        <v>43.2</v>
      </c>
      <c r="F100" s="18">
        <v>0</v>
      </c>
      <c r="G100" s="18">
        <v>22.1</v>
      </c>
      <c r="H100" s="18">
        <v>65.3</v>
      </c>
      <c r="I100" s="18">
        <v>43.2</v>
      </c>
      <c r="J100" s="18">
        <v>0</v>
      </c>
      <c r="K100" s="18">
        <v>22.1</v>
      </c>
      <c r="L100" s="180">
        <v>42.9</v>
      </c>
      <c r="M100" s="180">
        <v>20.8</v>
      </c>
      <c r="N100" s="180">
        <v>0</v>
      </c>
      <c r="O100" s="180">
        <v>22.1</v>
      </c>
      <c r="P100" s="18"/>
      <c r="Q100" s="19"/>
    </row>
    <row r="101" spans="1:17">
      <c r="A101" s="231"/>
      <c r="B101" s="228"/>
      <c r="C101" s="17" t="s">
        <v>101</v>
      </c>
      <c r="D101" s="18">
        <v>1760.4</v>
      </c>
      <c r="E101" s="18">
        <v>1760.4</v>
      </c>
      <c r="F101" s="18">
        <v>1676.8</v>
      </c>
      <c r="G101" s="18">
        <v>0</v>
      </c>
      <c r="H101" s="18">
        <v>1179.2</v>
      </c>
      <c r="I101" s="18">
        <v>1179.2</v>
      </c>
      <c r="J101" s="18">
        <v>1117.8</v>
      </c>
      <c r="K101" s="18">
        <v>0</v>
      </c>
      <c r="L101" s="180">
        <v>1141.4000000000001</v>
      </c>
      <c r="M101" s="180">
        <v>1141.4000000000001</v>
      </c>
      <c r="N101" s="180">
        <v>1095.5999999999999</v>
      </c>
      <c r="O101" s="180">
        <v>0</v>
      </c>
      <c r="P101" s="18"/>
      <c r="Q101" s="19"/>
    </row>
    <row r="102" spans="1:17">
      <c r="A102" s="231"/>
      <c r="B102" s="228"/>
      <c r="C102" s="17" t="s">
        <v>347</v>
      </c>
      <c r="D102" s="18">
        <v>29.8</v>
      </c>
      <c r="E102" s="18">
        <v>29.8</v>
      </c>
      <c r="F102" s="18">
        <v>29.4</v>
      </c>
      <c r="G102" s="18">
        <v>0</v>
      </c>
      <c r="H102" s="18">
        <v>29.8</v>
      </c>
      <c r="I102" s="18">
        <v>29.8</v>
      </c>
      <c r="J102" s="18">
        <v>29.4</v>
      </c>
      <c r="K102" s="18">
        <v>0</v>
      </c>
      <c r="L102" s="180">
        <v>29.8</v>
      </c>
      <c r="M102" s="180">
        <v>29.8</v>
      </c>
      <c r="N102" s="180">
        <v>29.4</v>
      </c>
      <c r="O102" s="180">
        <v>0</v>
      </c>
      <c r="P102" s="18"/>
      <c r="Q102" s="19"/>
    </row>
    <row r="103" spans="1:17">
      <c r="A103" s="231"/>
      <c r="B103" s="228"/>
      <c r="C103" s="17" t="s">
        <v>109</v>
      </c>
      <c r="D103" s="18">
        <v>73.2</v>
      </c>
      <c r="E103" s="18">
        <v>73.2</v>
      </c>
      <c r="F103" s="18">
        <v>10.199999999999999</v>
      </c>
      <c r="G103" s="18">
        <v>0</v>
      </c>
      <c r="H103" s="18">
        <v>66.099999999999994</v>
      </c>
      <c r="I103" s="18">
        <v>66.099999999999994</v>
      </c>
      <c r="J103" s="18">
        <v>9.8000000000000007</v>
      </c>
      <c r="K103" s="18">
        <v>0</v>
      </c>
      <c r="L103" s="180">
        <v>61.1</v>
      </c>
      <c r="M103" s="180">
        <v>61.1</v>
      </c>
      <c r="N103" s="180">
        <v>7.9</v>
      </c>
      <c r="O103" s="180">
        <v>0</v>
      </c>
      <c r="P103" s="18"/>
      <c r="Q103" s="19"/>
    </row>
    <row r="104" spans="1:17">
      <c r="A104" s="231"/>
      <c r="B104" s="228"/>
      <c r="C104" s="17" t="s">
        <v>102</v>
      </c>
      <c r="D104" s="18">
        <v>825.2</v>
      </c>
      <c r="E104" s="18">
        <v>797.2</v>
      </c>
      <c r="F104" s="18">
        <v>612.9</v>
      </c>
      <c r="G104" s="18">
        <v>28</v>
      </c>
      <c r="H104" s="18">
        <v>572.5</v>
      </c>
      <c r="I104" s="18">
        <v>545.70000000000005</v>
      </c>
      <c r="J104" s="18">
        <v>408.6</v>
      </c>
      <c r="K104" s="18">
        <v>26.8</v>
      </c>
      <c r="L104" s="180">
        <v>534.1</v>
      </c>
      <c r="M104" s="180">
        <v>527.4</v>
      </c>
      <c r="N104" s="180">
        <v>408.6</v>
      </c>
      <c r="O104" s="180">
        <v>6.7</v>
      </c>
      <c r="P104" s="18"/>
      <c r="Q104" s="19"/>
    </row>
    <row r="105" spans="1:17">
      <c r="A105" s="231"/>
      <c r="B105" s="228"/>
      <c r="C105" s="17" t="s">
        <v>104</v>
      </c>
      <c r="D105" s="18">
        <v>19.3</v>
      </c>
      <c r="E105" s="18">
        <v>19.3</v>
      </c>
      <c r="F105" s="18">
        <v>19</v>
      </c>
      <c r="G105" s="18">
        <v>0</v>
      </c>
      <c r="H105" s="18">
        <v>13</v>
      </c>
      <c r="I105" s="18">
        <v>13</v>
      </c>
      <c r="J105" s="18">
        <v>12.7</v>
      </c>
      <c r="K105" s="18">
        <v>0</v>
      </c>
      <c r="L105" s="180">
        <v>13</v>
      </c>
      <c r="M105" s="180">
        <v>13</v>
      </c>
      <c r="N105" s="180">
        <v>12.7</v>
      </c>
      <c r="O105" s="180">
        <v>0</v>
      </c>
      <c r="P105" s="18"/>
      <c r="Q105" s="19"/>
    </row>
    <row r="106" spans="1:17" ht="16.5" customHeight="1">
      <c r="A106" s="231"/>
      <c r="B106" s="227"/>
      <c r="C106" s="17" t="s">
        <v>332</v>
      </c>
      <c r="D106" s="18">
        <v>2.5</v>
      </c>
      <c r="E106" s="18">
        <v>2.5</v>
      </c>
      <c r="F106" s="18">
        <v>2.4</v>
      </c>
      <c r="G106" s="18">
        <v>0</v>
      </c>
      <c r="H106" s="18">
        <v>2.5</v>
      </c>
      <c r="I106" s="18">
        <v>2.5</v>
      </c>
      <c r="J106" s="18">
        <v>2.4</v>
      </c>
      <c r="K106" s="18">
        <v>0</v>
      </c>
      <c r="L106" s="180">
        <v>2.5</v>
      </c>
      <c r="M106" s="180">
        <v>2.5</v>
      </c>
      <c r="N106" s="180">
        <v>2.4</v>
      </c>
      <c r="O106" s="180">
        <v>0</v>
      </c>
      <c r="P106" s="18"/>
      <c r="Q106" s="19"/>
    </row>
    <row r="107" spans="1:17">
      <c r="A107" s="231"/>
      <c r="B107" s="226" t="s">
        <v>335</v>
      </c>
      <c r="C107" s="17" t="s">
        <v>100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0">
        <v>0</v>
      </c>
      <c r="M107" s="180">
        <v>0</v>
      </c>
      <c r="N107" s="180">
        <v>0</v>
      </c>
      <c r="O107" s="180">
        <v>0</v>
      </c>
      <c r="P107" s="186"/>
      <c r="Q107" s="186"/>
    </row>
    <row r="108" spans="1:17">
      <c r="A108" s="231"/>
      <c r="B108" s="228"/>
      <c r="C108" s="17" t="s">
        <v>353</v>
      </c>
      <c r="D108" s="18">
        <v>46.7</v>
      </c>
      <c r="E108" s="18">
        <v>0</v>
      </c>
      <c r="F108" s="18">
        <v>0</v>
      </c>
      <c r="G108" s="18">
        <v>46.7</v>
      </c>
      <c r="H108" s="18">
        <v>46.7</v>
      </c>
      <c r="I108" s="18">
        <v>0</v>
      </c>
      <c r="J108" s="18">
        <v>0</v>
      </c>
      <c r="K108" s="18">
        <v>46.7</v>
      </c>
      <c r="L108" s="180">
        <v>0</v>
      </c>
      <c r="M108" s="180">
        <v>0</v>
      </c>
      <c r="N108" s="180">
        <v>0</v>
      </c>
      <c r="O108" s="180">
        <v>0</v>
      </c>
      <c r="P108" s="18"/>
      <c r="Q108" s="19"/>
    </row>
    <row r="109" spans="1:17" ht="15.75" customHeight="1">
      <c r="A109" s="230"/>
      <c r="B109" s="227"/>
      <c r="C109" s="17" t="s">
        <v>102</v>
      </c>
      <c r="D109" s="18">
        <v>85</v>
      </c>
      <c r="E109" s="18">
        <v>0</v>
      </c>
      <c r="F109" s="18">
        <v>0</v>
      </c>
      <c r="G109" s="18">
        <v>85</v>
      </c>
      <c r="H109" s="18">
        <v>85</v>
      </c>
      <c r="I109" s="18">
        <v>0</v>
      </c>
      <c r="J109" s="18">
        <v>0</v>
      </c>
      <c r="K109" s="18">
        <v>85</v>
      </c>
      <c r="L109" s="180">
        <v>0</v>
      </c>
      <c r="M109" s="180">
        <v>0</v>
      </c>
      <c r="N109" s="180">
        <v>0</v>
      </c>
      <c r="O109" s="180">
        <v>0</v>
      </c>
      <c r="P109" s="18"/>
      <c r="Q109" s="19"/>
    </row>
    <row r="110" spans="1:17" ht="21">
      <c r="A110" s="100" t="s">
        <v>115</v>
      </c>
      <c r="B110" s="100"/>
      <c r="C110" s="101"/>
      <c r="D110" s="102">
        <f t="shared" ref="D110:O110" si="5">SUBTOTAL(9,D111:D116)</f>
        <v>3465.1000000000004</v>
      </c>
      <c r="E110" s="102">
        <f t="shared" si="5"/>
        <v>3456.2</v>
      </c>
      <c r="F110" s="102">
        <f t="shared" si="5"/>
        <v>2894.2000000000003</v>
      </c>
      <c r="G110" s="102">
        <f t="shared" si="5"/>
        <v>8.9</v>
      </c>
      <c r="H110" s="102">
        <f t="shared" si="5"/>
        <v>2469.3999999999996</v>
      </c>
      <c r="I110" s="102">
        <f t="shared" si="5"/>
        <v>2460.5</v>
      </c>
      <c r="J110" s="102">
        <f t="shared" si="5"/>
        <v>2040.5</v>
      </c>
      <c r="K110" s="102">
        <f t="shared" si="5"/>
        <v>8.9</v>
      </c>
      <c r="L110" s="102">
        <f t="shared" si="5"/>
        <v>2181.2999999999997</v>
      </c>
      <c r="M110" s="102">
        <f t="shared" si="5"/>
        <v>2172.4</v>
      </c>
      <c r="N110" s="102">
        <f t="shared" si="5"/>
        <v>1877.4000000000003</v>
      </c>
      <c r="O110" s="102">
        <f t="shared" si="5"/>
        <v>8.9</v>
      </c>
      <c r="P110" s="116">
        <f>SUM(L110/D110*100)</f>
        <v>62.950564197281444</v>
      </c>
      <c r="Q110" s="116">
        <f>SUM(L110/H110*100)</f>
        <v>88.333198347776786</v>
      </c>
    </row>
    <row r="111" spans="1:17">
      <c r="A111" s="229"/>
      <c r="B111" s="226" t="s">
        <v>338</v>
      </c>
      <c r="C111" s="17" t="s">
        <v>297</v>
      </c>
      <c r="D111" s="18">
        <v>86.8</v>
      </c>
      <c r="E111" s="18">
        <v>77.900000000000006</v>
      </c>
      <c r="F111" s="18">
        <v>0</v>
      </c>
      <c r="G111" s="18">
        <v>8.9</v>
      </c>
      <c r="H111" s="18">
        <v>86.8</v>
      </c>
      <c r="I111" s="18">
        <v>77.900000000000006</v>
      </c>
      <c r="J111" s="18">
        <v>0</v>
      </c>
      <c r="K111" s="18">
        <v>8.9</v>
      </c>
      <c r="L111" s="180">
        <v>63.3</v>
      </c>
      <c r="M111" s="180">
        <v>54.4</v>
      </c>
      <c r="N111" s="180">
        <v>0</v>
      </c>
      <c r="O111" s="180">
        <v>8.9</v>
      </c>
      <c r="P111" s="18"/>
      <c r="Q111" s="19"/>
    </row>
    <row r="112" spans="1:17">
      <c r="A112" s="231"/>
      <c r="B112" s="228"/>
      <c r="C112" s="17" t="s">
        <v>101</v>
      </c>
      <c r="D112" s="18">
        <v>2090.5</v>
      </c>
      <c r="E112" s="18">
        <v>2090.5</v>
      </c>
      <c r="F112" s="18">
        <v>2002.2</v>
      </c>
      <c r="G112" s="18">
        <v>0</v>
      </c>
      <c r="H112" s="18">
        <v>1491.5</v>
      </c>
      <c r="I112" s="18">
        <v>1491.5</v>
      </c>
      <c r="J112" s="18">
        <v>1418.2</v>
      </c>
      <c r="K112" s="18">
        <v>0</v>
      </c>
      <c r="L112" s="180">
        <v>1338.5</v>
      </c>
      <c r="M112" s="180">
        <v>1338.5</v>
      </c>
      <c r="N112" s="180">
        <v>1287.7</v>
      </c>
      <c r="O112" s="180">
        <v>0</v>
      </c>
      <c r="P112" s="18"/>
      <c r="Q112" s="19"/>
    </row>
    <row r="113" spans="1:17">
      <c r="A113" s="231"/>
      <c r="B113" s="228"/>
      <c r="C113" s="17" t="s">
        <v>347</v>
      </c>
      <c r="D113" s="18">
        <v>49.6</v>
      </c>
      <c r="E113" s="18">
        <v>49.6</v>
      </c>
      <c r="F113" s="18">
        <v>48.9</v>
      </c>
      <c r="G113" s="18">
        <v>0</v>
      </c>
      <c r="H113" s="18">
        <v>49.6</v>
      </c>
      <c r="I113" s="18">
        <v>49.6</v>
      </c>
      <c r="J113" s="18">
        <v>48.9</v>
      </c>
      <c r="K113" s="18">
        <v>0</v>
      </c>
      <c r="L113" s="180">
        <v>49.6</v>
      </c>
      <c r="M113" s="180">
        <v>49.6</v>
      </c>
      <c r="N113" s="180">
        <v>48.9</v>
      </c>
      <c r="O113" s="180">
        <v>0</v>
      </c>
      <c r="P113" s="18"/>
      <c r="Q113" s="19"/>
    </row>
    <row r="114" spans="1:17">
      <c r="A114" s="231"/>
      <c r="B114" s="228"/>
      <c r="C114" s="17" t="s">
        <v>109</v>
      </c>
      <c r="D114" s="18">
        <v>95.9</v>
      </c>
      <c r="E114" s="18">
        <v>95.9</v>
      </c>
      <c r="F114" s="18">
        <v>0</v>
      </c>
      <c r="G114" s="18">
        <v>0</v>
      </c>
      <c r="H114" s="18">
        <v>81</v>
      </c>
      <c r="I114" s="18">
        <v>81</v>
      </c>
      <c r="J114" s="18">
        <v>0</v>
      </c>
      <c r="K114" s="18">
        <v>0</v>
      </c>
      <c r="L114" s="180">
        <v>61.3</v>
      </c>
      <c r="M114" s="180">
        <v>61.3</v>
      </c>
      <c r="N114" s="180">
        <v>0</v>
      </c>
      <c r="O114" s="180">
        <v>0</v>
      </c>
      <c r="P114" s="186"/>
      <c r="Q114" s="186"/>
    </row>
    <row r="115" spans="1:17">
      <c r="A115" s="231"/>
      <c r="B115" s="228"/>
      <c r="C115" s="17" t="s">
        <v>102</v>
      </c>
      <c r="D115" s="18">
        <v>1031.8</v>
      </c>
      <c r="E115" s="18">
        <v>1031.8</v>
      </c>
      <c r="F115" s="18">
        <v>734.2</v>
      </c>
      <c r="G115" s="18">
        <v>0</v>
      </c>
      <c r="H115" s="18">
        <v>675.3</v>
      </c>
      <c r="I115" s="18">
        <v>675.3</v>
      </c>
      <c r="J115" s="18">
        <v>489.4</v>
      </c>
      <c r="K115" s="18">
        <v>0</v>
      </c>
      <c r="L115" s="180">
        <v>607</v>
      </c>
      <c r="M115" s="180">
        <v>607</v>
      </c>
      <c r="N115" s="180">
        <v>480.1</v>
      </c>
      <c r="O115" s="180">
        <v>0</v>
      </c>
      <c r="P115" s="18"/>
      <c r="Q115" s="19"/>
    </row>
    <row r="116" spans="1:17">
      <c r="A116" s="230"/>
      <c r="B116" s="227"/>
      <c r="C116" s="17" t="s">
        <v>104</v>
      </c>
      <c r="D116" s="18">
        <v>110.5</v>
      </c>
      <c r="E116" s="18">
        <v>110.5</v>
      </c>
      <c r="F116" s="18">
        <v>108.9</v>
      </c>
      <c r="G116" s="18">
        <v>0</v>
      </c>
      <c r="H116" s="18">
        <v>85.2</v>
      </c>
      <c r="I116" s="18">
        <v>85.2</v>
      </c>
      <c r="J116" s="18">
        <v>84</v>
      </c>
      <c r="K116" s="18">
        <v>0</v>
      </c>
      <c r="L116" s="180">
        <v>61.6</v>
      </c>
      <c r="M116" s="180">
        <v>61.6</v>
      </c>
      <c r="N116" s="180">
        <v>60.7</v>
      </c>
      <c r="O116" s="180">
        <v>0</v>
      </c>
      <c r="P116" s="18"/>
      <c r="Q116" s="19"/>
    </row>
    <row r="117" spans="1:17" ht="21">
      <c r="A117" s="100" t="s">
        <v>87</v>
      </c>
      <c r="B117" s="100"/>
      <c r="C117" s="101"/>
      <c r="D117" s="102">
        <f t="shared" ref="D117:O117" si="6">SUBTOTAL(9,D118:D126)</f>
        <v>3007.5</v>
      </c>
      <c r="E117" s="102">
        <f t="shared" si="6"/>
        <v>2852.6000000000004</v>
      </c>
      <c r="F117" s="102">
        <f t="shared" si="6"/>
        <v>2259.8000000000002</v>
      </c>
      <c r="G117" s="102">
        <f t="shared" si="6"/>
        <v>154.9</v>
      </c>
      <c r="H117" s="102">
        <f t="shared" si="6"/>
        <v>2250.8999999999996</v>
      </c>
      <c r="I117" s="102">
        <f t="shared" si="6"/>
        <v>2098.5</v>
      </c>
      <c r="J117" s="102">
        <f t="shared" si="6"/>
        <v>1628</v>
      </c>
      <c r="K117" s="102">
        <f t="shared" si="6"/>
        <v>152.4</v>
      </c>
      <c r="L117" s="102">
        <f t="shared" si="6"/>
        <v>1824.8000000000002</v>
      </c>
      <c r="M117" s="102">
        <f t="shared" si="6"/>
        <v>1802.2</v>
      </c>
      <c r="N117" s="102">
        <f t="shared" si="6"/>
        <v>1483.7</v>
      </c>
      <c r="O117" s="102">
        <f t="shared" si="6"/>
        <v>22.6</v>
      </c>
      <c r="P117" s="116">
        <f>SUM(L117/D117*100)</f>
        <v>60.674979218620116</v>
      </c>
      <c r="Q117" s="116">
        <f>SUM(L117/H117*100)</f>
        <v>81.069794304500448</v>
      </c>
    </row>
    <row r="118" spans="1:17">
      <c r="A118" s="229"/>
      <c r="B118" s="226" t="s">
        <v>338</v>
      </c>
      <c r="C118" s="17" t="s">
        <v>297</v>
      </c>
      <c r="D118" s="18">
        <v>75.7</v>
      </c>
      <c r="E118" s="18">
        <v>69</v>
      </c>
      <c r="F118" s="18">
        <v>0</v>
      </c>
      <c r="G118" s="18">
        <v>6.7</v>
      </c>
      <c r="H118" s="18">
        <v>75.7</v>
      </c>
      <c r="I118" s="18">
        <v>69</v>
      </c>
      <c r="J118" s="18">
        <v>0</v>
      </c>
      <c r="K118" s="18">
        <v>6.7</v>
      </c>
      <c r="L118" s="180">
        <v>59.2</v>
      </c>
      <c r="M118" s="180">
        <v>52.5</v>
      </c>
      <c r="N118" s="180">
        <v>0</v>
      </c>
      <c r="O118" s="180">
        <v>6.7</v>
      </c>
      <c r="P118" s="18"/>
      <c r="Q118" s="19"/>
    </row>
    <row r="119" spans="1:17">
      <c r="A119" s="231"/>
      <c r="B119" s="228"/>
      <c r="C119" s="17" t="s">
        <v>101</v>
      </c>
      <c r="D119" s="18">
        <v>1281.8</v>
      </c>
      <c r="E119" s="18">
        <v>1281.8</v>
      </c>
      <c r="F119" s="18">
        <v>1234.4000000000001</v>
      </c>
      <c r="G119" s="18">
        <v>0</v>
      </c>
      <c r="H119" s="18">
        <v>911.4</v>
      </c>
      <c r="I119" s="18">
        <v>911.4</v>
      </c>
      <c r="J119" s="18">
        <v>874.4</v>
      </c>
      <c r="K119" s="18">
        <v>0</v>
      </c>
      <c r="L119" s="180">
        <v>859.1</v>
      </c>
      <c r="M119" s="180">
        <v>859.1</v>
      </c>
      <c r="N119" s="180">
        <v>832.9</v>
      </c>
      <c r="O119" s="180">
        <v>0</v>
      </c>
      <c r="P119" s="18"/>
      <c r="Q119" s="19"/>
    </row>
    <row r="120" spans="1:17">
      <c r="A120" s="231"/>
      <c r="B120" s="228"/>
      <c r="C120" s="17" t="s">
        <v>347</v>
      </c>
      <c r="D120" s="18">
        <v>36.700000000000003</v>
      </c>
      <c r="E120" s="18">
        <v>36.700000000000003</v>
      </c>
      <c r="F120" s="18">
        <v>36.200000000000003</v>
      </c>
      <c r="G120" s="18">
        <v>0</v>
      </c>
      <c r="H120" s="18">
        <v>36.700000000000003</v>
      </c>
      <c r="I120" s="18">
        <v>36.700000000000003</v>
      </c>
      <c r="J120" s="18">
        <v>36.200000000000003</v>
      </c>
      <c r="K120" s="18">
        <v>0</v>
      </c>
      <c r="L120" s="180">
        <v>36.700000000000003</v>
      </c>
      <c r="M120" s="180">
        <v>36.700000000000003</v>
      </c>
      <c r="N120" s="180">
        <v>36.200000000000003</v>
      </c>
      <c r="O120" s="180">
        <v>0</v>
      </c>
      <c r="P120" s="18"/>
      <c r="Q120" s="19"/>
    </row>
    <row r="121" spans="1:17">
      <c r="A121" s="231"/>
      <c r="B121" s="228"/>
      <c r="C121" s="17" t="s">
        <v>109</v>
      </c>
      <c r="D121" s="18">
        <v>92.9</v>
      </c>
      <c r="E121" s="18">
        <v>92.9</v>
      </c>
      <c r="F121" s="18">
        <v>10.6</v>
      </c>
      <c r="G121" s="18">
        <v>0</v>
      </c>
      <c r="H121" s="18">
        <v>71.3</v>
      </c>
      <c r="I121" s="18">
        <v>71.3</v>
      </c>
      <c r="J121" s="18">
        <v>7.9</v>
      </c>
      <c r="K121" s="18">
        <v>0</v>
      </c>
      <c r="L121" s="180">
        <v>53.4</v>
      </c>
      <c r="M121" s="180">
        <v>53.4</v>
      </c>
      <c r="N121" s="180">
        <v>5.4</v>
      </c>
      <c r="O121" s="180">
        <v>0</v>
      </c>
      <c r="P121" s="18"/>
      <c r="Q121" s="19"/>
    </row>
    <row r="122" spans="1:17">
      <c r="A122" s="231"/>
      <c r="B122" s="228"/>
      <c r="C122" s="17" t="s">
        <v>102</v>
      </c>
      <c r="D122" s="18">
        <v>1403.2</v>
      </c>
      <c r="E122" s="18">
        <v>1368.7</v>
      </c>
      <c r="F122" s="18">
        <v>976.6</v>
      </c>
      <c r="G122" s="18">
        <v>34.5</v>
      </c>
      <c r="H122" s="18">
        <v>1038.5999999999999</v>
      </c>
      <c r="I122" s="18">
        <v>1006.6</v>
      </c>
      <c r="J122" s="18">
        <v>707.5</v>
      </c>
      <c r="K122" s="18">
        <v>32</v>
      </c>
      <c r="L122" s="180">
        <v>812.9</v>
      </c>
      <c r="M122" s="180">
        <v>797</v>
      </c>
      <c r="N122" s="180">
        <v>607.20000000000005</v>
      </c>
      <c r="O122" s="180">
        <v>15.9</v>
      </c>
      <c r="P122" s="18"/>
      <c r="Q122" s="19"/>
    </row>
    <row r="123" spans="1:17" ht="13.5" customHeight="1">
      <c r="A123" s="231"/>
      <c r="B123" s="227"/>
      <c r="C123" s="17" t="s">
        <v>332</v>
      </c>
      <c r="D123" s="18">
        <v>3.5</v>
      </c>
      <c r="E123" s="18">
        <v>3.5</v>
      </c>
      <c r="F123" s="18">
        <v>2</v>
      </c>
      <c r="G123" s="18">
        <v>0</v>
      </c>
      <c r="H123" s="18">
        <v>3.5</v>
      </c>
      <c r="I123" s="18">
        <v>3.5</v>
      </c>
      <c r="J123" s="18">
        <v>2</v>
      </c>
      <c r="K123" s="18">
        <v>0</v>
      </c>
      <c r="L123" s="180">
        <v>3.5</v>
      </c>
      <c r="M123" s="180">
        <v>3.5</v>
      </c>
      <c r="N123" s="180">
        <v>2</v>
      </c>
      <c r="O123" s="180">
        <v>0</v>
      </c>
      <c r="P123" s="18"/>
      <c r="Q123" s="19"/>
    </row>
    <row r="124" spans="1:17">
      <c r="A124" s="231"/>
      <c r="B124" s="226" t="s">
        <v>335</v>
      </c>
      <c r="C124" s="17" t="s">
        <v>100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0">
        <v>0</v>
      </c>
      <c r="M124" s="180">
        <v>0</v>
      </c>
      <c r="N124" s="180">
        <v>0</v>
      </c>
      <c r="O124" s="180">
        <v>0</v>
      </c>
      <c r="P124" s="186"/>
      <c r="Q124" s="186"/>
    </row>
    <row r="125" spans="1:17">
      <c r="A125" s="231"/>
      <c r="B125" s="228"/>
      <c r="C125" s="17" t="s">
        <v>353</v>
      </c>
      <c r="D125" s="18">
        <v>41.7</v>
      </c>
      <c r="E125" s="18">
        <v>0</v>
      </c>
      <c r="F125" s="18">
        <v>0</v>
      </c>
      <c r="G125" s="18">
        <v>41.7</v>
      </c>
      <c r="H125" s="18">
        <v>41.7</v>
      </c>
      <c r="I125" s="18">
        <v>0</v>
      </c>
      <c r="J125" s="18">
        <v>0</v>
      </c>
      <c r="K125" s="18">
        <v>41.7</v>
      </c>
      <c r="L125" s="180">
        <v>0</v>
      </c>
      <c r="M125" s="180">
        <v>0</v>
      </c>
      <c r="N125" s="180">
        <v>0</v>
      </c>
      <c r="O125" s="180">
        <v>0</v>
      </c>
      <c r="P125" s="18"/>
      <c r="Q125" s="19"/>
    </row>
    <row r="126" spans="1:17" ht="19.5" customHeight="1">
      <c r="A126" s="230"/>
      <c r="B126" s="227"/>
      <c r="C126" s="17" t="s">
        <v>102</v>
      </c>
      <c r="D126" s="18">
        <v>72</v>
      </c>
      <c r="E126" s="18">
        <v>0</v>
      </c>
      <c r="F126" s="18">
        <v>0</v>
      </c>
      <c r="G126" s="18">
        <v>72</v>
      </c>
      <c r="H126" s="18">
        <v>72</v>
      </c>
      <c r="I126" s="18">
        <v>0</v>
      </c>
      <c r="J126" s="18">
        <v>0</v>
      </c>
      <c r="K126" s="18">
        <v>72</v>
      </c>
      <c r="L126" s="180">
        <v>0</v>
      </c>
      <c r="M126" s="180">
        <v>0</v>
      </c>
      <c r="N126" s="180">
        <v>0</v>
      </c>
      <c r="O126" s="180">
        <v>0</v>
      </c>
      <c r="P126" s="18"/>
      <c r="Q126" s="19"/>
    </row>
    <row r="127" spans="1:17" ht="21">
      <c r="A127" s="100" t="s">
        <v>340</v>
      </c>
      <c r="B127" s="100"/>
      <c r="C127" s="101"/>
      <c r="D127" s="102">
        <f t="shared" ref="D127:O127" si="7">SUBTOTAL(9,D128:D133)</f>
        <v>861</v>
      </c>
      <c r="E127" s="102">
        <f t="shared" si="7"/>
        <v>857</v>
      </c>
      <c r="F127" s="102">
        <f t="shared" si="7"/>
        <v>694.9</v>
      </c>
      <c r="G127" s="102">
        <f t="shared" si="7"/>
        <v>4</v>
      </c>
      <c r="H127" s="102">
        <f t="shared" si="7"/>
        <v>653.20000000000005</v>
      </c>
      <c r="I127" s="102">
        <f t="shared" si="7"/>
        <v>650</v>
      </c>
      <c r="J127" s="102">
        <f t="shared" si="7"/>
        <v>538.20000000000005</v>
      </c>
      <c r="K127" s="102">
        <f t="shared" si="7"/>
        <v>3.2</v>
      </c>
      <c r="L127" s="102">
        <f t="shared" si="7"/>
        <v>574.40000000000009</v>
      </c>
      <c r="M127" s="102">
        <f t="shared" si="7"/>
        <v>571.20000000000005</v>
      </c>
      <c r="N127" s="102">
        <f t="shared" si="7"/>
        <v>494.6</v>
      </c>
      <c r="O127" s="102">
        <f t="shared" si="7"/>
        <v>3.2</v>
      </c>
      <c r="P127" s="116">
        <f>SUM(L127/D127*100)</f>
        <v>66.713124274099897</v>
      </c>
      <c r="Q127" s="116">
        <f>SUM(L127/H127*100)</f>
        <v>87.936313533374161</v>
      </c>
    </row>
    <row r="128" spans="1:17">
      <c r="A128" s="229"/>
      <c r="B128" s="226" t="s">
        <v>355</v>
      </c>
      <c r="C128" s="17" t="s">
        <v>297</v>
      </c>
      <c r="D128" s="18">
        <v>5.8</v>
      </c>
      <c r="E128" s="18">
        <v>2.6</v>
      </c>
      <c r="F128" s="18">
        <v>0</v>
      </c>
      <c r="G128" s="18">
        <v>3.2</v>
      </c>
      <c r="H128" s="18">
        <v>5.8</v>
      </c>
      <c r="I128" s="18">
        <v>2.6</v>
      </c>
      <c r="J128" s="18">
        <v>0</v>
      </c>
      <c r="K128" s="18">
        <v>3.2</v>
      </c>
      <c r="L128" s="180">
        <v>4.5</v>
      </c>
      <c r="M128" s="180">
        <v>1.3</v>
      </c>
      <c r="N128" s="180">
        <v>0</v>
      </c>
      <c r="O128" s="180">
        <v>3.2</v>
      </c>
      <c r="P128" s="18"/>
      <c r="Q128" s="19"/>
    </row>
    <row r="129" spans="1:17">
      <c r="A129" s="231"/>
      <c r="B129" s="228"/>
      <c r="C129" s="17" t="s">
        <v>101</v>
      </c>
      <c r="D129" s="18">
        <v>314.10000000000002</v>
      </c>
      <c r="E129" s="18">
        <v>314.10000000000002</v>
      </c>
      <c r="F129" s="18">
        <v>303</v>
      </c>
      <c r="G129" s="18">
        <v>0</v>
      </c>
      <c r="H129" s="18">
        <v>249.7</v>
      </c>
      <c r="I129" s="18">
        <v>249.7</v>
      </c>
      <c r="J129" s="18">
        <v>240</v>
      </c>
      <c r="K129" s="18">
        <v>0</v>
      </c>
      <c r="L129" s="180">
        <v>233.8</v>
      </c>
      <c r="M129" s="180">
        <v>233.8</v>
      </c>
      <c r="N129" s="180">
        <v>229.4</v>
      </c>
      <c r="O129" s="180">
        <v>0</v>
      </c>
      <c r="P129" s="18"/>
      <c r="Q129" s="19"/>
    </row>
    <row r="130" spans="1:17">
      <c r="A130" s="231"/>
      <c r="B130" s="228"/>
      <c r="C130" s="17" t="s">
        <v>347</v>
      </c>
      <c r="D130" s="18">
        <v>2.4</v>
      </c>
      <c r="E130" s="18">
        <v>2.4</v>
      </c>
      <c r="F130" s="18">
        <v>2.4</v>
      </c>
      <c r="G130" s="18">
        <v>0</v>
      </c>
      <c r="H130" s="18">
        <v>2.4</v>
      </c>
      <c r="I130" s="18">
        <v>2.4</v>
      </c>
      <c r="J130" s="18">
        <v>2.4</v>
      </c>
      <c r="K130" s="18">
        <v>0</v>
      </c>
      <c r="L130" s="180">
        <v>2.4</v>
      </c>
      <c r="M130" s="180">
        <v>2.4</v>
      </c>
      <c r="N130" s="180">
        <v>2.4</v>
      </c>
      <c r="O130" s="180">
        <v>0</v>
      </c>
      <c r="P130" s="18"/>
      <c r="Q130" s="19"/>
    </row>
    <row r="131" spans="1:17">
      <c r="A131" s="231"/>
      <c r="B131" s="228"/>
      <c r="C131" s="17" t="s">
        <v>109</v>
      </c>
      <c r="D131" s="18">
        <v>44.5</v>
      </c>
      <c r="E131" s="18">
        <v>44.5</v>
      </c>
      <c r="F131" s="18">
        <v>5.7</v>
      </c>
      <c r="G131" s="18">
        <v>0</v>
      </c>
      <c r="H131" s="18">
        <v>32.1</v>
      </c>
      <c r="I131" s="18">
        <v>32.1</v>
      </c>
      <c r="J131" s="18">
        <v>4</v>
      </c>
      <c r="K131" s="18">
        <v>0</v>
      </c>
      <c r="L131" s="180">
        <v>25.7</v>
      </c>
      <c r="M131" s="180">
        <v>25.7</v>
      </c>
      <c r="N131" s="180">
        <v>2.2999999999999998</v>
      </c>
      <c r="O131" s="180">
        <v>0</v>
      </c>
      <c r="P131" s="186"/>
      <c r="Q131" s="186"/>
    </row>
    <row r="132" spans="1:17">
      <c r="A132" s="231"/>
      <c r="B132" s="228"/>
      <c r="C132" s="17" t="s">
        <v>102</v>
      </c>
      <c r="D132" s="18">
        <v>487</v>
      </c>
      <c r="E132" s="18">
        <v>486.2</v>
      </c>
      <c r="F132" s="18">
        <v>376.7</v>
      </c>
      <c r="G132" s="18">
        <v>0.8</v>
      </c>
      <c r="H132" s="18">
        <v>356</v>
      </c>
      <c r="I132" s="18">
        <v>356</v>
      </c>
      <c r="J132" s="18">
        <v>284.7</v>
      </c>
      <c r="K132" s="18">
        <v>0</v>
      </c>
      <c r="L132" s="180">
        <v>300.8</v>
      </c>
      <c r="M132" s="180">
        <v>300.8</v>
      </c>
      <c r="N132" s="180">
        <v>253.4</v>
      </c>
      <c r="O132" s="180">
        <v>0</v>
      </c>
      <c r="P132" s="18"/>
      <c r="Q132" s="19"/>
    </row>
    <row r="133" spans="1:17" ht="15" customHeight="1">
      <c r="A133" s="230"/>
      <c r="B133" s="227"/>
      <c r="C133" s="17" t="s">
        <v>332</v>
      </c>
      <c r="D133" s="18">
        <v>7.2</v>
      </c>
      <c r="E133" s="18">
        <v>7.2</v>
      </c>
      <c r="F133" s="18">
        <v>7.1</v>
      </c>
      <c r="G133" s="18">
        <v>0</v>
      </c>
      <c r="H133" s="18">
        <v>7.2</v>
      </c>
      <c r="I133" s="18">
        <v>7.2</v>
      </c>
      <c r="J133" s="18">
        <v>7.1</v>
      </c>
      <c r="K133" s="18">
        <v>0</v>
      </c>
      <c r="L133" s="180">
        <v>7.2</v>
      </c>
      <c r="M133" s="180">
        <v>7.2</v>
      </c>
      <c r="N133" s="180">
        <v>7.1</v>
      </c>
      <c r="O133" s="180">
        <v>0</v>
      </c>
      <c r="P133" s="18"/>
      <c r="Q133" s="19"/>
    </row>
    <row r="134" spans="1:17" ht="21">
      <c r="A134" s="100" t="s">
        <v>21</v>
      </c>
      <c r="B134" s="100"/>
      <c r="C134" s="101"/>
      <c r="D134" s="102">
        <f t="shared" ref="D134:N134" si="8">SUBTOTAL(9,D135:D140)</f>
        <v>2664.5999999999995</v>
      </c>
      <c r="E134" s="102">
        <f t="shared" si="8"/>
        <v>2646.8999999999996</v>
      </c>
      <c r="F134" s="102">
        <f t="shared" si="8"/>
        <v>2230.6</v>
      </c>
      <c r="G134" s="102">
        <f t="shared" si="8"/>
        <v>17.7</v>
      </c>
      <c r="H134" s="102">
        <f t="shared" si="8"/>
        <v>1948.7</v>
      </c>
      <c r="I134" s="102">
        <f t="shared" si="8"/>
        <v>1931.0000000000002</v>
      </c>
      <c r="J134" s="102">
        <f t="shared" si="8"/>
        <v>1609.6</v>
      </c>
      <c r="K134" s="102">
        <f t="shared" si="8"/>
        <v>17.7</v>
      </c>
      <c r="L134" s="102">
        <f t="shared" si="8"/>
        <v>1739.3999999999999</v>
      </c>
      <c r="M134" s="102">
        <f t="shared" si="8"/>
        <v>1728.6</v>
      </c>
      <c r="N134" s="102">
        <f t="shared" si="8"/>
        <v>1498.6999999999998</v>
      </c>
      <c r="O134" s="102">
        <f>SUBTOTAL(9,O135:O140)</f>
        <v>10.8</v>
      </c>
      <c r="P134" s="116">
        <f>SUM(L134/D134*100)</f>
        <v>65.278090520153128</v>
      </c>
      <c r="Q134" s="116">
        <f>SUM(L134/H134*100)</f>
        <v>89.259506337558363</v>
      </c>
    </row>
    <row r="135" spans="1:17">
      <c r="A135" s="229"/>
      <c r="B135" s="226" t="s">
        <v>338</v>
      </c>
      <c r="C135" s="17" t="s">
        <v>297</v>
      </c>
      <c r="D135" s="18">
        <v>44.9</v>
      </c>
      <c r="E135" s="18">
        <v>27.2</v>
      </c>
      <c r="F135" s="18">
        <v>0</v>
      </c>
      <c r="G135" s="18">
        <v>17.7</v>
      </c>
      <c r="H135" s="18">
        <v>44.9</v>
      </c>
      <c r="I135" s="18">
        <v>27.2</v>
      </c>
      <c r="J135" s="18">
        <v>0</v>
      </c>
      <c r="K135" s="18">
        <v>17.7</v>
      </c>
      <c r="L135" s="180">
        <v>29.6</v>
      </c>
      <c r="M135" s="180">
        <v>18.8</v>
      </c>
      <c r="N135" s="180">
        <v>0</v>
      </c>
      <c r="O135" s="180">
        <v>10.8</v>
      </c>
      <c r="P135" s="18"/>
      <c r="Q135" s="19"/>
    </row>
    <row r="136" spans="1:17">
      <c r="A136" s="231"/>
      <c r="B136" s="228"/>
      <c r="C136" s="17" t="s">
        <v>101</v>
      </c>
      <c r="D136" s="18">
        <v>1228.8</v>
      </c>
      <c r="E136" s="18">
        <v>1228.8</v>
      </c>
      <c r="F136" s="18">
        <v>1177.8</v>
      </c>
      <c r="G136" s="18">
        <v>0</v>
      </c>
      <c r="H136" s="18">
        <v>887.7</v>
      </c>
      <c r="I136" s="18">
        <v>887.7</v>
      </c>
      <c r="J136" s="18">
        <v>846.9</v>
      </c>
      <c r="K136" s="18">
        <v>0</v>
      </c>
      <c r="L136" s="180">
        <v>787.3</v>
      </c>
      <c r="M136" s="180">
        <v>787.3</v>
      </c>
      <c r="N136" s="180">
        <v>759.8</v>
      </c>
      <c r="O136" s="180">
        <v>0</v>
      </c>
      <c r="P136" s="18"/>
      <c r="Q136" s="19"/>
    </row>
    <row r="137" spans="1:17">
      <c r="A137" s="231"/>
      <c r="B137" s="228"/>
      <c r="C137" s="17" t="s">
        <v>347</v>
      </c>
      <c r="D137" s="18">
        <v>52.1</v>
      </c>
      <c r="E137" s="18">
        <v>52.1</v>
      </c>
      <c r="F137" s="18">
        <v>51.4</v>
      </c>
      <c r="G137" s="18">
        <v>0</v>
      </c>
      <c r="H137" s="18">
        <v>52.1</v>
      </c>
      <c r="I137" s="18">
        <v>52.1</v>
      </c>
      <c r="J137" s="18">
        <v>51.4</v>
      </c>
      <c r="K137" s="18">
        <v>0</v>
      </c>
      <c r="L137" s="180">
        <v>52.1</v>
      </c>
      <c r="M137" s="180">
        <v>52.1</v>
      </c>
      <c r="N137" s="180">
        <v>51.4</v>
      </c>
      <c r="O137" s="180">
        <v>0</v>
      </c>
      <c r="P137" s="18"/>
      <c r="Q137" s="19"/>
    </row>
    <row r="138" spans="1:17">
      <c r="A138" s="231"/>
      <c r="B138" s="228"/>
      <c r="C138" s="17" t="s">
        <v>109</v>
      </c>
      <c r="D138" s="18">
        <v>110.5</v>
      </c>
      <c r="E138" s="18">
        <v>110.5</v>
      </c>
      <c r="F138" s="18">
        <v>12.2</v>
      </c>
      <c r="G138" s="18">
        <v>0</v>
      </c>
      <c r="H138" s="18">
        <v>81.900000000000006</v>
      </c>
      <c r="I138" s="18">
        <v>81.900000000000006</v>
      </c>
      <c r="J138" s="18">
        <v>8.3000000000000007</v>
      </c>
      <c r="K138" s="18">
        <v>0</v>
      </c>
      <c r="L138" s="180">
        <v>64.900000000000006</v>
      </c>
      <c r="M138" s="180">
        <v>64.900000000000006</v>
      </c>
      <c r="N138" s="180">
        <v>3.9</v>
      </c>
      <c r="O138" s="180">
        <v>0</v>
      </c>
      <c r="P138" s="186"/>
      <c r="Q138" s="186"/>
    </row>
    <row r="139" spans="1:17">
      <c r="A139" s="231"/>
      <c r="B139" s="228"/>
      <c r="C139" s="17" t="s">
        <v>102</v>
      </c>
      <c r="D139" s="18">
        <v>1219.5999999999999</v>
      </c>
      <c r="E139" s="18">
        <v>1219.5999999999999</v>
      </c>
      <c r="F139" s="18">
        <v>980.6</v>
      </c>
      <c r="G139" s="18">
        <v>0</v>
      </c>
      <c r="H139" s="18">
        <v>873.4</v>
      </c>
      <c r="I139" s="18">
        <v>873.4</v>
      </c>
      <c r="J139" s="18">
        <v>694.4</v>
      </c>
      <c r="K139" s="18">
        <v>0</v>
      </c>
      <c r="L139" s="180">
        <v>796.8</v>
      </c>
      <c r="M139" s="180">
        <v>796.8</v>
      </c>
      <c r="N139" s="180">
        <v>675</v>
      </c>
      <c r="O139" s="180">
        <v>0</v>
      </c>
      <c r="P139" s="18"/>
      <c r="Q139" s="19"/>
    </row>
    <row r="140" spans="1:17" ht="15" customHeight="1">
      <c r="A140" s="230"/>
      <c r="B140" s="227"/>
      <c r="C140" s="17" t="s">
        <v>332</v>
      </c>
      <c r="D140" s="18">
        <v>8.6999999999999993</v>
      </c>
      <c r="E140" s="18">
        <v>8.6999999999999993</v>
      </c>
      <c r="F140" s="18">
        <v>8.6</v>
      </c>
      <c r="G140" s="18">
        <v>0</v>
      </c>
      <c r="H140" s="18">
        <v>8.6999999999999993</v>
      </c>
      <c r="I140" s="18">
        <v>8.6999999999999993</v>
      </c>
      <c r="J140" s="18">
        <v>8.6</v>
      </c>
      <c r="K140" s="18">
        <v>0</v>
      </c>
      <c r="L140" s="180">
        <v>8.6999999999999993</v>
      </c>
      <c r="M140" s="180">
        <v>8.6999999999999993</v>
      </c>
      <c r="N140" s="180">
        <v>8.6</v>
      </c>
      <c r="O140" s="180">
        <v>0</v>
      </c>
      <c r="P140" s="18"/>
      <c r="Q140" s="19"/>
    </row>
    <row r="141" spans="1:17" ht="21">
      <c r="A141" s="100" t="s">
        <v>24</v>
      </c>
      <c r="B141" s="100"/>
      <c r="C141" s="101"/>
      <c r="D141" s="102">
        <f t="shared" ref="D141:O141" si="9">SUBTOTAL(9,D142:D146)</f>
        <v>1388.3000000000002</v>
      </c>
      <c r="E141" s="102">
        <f t="shared" si="9"/>
        <v>1314.9</v>
      </c>
      <c r="F141" s="102">
        <f t="shared" si="9"/>
        <v>1128.5999999999999</v>
      </c>
      <c r="G141" s="102">
        <f t="shared" si="9"/>
        <v>73.400000000000006</v>
      </c>
      <c r="H141" s="102">
        <f t="shared" si="9"/>
        <v>1080.2</v>
      </c>
      <c r="I141" s="102">
        <f t="shared" si="9"/>
        <v>1012</v>
      </c>
      <c r="J141" s="102">
        <f t="shared" si="9"/>
        <v>860.8</v>
      </c>
      <c r="K141" s="102">
        <f t="shared" si="9"/>
        <v>68.2</v>
      </c>
      <c r="L141" s="102">
        <f t="shared" si="9"/>
        <v>841.09999999999991</v>
      </c>
      <c r="M141" s="102">
        <f t="shared" si="9"/>
        <v>841.09999999999991</v>
      </c>
      <c r="N141" s="102">
        <f t="shared" si="9"/>
        <v>732.2</v>
      </c>
      <c r="O141" s="102">
        <f t="shared" si="9"/>
        <v>0</v>
      </c>
      <c r="P141" s="116">
        <f>SUM(L141/D141*100)</f>
        <v>60.584887992508804</v>
      </c>
      <c r="Q141" s="116">
        <f>SUM(L141/H141*100)</f>
        <v>77.865210146269192</v>
      </c>
    </row>
    <row r="142" spans="1:17">
      <c r="A142" s="229"/>
      <c r="B142" s="226" t="s">
        <v>409</v>
      </c>
      <c r="C142" s="17" t="s">
        <v>297</v>
      </c>
      <c r="D142" s="18">
        <v>81.7</v>
      </c>
      <c r="E142" s="18">
        <v>14.5</v>
      </c>
      <c r="F142" s="18">
        <v>0</v>
      </c>
      <c r="G142" s="18">
        <v>67.2</v>
      </c>
      <c r="H142" s="18">
        <v>81.7</v>
      </c>
      <c r="I142" s="18">
        <v>14.5</v>
      </c>
      <c r="J142" s="18">
        <v>0</v>
      </c>
      <c r="K142" s="18">
        <v>67.2</v>
      </c>
      <c r="L142" s="180">
        <v>14</v>
      </c>
      <c r="M142" s="180">
        <v>14</v>
      </c>
      <c r="N142" s="180">
        <v>0</v>
      </c>
      <c r="O142" s="180">
        <v>0</v>
      </c>
      <c r="P142" s="18"/>
      <c r="Q142" s="19"/>
    </row>
    <row r="143" spans="1:17">
      <c r="A143" s="231"/>
      <c r="B143" s="228"/>
      <c r="C143" s="17" t="s">
        <v>101</v>
      </c>
      <c r="D143" s="18">
        <v>823.1</v>
      </c>
      <c r="E143" s="18">
        <v>823.1</v>
      </c>
      <c r="F143" s="18">
        <v>790</v>
      </c>
      <c r="G143" s="18">
        <v>0</v>
      </c>
      <c r="H143" s="18">
        <v>646.70000000000005</v>
      </c>
      <c r="I143" s="18">
        <v>646.70000000000005</v>
      </c>
      <c r="J143" s="18">
        <v>620.4</v>
      </c>
      <c r="K143" s="18">
        <v>0</v>
      </c>
      <c r="L143" s="180">
        <v>540</v>
      </c>
      <c r="M143" s="180">
        <v>540</v>
      </c>
      <c r="N143" s="180">
        <v>521.20000000000005</v>
      </c>
      <c r="O143" s="180">
        <v>0</v>
      </c>
      <c r="P143" s="18"/>
      <c r="Q143" s="19"/>
    </row>
    <row r="144" spans="1:17">
      <c r="A144" s="231"/>
      <c r="B144" s="228"/>
      <c r="C144" s="17" t="s">
        <v>347</v>
      </c>
      <c r="D144" s="18">
        <v>4.9000000000000004</v>
      </c>
      <c r="E144" s="18">
        <v>4.9000000000000004</v>
      </c>
      <c r="F144" s="18">
        <v>4.8</v>
      </c>
      <c r="G144" s="18">
        <v>0</v>
      </c>
      <c r="H144" s="18">
        <v>4.9000000000000004</v>
      </c>
      <c r="I144" s="18">
        <v>4.9000000000000004</v>
      </c>
      <c r="J144" s="18">
        <v>4.8</v>
      </c>
      <c r="K144" s="18">
        <v>0</v>
      </c>
      <c r="L144" s="180">
        <v>4.9000000000000004</v>
      </c>
      <c r="M144" s="180">
        <v>4.9000000000000004</v>
      </c>
      <c r="N144" s="180">
        <v>4.8</v>
      </c>
      <c r="O144" s="180">
        <v>0</v>
      </c>
      <c r="P144" s="186"/>
      <c r="Q144" s="186"/>
    </row>
    <row r="145" spans="1:17">
      <c r="A145" s="231"/>
      <c r="B145" s="228"/>
      <c r="C145" s="17" t="s">
        <v>109</v>
      </c>
      <c r="D145" s="18">
        <v>68.2</v>
      </c>
      <c r="E145" s="18">
        <v>68.2</v>
      </c>
      <c r="F145" s="18">
        <v>0</v>
      </c>
      <c r="G145" s="18">
        <v>0</v>
      </c>
      <c r="H145" s="18">
        <v>52</v>
      </c>
      <c r="I145" s="18">
        <v>52</v>
      </c>
      <c r="J145" s="18">
        <v>0</v>
      </c>
      <c r="K145" s="18">
        <v>0</v>
      </c>
      <c r="L145" s="180">
        <v>37.4</v>
      </c>
      <c r="M145" s="180">
        <v>37.4</v>
      </c>
      <c r="N145" s="180">
        <v>0</v>
      </c>
      <c r="O145" s="180">
        <v>0</v>
      </c>
      <c r="P145" s="18"/>
      <c r="Q145" s="19"/>
    </row>
    <row r="146" spans="1:17">
      <c r="A146" s="230"/>
      <c r="B146" s="227"/>
      <c r="C146" s="17" t="s">
        <v>102</v>
      </c>
      <c r="D146" s="18">
        <v>410.4</v>
      </c>
      <c r="E146" s="18">
        <v>404.2</v>
      </c>
      <c r="F146" s="18">
        <v>333.8</v>
      </c>
      <c r="G146" s="18">
        <v>6.2</v>
      </c>
      <c r="H146" s="18">
        <v>294.89999999999998</v>
      </c>
      <c r="I146" s="18">
        <v>293.89999999999998</v>
      </c>
      <c r="J146" s="18">
        <v>235.6</v>
      </c>
      <c r="K146" s="18">
        <v>1</v>
      </c>
      <c r="L146" s="180">
        <v>244.8</v>
      </c>
      <c r="M146" s="180">
        <v>244.8</v>
      </c>
      <c r="N146" s="180">
        <v>206.2</v>
      </c>
      <c r="O146" s="180">
        <v>0</v>
      </c>
      <c r="P146" s="18"/>
      <c r="Q146" s="19"/>
    </row>
    <row r="147" spans="1:17" ht="21">
      <c r="A147" s="100" t="s">
        <v>26</v>
      </c>
      <c r="B147" s="100"/>
      <c r="C147" s="101"/>
      <c r="D147" s="102">
        <f t="shared" ref="D147:O147" si="10">SUBTOTAL(9,D148:D151)</f>
        <v>2076.8000000000002</v>
      </c>
      <c r="E147" s="102">
        <f t="shared" si="10"/>
        <v>2049.1</v>
      </c>
      <c r="F147" s="102">
        <f t="shared" si="10"/>
        <v>1568.6</v>
      </c>
      <c r="G147" s="102">
        <f t="shared" si="10"/>
        <v>27.7</v>
      </c>
      <c r="H147" s="102">
        <f t="shared" si="10"/>
        <v>1549.9</v>
      </c>
      <c r="I147" s="102">
        <f t="shared" si="10"/>
        <v>1524.5</v>
      </c>
      <c r="J147" s="102">
        <f t="shared" si="10"/>
        <v>1125.9000000000001</v>
      </c>
      <c r="K147" s="102">
        <f t="shared" si="10"/>
        <v>25.4</v>
      </c>
      <c r="L147" s="102">
        <f t="shared" si="10"/>
        <v>1328.6</v>
      </c>
      <c r="M147" s="102">
        <f t="shared" si="10"/>
        <v>1303.2</v>
      </c>
      <c r="N147" s="102">
        <f t="shared" si="10"/>
        <v>1014</v>
      </c>
      <c r="O147" s="102">
        <f t="shared" si="10"/>
        <v>25.4</v>
      </c>
      <c r="P147" s="116">
        <f>SUM(L147/D147*100)</f>
        <v>63.973420647149446</v>
      </c>
      <c r="Q147" s="116">
        <f>SUM(L147/H147*100)</f>
        <v>85.721659461900757</v>
      </c>
    </row>
    <row r="148" spans="1:17">
      <c r="A148" s="229"/>
      <c r="B148" s="226" t="s">
        <v>355</v>
      </c>
      <c r="C148" s="17" t="s">
        <v>297</v>
      </c>
      <c r="D148" s="18">
        <v>47.5</v>
      </c>
      <c r="E148" s="18">
        <v>33.299999999999997</v>
      </c>
      <c r="F148" s="18">
        <v>0</v>
      </c>
      <c r="G148" s="18">
        <v>14.2</v>
      </c>
      <c r="H148" s="18">
        <v>47.5</v>
      </c>
      <c r="I148" s="18">
        <v>33.299999999999997</v>
      </c>
      <c r="J148" s="18">
        <v>0</v>
      </c>
      <c r="K148" s="18">
        <v>14.2</v>
      </c>
      <c r="L148" s="180">
        <v>42.4</v>
      </c>
      <c r="M148" s="180">
        <v>28.2</v>
      </c>
      <c r="N148" s="180">
        <v>0</v>
      </c>
      <c r="O148" s="180">
        <v>14.2</v>
      </c>
      <c r="P148" s="18"/>
      <c r="Q148" s="19"/>
    </row>
    <row r="149" spans="1:17">
      <c r="A149" s="231"/>
      <c r="B149" s="228"/>
      <c r="C149" s="17" t="s">
        <v>101</v>
      </c>
      <c r="D149" s="18">
        <v>890.1</v>
      </c>
      <c r="E149" s="18">
        <v>889.5</v>
      </c>
      <c r="F149" s="18">
        <v>853.9</v>
      </c>
      <c r="G149" s="18">
        <v>0.6</v>
      </c>
      <c r="H149" s="18">
        <v>634</v>
      </c>
      <c r="I149" s="18">
        <v>634</v>
      </c>
      <c r="J149" s="18">
        <v>602.9</v>
      </c>
      <c r="K149" s="18">
        <v>0</v>
      </c>
      <c r="L149" s="180">
        <v>568.5</v>
      </c>
      <c r="M149" s="180">
        <v>568.5</v>
      </c>
      <c r="N149" s="180">
        <v>545.79999999999995</v>
      </c>
      <c r="O149" s="180">
        <v>0</v>
      </c>
      <c r="P149" s="186"/>
      <c r="Q149" s="186"/>
    </row>
    <row r="150" spans="1:17">
      <c r="A150" s="231"/>
      <c r="B150" s="228"/>
      <c r="C150" s="17" t="s">
        <v>109</v>
      </c>
      <c r="D150" s="18">
        <v>107</v>
      </c>
      <c r="E150" s="18">
        <v>107</v>
      </c>
      <c r="F150" s="18">
        <v>12.6</v>
      </c>
      <c r="G150" s="18">
        <v>0</v>
      </c>
      <c r="H150" s="18">
        <v>90.5</v>
      </c>
      <c r="I150" s="18">
        <v>90.5</v>
      </c>
      <c r="J150" s="18">
        <v>9.9</v>
      </c>
      <c r="K150" s="18">
        <v>0</v>
      </c>
      <c r="L150" s="180">
        <v>60.6</v>
      </c>
      <c r="M150" s="180">
        <v>60.6</v>
      </c>
      <c r="N150" s="180">
        <v>5.5</v>
      </c>
      <c r="O150" s="180">
        <v>0</v>
      </c>
      <c r="P150" s="18"/>
      <c r="Q150" s="19"/>
    </row>
    <row r="151" spans="1:17">
      <c r="A151" s="230"/>
      <c r="B151" s="227"/>
      <c r="C151" s="17" t="s">
        <v>102</v>
      </c>
      <c r="D151" s="18">
        <v>1032.2</v>
      </c>
      <c r="E151" s="18">
        <v>1019.3</v>
      </c>
      <c r="F151" s="18">
        <v>702.1</v>
      </c>
      <c r="G151" s="18">
        <v>12.9</v>
      </c>
      <c r="H151" s="18">
        <v>777.9</v>
      </c>
      <c r="I151" s="18">
        <v>766.7</v>
      </c>
      <c r="J151" s="18">
        <v>513.1</v>
      </c>
      <c r="K151" s="18">
        <v>11.2</v>
      </c>
      <c r="L151" s="180">
        <v>657.1</v>
      </c>
      <c r="M151" s="180">
        <v>645.9</v>
      </c>
      <c r="N151" s="180">
        <v>462.7</v>
      </c>
      <c r="O151" s="180">
        <v>11.2</v>
      </c>
      <c r="P151" s="18"/>
      <c r="Q151" s="19"/>
    </row>
    <row r="152" spans="1:17" ht="21">
      <c r="A152" s="100" t="s">
        <v>116</v>
      </c>
      <c r="B152" s="100"/>
      <c r="C152" s="101"/>
      <c r="D152" s="102">
        <f t="shared" ref="D152:O152" si="11">SUBTOTAL(9,D153:D157)</f>
        <v>1731.6</v>
      </c>
      <c r="E152" s="102">
        <f t="shared" si="11"/>
        <v>1669.6</v>
      </c>
      <c r="F152" s="102">
        <f t="shared" si="11"/>
        <v>1309.3</v>
      </c>
      <c r="G152" s="102">
        <f t="shared" si="11"/>
        <v>62</v>
      </c>
      <c r="H152" s="102">
        <f t="shared" si="11"/>
        <v>1263.0999999999999</v>
      </c>
      <c r="I152" s="102">
        <f t="shared" si="11"/>
        <v>1201.0999999999999</v>
      </c>
      <c r="J152" s="102">
        <f t="shared" si="11"/>
        <v>894.10000000000014</v>
      </c>
      <c r="K152" s="102">
        <f t="shared" si="11"/>
        <v>62</v>
      </c>
      <c r="L152" s="102">
        <f t="shared" si="11"/>
        <v>1170.3000000000002</v>
      </c>
      <c r="M152" s="102">
        <f t="shared" si="11"/>
        <v>1108.5</v>
      </c>
      <c r="N152" s="102">
        <f t="shared" si="11"/>
        <v>861.8</v>
      </c>
      <c r="O152" s="102">
        <f t="shared" si="11"/>
        <v>61.8</v>
      </c>
      <c r="P152" s="116">
        <f>SUM(L152/D152*100)</f>
        <v>67.5848925848926</v>
      </c>
      <c r="Q152" s="116">
        <f>SUM(L152/H152*100)</f>
        <v>92.652996595677322</v>
      </c>
    </row>
    <row r="153" spans="1:17">
      <c r="A153" s="229"/>
      <c r="B153" s="226" t="s">
        <v>338</v>
      </c>
      <c r="C153" s="17" t="s">
        <v>297</v>
      </c>
      <c r="D153" s="18">
        <v>33.6</v>
      </c>
      <c r="E153" s="18">
        <v>4.8</v>
      </c>
      <c r="F153" s="18">
        <v>0</v>
      </c>
      <c r="G153" s="18">
        <v>28.8</v>
      </c>
      <c r="H153" s="18">
        <v>33.6</v>
      </c>
      <c r="I153" s="18">
        <v>4.8</v>
      </c>
      <c r="J153" s="18">
        <v>0</v>
      </c>
      <c r="K153" s="18">
        <v>28.8</v>
      </c>
      <c r="L153" s="180">
        <v>33.6</v>
      </c>
      <c r="M153" s="180">
        <v>4.8</v>
      </c>
      <c r="N153" s="180">
        <v>0</v>
      </c>
      <c r="O153" s="180">
        <v>28.8</v>
      </c>
      <c r="P153" s="18"/>
      <c r="Q153" s="19"/>
    </row>
    <row r="154" spans="1:17">
      <c r="A154" s="231"/>
      <c r="B154" s="228"/>
      <c r="C154" s="17" t="s">
        <v>101</v>
      </c>
      <c r="D154" s="18">
        <v>848.4</v>
      </c>
      <c r="E154" s="18">
        <v>846.7</v>
      </c>
      <c r="F154" s="18">
        <v>814.4</v>
      </c>
      <c r="G154" s="18">
        <v>1.7</v>
      </c>
      <c r="H154" s="18">
        <v>583.9</v>
      </c>
      <c r="I154" s="18">
        <v>582.20000000000005</v>
      </c>
      <c r="J154" s="18">
        <v>556.4</v>
      </c>
      <c r="K154" s="18">
        <v>1.7</v>
      </c>
      <c r="L154" s="180">
        <v>550.4</v>
      </c>
      <c r="M154" s="180">
        <v>548.70000000000005</v>
      </c>
      <c r="N154" s="180">
        <v>526.29999999999995</v>
      </c>
      <c r="O154" s="180">
        <v>1.7</v>
      </c>
      <c r="P154" s="18"/>
      <c r="Q154" s="19"/>
    </row>
    <row r="155" spans="1:17">
      <c r="A155" s="231"/>
      <c r="B155" s="228"/>
      <c r="C155" s="17" t="s">
        <v>347</v>
      </c>
      <c r="D155" s="18">
        <v>1.2</v>
      </c>
      <c r="E155" s="18">
        <v>1.2</v>
      </c>
      <c r="F155" s="18">
        <v>1.2</v>
      </c>
      <c r="G155" s="18">
        <v>0</v>
      </c>
      <c r="H155" s="18">
        <v>1.2</v>
      </c>
      <c r="I155" s="18">
        <v>1.2</v>
      </c>
      <c r="J155" s="18">
        <v>1.2</v>
      </c>
      <c r="K155" s="18">
        <v>0</v>
      </c>
      <c r="L155" s="180">
        <v>1.2</v>
      </c>
      <c r="M155" s="180">
        <v>1.2</v>
      </c>
      <c r="N155" s="180">
        <v>1.2</v>
      </c>
      <c r="O155" s="180">
        <v>0</v>
      </c>
      <c r="P155" s="186"/>
      <c r="Q155" s="186"/>
    </row>
    <row r="156" spans="1:17">
      <c r="A156" s="231"/>
      <c r="B156" s="228"/>
      <c r="C156" s="17" t="s">
        <v>109</v>
      </c>
      <c r="D156" s="18">
        <v>52.8</v>
      </c>
      <c r="E156" s="18">
        <v>52.8</v>
      </c>
      <c r="F156" s="18">
        <v>4.4000000000000004</v>
      </c>
      <c r="G156" s="18">
        <v>0</v>
      </c>
      <c r="H156" s="18">
        <v>39.6</v>
      </c>
      <c r="I156" s="18">
        <v>39.6</v>
      </c>
      <c r="J156" s="18">
        <v>2.2000000000000002</v>
      </c>
      <c r="K156" s="18">
        <v>0</v>
      </c>
      <c r="L156" s="180">
        <v>30.1</v>
      </c>
      <c r="M156" s="180">
        <v>30.1</v>
      </c>
      <c r="N156" s="180">
        <v>0</v>
      </c>
      <c r="O156" s="180">
        <v>0</v>
      </c>
      <c r="P156" s="18"/>
      <c r="Q156" s="19"/>
    </row>
    <row r="157" spans="1:17">
      <c r="A157" s="230"/>
      <c r="B157" s="227"/>
      <c r="C157" s="17" t="s">
        <v>102</v>
      </c>
      <c r="D157" s="18">
        <v>795.6</v>
      </c>
      <c r="E157" s="18">
        <v>764.1</v>
      </c>
      <c r="F157" s="18">
        <v>489.3</v>
      </c>
      <c r="G157" s="18">
        <v>31.5</v>
      </c>
      <c r="H157" s="18">
        <v>604.79999999999995</v>
      </c>
      <c r="I157" s="18">
        <v>573.29999999999995</v>
      </c>
      <c r="J157" s="18">
        <v>334.3</v>
      </c>
      <c r="K157" s="18">
        <v>31.5</v>
      </c>
      <c r="L157" s="180">
        <v>555</v>
      </c>
      <c r="M157" s="180">
        <v>523.70000000000005</v>
      </c>
      <c r="N157" s="180">
        <v>334.3</v>
      </c>
      <c r="O157" s="180">
        <v>31.3</v>
      </c>
      <c r="P157" s="18"/>
      <c r="Q157" s="19"/>
    </row>
    <row r="158" spans="1:17" ht="21">
      <c r="A158" s="100" t="s">
        <v>53</v>
      </c>
      <c r="B158" s="100"/>
      <c r="C158" s="101"/>
      <c r="D158" s="102">
        <f t="shared" ref="D158:O158" si="12">SUBTOTAL(9,D159:D162)</f>
        <v>1493.8000000000002</v>
      </c>
      <c r="E158" s="102">
        <f t="shared" si="12"/>
        <v>1490.4</v>
      </c>
      <c r="F158" s="102">
        <f t="shared" si="12"/>
        <v>1341.3</v>
      </c>
      <c r="G158" s="102">
        <f t="shared" si="12"/>
        <v>3.4</v>
      </c>
      <c r="H158" s="102">
        <f t="shared" si="12"/>
        <v>1116.2</v>
      </c>
      <c r="I158" s="102">
        <f t="shared" si="12"/>
        <v>1112.8</v>
      </c>
      <c r="J158" s="102">
        <f t="shared" si="12"/>
        <v>1008</v>
      </c>
      <c r="K158" s="102">
        <f t="shared" si="12"/>
        <v>3.4</v>
      </c>
      <c r="L158" s="102">
        <f t="shared" si="12"/>
        <v>964.4</v>
      </c>
      <c r="M158" s="102">
        <f t="shared" si="12"/>
        <v>961</v>
      </c>
      <c r="N158" s="102">
        <f t="shared" si="12"/>
        <v>880.9</v>
      </c>
      <c r="O158" s="102">
        <f t="shared" si="12"/>
        <v>3.4</v>
      </c>
      <c r="P158" s="116">
        <f>SUM(L158/D158*100)</f>
        <v>64.560182085955276</v>
      </c>
      <c r="Q158" s="116">
        <f>SUM(L158/H158*100)</f>
        <v>86.400286686973658</v>
      </c>
    </row>
    <row r="159" spans="1:17">
      <c r="A159" s="229"/>
      <c r="B159" s="226" t="s">
        <v>355</v>
      </c>
      <c r="C159" s="17" t="s">
        <v>297</v>
      </c>
      <c r="D159" s="18">
        <v>14.3</v>
      </c>
      <c r="E159" s="18">
        <v>10.9</v>
      </c>
      <c r="F159" s="18">
        <v>0</v>
      </c>
      <c r="G159" s="18">
        <v>3.4</v>
      </c>
      <c r="H159" s="18">
        <v>14.3</v>
      </c>
      <c r="I159" s="18">
        <v>10.9</v>
      </c>
      <c r="J159" s="18">
        <v>0</v>
      </c>
      <c r="K159" s="18">
        <v>3.4</v>
      </c>
      <c r="L159" s="180">
        <v>14.1</v>
      </c>
      <c r="M159" s="180">
        <v>10.7</v>
      </c>
      <c r="N159" s="180">
        <v>0</v>
      </c>
      <c r="O159" s="180">
        <v>3.4</v>
      </c>
      <c r="P159" s="18"/>
      <c r="Q159" s="19"/>
    </row>
    <row r="160" spans="1:17">
      <c r="A160" s="231"/>
      <c r="B160" s="228"/>
      <c r="C160" s="17" t="s">
        <v>101</v>
      </c>
      <c r="D160" s="18">
        <v>84.5</v>
      </c>
      <c r="E160" s="18">
        <v>84.5</v>
      </c>
      <c r="F160" s="18">
        <v>83.3</v>
      </c>
      <c r="G160" s="18">
        <v>0</v>
      </c>
      <c r="H160" s="18">
        <v>63.9</v>
      </c>
      <c r="I160" s="18">
        <v>63.9</v>
      </c>
      <c r="J160" s="18">
        <v>63</v>
      </c>
      <c r="K160" s="18">
        <v>0</v>
      </c>
      <c r="L160" s="180">
        <v>48.7</v>
      </c>
      <c r="M160" s="180">
        <v>48.7</v>
      </c>
      <c r="N160" s="180">
        <v>48</v>
      </c>
      <c r="O160" s="180">
        <v>0</v>
      </c>
      <c r="P160" s="186"/>
      <c r="Q160" s="186"/>
    </row>
    <row r="161" spans="1:17">
      <c r="A161" s="231"/>
      <c r="B161" s="228"/>
      <c r="C161" s="17" t="s">
        <v>109</v>
      </c>
      <c r="D161" s="18">
        <v>68.099999999999994</v>
      </c>
      <c r="E161" s="18">
        <v>68.099999999999994</v>
      </c>
      <c r="F161" s="18">
        <v>47</v>
      </c>
      <c r="G161" s="18">
        <v>0</v>
      </c>
      <c r="H161" s="18">
        <v>51.6</v>
      </c>
      <c r="I161" s="18">
        <v>51.6</v>
      </c>
      <c r="J161" s="18">
        <v>37</v>
      </c>
      <c r="K161" s="18">
        <v>0</v>
      </c>
      <c r="L161" s="180">
        <v>36.1</v>
      </c>
      <c r="M161" s="180">
        <v>36.1</v>
      </c>
      <c r="N161" s="180">
        <v>27</v>
      </c>
      <c r="O161" s="180">
        <v>0</v>
      </c>
      <c r="P161" s="18"/>
      <c r="Q161" s="19"/>
    </row>
    <row r="162" spans="1:17">
      <c r="A162" s="230"/>
      <c r="B162" s="227"/>
      <c r="C162" s="17" t="s">
        <v>102</v>
      </c>
      <c r="D162" s="18">
        <v>1326.9</v>
      </c>
      <c r="E162" s="18">
        <v>1326.9</v>
      </c>
      <c r="F162" s="18">
        <v>1211</v>
      </c>
      <c r="G162" s="18">
        <v>0</v>
      </c>
      <c r="H162" s="18">
        <v>986.4</v>
      </c>
      <c r="I162" s="18">
        <v>986.4</v>
      </c>
      <c r="J162" s="18">
        <v>908</v>
      </c>
      <c r="K162" s="18">
        <v>0</v>
      </c>
      <c r="L162" s="180">
        <v>865.5</v>
      </c>
      <c r="M162" s="180">
        <v>865.5</v>
      </c>
      <c r="N162" s="180">
        <v>805.9</v>
      </c>
      <c r="O162" s="180">
        <v>0</v>
      </c>
      <c r="P162" s="18"/>
      <c r="Q162" s="19"/>
    </row>
    <row r="163" spans="1:17" ht="21">
      <c r="A163" s="100" t="s">
        <v>117</v>
      </c>
      <c r="B163" s="100"/>
      <c r="C163" s="101"/>
      <c r="D163" s="102">
        <f t="shared" ref="D163:O163" si="13">SUBTOTAL(9,D164:D171)</f>
        <v>1777.1999999999998</v>
      </c>
      <c r="E163" s="102">
        <f t="shared" si="13"/>
        <v>1656.3999999999999</v>
      </c>
      <c r="F163" s="102">
        <f t="shared" si="13"/>
        <v>1396.6999999999998</v>
      </c>
      <c r="G163" s="102">
        <f t="shared" si="13"/>
        <v>120.80000000000001</v>
      </c>
      <c r="H163" s="102">
        <f t="shared" si="13"/>
        <v>1349.3999999999999</v>
      </c>
      <c r="I163" s="102">
        <f t="shared" si="13"/>
        <v>1228.5999999999999</v>
      </c>
      <c r="J163" s="102">
        <f t="shared" si="13"/>
        <v>1039.6999999999998</v>
      </c>
      <c r="K163" s="102">
        <f t="shared" si="13"/>
        <v>120.80000000000001</v>
      </c>
      <c r="L163" s="102">
        <f t="shared" si="13"/>
        <v>1173</v>
      </c>
      <c r="M163" s="102">
        <f t="shared" si="13"/>
        <v>1168</v>
      </c>
      <c r="N163" s="102">
        <f t="shared" si="13"/>
        <v>1012.6</v>
      </c>
      <c r="O163" s="102">
        <f t="shared" si="13"/>
        <v>5</v>
      </c>
      <c r="P163" s="116">
        <f>SUM(L163/D163*100)</f>
        <v>66.002700877785287</v>
      </c>
      <c r="Q163" s="116">
        <f>SUM(L163/H163*100)</f>
        <v>86.92752334370833</v>
      </c>
    </row>
    <row r="164" spans="1:17">
      <c r="A164" s="179"/>
      <c r="B164" s="226" t="s">
        <v>355</v>
      </c>
      <c r="C164" s="17" t="s">
        <v>101</v>
      </c>
      <c r="D164" s="18">
        <v>485.5</v>
      </c>
      <c r="E164" s="18">
        <v>485.5</v>
      </c>
      <c r="F164" s="18">
        <v>467.4</v>
      </c>
      <c r="G164" s="18">
        <v>0</v>
      </c>
      <c r="H164" s="18">
        <v>325.3</v>
      </c>
      <c r="I164" s="18">
        <v>325.3</v>
      </c>
      <c r="J164" s="18">
        <v>312.39999999999998</v>
      </c>
      <c r="K164" s="18">
        <v>0</v>
      </c>
      <c r="L164" s="180">
        <v>301.89999999999998</v>
      </c>
      <c r="M164" s="180">
        <v>301.89999999999998</v>
      </c>
      <c r="N164" s="180">
        <v>291.5</v>
      </c>
      <c r="O164" s="180">
        <v>0</v>
      </c>
      <c r="P164" s="18"/>
      <c r="Q164" s="19"/>
    </row>
    <row r="165" spans="1:17">
      <c r="A165" s="231"/>
      <c r="B165" s="228"/>
      <c r="C165" s="17" t="s">
        <v>347</v>
      </c>
      <c r="D165" s="18">
        <v>3.5</v>
      </c>
      <c r="E165" s="18">
        <v>3.5</v>
      </c>
      <c r="F165" s="18">
        <v>3.5</v>
      </c>
      <c r="G165" s="18">
        <v>0</v>
      </c>
      <c r="H165" s="18">
        <v>3.5</v>
      </c>
      <c r="I165" s="18">
        <v>3.5</v>
      </c>
      <c r="J165" s="18">
        <v>3.5</v>
      </c>
      <c r="K165" s="18">
        <v>0</v>
      </c>
      <c r="L165" s="180">
        <v>3.5</v>
      </c>
      <c r="M165" s="180">
        <v>3.5</v>
      </c>
      <c r="N165" s="180">
        <v>3.5</v>
      </c>
      <c r="O165" s="180">
        <v>0</v>
      </c>
      <c r="P165" s="18"/>
      <c r="Q165" s="19"/>
    </row>
    <row r="166" spans="1:17">
      <c r="A166" s="231"/>
      <c r="B166" s="228"/>
      <c r="C166" s="17" t="s">
        <v>109</v>
      </c>
      <c r="D166" s="18">
        <v>127.2</v>
      </c>
      <c r="E166" s="18">
        <v>122.2</v>
      </c>
      <c r="F166" s="18">
        <v>18.2</v>
      </c>
      <c r="G166" s="18">
        <v>5</v>
      </c>
      <c r="H166" s="18">
        <v>92.2</v>
      </c>
      <c r="I166" s="18">
        <v>87.2</v>
      </c>
      <c r="J166" s="18">
        <v>12.2</v>
      </c>
      <c r="K166" s="18">
        <v>5</v>
      </c>
      <c r="L166" s="180">
        <v>72.599999999999994</v>
      </c>
      <c r="M166" s="180">
        <v>72.599999999999994</v>
      </c>
      <c r="N166" s="180">
        <v>6</v>
      </c>
      <c r="O166" s="180">
        <v>0</v>
      </c>
      <c r="P166" s="18"/>
      <c r="Q166" s="19"/>
    </row>
    <row r="167" spans="1:17">
      <c r="A167" s="231"/>
      <c r="B167" s="228"/>
      <c r="C167" s="17" t="s">
        <v>102</v>
      </c>
      <c r="D167" s="18">
        <v>1051.0999999999999</v>
      </c>
      <c r="E167" s="18">
        <v>1044.0999999999999</v>
      </c>
      <c r="F167" s="18">
        <v>906.5</v>
      </c>
      <c r="G167" s="18">
        <v>7</v>
      </c>
      <c r="H167" s="18">
        <v>818.5</v>
      </c>
      <c r="I167" s="18">
        <v>811.5</v>
      </c>
      <c r="J167" s="18">
        <v>710.5</v>
      </c>
      <c r="K167" s="18">
        <v>7</v>
      </c>
      <c r="L167" s="180">
        <v>793.9</v>
      </c>
      <c r="M167" s="180">
        <v>788.9</v>
      </c>
      <c r="N167" s="180">
        <v>710.5</v>
      </c>
      <c r="O167" s="180">
        <v>5</v>
      </c>
      <c r="P167" s="18"/>
      <c r="Q167" s="19"/>
    </row>
    <row r="168" spans="1:17" ht="14.25" customHeight="1">
      <c r="A168" s="231"/>
      <c r="B168" s="227"/>
      <c r="C168" s="17" t="s">
        <v>332</v>
      </c>
      <c r="D168" s="18">
        <v>1.1000000000000001</v>
      </c>
      <c r="E168" s="18">
        <v>1.1000000000000001</v>
      </c>
      <c r="F168" s="18">
        <v>1.1000000000000001</v>
      </c>
      <c r="G168" s="18">
        <v>0</v>
      </c>
      <c r="H168" s="18">
        <v>1.1000000000000001</v>
      </c>
      <c r="I168" s="18">
        <v>1.1000000000000001</v>
      </c>
      <c r="J168" s="18">
        <v>1.1000000000000001</v>
      </c>
      <c r="K168" s="18">
        <v>0</v>
      </c>
      <c r="L168" s="180">
        <v>1.1000000000000001</v>
      </c>
      <c r="M168" s="180">
        <v>1.1000000000000001</v>
      </c>
      <c r="N168" s="180">
        <v>1.1000000000000001</v>
      </c>
      <c r="O168" s="180">
        <v>0</v>
      </c>
      <c r="P168" s="18"/>
      <c r="Q168" s="19"/>
    </row>
    <row r="169" spans="1:17">
      <c r="A169" s="231"/>
      <c r="B169" s="226" t="s">
        <v>335</v>
      </c>
      <c r="C169" s="17" t="s">
        <v>100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0">
        <v>0</v>
      </c>
      <c r="M169" s="180">
        <v>0</v>
      </c>
      <c r="N169" s="180">
        <v>0</v>
      </c>
      <c r="O169" s="180">
        <v>0</v>
      </c>
      <c r="P169" s="186"/>
      <c r="Q169" s="186"/>
    </row>
    <row r="170" spans="1:17">
      <c r="A170" s="231"/>
      <c r="B170" s="228"/>
      <c r="C170" s="17" t="s">
        <v>353</v>
      </c>
      <c r="D170" s="18">
        <v>38.6</v>
      </c>
      <c r="E170" s="18">
        <v>0</v>
      </c>
      <c r="F170" s="18">
        <v>0</v>
      </c>
      <c r="G170" s="18">
        <v>38.6</v>
      </c>
      <c r="H170" s="18">
        <v>38.6</v>
      </c>
      <c r="I170" s="18">
        <v>0</v>
      </c>
      <c r="J170" s="18">
        <v>0</v>
      </c>
      <c r="K170" s="18">
        <v>38.6</v>
      </c>
      <c r="L170" s="180">
        <v>0</v>
      </c>
      <c r="M170" s="180">
        <v>0</v>
      </c>
      <c r="N170" s="180">
        <v>0</v>
      </c>
      <c r="O170" s="180">
        <v>0</v>
      </c>
      <c r="P170" s="18"/>
      <c r="Q170" s="19"/>
    </row>
    <row r="171" spans="1:17" ht="19.5" customHeight="1">
      <c r="A171" s="230"/>
      <c r="B171" s="227"/>
      <c r="C171" s="17" t="s">
        <v>102</v>
      </c>
      <c r="D171" s="18">
        <v>70.2</v>
      </c>
      <c r="E171" s="18">
        <v>0</v>
      </c>
      <c r="F171" s="18">
        <v>0</v>
      </c>
      <c r="G171" s="18">
        <v>70.2</v>
      </c>
      <c r="H171" s="18">
        <v>70.2</v>
      </c>
      <c r="I171" s="18">
        <v>0</v>
      </c>
      <c r="J171" s="18">
        <v>0</v>
      </c>
      <c r="K171" s="18">
        <v>70.2</v>
      </c>
      <c r="L171" s="180">
        <v>0</v>
      </c>
      <c r="M171" s="180">
        <v>0</v>
      </c>
      <c r="N171" s="180">
        <v>0</v>
      </c>
      <c r="O171" s="180">
        <v>0</v>
      </c>
      <c r="P171" s="18"/>
      <c r="Q171" s="19"/>
    </row>
    <row r="172" spans="1:17" ht="21">
      <c r="A172" s="100" t="s">
        <v>118</v>
      </c>
      <c r="B172" s="100"/>
      <c r="C172" s="101"/>
      <c r="D172" s="102">
        <f t="shared" ref="D172:O172" si="14">SUBTOTAL(9,D173:D180)</f>
        <v>1630.0000000000002</v>
      </c>
      <c r="E172" s="102">
        <f t="shared" si="14"/>
        <v>1527.3999999999999</v>
      </c>
      <c r="F172" s="102">
        <f t="shared" si="14"/>
        <v>1296.0000000000002</v>
      </c>
      <c r="G172" s="102">
        <f t="shared" si="14"/>
        <v>102.6</v>
      </c>
      <c r="H172" s="102">
        <f t="shared" si="14"/>
        <v>1302.9000000000001</v>
      </c>
      <c r="I172" s="102">
        <f t="shared" si="14"/>
        <v>1200.3</v>
      </c>
      <c r="J172" s="102">
        <f t="shared" si="14"/>
        <v>1027.5</v>
      </c>
      <c r="K172" s="102">
        <f t="shared" si="14"/>
        <v>102.6</v>
      </c>
      <c r="L172" s="102">
        <f t="shared" si="14"/>
        <v>1125.3</v>
      </c>
      <c r="M172" s="102">
        <f t="shared" si="14"/>
        <v>1105.4000000000001</v>
      </c>
      <c r="N172" s="102">
        <f t="shared" si="14"/>
        <v>952</v>
      </c>
      <c r="O172" s="102">
        <f t="shared" si="14"/>
        <v>19.899999999999999</v>
      </c>
      <c r="P172" s="116">
        <f>SUM(L172/D172*100)</f>
        <v>69.036809815950903</v>
      </c>
      <c r="Q172" s="116">
        <f>SUM(L172/H172*100)</f>
        <v>86.36886944508403</v>
      </c>
    </row>
    <row r="173" spans="1:17">
      <c r="A173" s="229"/>
      <c r="B173" s="226" t="s">
        <v>355</v>
      </c>
      <c r="C173" s="17" t="s">
        <v>101</v>
      </c>
      <c r="D173" s="18">
        <v>525.70000000000005</v>
      </c>
      <c r="E173" s="18">
        <v>525.70000000000005</v>
      </c>
      <c r="F173" s="18">
        <v>504</v>
      </c>
      <c r="G173" s="18">
        <v>0</v>
      </c>
      <c r="H173" s="18">
        <v>415.4</v>
      </c>
      <c r="I173" s="18">
        <v>415.4</v>
      </c>
      <c r="J173" s="18">
        <v>399</v>
      </c>
      <c r="K173" s="18">
        <v>0</v>
      </c>
      <c r="L173" s="180">
        <v>356.5</v>
      </c>
      <c r="M173" s="180">
        <v>356.5</v>
      </c>
      <c r="N173" s="180">
        <v>343.1</v>
      </c>
      <c r="O173" s="180">
        <v>0</v>
      </c>
      <c r="P173" s="18"/>
      <c r="Q173" s="19"/>
    </row>
    <row r="174" spans="1:17">
      <c r="A174" s="231"/>
      <c r="B174" s="228"/>
      <c r="C174" s="17" t="s">
        <v>347</v>
      </c>
      <c r="D174" s="18">
        <v>2.4</v>
      </c>
      <c r="E174" s="18">
        <v>2.4</v>
      </c>
      <c r="F174" s="18">
        <v>2.4</v>
      </c>
      <c r="G174" s="18">
        <v>0</v>
      </c>
      <c r="H174" s="18">
        <v>2.4</v>
      </c>
      <c r="I174" s="18">
        <v>2.4</v>
      </c>
      <c r="J174" s="18">
        <v>2.4</v>
      </c>
      <c r="K174" s="18">
        <v>0</v>
      </c>
      <c r="L174" s="180">
        <v>2.4</v>
      </c>
      <c r="M174" s="180">
        <v>2.4</v>
      </c>
      <c r="N174" s="180">
        <v>2.4</v>
      </c>
      <c r="O174" s="180">
        <v>0</v>
      </c>
      <c r="P174" s="18"/>
      <c r="Q174" s="19"/>
    </row>
    <row r="175" spans="1:17">
      <c r="A175" s="231"/>
      <c r="B175" s="228"/>
      <c r="C175" s="17" t="s">
        <v>109</v>
      </c>
      <c r="D175" s="18">
        <v>117</v>
      </c>
      <c r="E175" s="18">
        <v>109.3</v>
      </c>
      <c r="F175" s="18">
        <v>17.7</v>
      </c>
      <c r="G175" s="18">
        <v>7.7</v>
      </c>
      <c r="H175" s="18">
        <v>97.6</v>
      </c>
      <c r="I175" s="18">
        <v>89.9</v>
      </c>
      <c r="J175" s="18">
        <v>14</v>
      </c>
      <c r="K175" s="18">
        <v>7.7</v>
      </c>
      <c r="L175" s="180">
        <v>85.3</v>
      </c>
      <c r="M175" s="180">
        <v>77.599999999999994</v>
      </c>
      <c r="N175" s="180">
        <v>9.6999999999999993</v>
      </c>
      <c r="O175" s="180">
        <v>7.7</v>
      </c>
      <c r="P175" s="18"/>
      <c r="Q175" s="19"/>
    </row>
    <row r="176" spans="1:17">
      <c r="A176" s="231"/>
      <c r="B176" s="228"/>
      <c r="C176" s="17" t="s">
        <v>102</v>
      </c>
      <c r="D176" s="18">
        <v>901.8</v>
      </c>
      <c r="E176" s="18">
        <v>885.8</v>
      </c>
      <c r="F176" s="18">
        <v>767.7</v>
      </c>
      <c r="G176" s="18">
        <v>16</v>
      </c>
      <c r="H176" s="18">
        <v>704.4</v>
      </c>
      <c r="I176" s="18">
        <v>688.4</v>
      </c>
      <c r="J176" s="18">
        <v>607.9</v>
      </c>
      <c r="K176" s="18">
        <v>16</v>
      </c>
      <c r="L176" s="180">
        <v>676.9</v>
      </c>
      <c r="M176" s="180">
        <v>664.7</v>
      </c>
      <c r="N176" s="180">
        <v>592.6</v>
      </c>
      <c r="O176" s="180">
        <v>12.2</v>
      </c>
      <c r="P176" s="18"/>
      <c r="Q176" s="19"/>
    </row>
    <row r="177" spans="1:17" ht="15.75" customHeight="1">
      <c r="A177" s="231"/>
      <c r="B177" s="227"/>
      <c r="C177" s="17" t="s">
        <v>332</v>
      </c>
      <c r="D177" s="18">
        <v>4.2</v>
      </c>
      <c r="E177" s="18">
        <v>4.2</v>
      </c>
      <c r="F177" s="18">
        <v>4.2</v>
      </c>
      <c r="G177" s="18">
        <v>0</v>
      </c>
      <c r="H177" s="18">
        <v>4.2</v>
      </c>
      <c r="I177" s="18">
        <v>4.2</v>
      </c>
      <c r="J177" s="18">
        <v>4.2</v>
      </c>
      <c r="K177" s="18">
        <v>0</v>
      </c>
      <c r="L177" s="180">
        <v>4.2</v>
      </c>
      <c r="M177" s="180">
        <v>4.2</v>
      </c>
      <c r="N177" s="180">
        <v>4.2</v>
      </c>
      <c r="O177" s="180">
        <v>0</v>
      </c>
      <c r="P177" s="18"/>
      <c r="Q177" s="19"/>
    </row>
    <row r="178" spans="1:17">
      <c r="A178" s="231"/>
      <c r="B178" s="226" t="s">
        <v>335</v>
      </c>
      <c r="C178" s="17" t="s">
        <v>100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0">
        <v>0</v>
      </c>
      <c r="M178" s="180">
        <v>0</v>
      </c>
      <c r="N178" s="180">
        <v>0</v>
      </c>
      <c r="O178" s="180">
        <v>0</v>
      </c>
      <c r="P178" s="186"/>
      <c r="Q178" s="186"/>
    </row>
    <row r="179" spans="1:17">
      <c r="A179" s="231"/>
      <c r="B179" s="228"/>
      <c r="C179" s="17" t="s">
        <v>353</v>
      </c>
      <c r="D179" s="18">
        <v>28</v>
      </c>
      <c r="E179" s="18">
        <v>0</v>
      </c>
      <c r="F179" s="18">
        <v>0</v>
      </c>
      <c r="G179" s="18">
        <v>28</v>
      </c>
      <c r="H179" s="18">
        <v>28</v>
      </c>
      <c r="I179" s="18">
        <v>0</v>
      </c>
      <c r="J179" s="18">
        <v>0</v>
      </c>
      <c r="K179" s="18">
        <v>28</v>
      </c>
      <c r="L179" s="180">
        <v>0</v>
      </c>
      <c r="M179" s="180">
        <v>0</v>
      </c>
      <c r="N179" s="180">
        <v>0</v>
      </c>
      <c r="O179" s="180">
        <v>0</v>
      </c>
      <c r="P179" s="18"/>
      <c r="Q179" s="19"/>
    </row>
    <row r="180" spans="1:17" ht="15" customHeight="1">
      <c r="A180" s="230"/>
      <c r="B180" s="227"/>
      <c r="C180" s="17" t="s">
        <v>102</v>
      </c>
      <c r="D180" s="18">
        <v>50.9</v>
      </c>
      <c r="E180" s="18">
        <v>0</v>
      </c>
      <c r="F180" s="18">
        <v>0</v>
      </c>
      <c r="G180" s="18">
        <v>50.9</v>
      </c>
      <c r="H180" s="18">
        <v>50.9</v>
      </c>
      <c r="I180" s="18">
        <v>0</v>
      </c>
      <c r="J180" s="18">
        <v>0</v>
      </c>
      <c r="K180" s="18">
        <v>50.9</v>
      </c>
      <c r="L180" s="180">
        <v>0</v>
      </c>
      <c r="M180" s="180">
        <v>0</v>
      </c>
      <c r="N180" s="180">
        <v>0</v>
      </c>
      <c r="O180" s="180">
        <v>0</v>
      </c>
      <c r="P180" s="18"/>
      <c r="Q180" s="19"/>
    </row>
    <row r="181" spans="1:17" ht="21">
      <c r="A181" s="100" t="s">
        <v>119</v>
      </c>
      <c r="B181" s="100"/>
      <c r="C181" s="101"/>
      <c r="D181" s="102">
        <f t="shared" ref="D181:O181" si="15">SUBTOTAL(9,D182:D189)</f>
        <v>1440.2999999999997</v>
      </c>
      <c r="E181" s="102">
        <f t="shared" si="15"/>
        <v>1368.1999999999998</v>
      </c>
      <c r="F181" s="102">
        <f t="shared" si="15"/>
        <v>1167.3999999999999</v>
      </c>
      <c r="G181" s="102">
        <f t="shared" si="15"/>
        <v>72.099999999999994</v>
      </c>
      <c r="H181" s="102">
        <f t="shared" si="15"/>
        <v>1113.1999999999998</v>
      </c>
      <c r="I181" s="102">
        <f t="shared" si="15"/>
        <v>1041.0999999999999</v>
      </c>
      <c r="J181" s="102">
        <f t="shared" si="15"/>
        <v>889.59999999999991</v>
      </c>
      <c r="K181" s="102">
        <f t="shared" si="15"/>
        <v>72.099999999999994</v>
      </c>
      <c r="L181" s="102">
        <f t="shared" si="15"/>
        <v>857.7</v>
      </c>
      <c r="M181" s="102">
        <f t="shared" si="15"/>
        <v>848.7</v>
      </c>
      <c r="N181" s="102">
        <f t="shared" si="15"/>
        <v>750.3</v>
      </c>
      <c r="O181" s="102">
        <f t="shared" si="15"/>
        <v>9</v>
      </c>
      <c r="P181" s="116">
        <f>SUM(L181/D181*100)</f>
        <v>59.550093730472831</v>
      </c>
      <c r="Q181" s="116">
        <f>SUM(L181/H181*100)</f>
        <v>77.048149478979539</v>
      </c>
    </row>
    <row r="182" spans="1:17">
      <c r="A182" s="229"/>
      <c r="B182" s="226" t="s">
        <v>416</v>
      </c>
      <c r="C182" s="17" t="s">
        <v>101</v>
      </c>
      <c r="D182" s="18">
        <v>482.3</v>
      </c>
      <c r="E182" s="18">
        <v>482.3</v>
      </c>
      <c r="F182" s="18">
        <v>463.7</v>
      </c>
      <c r="G182" s="18">
        <v>0</v>
      </c>
      <c r="H182" s="18">
        <v>362.7</v>
      </c>
      <c r="I182" s="18">
        <v>362.7</v>
      </c>
      <c r="J182" s="18">
        <v>349</v>
      </c>
      <c r="K182" s="18">
        <v>0</v>
      </c>
      <c r="L182" s="180">
        <v>301.10000000000002</v>
      </c>
      <c r="M182" s="180">
        <v>301.10000000000002</v>
      </c>
      <c r="N182" s="180">
        <v>292</v>
      </c>
      <c r="O182" s="180">
        <v>0</v>
      </c>
      <c r="P182" s="18"/>
      <c r="Q182" s="19"/>
    </row>
    <row r="183" spans="1:17">
      <c r="A183" s="231"/>
      <c r="B183" s="228"/>
      <c r="C183" s="17" t="s">
        <v>347</v>
      </c>
      <c r="D183" s="18">
        <v>9.5</v>
      </c>
      <c r="E183" s="18">
        <v>9.5</v>
      </c>
      <c r="F183" s="18">
        <v>9.4</v>
      </c>
      <c r="G183" s="18">
        <v>0</v>
      </c>
      <c r="H183" s="18">
        <v>9.5</v>
      </c>
      <c r="I183" s="18">
        <v>9.5</v>
      </c>
      <c r="J183" s="18">
        <v>9.4</v>
      </c>
      <c r="K183" s="18">
        <v>0</v>
      </c>
      <c r="L183" s="180">
        <v>9.5</v>
      </c>
      <c r="M183" s="180">
        <v>9.5</v>
      </c>
      <c r="N183" s="180">
        <v>9.4</v>
      </c>
      <c r="O183" s="180">
        <v>0</v>
      </c>
      <c r="P183" s="18"/>
      <c r="Q183" s="19"/>
    </row>
    <row r="184" spans="1:17">
      <c r="A184" s="231"/>
      <c r="B184" s="228"/>
      <c r="C184" s="17" t="s">
        <v>109</v>
      </c>
      <c r="D184" s="18">
        <v>80.5</v>
      </c>
      <c r="E184" s="18">
        <v>75.5</v>
      </c>
      <c r="F184" s="18">
        <v>11.3</v>
      </c>
      <c r="G184" s="18">
        <v>5</v>
      </c>
      <c r="H184" s="18">
        <v>61.1</v>
      </c>
      <c r="I184" s="18">
        <v>56.1</v>
      </c>
      <c r="J184" s="18">
        <v>8.1999999999999993</v>
      </c>
      <c r="K184" s="18">
        <v>5</v>
      </c>
      <c r="L184" s="180">
        <v>40.1</v>
      </c>
      <c r="M184" s="180">
        <v>40.1</v>
      </c>
      <c r="N184" s="180">
        <v>5.9</v>
      </c>
      <c r="O184" s="180">
        <v>0</v>
      </c>
      <c r="P184" s="18"/>
      <c r="Q184" s="19"/>
    </row>
    <row r="185" spans="1:17">
      <c r="A185" s="231"/>
      <c r="B185" s="228"/>
      <c r="C185" s="17" t="s">
        <v>102</v>
      </c>
      <c r="D185" s="18">
        <v>803.3</v>
      </c>
      <c r="E185" s="18">
        <v>794.3</v>
      </c>
      <c r="F185" s="18">
        <v>679.8</v>
      </c>
      <c r="G185" s="18">
        <v>9</v>
      </c>
      <c r="H185" s="18">
        <v>615.20000000000005</v>
      </c>
      <c r="I185" s="18">
        <v>606.20000000000005</v>
      </c>
      <c r="J185" s="18">
        <v>519.79999999999995</v>
      </c>
      <c r="K185" s="18">
        <v>9</v>
      </c>
      <c r="L185" s="180">
        <v>500.4</v>
      </c>
      <c r="M185" s="180">
        <v>491.4</v>
      </c>
      <c r="N185" s="180">
        <v>439.8</v>
      </c>
      <c r="O185" s="180">
        <v>9</v>
      </c>
      <c r="P185" s="18"/>
      <c r="Q185" s="19"/>
    </row>
    <row r="186" spans="1:17" ht="11.25" customHeight="1">
      <c r="A186" s="231"/>
      <c r="B186" s="227"/>
      <c r="C186" s="17" t="s">
        <v>332</v>
      </c>
      <c r="D186" s="18">
        <v>6.6</v>
      </c>
      <c r="E186" s="18">
        <v>6.6</v>
      </c>
      <c r="F186" s="18">
        <v>3.2</v>
      </c>
      <c r="G186" s="18">
        <v>0</v>
      </c>
      <c r="H186" s="18">
        <v>6.6</v>
      </c>
      <c r="I186" s="18">
        <v>6.6</v>
      </c>
      <c r="J186" s="18">
        <v>3.2</v>
      </c>
      <c r="K186" s="18">
        <v>0</v>
      </c>
      <c r="L186" s="180">
        <v>6.6</v>
      </c>
      <c r="M186" s="180">
        <v>6.6</v>
      </c>
      <c r="N186" s="180">
        <v>3.2</v>
      </c>
      <c r="O186" s="180">
        <v>0</v>
      </c>
      <c r="P186" s="18"/>
      <c r="Q186" s="19"/>
    </row>
    <row r="187" spans="1:17">
      <c r="A187" s="231"/>
      <c r="B187" s="226" t="s">
        <v>335</v>
      </c>
      <c r="C187" s="17" t="s">
        <v>100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0">
        <v>0</v>
      </c>
      <c r="M187" s="180">
        <v>0</v>
      </c>
      <c r="N187" s="180">
        <v>0</v>
      </c>
      <c r="O187" s="180">
        <v>0</v>
      </c>
      <c r="P187" s="186"/>
      <c r="Q187" s="186"/>
    </row>
    <row r="188" spans="1:17">
      <c r="A188" s="231"/>
      <c r="B188" s="228"/>
      <c r="C188" s="17" t="s">
        <v>353</v>
      </c>
      <c r="D188" s="18">
        <v>20.6</v>
      </c>
      <c r="E188" s="18">
        <v>0</v>
      </c>
      <c r="F188" s="18">
        <v>0</v>
      </c>
      <c r="G188" s="18">
        <v>20.6</v>
      </c>
      <c r="H188" s="18">
        <v>20.6</v>
      </c>
      <c r="I188" s="18">
        <v>0</v>
      </c>
      <c r="J188" s="18">
        <v>0</v>
      </c>
      <c r="K188" s="18">
        <v>20.6</v>
      </c>
      <c r="L188" s="180">
        <v>0</v>
      </c>
      <c r="M188" s="180">
        <v>0</v>
      </c>
      <c r="N188" s="180">
        <v>0</v>
      </c>
      <c r="O188" s="180">
        <v>0</v>
      </c>
      <c r="P188" s="18"/>
      <c r="Q188" s="19"/>
    </row>
    <row r="189" spans="1:17" ht="15.75" customHeight="1">
      <c r="A189" s="230"/>
      <c r="B189" s="227"/>
      <c r="C189" s="17" t="s">
        <v>102</v>
      </c>
      <c r="D189" s="18">
        <v>37.5</v>
      </c>
      <c r="E189" s="18">
        <v>0</v>
      </c>
      <c r="F189" s="18">
        <v>0</v>
      </c>
      <c r="G189" s="18">
        <v>37.5</v>
      </c>
      <c r="H189" s="18">
        <v>37.5</v>
      </c>
      <c r="I189" s="18">
        <v>0</v>
      </c>
      <c r="J189" s="18">
        <v>0</v>
      </c>
      <c r="K189" s="18">
        <v>37.5</v>
      </c>
      <c r="L189" s="180">
        <v>0</v>
      </c>
      <c r="M189" s="180">
        <v>0</v>
      </c>
      <c r="N189" s="180">
        <v>0</v>
      </c>
      <c r="O189" s="180">
        <v>0</v>
      </c>
      <c r="P189" s="18"/>
      <c r="Q189" s="19"/>
    </row>
    <row r="190" spans="1:17" ht="21">
      <c r="A190" s="100" t="s">
        <v>47</v>
      </c>
      <c r="B190" s="100"/>
      <c r="C190" s="101"/>
      <c r="D190" s="102">
        <f t="shared" ref="D190:O190" si="16">SUBTOTAL(9,D191:D197)</f>
        <v>1772.2000000000003</v>
      </c>
      <c r="E190" s="102">
        <f t="shared" si="16"/>
        <v>1680.9</v>
      </c>
      <c r="F190" s="102">
        <f t="shared" si="16"/>
        <v>1394.8</v>
      </c>
      <c r="G190" s="102">
        <f t="shared" si="16"/>
        <v>91.3</v>
      </c>
      <c r="H190" s="102">
        <f t="shared" si="16"/>
        <v>1322.5</v>
      </c>
      <c r="I190" s="102">
        <f t="shared" si="16"/>
        <v>1231.2</v>
      </c>
      <c r="J190" s="102">
        <f t="shared" si="16"/>
        <v>1026.3</v>
      </c>
      <c r="K190" s="102">
        <f t="shared" si="16"/>
        <v>91.3</v>
      </c>
      <c r="L190" s="102">
        <f t="shared" si="16"/>
        <v>1187.5999999999999</v>
      </c>
      <c r="M190" s="102">
        <f t="shared" si="16"/>
        <v>1186.2</v>
      </c>
      <c r="N190" s="102">
        <f t="shared" si="16"/>
        <v>1003.3</v>
      </c>
      <c r="O190" s="102">
        <f t="shared" si="16"/>
        <v>1.4</v>
      </c>
      <c r="P190" s="116">
        <f>SUM(L190/D190*100)</f>
        <v>67.012752511003256</v>
      </c>
      <c r="Q190" s="116">
        <f>SUM(L190/H190*100)</f>
        <v>89.799621928166346</v>
      </c>
    </row>
    <row r="191" spans="1:17">
      <c r="A191" s="229"/>
      <c r="B191" s="226" t="s">
        <v>355</v>
      </c>
      <c r="C191" s="17" t="s">
        <v>297</v>
      </c>
      <c r="D191" s="18">
        <v>34.6</v>
      </c>
      <c r="E191" s="18">
        <v>33.200000000000003</v>
      </c>
      <c r="F191" s="18">
        <v>0</v>
      </c>
      <c r="G191" s="18">
        <v>1.4</v>
      </c>
      <c r="H191" s="18">
        <v>34.6</v>
      </c>
      <c r="I191" s="18">
        <v>33.200000000000003</v>
      </c>
      <c r="J191" s="18">
        <v>0</v>
      </c>
      <c r="K191" s="18">
        <v>1.4</v>
      </c>
      <c r="L191" s="180">
        <v>34.200000000000003</v>
      </c>
      <c r="M191" s="180">
        <v>32.799999999999997</v>
      </c>
      <c r="N191" s="180">
        <v>0</v>
      </c>
      <c r="O191" s="180">
        <v>1.4</v>
      </c>
      <c r="P191" s="18"/>
      <c r="Q191" s="19"/>
    </row>
    <row r="192" spans="1:17">
      <c r="A192" s="231"/>
      <c r="B192" s="228"/>
      <c r="C192" s="17" t="s">
        <v>101</v>
      </c>
      <c r="D192" s="18">
        <v>536.6</v>
      </c>
      <c r="E192" s="18">
        <v>536.6</v>
      </c>
      <c r="F192" s="18">
        <v>515.79999999999995</v>
      </c>
      <c r="G192" s="18">
        <v>0</v>
      </c>
      <c r="H192" s="18">
        <v>381.6</v>
      </c>
      <c r="I192" s="18">
        <v>381.6</v>
      </c>
      <c r="J192" s="18">
        <v>365.8</v>
      </c>
      <c r="K192" s="18">
        <v>0</v>
      </c>
      <c r="L192" s="180">
        <v>380.3</v>
      </c>
      <c r="M192" s="180">
        <v>380.3</v>
      </c>
      <c r="N192" s="180">
        <v>365.8</v>
      </c>
      <c r="O192" s="180">
        <v>0</v>
      </c>
      <c r="P192" s="18"/>
      <c r="Q192" s="19"/>
    </row>
    <row r="193" spans="1:17">
      <c r="A193" s="231"/>
      <c r="B193" s="228"/>
      <c r="C193" s="17" t="s">
        <v>109</v>
      </c>
      <c r="D193" s="18">
        <v>106.1</v>
      </c>
      <c r="E193" s="18">
        <v>106.1</v>
      </c>
      <c r="F193" s="18">
        <v>16.3</v>
      </c>
      <c r="G193" s="18">
        <v>0</v>
      </c>
      <c r="H193" s="18">
        <v>77.400000000000006</v>
      </c>
      <c r="I193" s="18">
        <v>77.400000000000006</v>
      </c>
      <c r="J193" s="18">
        <v>11.5</v>
      </c>
      <c r="K193" s="18">
        <v>0</v>
      </c>
      <c r="L193" s="180">
        <v>71.3</v>
      </c>
      <c r="M193" s="180">
        <v>71.3</v>
      </c>
      <c r="N193" s="180">
        <v>11.4</v>
      </c>
      <c r="O193" s="180">
        <v>0</v>
      </c>
      <c r="P193" s="18"/>
      <c r="Q193" s="19"/>
    </row>
    <row r="194" spans="1:17">
      <c r="A194" s="231"/>
      <c r="B194" s="227"/>
      <c r="C194" s="17" t="s">
        <v>102</v>
      </c>
      <c r="D194" s="18">
        <v>1005</v>
      </c>
      <c r="E194" s="18">
        <v>1005</v>
      </c>
      <c r="F194" s="18">
        <v>862.7</v>
      </c>
      <c r="G194" s="18">
        <v>0</v>
      </c>
      <c r="H194" s="18">
        <v>739</v>
      </c>
      <c r="I194" s="18">
        <v>739</v>
      </c>
      <c r="J194" s="18">
        <v>649</v>
      </c>
      <c r="K194" s="18">
        <v>0</v>
      </c>
      <c r="L194" s="180">
        <v>701.8</v>
      </c>
      <c r="M194" s="180">
        <v>701.8</v>
      </c>
      <c r="N194" s="180">
        <v>626.1</v>
      </c>
      <c r="O194" s="180">
        <v>0</v>
      </c>
      <c r="P194" s="18"/>
      <c r="Q194" s="19"/>
    </row>
    <row r="195" spans="1:17">
      <c r="A195" s="231"/>
      <c r="B195" s="226" t="s">
        <v>335</v>
      </c>
      <c r="C195" s="17" t="s">
        <v>100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0">
        <v>0</v>
      </c>
      <c r="M195" s="180">
        <v>0</v>
      </c>
      <c r="N195" s="180">
        <v>0</v>
      </c>
      <c r="O195" s="180">
        <v>0</v>
      </c>
      <c r="P195" s="186"/>
      <c r="Q195" s="186"/>
    </row>
    <row r="196" spans="1:17">
      <c r="A196" s="231"/>
      <c r="B196" s="228"/>
      <c r="C196" s="17" t="s">
        <v>353</v>
      </c>
      <c r="D196" s="18">
        <v>33</v>
      </c>
      <c r="E196" s="18">
        <v>0</v>
      </c>
      <c r="F196" s="18">
        <v>0</v>
      </c>
      <c r="G196" s="18">
        <v>33</v>
      </c>
      <c r="H196" s="18">
        <v>33</v>
      </c>
      <c r="I196" s="18">
        <v>0</v>
      </c>
      <c r="J196" s="18">
        <v>0</v>
      </c>
      <c r="K196" s="18">
        <v>33</v>
      </c>
      <c r="L196" s="180">
        <v>0</v>
      </c>
      <c r="M196" s="180">
        <v>0</v>
      </c>
      <c r="N196" s="180">
        <v>0</v>
      </c>
      <c r="O196" s="180">
        <v>0</v>
      </c>
      <c r="P196" s="18"/>
      <c r="Q196" s="19"/>
    </row>
    <row r="197" spans="1:17" ht="18" customHeight="1">
      <c r="A197" s="230"/>
      <c r="B197" s="227"/>
      <c r="C197" s="17" t="s">
        <v>102</v>
      </c>
      <c r="D197" s="18">
        <v>56.9</v>
      </c>
      <c r="E197" s="18">
        <v>0</v>
      </c>
      <c r="F197" s="18">
        <v>0</v>
      </c>
      <c r="G197" s="18">
        <v>56.9</v>
      </c>
      <c r="H197" s="18">
        <v>56.9</v>
      </c>
      <c r="I197" s="18">
        <v>0</v>
      </c>
      <c r="J197" s="18">
        <v>0</v>
      </c>
      <c r="K197" s="18">
        <v>56.9</v>
      </c>
      <c r="L197" s="180">
        <v>0</v>
      </c>
      <c r="M197" s="180">
        <v>0</v>
      </c>
      <c r="N197" s="180">
        <v>0</v>
      </c>
      <c r="O197" s="180">
        <v>0</v>
      </c>
      <c r="P197" s="18"/>
      <c r="Q197" s="19"/>
    </row>
    <row r="198" spans="1:17">
      <c r="A198" s="100" t="s">
        <v>75</v>
      </c>
      <c r="B198" s="100"/>
      <c r="C198" s="101"/>
      <c r="D198" s="102">
        <f t="shared" ref="D198:O198" si="17">SUBTOTAL(9,D199:D200)</f>
        <v>1195.9000000000001</v>
      </c>
      <c r="E198" s="102">
        <f t="shared" si="17"/>
        <v>1195.9000000000001</v>
      </c>
      <c r="F198" s="102">
        <f t="shared" si="17"/>
        <v>805.59999999999991</v>
      </c>
      <c r="G198" s="102">
        <f t="shared" si="17"/>
        <v>0</v>
      </c>
      <c r="H198" s="102">
        <f t="shared" si="17"/>
        <v>940.5</v>
      </c>
      <c r="I198" s="102">
        <f t="shared" si="17"/>
        <v>940.5</v>
      </c>
      <c r="J198" s="102">
        <f t="shared" si="17"/>
        <v>624</v>
      </c>
      <c r="K198" s="102">
        <f t="shared" si="17"/>
        <v>0</v>
      </c>
      <c r="L198" s="102">
        <f t="shared" si="17"/>
        <v>789.8</v>
      </c>
      <c r="M198" s="102">
        <f t="shared" si="17"/>
        <v>789.8</v>
      </c>
      <c r="N198" s="102">
        <f t="shared" si="17"/>
        <v>573.79999999999995</v>
      </c>
      <c r="O198" s="102">
        <f t="shared" si="17"/>
        <v>0</v>
      </c>
      <c r="P198" s="116">
        <f>SUM(L198/D198*100)</f>
        <v>66.042311230035949</v>
      </c>
      <c r="Q198" s="116">
        <f>SUM(L198/H198*100)</f>
        <v>83.976608187134488</v>
      </c>
    </row>
    <row r="199" spans="1:17" ht="13.5" customHeight="1">
      <c r="A199" s="229"/>
      <c r="B199" s="226" t="s">
        <v>337</v>
      </c>
      <c r="C199" s="17" t="s">
        <v>109</v>
      </c>
      <c r="D199" s="18">
        <v>334.5</v>
      </c>
      <c r="E199" s="18">
        <v>334.5</v>
      </c>
      <c r="F199" s="18">
        <v>164.3</v>
      </c>
      <c r="G199" s="18">
        <v>0</v>
      </c>
      <c r="H199" s="18">
        <v>257.7</v>
      </c>
      <c r="I199" s="18">
        <v>257.7</v>
      </c>
      <c r="J199" s="18">
        <v>129</v>
      </c>
      <c r="K199" s="18">
        <v>0</v>
      </c>
      <c r="L199" s="180">
        <v>161.5</v>
      </c>
      <c r="M199" s="180">
        <v>161.5</v>
      </c>
      <c r="N199" s="180">
        <v>78.8</v>
      </c>
      <c r="O199" s="180">
        <v>0</v>
      </c>
      <c r="P199" s="18"/>
      <c r="Q199" s="19"/>
    </row>
    <row r="200" spans="1:17" ht="21" customHeight="1">
      <c r="A200" s="230"/>
      <c r="B200" s="227"/>
      <c r="C200" s="17" t="s">
        <v>102</v>
      </c>
      <c r="D200" s="18">
        <v>861.4</v>
      </c>
      <c r="E200" s="18">
        <v>861.4</v>
      </c>
      <c r="F200" s="18">
        <v>641.29999999999995</v>
      </c>
      <c r="G200" s="18">
        <v>0</v>
      </c>
      <c r="H200" s="18">
        <v>682.8</v>
      </c>
      <c r="I200" s="18">
        <v>682.8</v>
      </c>
      <c r="J200" s="18">
        <v>495</v>
      </c>
      <c r="K200" s="18">
        <v>0</v>
      </c>
      <c r="L200" s="180">
        <v>628.29999999999995</v>
      </c>
      <c r="M200" s="180">
        <v>628.29999999999995</v>
      </c>
      <c r="N200" s="180">
        <v>495</v>
      </c>
      <c r="O200" s="180">
        <v>0</v>
      </c>
      <c r="P200" s="18"/>
      <c r="Q200" s="19"/>
    </row>
    <row r="201" spans="1:17" ht="21">
      <c r="A201" s="100" t="s">
        <v>63</v>
      </c>
      <c r="B201" s="100"/>
      <c r="C201" s="101"/>
      <c r="D201" s="102">
        <f t="shared" ref="D201:O201" si="18">SUBTOTAL(9,D202:D203)</f>
        <v>298.10000000000002</v>
      </c>
      <c r="E201" s="102">
        <f t="shared" si="18"/>
        <v>248.1</v>
      </c>
      <c r="F201" s="102">
        <f t="shared" si="18"/>
        <v>108.4</v>
      </c>
      <c r="G201" s="102">
        <f t="shared" si="18"/>
        <v>50</v>
      </c>
      <c r="H201" s="102">
        <f t="shared" si="18"/>
        <v>268.39999999999998</v>
      </c>
      <c r="I201" s="102">
        <f t="shared" si="18"/>
        <v>213.4</v>
      </c>
      <c r="J201" s="102">
        <f t="shared" si="18"/>
        <v>90.2</v>
      </c>
      <c r="K201" s="102">
        <f t="shared" si="18"/>
        <v>55</v>
      </c>
      <c r="L201" s="102">
        <f t="shared" si="18"/>
        <v>161.19999999999999</v>
      </c>
      <c r="M201" s="102">
        <f t="shared" si="18"/>
        <v>157.10000000000002</v>
      </c>
      <c r="N201" s="102">
        <f t="shared" si="18"/>
        <v>70.2</v>
      </c>
      <c r="O201" s="102">
        <f t="shared" si="18"/>
        <v>4.0999999999999996</v>
      </c>
      <c r="P201" s="116">
        <f>SUM(L201/D201*100)</f>
        <v>54.075813485407579</v>
      </c>
      <c r="Q201" s="116">
        <f>SUM(L201/H201*100)</f>
        <v>60.05961251862891</v>
      </c>
    </row>
    <row r="202" spans="1:17" ht="21.75" customHeight="1">
      <c r="A202" s="229"/>
      <c r="B202" s="226" t="s">
        <v>356</v>
      </c>
      <c r="C202" s="17" t="s">
        <v>109</v>
      </c>
      <c r="D202" s="18">
        <v>80</v>
      </c>
      <c r="E202" s="18">
        <v>80</v>
      </c>
      <c r="F202" s="18">
        <v>5</v>
      </c>
      <c r="G202" s="18">
        <v>0</v>
      </c>
      <c r="H202" s="18">
        <v>74.599999999999994</v>
      </c>
      <c r="I202" s="18">
        <v>74.599999999999994</v>
      </c>
      <c r="J202" s="18">
        <v>5</v>
      </c>
      <c r="K202" s="18">
        <v>0</v>
      </c>
      <c r="L202" s="180">
        <v>63.7</v>
      </c>
      <c r="M202" s="180">
        <v>63.7</v>
      </c>
      <c r="N202" s="180">
        <v>5</v>
      </c>
      <c r="O202" s="180">
        <v>0</v>
      </c>
      <c r="P202" s="18"/>
      <c r="Q202" s="19"/>
    </row>
    <row r="203" spans="1:17" ht="23.25" customHeight="1">
      <c r="A203" s="230"/>
      <c r="B203" s="227"/>
      <c r="C203" s="17" t="s">
        <v>102</v>
      </c>
      <c r="D203" s="18">
        <v>218.1</v>
      </c>
      <c r="E203" s="18">
        <v>168.1</v>
      </c>
      <c r="F203" s="18">
        <v>103.4</v>
      </c>
      <c r="G203" s="18">
        <v>50</v>
      </c>
      <c r="H203" s="18">
        <v>193.8</v>
      </c>
      <c r="I203" s="18">
        <v>138.80000000000001</v>
      </c>
      <c r="J203" s="18">
        <v>85.2</v>
      </c>
      <c r="K203" s="18">
        <v>55</v>
      </c>
      <c r="L203" s="180">
        <v>97.5</v>
      </c>
      <c r="M203" s="180">
        <v>93.4</v>
      </c>
      <c r="N203" s="180">
        <v>65.2</v>
      </c>
      <c r="O203" s="180">
        <v>4.0999999999999996</v>
      </c>
      <c r="P203" s="18"/>
      <c r="Q203" s="19"/>
    </row>
    <row r="204" spans="1:17" ht="21">
      <c r="A204" s="100" t="s">
        <v>67</v>
      </c>
      <c r="B204" s="100"/>
      <c r="C204" s="101"/>
      <c r="D204" s="102">
        <f t="shared" ref="D204:O204" si="19">SUBTOTAL(9,D205:D208)</f>
        <v>2305.2000000000003</v>
      </c>
      <c r="E204" s="102">
        <f t="shared" si="19"/>
        <v>2216.3000000000002</v>
      </c>
      <c r="F204" s="102">
        <f t="shared" si="19"/>
        <v>1819.3</v>
      </c>
      <c r="G204" s="102">
        <f t="shared" si="19"/>
        <v>88.9</v>
      </c>
      <c r="H204" s="102">
        <f t="shared" si="19"/>
        <v>1756.6000000000001</v>
      </c>
      <c r="I204" s="102">
        <f t="shared" si="19"/>
        <v>1667.7000000000003</v>
      </c>
      <c r="J204" s="102">
        <f t="shared" si="19"/>
        <v>1369.8000000000002</v>
      </c>
      <c r="K204" s="102">
        <f t="shared" si="19"/>
        <v>88.9</v>
      </c>
      <c r="L204" s="102">
        <f t="shared" si="19"/>
        <v>1424.3</v>
      </c>
      <c r="M204" s="102">
        <f t="shared" si="19"/>
        <v>1339.8</v>
      </c>
      <c r="N204" s="102">
        <f t="shared" si="19"/>
        <v>1132.9000000000001</v>
      </c>
      <c r="O204" s="102">
        <f t="shared" si="19"/>
        <v>84.5</v>
      </c>
      <c r="P204" s="116">
        <f>SUM(L204/D204*100)</f>
        <v>61.786395974318921</v>
      </c>
      <c r="Q204" s="116">
        <f>SUM(L204/H204*100)</f>
        <v>81.082773539792768</v>
      </c>
    </row>
    <row r="205" spans="1:17">
      <c r="A205" s="229"/>
      <c r="B205" s="226" t="s">
        <v>357</v>
      </c>
      <c r="C205" s="17" t="s">
        <v>109</v>
      </c>
      <c r="D205" s="18">
        <v>64.900000000000006</v>
      </c>
      <c r="E205" s="18">
        <v>64.900000000000006</v>
      </c>
      <c r="F205" s="18">
        <v>13.9</v>
      </c>
      <c r="G205" s="18">
        <v>0</v>
      </c>
      <c r="H205" s="18">
        <v>45.4</v>
      </c>
      <c r="I205" s="18">
        <v>45.4</v>
      </c>
      <c r="J205" s="18">
        <v>10.4</v>
      </c>
      <c r="K205" s="18">
        <v>0</v>
      </c>
      <c r="L205" s="180">
        <v>26.1</v>
      </c>
      <c r="M205" s="180">
        <v>26.1</v>
      </c>
      <c r="N205" s="180">
        <v>9.9</v>
      </c>
      <c r="O205" s="180">
        <v>0</v>
      </c>
      <c r="P205" s="18"/>
      <c r="Q205" s="19"/>
    </row>
    <row r="206" spans="1:17">
      <c r="A206" s="231"/>
      <c r="B206" s="228"/>
      <c r="C206" s="17" t="s">
        <v>102</v>
      </c>
      <c r="D206" s="18">
        <v>2154</v>
      </c>
      <c r="E206" s="18">
        <v>2065.1</v>
      </c>
      <c r="F206" s="18">
        <v>1721.6</v>
      </c>
      <c r="G206" s="18">
        <v>88.9</v>
      </c>
      <c r="H206" s="18">
        <v>1645.3</v>
      </c>
      <c r="I206" s="18">
        <v>1556.4</v>
      </c>
      <c r="J206" s="18">
        <v>1295.7</v>
      </c>
      <c r="K206" s="18">
        <v>88.9</v>
      </c>
      <c r="L206" s="180">
        <v>1332.3</v>
      </c>
      <c r="M206" s="180">
        <v>1247.8</v>
      </c>
      <c r="N206" s="180">
        <v>1059.3</v>
      </c>
      <c r="O206" s="180">
        <v>84.5</v>
      </c>
      <c r="P206" s="186"/>
      <c r="Q206" s="186"/>
    </row>
    <row r="207" spans="1:17">
      <c r="A207" s="231"/>
      <c r="B207" s="228"/>
      <c r="C207" s="17" t="s">
        <v>104</v>
      </c>
      <c r="D207" s="18">
        <v>82.3</v>
      </c>
      <c r="E207" s="18">
        <v>82.3</v>
      </c>
      <c r="F207" s="18">
        <v>80.8</v>
      </c>
      <c r="G207" s="18">
        <v>0</v>
      </c>
      <c r="H207" s="18">
        <v>61.9</v>
      </c>
      <c r="I207" s="18">
        <v>61.9</v>
      </c>
      <c r="J207" s="18">
        <v>60.7</v>
      </c>
      <c r="K207" s="18">
        <v>0</v>
      </c>
      <c r="L207" s="180">
        <v>61.9</v>
      </c>
      <c r="M207" s="180">
        <v>61.9</v>
      </c>
      <c r="N207" s="180">
        <v>60.7</v>
      </c>
      <c r="O207" s="180">
        <v>0</v>
      </c>
      <c r="P207" s="18"/>
      <c r="Q207" s="19"/>
    </row>
    <row r="208" spans="1:17" ht="12" customHeight="1">
      <c r="A208" s="230"/>
      <c r="B208" s="227"/>
      <c r="C208" s="17" t="s">
        <v>332</v>
      </c>
      <c r="D208" s="18">
        <v>4</v>
      </c>
      <c r="E208" s="18">
        <v>4</v>
      </c>
      <c r="F208" s="18">
        <v>3</v>
      </c>
      <c r="G208" s="18">
        <v>0</v>
      </c>
      <c r="H208" s="18">
        <v>4</v>
      </c>
      <c r="I208" s="18">
        <v>4</v>
      </c>
      <c r="J208" s="18">
        <v>3</v>
      </c>
      <c r="K208" s="18">
        <v>0</v>
      </c>
      <c r="L208" s="180">
        <v>4</v>
      </c>
      <c r="M208" s="180">
        <v>4</v>
      </c>
      <c r="N208" s="180">
        <v>3</v>
      </c>
      <c r="O208" s="180">
        <v>0</v>
      </c>
      <c r="P208" s="18"/>
      <c r="Q208" s="19"/>
    </row>
    <row r="209" spans="1:17">
      <c r="A209" s="100" t="s">
        <v>120</v>
      </c>
      <c r="B209" s="100"/>
      <c r="C209" s="101"/>
      <c r="D209" s="102">
        <f t="shared" ref="D209:O209" si="20">SUBTOTAL(9,D210:D211)</f>
        <v>453.20000000000005</v>
      </c>
      <c r="E209" s="102">
        <f t="shared" si="20"/>
        <v>47.6</v>
      </c>
      <c r="F209" s="102">
        <f t="shared" si="20"/>
        <v>0</v>
      </c>
      <c r="G209" s="102">
        <f t="shared" si="20"/>
        <v>405.6</v>
      </c>
      <c r="H209" s="102">
        <f t="shared" si="20"/>
        <v>344.8</v>
      </c>
      <c r="I209" s="102">
        <f t="shared" si="20"/>
        <v>40.6</v>
      </c>
      <c r="J209" s="102">
        <f t="shared" si="20"/>
        <v>0</v>
      </c>
      <c r="K209" s="102">
        <f t="shared" si="20"/>
        <v>304.2</v>
      </c>
      <c r="L209" s="102">
        <f t="shared" si="20"/>
        <v>338.7</v>
      </c>
      <c r="M209" s="102">
        <f t="shared" si="20"/>
        <v>34.5</v>
      </c>
      <c r="N209" s="102">
        <f t="shared" si="20"/>
        <v>0</v>
      </c>
      <c r="O209" s="102">
        <f t="shared" si="20"/>
        <v>304.2</v>
      </c>
      <c r="P209" s="116">
        <f>SUM(L209/D209*100)</f>
        <v>74.735216240070599</v>
      </c>
      <c r="Q209" s="116">
        <f>SUM(L209/H209*100)</f>
        <v>98.230858468677482</v>
      </c>
    </row>
    <row r="210" spans="1:17" ht="31.5" customHeight="1">
      <c r="A210" s="229"/>
      <c r="B210" s="226" t="s">
        <v>333</v>
      </c>
      <c r="C210" s="17" t="s">
        <v>297</v>
      </c>
      <c r="D210" s="18">
        <v>405.6</v>
      </c>
      <c r="E210" s="18">
        <v>0</v>
      </c>
      <c r="F210" s="18">
        <v>0</v>
      </c>
      <c r="G210" s="18">
        <v>405.6</v>
      </c>
      <c r="H210" s="18">
        <v>304.2</v>
      </c>
      <c r="I210" s="18">
        <v>0</v>
      </c>
      <c r="J210" s="18">
        <v>0</v>
      </c>
      <c r="K210" s="18">
        <v>304.2</v>
      </c>
      <c r="L210" s="180">
        <v>304.2</v>
      </c>
      <c r="M210" s="180">
        <v>0</v>
      </c>
      <c r="N210" s="180">
        <v>0</v>
      </c>
      <c r="O210" s="180">
        <v>304.2</v>
      </c>
      <c r="P210" s="18"/>
      <c r="Q210" s="19"/>
    </row>
    <row r="211" spans="1:17" ht="35.25" customHeight="1">
      <c r="A211" s="230"/>
      <c r="B211" s="227"/>
      <c r="C211" s="17" t="s">
        <v>102</v>
      </c>
      <c r="D211" s="18">
        <v>47.6</v>
      </c>
      <c r="E211" s="18">
        <v>47.6</v>
      </c>
      <c r="F211" s="18">
        <v>0</v>
      </c>
      <c r="G211" s="18">
        <v>0</v>
      </c>
      <c r="H211" s="18">
        <v>40.6</v>
      </c>
      <c r="I211" s="18">
        <v>40.6</v>
      </c>
      <c r="J211" s="18">
        <v>0</v>
      </c>
      <c r="K211" s="18">
        <v>0</v>
      </c>
      <c r="L211" s="180">
        <v>34.5</v>
      </c>
      <c r="M211" s="180">
        <v>34.5</v>
      </c>
      <c r="N211" s="180">
        <v>0</v>
      </c>
      <c r="O211" s="180">
        <v>0</v>
      </c>
      <c r="P211" s="18"/>
      <c r="Q211" s="19"/>
    </row>
    <row r="212" spans="1:17">
      <c r="A212" s="100" t="s">
        <v>121</v>
      </c>
      <c r="B212" s="100"/>
      <c r="C212" s="101"/>
      <c r="D212" s="102">
        <f t="shared" ref="D212:O212" si="21">SUBTOTAL(9,D213:D214)</f>
        <v>805</v>
      </c>
      <c r="E212" s="102">
        <f t="shared" si="21"/>
        <v>203.2</v>
      </c>
      <c r="F212" s="102">
        <f t="shared" si="21"/>
        <v>0</v>
      </c>
      <c r="G212" s="102">
        <f t="shared" si="21"/>
        <v>601.79999999999995</v>
      </c>
      <c r="H212" s="102">
        <f t="shared" si="21"/>
        <v>577.20000000000005</v>
      </c>
      <c r="I212" s="102">
        <f t="shared" si="21"/>
        <v>146.19999999999999</v>
      </c>
      <c r="J212" s="102">
        <f t="shared" si="21"/>
        <v>0</v>
      </c>
      <c r="K212" s="102">
        <f t="shared" si="21"/>
        <v>431</v>
      </c>
      <c r="L212" s="102">
        <f t="shared" si="21"/>
        <v>574.5</v>
      </c>
      <c r="M212" s="102">
        <f t="shared" si="21"/>
        <v>143.5</v>
      </c>
      <c r="N212" s="102">
        <f t="shared" si="21"/>
        <v>0</v>
      </c>
      <c r="O212" s="102">
        <f t="shared" si="21"/>
        <v>431</v>
      </c>
      <c r="P212" s="116">
        <f>SUM(L212/D212*100)</f>
        <v>71.366459627329192</v>
      </c>
      <c r="Q212" s="116">
        <f>SUM(L212/H212*100)</f>
        <v>99.532224532224518</v>
      </c>
    </row>
    <row r="213" spans="1:17" ht="27.75" customHeight="1">
      <c r="A213" s="229"/>
      <c r="B213" s="226" t="s">
        <v>333</v>
      </c>
      <c r="C213" s="17" t="s">
        <v>297</v>
      </c>
      <c r="D213" s="18">
        <v>601.79999999999995</v>
      </c>
      <c r="E213" s="18">
        <v>0</v>
      </c>
      <c r="F213" s="18">
        <v>0</v>
      </c>
      <c r="G213" s="18">
        <v>601.79999999999995</v>
      </c>
      <c r="H213" s="18">
        <v>431</v>
      </c>
      <c r="I213" s="18">
        <v>0</v>
      </c>
      <c r="J213" s="18">
        <v>0</v>
      </c>
      <c r="K213" s="18">
        <v>431</v>
      </c>
      <c r="L213" s="180">
        <v>431</v>
      </c>
      <c r="M213" s="180">
        <v>0</v>
      </c>
      <c r="N213" s="180">
        <v>0</v>
      </c>
      <c r="O213" s="180">
        <v>431</v>
      </c>
      <c r="P213" s="18"/>
      <c r="Q213" s="19"/>
    </row>
    <row r="214" spans="1:17" ht="37.5" customHeight="1">
      <c r="A214" s="230"/>
      <c r="B214" s="227"/>
      <c r="C214" s="17" t="s">
        <v>102</v>
      </c>
      <c r="D214" s="18">
        <v>203.2</v>
      </c>
      <c r="E214" s="18">
        <v>203.2</v>
      </c>
      <c r="F214" s="18">
        <v>0</v>
      </c>
      <c r="G214" s="18">
        <v>0</v>
      </c>
      <c r="H214" s="18">
        <v>146.19999999999999</v>
      </c>
      <c r="I214" s="18">
        <v>146.19999999999999</v>
      </c>
      <c r="J214" s="18">
        <v>0</v>
      </c>
      <c r="K214" s="18">
        <v>0</v>
      </c>
      <c r="L214" s="180">
        <v>143.5</v>
      </c>
      <c r="M214" s="180">
        <v>143.5</v>
      </c>
      <c r="N214" s="180">
        <v>0</v>
      </c>
      <c r="O214" s="180">
        <v>0</v>
      </c>
      <c r="P214" s="18"/>
      <c r="Q214" s="19"/>
    </row>
    <row r="215" spans="1:17" ht="21">
      <c r="A215" s="100" t="s">
        <v>71</v>
      </c>
      <c r="B215" s="100"/>
      <c r="C215" s="101"/>
      <c r="D215" s="102">
        <f t="shared" ref="D215:O215" si="22">SUBTOTAL(9,D216:D218)</f>
        <v>1094.9000000000001</v>
      </c>
      <c r="E215" s="102">
        <f t="shared" si="22"/>
        <v>1065.9000000000001</v>
      </c>
      <c r="F215" s="102">
        <f t="shared" si="22"/>
        <v>848.3</v>
      </c>
      <c r="G215" s="102">
        <f t="shared" si="22"/>
        <v>29</v>
      </c>
      <c r="H215" s="102">
        <f t="shared" si="22"/>
        <v>835.30000000000007</v>
      </c>
      <c r="I215" s="102">
        <f t="shared" si="22"/>
        <v>806.30000000000007</v>
      </c>
      <c r="J215" s="102">
        <f t="shared" si="22"/>
        <v>636.19999999999993</v>
      </c>
      <c r="K215" s="102">
        <f t="shared" si="22"/>
        <v>29</v>
      </c>
      <c r="L215" s="102">
        <f t="shared" si="22"/>
        <v>596</v>
      </c>
      <c r="M215" s="102">
        <f t="shared" si="22"/>
        <v>592.5</v>
      </c>
      <c r="N215" s="102">
        <f t="shared" si="22"/>
        <v>475.00000000000006</v>
      </c>
      <c r="O215" s="102">
        <f t="shared" si="22"/>
        <v>3.5</v>
      </c>
      <c r="P215" s="116">
        <f>SUM(L215/D215*100)</f>
        <v>54.434194903644162</v>
      </c>
      <c r="Q215" s="116">
        <f>SUM(L215/H215*100)</f>
        <v>71.35161019992816</v>
      </c>
    </row>
    <row r="216" spans="1:17">
      <c r="A216" s="229"/>
      <c r="B216" s="226" t="s">
        <v>357</v>
      </c>
      <c r="C216" s="17" t="s">
        <v>109</v>
      </c>
      <c r="D216" s="18">
        <v>49</v>
      </c>
      <c r="E216" s="18">
        <v>49</v>
      </c>
      <c r="F216" s="18">
        <v>26.5</v>
      </c>
      <c r="G216" s="18">
        <v>0</v>
      </c>
      <c r="H216" s="18">
        <v>40.1</v>
      </c>
      <c r="I216" s="18">
        <v>40.1</v>
      </c>
      <c r="J216" s="18">
        <v>19.8</v>
      </c>
      <c r="K216" s="18">
        <v>0</v>
      </c>
      <c r="L216" s="180">
        <v>24.1</v>
      </c>
      <c r="M216" s="180">
        <v>24.1</v>
      </c>
      <c r="N216" s="180">
        <v>18.100000000000001</v>
      </c>
      <c r="O216" s="180">
        <v>0</v>
      </c>
      <c r="P216" s="186"/>
      <c r="Q216" s="186"/>
    </row>
    <row r="217" spans="1:17">
      <c r="A217" s="231"/>
      <c r="B217" s="228"/>
      <c r="C217" s="17" t="s">
        <v>102</v>
      </c>
      <c r="D217" s="18">
        <v>995.9</v>
      </c>
      <c r="E217" s="18">
        <v>966.9</v>
      </c>
      <c r="F217" s="18">
        <v>772.5</v>
      </c>
      <c r="G217" s="18">
        <v>29</v>
      </c>
      <c r="H217" s="18">
        <v>757.6</v>
      </c>
      <c r="I217" s="18">
        <v>728.6</v>
      </c>
      <c r="J217" s="18">
        <v>579.29999999999995</v>
      </c>
      <c r="K217" s="18">
        <v>29</v>
      </c>
      <c r="L217" s="180">
        <v>534.29999999999995</v>
      </c>
      <c r="M217" s="180">
        <v>530.79999999999995</v>
      </c>
      <c r="N217" s="180">
        <v>419.8</v>
      </c>
      <c r="O217" s="180">
        <v>3.5</v>
      </c>
      <c r="P217" s="18"/>
      <c r="Q217" s="19"/>
    </row>
    <row r="218" spans="1:17">
      <c r="A218" s="230"/>
      <c r="B218" s="227"/>
      <c r="C218" s="17" t="s">
        <v>104</v>
      </c>
      <c r="D218" s="18">
        <v>50</v>
      </c>
      <c r="E218" s="18">
        <v>50</v>
      </c>
      <c r="F218" s="18">
        <v>49.3</v>
      </c>
      <c r="G218" s="18">
        <v>0</v>
      </c>
      <c r="H218" s="18">
        <v>37.6</v>
      </c>
      <c r="I218" s="18">
        <v>37.6</v>
      </c>
      <c r="J218" s="18">
        <v>37.1</v>
      </c>
      <c r="K218" s="18">
        <v>0</v>
      </c>
      <c r="L218" s="180">
        <v>37.6</v>
      </c>
      <c r="M218" s="180">
        <v>37.6</v>
      </c>
      <c r="N218" s="180">
        <v>37.1</v>
      </c>
      <c r="O218" s="180">
        <v>0</v>
      </c>
      <c r="P218" s="18"/>
      <c r="Q218" s="19"/>
    </row>
    <row r="219" spans="1:17" ht="21">
      <c r="A219" s="100" t="s">
        <v>32</v>
      </c>
      <c r="B219" s="100"/>
      <c r="C219" s="101"/>
      <c r="D219" s="102">
        <f t="shared" ref="D219:N219" si="23">SUBTOTAL(9,D220:D224)</f>
        <v>2526.8000000000002</v>
      </c>
      <c r="E219" s="102">
        <f t="shared" si="23"/>
        <v>2516.3000000000002</v>
      </c>
      <c r="F219" s="102">
        <f t="shared" si="23"/>
        <v>1998.2</v>
      </c>
      <c r="G219" s="102">
        <f t="shared" si="23"/>
        <v>10.5</v>
      </c>
      <c r="H219" s="102">
        <f t="shared" si="23"/>
        <v>1771.6</v>
      </c>
      <c r="I219" s="102">
        <f t="shared" si="23"/>
        <v>1761.1</v>
      </c>
      <c r="J219" s="102">
        <f t="shared" si="23"/>
        <v>1379.5</v>
      </c>
      <c r="K219" s="102">
        <f t="shared" si="23"/>
        <v>10.5</v>
      </c>
      <c r="L219" s="102">
        <f t="shared" si="23"/>
        <v>1628.8000000000002</v>
      </c>
      <c r="M219" s="102">
        <f t="shared" si="23"/>
        <v>1621.9</v>
      </c>
      <c r="N219" s="102">
        <f t="shared" si="23"/>
        <v>1322.8000000000002</v>
      </c>
      <c r="O219" s="102">
        <v>6.9</v>
      </c>
      <c r="P219" s="116">
        <f>SUM(L219/D219*100)</f>
        <v>64.460978312490113</v>
      </c>
      <c r="Q219" s="116">
        <f>SUM(L219/H219*100)</f>
        <v>91.939489726800645</v>
      </c>
    </row>
    <row r="220" spans="1:17">
      <c r="A220" s="229"/>
      <c r="B220" s="226" t="s">
        <v>338</v>
      </c>
      <c r="C220" s="17" t="s">
        <v>297</v>
      </c>
      <c r="D220" s="18">
        <v>45</v>
      </c>
      <c r="E220" s="18">
        <v>34.5</v>
      </c>
      <c r="F220" s="18">
        <v>0</v>
      </c>
      <c r="G220" s="18">
        <v>10.5</v>
      </c>
      <c r="H220" s="18">
        <v>45</v>
      </c>
      <c r="I220" s="18">
        <v>34.5</v>
      </c>
      <c r="J220" s="18">
        <v>0</v>
      </c>
      <c r="K220" s="18">
        <v>10.5</v>
      </c>
      <c r="L220" s="180">
        <v>34.1</v>
      </c>
      <c r="M220" s="180">
        <v>27.2</v>
      </c>
      <c r="N220" s="180">
        <v>0</v>
      </c>
      <c r="O220" s="180">
        <v>6.9</v>
      </c>
      <c r="P220" s="18"/>
      <c r="Q220" s="19"/>
    </row>
    <row r="221" spans="1:17">
      <c r="A221" s="231"/>
      <c r="B221" s="228"/>
      <c r="C221" s="17" t="s">
        <v>101</v>
      </c>
      <c r="D221" s="18">
        <v>1146</v>
      </c>
      <c r="E221" s="18">
        <v>1146</v>
      </c>
      <c r="F221" s="18">
        <v>1106</v>
      </c>
      <c r="G221" s="18">
        <v>0</v>
      </c>
      <c r="H221" s="18">
        <v>768.6</v>
      </c>
      <c r="I221" s="18">
        <v>768.6</v>
      </c>
      <c r="J221" s="18">
        <v>737.1</v>
      </c>
      <c r="K221" s="18">
        <v>0</v>
      </c>
      <c r="L221" s="180">
        <v>725.1</v>
      </c>
      <c r="M221" s="180">
        <v>725.1</v>
      </c>
      <c r="N221" s="180">
        <v>705.2</v>
      </c>
      <c r="O221" s="180">
        <v>0</v>
      </c>
      <c r="P221" s="18"/>
      <c r="Q221" s="19"/>
    </row>
    <row r="222" spans="1:17">
      <c r="A222" s="231"/>
      <c r="B222" s="228"/>
      <c r="C222" s="17" t="s">
        <v>347</v>
      </c>
      <c r="D222" s="18">
        <v>4.9000000000000004</v>
      </c>
      <c r="E222" s="18">
        <v>4.9000000000000004</v>
      </c>
      <c r="F222" s="18">
        <v>4.8</v>
      </c>
      <c r="G222" s="18">
        <v>0</v>
      </c>
      <c r="H222" s="18">
        <v>4.9000000000000004</v>
      </c>
      <c r="I222" s="18">
        <v>4.9000000000000004</v>
      </c>
      <c r="J222" s="18">
        <v>4.8</v>
      </c>
      <c r="K222" s="18">
        <v>0</v>
      </c>
      <c r="L222" s="180">
        <v>4.9000000000000004</v>
      </c>
      <c r="M222" s="180">
        <v>4.9000000000000004</v>
      </c>
      <c r="N222" s="180">
        <v>4.8</v>
      </c>
      <c r="O222" s="180">
        <v>0</v>
      </c>
      <c r="P222" s="186"/>
      <c r="Q222" s="186"/>
    </row>
    <row r="223" spans="1:17">
      <c r="A223" s="231"/>
      <c r="B223" s="228"/>
      <c r="C223" s="17" t="s">
        <v>109</v>
      </c>
      <c r="D223" s="18">
        <v>126.5</v>
      </c>
      <c r="E223" s="18">
        <v>126.5</v>
      </c>
      <c r="F223" s="18">
        <v>14.4</v>
      </c>
      <c r="G223" s="18">
        <v>0</v>
      </c>
      <c r="H223" s="18">
        <v>91.5</v>
      </c>
      <c r="I223" s="18">
        <v>91.5</v>
      </c>
      <c r="J223" s="18">
        <v>9.6</v>
      </c>
      <c r="K223" s="18">
        <v>0</v>
      </c>
      <c r="L223" s="180">
        <v>72.5</v>
      </c>
      <c r="M223" s="180">
        <v>72.5</v>
      </c>
      <c r="N223" s="180">
        <v>6.1</v>
      </c>
      <c r="O223" s="180">
        <v>0</v>
      </c>
      <c r="P223" s="18"/>
      <c r="Q223" s="19"/>
    </row>
    <row r="224" spans="1:17">
      <c r="A224" s="230"/>
      <c r="B224" s="227"/>
      <c r="C224" s="17" t="s">
        <v>102</v>
      </c>
      <c r="D224" s="18">
        <v>1204.4000000000001</v>
      </c>
      <c r="E224" s="18">
        <v>1204.4000000000001</v>
      </c>
      <c r="F224" s="18">
        <v>873</v>
      </c>
      <c r="G224" s="18">
        <v>0</v>
      </c>
      <c r="H224" s="18">
        <v>861.6</v>
      </c>
      <c r="I224" s="18">
        <v>861.6</v>
      </c>
      <c r="J224" s="18">
        <v>628</v>
      </c>
      <c r="K224" s="18">
        <v>0</v>
      </c>
      <c r="L224" s="180">
        <v>792.2</v>
      </c>
      <c r="M224" s="180">
        <v>792.2</v>
      </c>
      <c r="N224" s="180">
        <v>606.70000000000005</v>
      </c>
      <c r="O224" s="180">
        <v>0</v>
      </c>
      <c r="P224" s="18"/>
      <c r="Q224" s="19"/>
    </row>
    <row r="225" spans="1:17" ht="21">
      <c r="A225" s="100" t="s">
        <v>18</v>
      </c>
      <c r="B225" s="100"/>
      <c r="C225" s="101"/>
      <c r="D225" s="102">
        <f t="shared" ref="D225:O225" si="24">SUBTOTAL(9,D226:D231)</f>
        <v>1268.0999999999999</v>
      </c>
      <c r="E225" s="102">
        <f t="shared" si="24"/>
        <v>1262.5999999999999</v>
      </c>
      <c r="F225" s="102">
        <f t="shared" si="24"/>
        <v>1055.5999999999999</v>
      </c>
      <c r="G225" s="102">
        <f t="shared" si="24"/>
        <v>5.5</v>
      </c>
      <c r="H225" s="102">
        <f t="shared" si="24"/>
        <v>966.80000000000007</v>
      </c>
      <c r="I225" s="102">
        <f t="shared" si="24"/>
        <v>964.30000000000007</v>
      </c>
      <c r="J225" s="102">
        <f t="shared" si="24"/>
        <v>796.80000000000007</v>
      </c>
      <c r="K225" s="102">
        <f t="shared" si="24"/>
        <v>2.5</v>
      </c>
      <c r="L225" s="102">
        <f t="shared" si="24"/>
        <v>779.30000000000007</v>
      </c>
      <c r="M225" s="102">
        <f t="shared" si="24"/>
        <v>776.80000000000007</v>
      </c>
      <c r="N225" s="102">
        <f t="shared" si="24"/>
        <v>652.40000000000009</v>
      </c>
      <c r="O225" s="102">
        <f t="shared" si="24"/>
        <v>2.5</v>
      </c>
      <c r="P225" s="116">
        <f>SUM(L225/D225*100)</f>
        <v>61.454143994953093</v>
      </c>
      <c r="Q225" s="116">
        <f>SUM(L225/H225*100)</f>
        <v>80.606123293338854</v>
      </c>
    </row>
    <row r="226" spans="1:17">
      <c r="A226" s="229"/>
      <c r="B226" s="226" t="s">
        <v>338</v>
      </c>
      <c r="C226" s="17" t="s">
        <v>297</v>
      </c>
      <c r="D226" s="18">
        <v>41.7</v>
      </c>
      <c r="E226" s="18">
        <v>39.200000000000003</v>
      </c>
      <c r="F226" s="18">
        <v>0</v>
      </c>
      <c r="G226" s="18">
        <v>2.5</v>
      </c>
      <c r="H226" s="18">
        <v>41.7</v>
      </c>
      <c r="I226" s="18">
        <v>39.200000000000003</v>
      </c>
      <c r="J226" s="18">
        <v>0</v>
      </c>
      <c r="K226" s="18">
        <v>2.5</v>
      </c>
      <c r="L226" s="180">
        <v>38.200000000000003</v>
      </c>
      <c r="M226" s="180">
        <v>35.700000000000003</v>
      </c>
      <c r="N226" s="180">
        <v>0</v>
      </c>
      <c r="O226" s="180">
        <v>2.5</v>
      </c>
      <c r="P226" s="18"/>
      <c r="Q226" s="19"/>
    </row>
    <row r="227" spans="1:17">
      <c r="A227" s="231"/>
      <c r="B227" s="228"/>
      <c r="C227" s="17" t="s">
        <v>101</v>
      </c>
      <c r="D227" s="18">
        <v>600.9</v>
      </c>
      <c r="E227" s="18">
        <v>600.9</v>
      </c>
      <c r="F227" s="18">
        <v>577.29999999999995</v>
      </c>
      <c r="G227" s="18">
        <v>0</v>
      </c>
      <c r="H227" s="18">
        <v>454.5</v>
      </c>
      <c r="I227" s="18">
        <v>454.5</v>
      </c>
      <c r="J227" s="18">
        <v>433.4</v>
      </c>
      <c r="K227" s="18">
        <v>0</v>
      </c>
      <c r="L227" s="180">
        <v>373.3</v>
      </c>
      <c r="M227" s="180">
        <v>373.3</v>
      </c>
      <c r="N227" s="180">
        <v>361.1</v>
      </c>
      <c r="O227" s="180">
        <v>0</v>
      </c>
      <c r="P227" s="18"/>
      <c r="Q227" s="19"/>
    </row>
    <row r="228" spans="1:17">
      <c r="A228" s="231"/>
      <c r="B228" s="228"/>
      <c r="C228" s="17" t="s">
        <v>347</v>
      </c>
      <c r="D228" s="18">
        <v>2.5</v>
      </c>
      <c r="E228" s="18">
        <v>2.5</v>
      </c>
      <c r="F228" s="18">
        <v>2.5</v>
      </c>
      <c r="G228" s="18">
        <v>0</v>
      </c>
      <c r="H228" s="18">
        <v>2.5</v>
      </c>
      <c r="I228" s="18">
        <v>2.5</v>
      </c>
      <c r="J228" s="18">
        <v>2.5</v>
      </c>
      <c r="K228" s="18">
        <v>0</v>
      </c>
      <c r="L228" s="180">
        <v>2.5</v>
      </c>
      <c r="M228" s="180">
        <v>2.5</v>
      </c>
      <c r="N228" s="180">
        <v>2.5</v>
      </c>
      <c r="O228" s="180">
        <v>0</v>
      </c>
      <c r="P228" s="18"/>
      <c r="Q228" s="19"/>
    </row>
    <row r="229" spans="1:17">
      <c r="A229" s="231"/>
      <c r="B229" s="228"/>
      <c r="C229" s="17" t="s">
        <v>109</v>
      </c>
      <c r="D229" s="18">
        <v>52.6</v>
      </c>
      <c r="E229" s="18">
        <v>52.6</v>
      </c>
      <c r="F229" s="18">
        <v>4.3</v>
      </c>
      <c r="G229" s="18">
        <v>0</v>
      </c>
      <c r="H229" s="18">
        <v>37.299999999999997</v>
      </c>
      <c r="I229" s="18">
        <v>37.299999999999997</v>
      </c>
      <c r="J229" s="18">
        <v>3.6</v>
      </c>
      <c r="K229" s="18">
        <v>0</v>
      </c>
      <c r="L229" s="180">
        <v>24.5</v>
      </c>
      <c r="M229" s="180">
        <v>24.5</v>
      </c>
      <c r="N229" s="180">
        <v>1.1000000000000001</v>
      </c>
      <c r="O229" s="180">
        <v>0</v>
      </c>
      <c r="P229" s="186"/>
      <c r="Q229" s="186"/>
    </row>
    <row r="230" spans="1:17">
      <c r="A230" s="231"/>
      <c r="B230" s="228"/>
      <c r="C230" s="17" t="s">
        <v>102</v>
      </c>
      <c r="D230" s="18">
        <v>569.79999999999995</v>
      </c>
      <c r="E230" s="18">
        <v>566.79999999999995</v>
      </c>
      <c r="F230" s="18">
        <v>470.9</v>
      </c>
      <c r="G230" s="18">
        <v>3</v>
      </c>
      <c r="H230" s="18">
        <v>430.2</v>
      </c>
      <c r="I230" s="18">
        <v>430.2</v>
      </c>
      <c r="J230" s="18">
        <v>356.7</v>
      </c>
      <c r="K230" s="18">
        <v>0</v>
      </c>
      <c r="L230" s="180">
        <v>340.2</v>
      </c>
      <c r="M230" s="180">
        <v>340.2</v>
      </c>
      <c r="N230" s="180">
        <v>287.10000000000002</v>
      </c>
      <c r="O230" s="180">
        <v>0</v>
      </c>
      <c r="P230" s="18"/>
      <c r="Q230" s="19"/>
    </row>
    <row r="231" spans="1:17" ht="11.25" customHeight="1">
      <c r="A231" s="230"/>
      <c r="B231" s="227"/>
      <c r="C231" s="17" t="s">
        <v>332</v>
      </c>
      <c r="D231" s="18">
        <v>0.6</v>
      </c>
      <c r="E231" s="18">
        <v>0.6</v>
      </c>
      <c r="F231" s="18">
        <v>0.6</v>
      </c>
      <c r="G231" s="18">
        <v>0</v>
      </c>
      <c r="H231" s="18">
        <v>0.6</v>
      </c>
      <c r="I231" s="18">
        <v>0.6</v>
      </c>
      <c r="J231" s="18">
        <v>0.6</v>
      </c>
      <c r="K231" s="18">
        <v>0</v>
      </c>
      <c r="L231" s="180">
        <v>0.6</v>
      </c>
      <c r="M231" s="180">
        <v>0.6</v>
      </c>
      <c r="N231" s="180">
        <v>0.6</v>
      </c>
      <c r="O231" s="180">
        <v>0</v>
      </c>
      <c r="P231" s="18"/>
      <c r="Q231" s="19"/>
    </row>
    <row r="232" spans="1:17" ht="31.5">
      <c r="A232" s="100" t="s">
        <v>412</v>
      </c>
      <c r="B232" s="100"/>
      <c r="C232" s="101"/>
      <c r="D232" s="102">
        <f t="shared" ref="D232:O232" si="25">SUBTOTAL(9,D233:D239)</f>
        <v>903.4</v>
      </c>
      <c r="E232" s="102">
        <f t="shared" si="25"/>
        <v>873.9</v>
      </c>
      <c r="F232" s="102">
        <f t="shared" si="25"/>
        <v>746.6</v>
      </c>
      <c r="G232" s="102">
        <f t="shared" si="25"/>
        <v>29.5</v>
      </c>
      <c r="H232" s="102">
        <f t="shared" si="25"/>
        <v>639.6</v>
      </c>
      <c r="I232" s="102">
        <f t="shared" si="25"/>
        <v>628.1</v>
      </c>
      <c r="J232" s="102">
        <f t="shared" si="25"/>
        <v>533</v>
      </c>
      <c r="K232" s="102">
        <f t="shared" si="25"/>
        <v>11.5</v>
      </c>
      <c r="L232" s="102">
        <f t="shared" si="25"/>
        <v>547.4</v>
      </c>
      <c r="M232" s="102">
        <f t="shared" si="25"/>
        <v>536</v>
      </c>
      <c r="N232" s="102">
        <f t="shared" si="25"/>
        <v>477</v>
      </c>
      <c r="O232" s="102">
        <f t="shared" si="25"/>
        <v>11.4</v>
      </c>
      <c r="P232" s="116">
        <f>SUM(L232/D232*100)</f>
        <v>60.593314146557454</v>
      </c>
      <c r="Q232" s="116">
        <f>SUM(L232/H232*100)</f>
        <v>85.584740462789227</v>
      </c>
    </row>
    <row r="233" spans="1:17">
      <c r="A233" s="229"/>
      <c r="B233" s="226" t="s">
        <v>338</v>
      </c>
      <c r="C233" s="17" t="s">
        <v>297</v>
      </c>
      <c r="D233" s="18">
        <v>23.1</v>
      </c>
      <c r="E233" s="18">
        <v>17.600000000000001</v>
      </c>
      <c r="F233" s="18">
        <v>0</v>
      </c>
      <c r="G233" s="18">
        <v>5.5</v>
      </c>
      <c r="H233" s="18">
        <v>23.1</v>
      </c>
      <c r="I233" s="18">
        <v>17.600000000000001</v>
      </c>
      <c r="J233" s="18">
        <v>0</v>
      </c>
      <c r="K233" s="18">
        <v>5.5</v>
      </c>
      <c r="L233" s="180">
        <v>16.8</v>
      </c>
      <c r="M233" s="180">
        <v>11.3</v>
      </c>
      <c r="N233" s="180">
        <v>0</v>
      </c>
      <c r="O233" s="180">
        <v>5.5</v>
      </c>
      <c r="P233" s="18"/>
      <c r="Q233" s="19"/>
    </row>
    <row r="234" spans="1:17">
      <c r="A234" s="231"/>
      <c r="B234" s="228"/>
      <c r="C234" s="17" t="s">
        <v>101</v>
      </c>
      <c r="D234" s="18">
        <v>471.4</v>
      </c>
      <c r="E234" s="18">
        <v>471.4</v>
      </c>
      <c r="F234" s="18">
        <v>448.1</v>
      </c>
      <c r="G234" s="18">
        <v>0</v>
      </c>
      <c r="H234" s="18">
        <v>346.6</v>
      </c>
      <c r="I234" s="18">
        <v>346.6</v>
      </c>
      <c r="J234" s="18">
        <v>329.4</v>
      </c>
      <c r="K234" s="18">
        <v>0</v>
      </c>
      <c r="L234" s="180">
        <v>310.8</v>
      </c>
      <c r="M234" s="180">
        <v>310.8</v>
      </c>
      <c r="N234" s="180">
        <v>299.60000000000002</v>
      </c>
      <c r="O234" s="180">
        <v>0</v>
      </c>
      <c r="P234" s="18"/>
      <c r="Q234" s="19"/>
    </row>
    <row r="235" spans="1:17">
      <c r="A235" s="231"/>
      <c r="B235" s="228"/>
      <c r="C235" s="17" t="s">
        <v>347</v>
      </c>
      <c r="D235" s="18">
        <v>12.4</v>
      </c>
      <c r="E235" s="18">
        <v>12.4</v>
      </c>
      <c r="F235" s="18">
        <v>12.2</v>
      </c>
      <c r="G235" s="18">
        <v>0</v>
      </c>
      <c r="H235" s="18">
        <v>12.4</v>
      </c>
      <c r="I235" s="18">
        <v>12.4</v>
      </c>
      <c r="J235" s="18">
        <v>12.2</v>
      </c>
      <c r="K235" s="18">
        <v>0</v>
      </c>
      <c r="L235" s="180">
        <v>12.4</v>
      </c>
      <c r="M235" s="180">
        <v>12.4</v>
      </c>
      <c r="N235" s="180">
        <v>12.2</v>
      </c>
      <c r="O235" s="180">
        <v>0</v>
      </c>
      <c r="P235" s="18"/>
      <c r="Q235" s="19"/>
    </row>
    <row r="236" spans="1:17">
      <c r="A236" s="231"/>
      <c r="B236" s="228"/>
      <c r="C236" s="17" t="s">
        <v>109</v>
      </c>
      <c r="D236" s="18">
        <v>13.4</v>
      </c>
      <c r="E236" s="18">
        <v>13.4</v>
      </c>
      <c r="F236" s="18">
        <v>1</v>
      </c>
      <c r="G236" s="18">
        <v>0</v>
      </c>
      <c r="H236" s="18">
        <v>10.3</v>
      </c>
      <c r="I236" s="18">
        <v>10.3</v>
      </c>
      <c r="J236" s="18">
        <v>0.7</v>
      </c>
      <c r="K236" s="18">
        <v>0</v>
      </c>
      <c r="L236" s="180">
        <v>6.3</v>
      </c>
      <c r="M236" s="180">
        <v>6.3</v>
      </c>
      <c r="N236" s="180">
        <v>0.5</v>
      </c>
      <c r="O236" s="180">
        <v>0</v>
      </c>
      <c r="P236" s="186"/>
      <c r="Q236" s="186"/>
    </row>
    <row r="237" spans="1:17">
      <c r="A237" s="231"/>
      <c r="B237" s="228"/>
      <c r="C237" s="17" t="s">
        <v>102</v>
      </c>
      <c r="D237" s="18">
        <v>363.2</v>
      </c>
      <c r="E237" s="18">
        <v>357.2</v>
      </c>
      <c r="F237" s="18">
        <v>283.7</v>
      </c>
      <c r="G237" s="18">
        <v>6</v>
      </c>
      <c r="H237" s="18">
        <v>245.3</v>
      </c>
      <c r="I237" s="18">
        <v>239.3</v>
      </c>
      <c r="J237" s="18">
        <v>189.1</v>
      </c>
      <c r="K237" s="18">
        <v>6</v>
      </c>
      <c r="L237" s="180">
        <v>199.2</v>
      </c>
      <c r="M237" s="180">
        <v>193.3</v>
      </c>
      <c r="N237" s="180">
        <v>163.1</v>
      </c>
      <c r="O237" s="180">
        <v>5.9</v>
      </c>
      <c r="P237" s="18"/>
      <c r="Q237" s="19"/>
    </row>
    <row r="238" spans="1:17" ht="12" customHeight="1">
      <c r="A238" s="231"/>
      <c r="B238" s="227"/>
      <c r="C238" s="17" t="s">
        <v>332</v>
      </c>
      <c r="D238" s="18">
        <v>1.9</v>
      </c>
      <c r="E238" s="18">
        <v>1.9</v>
      </c>
      <c r="F238" s="18">
        <v>1.6</v>
      </c>
      <c r="G238" s="18">
        <v>0</v>
      </c>
      <c r="H238" s="18">
        <v>1.9</v>
      </c>
      <c r="I238" s="18">
        <v>1.9</v>
      </c>
      <c r="J238" s="18">
        <v>1.6</v>
      </c>
      <c r="K238" s="18">
        <v>0</v>
      </c>
      <c r="L238" s="180">
        <v>1.9</v>
      </c>
      <c r="M238" s="180">
        <v>1.9</v>
      </c>
      <c r="N238" s="180">
        <v>1.6</v>
      </c>
      <c r="O238" s="180">
        <v>0</v>
      </c>
      <c r="P238" s="18"/>
      <c r="Q238" s="19"/>
    </row>
    <row r="239" spans="1:17" ht="45">
      <c r="A239" s="230"/>
      <c r="B239" s="16" t="s">
        <v>415</v>
      </c>
      <c r="C239" s="17" t="s">
        <v>102</v>
      </c>
      <c r="D239" s="18">
        <v>18</v>
      </c>
      <c r="E239" s="18">
        <v>0</v>
      </c>
      <c r="F239" s="18">
        <v>0</v>
      </c>
      <c r="G239" s="18">
        <v>18</v>
      </c>
      <c r="H239" s="18">
        <v>0</v>
      </c>
      <c r="I239" s="18">
        <v>0</v>
      </c>
      <c r="J239" s="18">
        <v>0</v>
      </c>
      <c r="K239" s="18">
        <v>0</v>
      </c>
      <c r="L239" s="180">
        <v>0</v>
      </c>
      <c r="M239" s="180">
        <v>0</v>
      </c>
      <c r="N239" s="180">
        <v>0</v>
      </c>
      <c r="O239" s="180">
        <v>0</v>
      </c>
      <c r="P239" s="18"/>
      <c r="Q239" s="19"/>
    </row>
    <row r="240" spans="1:17" ht="21">
      <c r="A240" s="100" t="s">
        <v>57</v>
      </c>
      <c r="B240" s="100"/>
      <c r="C240" s="101"/>
      <c r="D240" s="102">
        <f t="shared" ref="D240:O240" si="26">SUBTOTAL(9,D241:D244)</f>
        <v>380.40000000000003</v>
      </c>
      <c r="E240" s="102">
        <f t="shared" si="26"/>
        <v>379.5</v>
      </c>
      <c r="F240" s="102">
        <f t="shared" si="26"/>
        <v>316.89999999999998</v>
      </c>
      <c r="G240" s="102">
        <f t="shared" si="26"/>
        <v>0.9</v>
      </c>
      <c r="H240" s="102">
        <f t="shared" si="26"/>
        <v>295.39999999999998</v>
      </c>
      <c r="I240" s="102">
        <f t="shared" si="26"/>
        <v>294.5</v>
      </c>
      <c r="J240" s="102">
        <f t="shared" si="26"/>
        <v>249.4</v>
      </c>
      <c r="K240" s="102">
        <f t="shared" si="26"/>
        <v>0.9</v>
      </c>
      <c r="L240" s="102">
        <f t="shared" si="26"/>
        <v>258.60000000000002</v>
      </c>
      <c r="M240" s="102">
        <f t="shared" si="26"/>
        <v>258.60000000000002</v>
      </c>
      <c r="N240" s="102">
        <f t="shared" si="26"/>
        <v>220.3</v>
      </c>
      <c r="O240" s="102">
        <f t="shared" si="26"/>
        <v>0</v>
      </c>
      <c r="P240" s="116">
        <f>SUM(L240/D240*100)</f>
        <v>67.981072555205046</v>
      </c>
      <c r="Q240" s="116">
        <f>SUM(L240/H240*100)</f>
        <v>87.542315504400818</v>
      </c>
    </row>
    <row r="241" spans="1:17">
      <c r="A241" s="229"/>
      <c r="B241" s="226" t="s">
        <v>338</v>
      </c>
      <c r="C241" s="17" t="s">
        <v>297</v>
      </c>
      <c r="D241" s="18">
        <v>3.6</v>
      </c>
      <c r="E241" s="18">
        <v>2.7</v>
      </c>
      <c r="F241" s="18">
        <v>0</v>
      </c>
      <c r="G241" s="18">
        <v>0.9</v>
      </c>
      <c r="H241" s="18">
        <v>3.6</v>
      </c>
      <c r="I241" s="18">
        <v>2.7</v>
      </c>
      <c r="J241" s="18">
        <v>0</v>
      </c>
      <c r="K241" s="18">
        <v>0.9</v>
      </c>
      <c r="L241" s="180">
        <v>1.7</v>
      </c>
      <c r="M241" s="180">
        <v>1.7</v>
      </c>
      <c r="N241" s="180">
        <v>0</v>
      </c>
      <c r="O241" s="180">
        <v>0</v>
      </c>
      <c r="P241" s="186"/>
      <c r="Q241" s="186"/>
    </row>
    <row r="242" spans="1:17">
      <c r="A242" s="231"/>
      <c r="B242" s="228"/>
      <c r="C242" s="17" t="s">
        <v>101</v>
      </c>
      <c r="D242" s="18">
        <v>40.5</v>
      </c>
      <c r="E242" s="18">
        <v>40.5</v>
      </c>
      <c r="F242" s="18">
        <v>39.9</v>
      </c>
      <c r="G242" s="18">
        <v>0</v>
      </c>
      <c r="H242" s="18">
        <v>31.4</v>
      </c>
      <c r="I242" s="18">
        <v>31.4</v>
      </c>
      <c r="J242" s="18">
        <v>30.9</v>
      </c>
      <c r="K242" s="18">
        <v>0</v>
      </c>
      <c r="L242" s="180">
        <v>31.4</v>
      </c>
      <c r="M242" s="180">
        <v>31.4</v>
      </c>
      <c r="N242" s="180">
        <v>30.9</v>
      </c>
      <c r="O242" s="180">
        <v>0</v>
      </c>
      <c r="P242" s="18"/>
      <c r="Q242" s="19"/>
    </row>
    <row r="243" spans="1:17">
      <c r="A243" s="231"/>
      <c r="B243" s="228"/>
      <c r="C243" s="17" t="s">
        <v>109</v>
      </c>
      <c r="D243" s="18">
        <v>12.2</v>
      </c>
      <c r="E243" s="18">
        <v>12.2</v>
      </c>
      <c r="F243" s="18">
        <v>6</v>
      </c>
      <c r="G243" s="18">
        <v>0</v>
      </c>
      <c r="H243" s="18">
        <v>9.5</v>
      </c>
      <c r="I243" s="18">
        <v>9.5</v>
      </c>
      <c r="J243" s="18">
        <v>4.5</v>
      </c>
      <c r="K243" s="18">
        <v>0</v>
      </c>
      <c r="L243" s="180">
        <v>6.1</v>
      </c>
      <c r="M243" s="180">
        <v>6.1</v>
      </c>
      <c r="N243" s="180">
        <v>3</v>
      </c>
      <c r="O243" s="180">
        <v>0</v>
      </c>
      <c r="P243" s="18"/>
      <c r="Q243" s="19"/>
    </row>
    <row r="244" spans="1:17">
      <c r="A244" s="230"/>
      <c r="B244" s="227"/>
      <c r="C244" s="17" t="s">
        <v>102</v>
      </c>
      <c r="D244" s="18">
        <v>324.10000000000002</v>
      </c>
      <c r="E244" s="18">
        <v>324.10000000000002</v>
      </c>
      <c r="F244" s="18">
        <v>271</v>
      </c>
      <c r="G244" s="18">
        <v>0</v>
      </c>
      <c r="H244" s="18">
        <v>250.9</v>
      </c>
      <c r="I244" s="18">
        <v>250.9</v>
      </c>
      <c r="J244" s="18">
        <v>214</v>
      </c>
      <c r="K244" s="18">
        <v>0</v>
      </c>
      <c r="L244" s="180">
        <v>219.4</v>
      </c>
      <c r="M244" s="180">
        <v>219.4</v>
      </c>
      <c r="N244" s="180">
        <v>186.4</v>
      </c>
      <c r="O244" s="180">
        <v>0</v>
      </c>
      <c r="P244" s="18"/>
      <c r="Q244" s="19"/>
    </row>
    <row r="245" spans="1:17" ht="21">
      <c r="A245" s="100" t="s">
        <v>50</v>
      </c>
      <c r="B245" s="100"/>
      <c r="C245" s="101"/>
      <c r="D245" s="102">
        <f t="shared" ref="D245:N245" si="27">SUBTOTAL(9,D246:D252)</f>
        <v>1639.3</v>
      </c>
      <c r="E245" s="102">
        <f t="shared" si="27"/>
        <v>1638.6999999999998</v>
      </c>
      <c r="F245" s="102">
        <f t="shared" si="27"/>
        <v>1308.8</v>
      </c>
      <c r="G245" s="102">
        <f t="shared" si="27"/>
        <v>0.6</v>
      </c>
      <c r="H245" s="102">
        <f t="shared" si="27"/>
        <v>1152.3</v>
      </c>
      <c r="I245" s="102">
        <f t="shared" si="27"/>
        <v>1151.7</v>
      </c>
      <c r="J245" s="102">
        <f t="shared" si="27"/>
        <v>917.5</v>
      </c>
      <c r="K245" s="102">
        <f t="shared" si="27"/>
        <v>0.6</v>
      </c>
      <c r="L245" s="102">
        <f t="shared" si="27"/>
        <v>1102.0999999999999</v>
      </c>
      <c r="M245" s="102">
        <f t="shared" si="27"/>
        <v>1102.0999999999999</v>
      </c>
      <c r="N245" s="102">
        <f t="shared" si="27"/>
        <v>905</v>
      </c>
      <c r="O245" s="102">
        <v>0</v>
      </c>
      <c r="P245" s="116">
        <f>SUM(L245/D245*100)</f>
        <v>67.229915207710604</v>
      </c>
      <c r="Q245" s="116">
        <f>SUM(L245/H245*100)</f>
        <v>95.643495617460729</v>
      </c>
    </row>
    <row r="246" spans="1:17">
      <c r="A246" s="229"/>
      <c r="B246" s="226" t="s">
        <v>409</v>
      </c>
      <c r="C246" s="17" t="s">
        <v>297</v>
      </c>
      <c r="D246" s="18">
        <v>20.399999999999999</v>
      </c>
      <c r="E246" s="18">
        <v>19.8</v>
      </c>
      <c r="F246" s="18">
        <v>0</v>
      </c>
      <c r="G246" s="18">
        <v>0.6</v>
      </c>
      <c r="H246" s="18">
        <v>20.399999999999999</v>
      </c>
      <c r="I246" s="18">
        <v>19.8</v>
      </c>
      <c r="J246" s="18">
        <v>0</v>
      </c>
      <c r="K246" s="18">
        <v>0.6</v>
      </c>
      <c r="L246" s="180">
        <v>19.8</v>
      </c>
      <c r="M246" s="180">
        <v>19.8</v>
      </c>
      <c r="N246" s="180">
        <v>0</v>
      </c>
      <c r="O246" s="180">
        <v>0</v>
      </c>
      <c r="P246" s="18"/>
      <c r="Q246" s="19"/>
    </row>
    <row r="247" spans="1:17">
      <c r="A247" s="231"/>
      <c r="B247" s="228"/>
      <c r="C247" s="17" t="s">
        <v>101</v>
      </c>
      <c r="D247" s="18">
        <v>528.4</v>
      </c>
      <c r="E247" s="18">
        <v>528.4</v>
      </c>
      <c r="F247" s="18">
        <v>506.7</v>
      </c>
      <c r="G247" s="18">
        <v>0</v>
      </c>
      <c r="H247" s="18">
        <v>375.7</v>
      </c>
      <c r="I247" s="18">
        <v>375.7</v>
      </c>
      <c r="J247" s="18">
        <v>358.9</v>
      </c>
      <c r="K247" s="18">
        <v>0</v>
      </c>
      <c r="L247" s="180">
        <v>363.4</v>
      </c>
      <c r="M247" s="180">
        <v>363.4</v>
      </c>
      <c r="N247" s="180">
        <v>349</v>
      </c>
      <c r="O247" s="180">
        <v>0</v>
      </c>
      <c r="P247" s="18"/>
      <c r="Q247" s="19"/>
    </row>
    <row r="248" spans="1:17">
      <c r="A248" s="231"/>
      <c r="B248" s="228"/>
      <c r="C248" s="17" t="s">
        <v>347</v>
      </c>
      <c r="D248" s="18">
        <v>6</v>
      </c>
      <c r="E248" s="18">
        <v>6</v>
      </c>
      <c r="F248" s="18">
        <v>5.9</v>
      </c>
      <c r="G248" s="18">
        <v>0</v>
      </c>
      <c r="H248" s="18">
        <v>6</v>
      </c>
      <c r="I248" s="18">
        <v>6</v>
      </c>
      <c r="J248" s="18">
        <v>5.9</v>
      </c>
      <c r="K248" s="18">
        <v>0</v>
      </c>
      <c r="L248" s="180">
        <v>6</v>
      </c>
      <c r="M248" s="180">
        <v>6</v>
      </c>
      <c r="N248" s="180">
        <v>5.9</v>
      </c>
      <c r="O248" s="180">
        <v>0</v>
      </c>
      <c r="P248" s="18"/>
      <c r="Q248" s="19"/>
    </row>
    <row r="249" spans="1:17">
      <c r="A249" s="231"/>
      <c r="B249" s="228"/>
      <c r="C249" s="17" t="s">
        <v>109</v>
      </c>
      <c r="D249" s="18">
        <v>123.8</v>
      </c>
      <c r="E249" s="18">
        <v>123.8</v>
      </c>
      <c r="F249" s="18">
        <v>18.5</v>
      </c>
      <c r="G249" s="18">
        <v>0</v>
      </c>
      <c r="H249" s="18">
        <v>91.7</v>
      </c>
      <c r="I249" s="18">
        <v>91.7</v>
      </c>
      <c r="J249" s="18">
        <v>13</v>
      </c>
      <c r="K249" s="18">
        <v>0</v>
      </c>
      <c r="L249" s="180">
        <v>76.099999999999994</v>
      </c>
      <c r="M249" s="180">
        <v>76.099999999999994</v>
      </c>
      <c r="N249" s="180">
        <v>10.4</v>
      </c>
      <c r="O249" s="180">
        <v>0</v>
      </c>
      <c r="P249" s="186"/>
      <c r="Q249" s="186"/>
    </row>
    <row r="250" spans="1:17">
      <c r="A250" s="231"/>
      <c r="B250" s="228"/>
      <c r="C250" s="17" t="s">
        <v>102</v>
      </c>
      <c r="D250" s="18">
        <v>955.4</v>
      </c>
      <c r="E250" s="18">
        <v>955.4</v>
      </c>
      <c r="F250" s="18">
        <v>773.5</v>
      </c>
      <c r="G250" s="18">
        <v>0</v>
      </c>
      <c r="H250" s="18">
        <v>653.20000000000005</v>
      </c>
      <c r="I250" s="18">
        <v>653.20000000000005</v>
      </c>
      <c r="J250" s="18">
        <v>535.5</v>
      </c>
      <c r="K250" s="18">
        <v>0</v>
      </c>
      <c r="L250" s="180">
        <v>631.5</v>
      </c>
      <c r="M250" s="180">
        <v>631.5</v>
      </c>
      <c r="N250" s="180">
        <v>535.5</v>
      </c>
      <c r="O250" s="180">
        <v>0</v>
      </c>
      <c r="P250" s="18"/>
      <c r="Q250" s="19"/>
    </row>
    <row r="251" spans="1:17">
      <c r="A251" s="231"/>
      <c r="B251" s="228"/>
      <c r="C251" s="17" t="s">
        <v>104</v>
      </c>
      <c r="D251" s="18">
        <v>3.5</v>
      </c>
      <c r="E251" s="18">
        <v>3.5</v>
      </c>
      <c r="F251" s="18">
        <v>3.5</v>
      </c>
      <c r="G251" s="18">
        <v>0</v>
      </c>
      <c r="H251" s="18">
        <v>3.5</v>
      </c>
      <c r="I251" s="18">
        <v>3.5</v>
      </c>
      <c r="J251" s="18">
        <v>3.5</v>
      </c>
      <c r="K251" s="18">
        <v>0</v>
      </c>
      <c r="L251" s="180">
        <v>3.5</v>
      </c>
      <c r="M251" s="180">
        <v>3.5</v>
      </c>
      <c r="N251" s="180">
        <v>3.5</v>
      </c>
      <c r="O251" s="180">
        <v>0</v>
      </c>
      <c r="P251" s="18"/>
      <c r="Q251" s="19"/>
    </row>
    <row r="252" spans="1:17" ht="22.5">
      <c r="A252" s="230"/>
      <c r="B252" s="227"/>
      <c r="C252" s="17" t="s">
        <v>332</v>
      </c>
      <c r="D252" s="18">
        <v>1.8</v>
      </c>
      <c r="E252" s="18">
        <v>1.8</v>
      </c>
      <c r="F252" s="18">
        <v>0.7</v>
      </c>
      <c r="G252" s="18">
        <v>0</v>
      </c>
      <c r="H252" s="18">
        <v>1.8</v>
      </c>
      <c r="I252" s="18">
        <v>1.8</v>
      </c>
      <c r="J252" s="18">
        <v>0.7</v>
      </c>
      <c r="K252" s="18">
        <v>0</v>
      </c>
      <c r="L252" s="180">
        <v>1.8</v>
      </c>
      <c r="M252" s="180">
        <v>1.8</v>
      </c>
      <c r="N252" s="180">
        <v>0.7</v>
      </c>
      <c r="O252" s="180">
        <v>0</v>
      </c>
      <c r="P252" s="18"/>
      <c r="Q252" s="19"/>
    </row>
    <row r="253" spans="1:17" ht="21">
      <c r="A253" s="100" t="s">
        <v>76</v>
      </c>
      <c r="B253" s="100"/>
      <c r="C253" s="101"/>
      <c r="D253" s="102">
        <f>SUBTOTAL(9,D254:D256)</f>
        <v>302.10000000000002</v>
      </c>
      <c r="E253" s="102">
        <f>SUBTOTAL(9,E254:E256)</f>
        <v>294.7</v>
      </c>
      <c r="F253" s="102">
        <f>SUBTOTAL(9,F254:F256)</f>
        <v>214.1</v>
      </c>
      <c r="G253" s="102">
        <f>SUBTOTAL(9,G254:G256)</f>
        <v>7.4</v>
      </c>
      <c r="H253" s="102">
        <f t="shared" ref="H253:O253" si="28">SUBTOTAL(9,H254:H256)</f>
        <v>232</v>
      </c>
      <c r="I253" s="102">
        <f t="shared" si="28"/>
        <v>224.6</v>
      </c>
      <c r="J253" s="102">
        <f t="shared" si="28"/>
        <v>160.6</v>
      </c>
      <c r="K253" s="102">
        <f t="shared" si="28"/>
        <v>7.4</v>
      </c>
      <c r="L253" s="102">
        <f t="shared" si="28"/>
        <v>194.70000000000002</v>
      </c>
      <c r="M253" s="102">
        <f t="shared" si="28"/>
        <v>187.3</v>
      </c>
      <c r="N253" s="102">
        <f t="shared" si="28"/>
        <v>143.69999999999999</v>
      </c>
      <c r="O253" s="102">
        <f t="shared" si="28"/>
        <v>7.4</v>
      </c>
      <c r="P253" s="116">
        <f>SUM(L253/D253*100)</f>
        <v>64.448857994041703</v>
      </c>
      <c r="Q253" s="116">
        <f>SUM(L253/H253*100)</f>
        <v>83.922413793103459</v>
      </c>
    </row>
    <row r="254" spans="1:17" ht="36" customHeight="1">
      <c r="A254" s="229"/>
      <c r="B254" s="16" t="s">
        <v>338</v>
      </c>
      <c r="C254" s="17" t="s">
        <v>102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0">
        <v>2.2000000000000002</v>
      </c>
      <c r="M254" s="180">
        <v>2.2000000000000002</v>
      </c>
      <c r="N254" s="180">
        <v>2.2000000000000002</v>
      </c>
      <c r="O254" s="180">
        <v>0</v>
      </c>
      <c r="P254" s="18"/>
      <c r="Q254" s="19"/>
    </row>
    <row r="255" spans="1:17" ht="23.25" customHeight="1">
      <c r="A255" s="231"/>
      <c r="B255" s="226" t="s">
        <v>358</v>
      </c>
      <c r="C255" s="17" t="s">
        <v>109</v>
      </c>
      <c r="D255" s="18">
        <v>2</v>
      </c>
      <c r="E255" s="18">
        <v>2</v>
      </c>
      <c r="F255" s="18">
        <v>0</v>
      </c>
      <c r="G255" s="18">
        <v>0</v>
      </c>
      <c r="H255" s="18">
        <v>1</v>
      </c>
      <c r="I255" s="18">
        <v>1</v>
      </c>
      <c r="J255" s="18">
        <v>0</v>
      </c>
      <c r="K255" s="18">
        <v>0</v>
      </c>
      <c r="L255" s="180">
        <v>0.1</v>
      </c>
      <c r="M255" s="180">
        <v>0.1</v>
      </c>
      <c r="N255" s="180">
        <v>0</v>
      </c>
      <c r="O255" s="180">
        <v>0</v>
      </c>
      <c r="P255" s="18"/>
      <c r="Q255" s="19"/>
    </row>
    <row r="256" spans="1:17" ht="47.25" customHeight="1">
      <c r="A256" s="230"/>
      <c r="B256" s="227"/>
      <c r="C256" s="17" t="s">
        <v>102</v>
      </c>
      <c r="D256" s="18">
        <v>300.10000000000002</v>
      </c>
      <c r="E256" s="18">
        <v>292.7</v>
      </c>
      <c r="F256" s="18">
        <v>214.1</v>
      </c>
      <c r="G256" s="18">
        <v>7.4</v>
      </c>
      <c r="H256" s="18">
        <v>231</v>
      </c>
      <c r="I256" s="18">
        <v>223.6</v>
      </c>
      <c r="J256" s="18">
        <v>160.6</v>
      </c>
      <c r="K256" s="18">
        <v>7.4</v>
      </c>
      <c r="L256" s="180">
        <v>192.4</v>
      </c>
      <c r="M256" s="180">
        <v>185</v>
      </c>
      <c r="N256" s="180">
        <v>141.5</v>
      </c>
      <c r="O256" s="180">
        <v>7.4</v>
      </c>
      <c r="P256" s="18"/>
      <c r="Q256" s="19"/>
    </row>
    <row r="257" spans="1:17">
      <c r="A257" s="100" t="s">
        <v>74</v>
      </c>
      <c r="B257" s="100"/>
      <c r="C257" s="101"/>
      <c r="D257" s="102">
        <f t="shared" ref="D257:O257" si="29">SUBTOTAL(9,D258:D261)</f>
        <v>741.2</v>
      </c>
      <c r="E257" s="102">
        <f t="shared" si="29"/>
        <v>474.6</v>
      </c>
      <c r="F257" s="102">
        <f t="shared" si="29"/>
        <v>350.59999999999997</v>
      </c>
      <c r="G257" s="102">
        <f t="shared" si="29"/>
        <v>266.60000000000002</v>
      </c>
      <c r="H257" s="102">
        <f t="shared" si="29"/>
        <v>633.70000000000005</v>
      </c>
      <c r="I257" s="102">
        <f t="shared" si="29"/>
        <v>367.1</v>
      </c>
      <c r="J257" s="102">
        <f t="shared" si="29"/>
        <v>263</v>
      </c>
      <c r="K257" s="102">
        <f t="shared" si="29"/>
        <v>266.60000000000002</v>
      </c>
      <c r="L257" s="102">
        <f t="shared" si="29"/>
        <v>388.6</v>
      </c>
      <c r="M257" s="102">
        <f t="shared" si="29"/>
        <v>296.49999999999994</v>
      </c>
      <c r="N257" s="102">
        <f t="shared" si="29"/>
        <v>237.1</v>
      </c>
      <c r="O257" s="102">
        <f t="shared" si="29"/>
        <v>92.100000000000009</v>
      </c>
      <c r="P257" s="116">
        <f>SUM(L257/D257*100)</f>
        <v>52.428494333513221</v>
      </c>
      <c r="Q257" s="116">
        <f>SUM(L257/H257*100)</f>
        <v>61.322392299195208</v>
      </c>
    </row>
    <row r="258" spans="1:17">
      <c r="A258" s="229"/>
      <c r="B258" s="226" t="s">
        <v>358</v>
      </c>
      <c r="C258" s="17" t="s">
        <v>100</v>
      </c>
      <c r="D258" s="18">
        <v>127</v>
      </c>
      <c r="E258" s="18">
        <v>4.5999999999999996</v>
      </c>
      <c r="F258" s="18">
        <v>0</v>
      </c>
      <c r="G258" s="18">
        <v>122.4</v>
      </c>
      <c r="H258" s="18">
        <v>126</v>
      </c>
      <c r="I258" s="18">
        <v>3.6</v>
      </c>
      <c r="J258" s="18">
        <v>0</v>
      </c>
      <c r="K258" s="18">
        <v>122.4</v>
      </c>
      <c r="L258" s="180">
        <v>26</v>
      </c>
      <c r="M258" s="180">
        <v>3.5</v>
      </c>
      <c r="N258" s="180">
        <v>3.1</v>
      </c>
      <c r="O258" s="180">
        <v>22.5</v>
      </c>
      <c r="P258" s="186"/>
      <c r="Q258" s="186"/>
    </row>
    <row r="259" spans="1:17">
      <c r="A259" s="231"/>
      <c r="B259" s="228"/>
      <c r="C259" s="17" t="s">
        <v>109</v>
      </c>
      <c r="D259" s="18">
        <v>20</v>
      </c>
      <c r="E259" s="18">
        <v>20</v>
      </c>
      <c r="F259" s="18">
        <v>2.4</v>
      </c>
      <c r="G259" s="18">
        <v>0</v>
      </c>
      <c r="H259" s="18">
        <v>10.1</v>
      </c>
      <c r="I259" s="18">
        <v>10.1</v>
      </c>
      <c r="J259" s="18">
        <v>1.8</v>
      </c>
      <c r="K259" s="18">
        <v>0</v>
      </c>
      <c r="L259" s="180">
        <v>8.9</v>
      </c>
      <c r="M259" s="180">
        <v>8.9</v>
      </c>
      <c r="N259" s="180">
        <v>1.5</v>
      </c>
      <c r="O259" s="180">
        <v>0</v>
      </c>
      <c r="P259" s="18"/>
      <c r="Q259" s="19"/>
    </row>
    <row r="260" spans="1:17">
      <c r="A260" s="231"/>
      <c r="B260" s="228"/>
      <c r="C260" s="17" t="s">
        <v>102</v>
      </c>
      <c r="D260" s="18">
        <v>566.20000000000005</v>
      </c>
      <c r="E260" s="18">
        <v>436.9</v>
      </c>
      <c r="F260" s="18">
        <v>348.2</v>
      </c>
      <c r="G260" s="18">
        <v>129.30000000000001</v>
      </c>
      <c r="H260" s="18">
        <v>469.6</v>
      </c>
      <c r="I260" s="18">
        <v>340.3</v>
      </c>
      <c r="J260" s="18">
        <v>261.2</v>
      </c>
      <c r="K260" s="18">
        <v>129.30000000000001</v>
      </c>
      <c r="L260" s="180">
        <v>336.1</v>
      </c>
      <c r="M260" s="180">
        <v>281.39999999999998</v>
      </c>
      <c r="N260" s="180">
        <v>232.5</v>
      </c>
      <c r="O260" s="180">
        <v>54.7</v>
      </c>
      <c r="P260" s="18"/>
      <c r="Q260" s="19"/>
    </row>
    <row r="261" spans="1:17" ht="28.5" customHeight="1">
      <c r="A261" s="230"/>
      <c r="B261" s="227"/>
      <c r="C261" s="17" t="s">
        <v>352</v>
      </c>
      <c r="D261" s="18">
        <v>28</v>
      </c>
      <c r="E261" s="18">
        <v>13.1</v>
      </c>
      <c r="F261" s="18">
        <v>0</v>
      </c>
      <c r="G261" s="18">
        <v>14.9</v>
      </c>
      <c r="H261" s="18">
        <v>28</v>
      </c>
      <c r="I261" s="18">
        <v>13.1</v>
      </c>
      <c r="J261" s="18">
        <v>0</v>
      </c>
      <c r="K261" s="18">
        <v>14.9</v>
      </c>
      <c r="L261" s="180">
        <v>17.600000000000001</v>
      </c>
      <c r="M261" s="180">
        <v>2.7</v>
      </c>
      <c r="N261" s="180">
        <v>0</v>
      </c>
      <c r="O261" s="180">
        <v>14.9</v>
      </c>
      <c r="P261" s="186"/>
      <c r="Q261" s="186"/>
    </row>
    <row r="262" spans="1:17" ht="21">
      <c r="A262" s="100" t="s">
        <v>122</v>
      </c>
      <c r="B262" s="100"/>
      <c r="C262" s="101"/>
      <c r="D262" s="102">
        <f t="shared" ref="D262:O262" si="30">SUBTOTAL(9,D263:D264)</f>
        <v>459.20000000000005</v>
      </c>
      <c r="E262" s="102">
        <f t="shared" si="30"/>
        <v>459.20000000000005</v>
      </c>
      <c r="F262" s="102">
        <f t="shared" si="30"/>
        <v>423.4</v>
      </c>
      <c r="G262" s="102">
        <f t="shared" si="30"/>
        <v>0</v>
      </c>
      <c r="H262" s="102">
        <f t="shared" si="30"/>
        <v>349.6</v>
      </c>
      <c r="I262" s="102">
        <f t="shared" si="30"/>
        <v>349.6</v>
      </c>
      <c r="J262" s="102">
        <f t="shared" si="30"/>
        <v>320.8</v>
      </c>
      <c r="K262" s="102">
        <f t="shared" si="30"/>
        <v>0</v>
      </c>
      <c r="L262" s="102">
        <f t="shared" si="30"/>
        <v>294.8</v>
      </c>
      <c r="M262" s="102">
        <f t="shared" si="30"/>
        <v>294.8</v>
      </c>
      <c r="N262" s="102">
        <f t="shared" si="30"/>
        <v>276.60000000000002</v>
      </c>
      <c r="O262" s="102">
        <f t="shared" si="30"/>
        <v>0</v>
      </c>
      <c r="P262" s="116">
        <f>SUM(L262/D262*100)</f>
        <v>64.19860627177701</v>
      </c>
      <c r="Q262" s="116">
        <f>SUM(L262/H262*100)</f>
        <v>84.324942791762012</v>
      </c>
    </row>
    <row r="263" spans="1:17" ht="16.5" customHeight="1">
      <c r="A263" s="229"/>
      <c r="B263" s="226" t="s">
        <v>355</v>
      </c>
      <c r="C263" s="17" t="s">
        <v>101</v>
      </c>
      <c r="D263" s="18">
        <v>258.60000000000002</v>
      </c>
      <c r="E263" s="18">
        <v>258.60000000000002</v>
      </c>
      <c r="F263" s="18">
        <v>252.6</v>
      </c>
      <c r="G263" s="18">
        <v>0</v>
      </c>
      <c r="H263" s="18">
        <v>171</v>
      </c>
      <c r="I263" s="18">
        <v>171</v>
      </c>
      <c r="J263" s="18">
        <v>166.8</v>
      </c>
      <c r="K263" s="18">
        <v>0</v>
      </c>
      <c r="L263" s="180">
        <v>145</v>
      </c>
      <c r="M263" s="180">
        <v>145</v>
      </c>
      <c r="N263" s="180">
        <v>141.80000000000001</v>
      </c>
      <c r="O263" s="180">
        <v>0</v>
      </c>
      <c r="P263" s="18"/>
      <c r="Q263" s="19"/>
    </row>
    <row r="264" spans="1:17" ht="20.25" customHeight="1">
      <c r="A264" s="230"/>
      <c r="B264" s="227"/>
      <c r="C264" s="17" t="s">
        <v>102</v>
      </c>
      <c r="D264" s="18">
        <v>200.6</v>
      </c>
      <c r="E264" s="18">
        <v>200.6</v>
      </c>
      <c r="F264" s="18">
        <v>170.8</v>
      </c>
      <c r="G264" s="18">
        <v>0</v>
      </c>
      <c r="H264" s="18">
        <v>178.6</v>
      </c>
      <c r="I264" s="18">
        <v>178.6</v>
      </c>
      <c r="J264" s="18">
        <v>154</v>
      </c>
      <c r="K264" s="18">
        <v>0</v>
      </c>
      <c r="L264" s="180">
        <v>149.80000000000001</v>
      </c>
      <c r="M264" s="180">
        <v>149.80000000000001</v>
      </c>
      <c r="N264" s="180">
        <v>134.80000000000001</v>
      </c>
      <c r="O264" s="180">
        <v>0</v>
      </c>
      <c r="P264" s="18"/>
      <c r="Q264" s="19"/>
    </row>
    <row r="265" spans="1:17">
      <c r="A265" s="100" t="s">
        <v>59</v>
      </c>
      <c r="B265" s="100"/>
      <c r="C265" s="101"/>
      <c r="D265" s="102">
        <f t="shared" ref="D265:O265" si="31">SUBTOTAL(9,D266:D269)</f>
        <v>1279.8</v>
      </c>
      <c r="E265" s="102">
        <f t="shared" si="31"/>
        <v>1279.8</v>
      </c>
      <c r="F265" s="102">
        <f t="shared" si="31"/>
        <v>1004</v>
      </c>
      <c r="G265" s="102">
        <f t="shared" si="31"/>
        <v>0</v>
      </c>
      <c r="H265" s="102">
        <f t="shared" si="31"/>
        <v>965.3</v>
      </c>
      <c r="I265" s="102">
        <f t="shared" si="31"/>
        <v>965.3</v>
      </c>
      <c r="J265" s="102">
        <f t="shared" si="31"/>
        <v>762.7</v>
      </c>
      <c r="K265" s="102">
        <f t="shared" si="31"/>
        <v>0</v>
      </c>
      <c r="L265" s="102">
        <f t="shared" si="31"/>
        <v>868</v>
      </c>
      <c r="M265" s="102">
        <f t="shared" si="31"/>
        <v>868</v>
      </c>
      <c r="N265" s="102">
        <f t="shared" si="31"/>
        <v>689.4</v>
      </c>
      <c r="O265" s="102">
        <f t="shared" si="31"/>
        <v>0</v>
      </c>
      <c r="P265" s="116">
        <f>SUM(L265/D265*100)</f>
        <v>67.823097358962343</v>
      </c>
      <c r="Q265" s="116">
        <f>SUM(L265/H265*100)</f>
        <v>89.920232052211759</v>
      </c>
    </row>
    <row r="266" spans="1:17">
      <c r="A266" s="229"/>
      <c r="B266" s="226" t="s">
        <v>338</v>
      </c>
      <c r="C266" s="17" t="s">
        <v>109</v>
      </c>
      <c r="D266" s="18">
        <v>110.6</v>
      </c>
      <c r="E266" s="18">
        <v>110.6</v>
      </c>
      <c r="F266" s="18">
        <v>10.1</v>
      </c>
      <c r="G266" s="18">
        <v>0</v>
      </c>
      <c r="H266" s="18">
        <v>82.6</v>
      </c>
      <c r="I266" s="18">
        <v>82.6</v>
      </c>
      <c r="J266" s="18">
        <v>7.5</v>
      </c>
      <c r="K266" s="18">
        <v>0</v>
      </c>
      <c r="L266" s="180">
        <v>72.8</v>
      </c>
      <c r="M266" s="180">
        <v>72.8</v>
      </c>
      <c r="N266" s="180">
        <v>3.7</v>
      </c>
      <c r="O266" s="180">
        <v>0</v>
      </c>
      <c r="P266" s="186"/>
      <c r="Q266" s="186"/>
    </row>
    <row r="267" spans="1:17" ht="21.75" customHeight="1">
      <c r="A267" s="231"/>
      <c r="B267" s="227"/>
      <c r="C267" s="17" t="s">
        <v>102</v>
      </c>
      <c r="D267" s="18">
        <v>237.6</v>
      </c>
      <c r="E267" s="18">
        <v>237.6</v>
      </c>
      <c r="F267" s="18">
        <v>199.1</v>
      </c>
      <c r="G267" s="18">
        <v>0</v>
      </c>
      <c r="H267" s="18">
        <v>191.3</v>
      </c>
      <c r="I267" s="18">
        <v>191.3</v>
      </c>
      <c r="J267" s="18">
        <v>159.1</v>
      </c>
      <c r="K267" s="18">
        <v>0</v>
      </c>
      <c r="L267" s="180">
        <v>180.6</v>
      </c>
      <c r="M267" s="180">
        <v>180.6</v>
      </c>
      <c r="N267" s="180">
        <v>159.1</v>
      </c>
      <c r="O267" s="180">
        <v>0</v>
      </c>
      <c r="P267" s="18"/>
      <c r="Q267" s="19"/>
    </row>
    <row r="268" spans="1:17" ht="22.5">
      <c r="A268" s="231"/>
      <c r="B268" s="16" t="s">
        <v>350</v>
      </c>
      <c r="C268" s="17" t="s">
        <v>106</v>
      </c>
      <c r="D268" s="18">
        <v>12.7</v>
      </c>
      <c r="E268" s="18">
        <v>12.7</v>
      </c>
      <c r="F268" s="18">
        <v>0</v>
      </c>
      <c r="G268" s="18">
        <v>0</v>
      </c>
      <c r="H268" s="18">
        <v>8.6999999999999993</v>
      </c>
      <c r="I268" s="18">
        <v>8.6999999999999993</v>
      </c>
      <c r="J268" s="18">
        <v>0</v>
      </c>
      <c r="K268" s="18">
        <v>0</v>
      </c>
      <c r="L268" s="180">
        <v>7.2</v>
      </c>
      <c r="M268" s="180">
        <v>7.2</v>
      </c>
      <c r="N268" s="180">
        <v>0</v>
      </c>
      <c r="O268" s="180">
        <v>0</v>
      </c>
      <c r="P268" s="18"/>
      <c r="Q268" s="19"/>
    </row>
    <row r="269" spans="1:17" ht="67.5">
      <c r="A269" s="230"/>
      <c r="B269" s="16" t="s">
        <v>333</v>
      </c>
      <c r="C269" s="17" t="s">
        <v>102</v>
      </c>
      <c r="D269" s="18">
        <v>918.9</v>
      </c>
      <c r="E269" s="18">
        <v>918.9</v>
      </c>
      <c r="F269" s="18">
        <v>794.8</v>
      </c>
      <c r="G269" s="18">
        <v>0</v>
      </c>
      <c r="H269" s="18">
        <v>682.7</v>
      </c>
      <c r="I269" s="18">
        <v>682.7</v>
      </c>
      <c r="J269" s="18">
        <v>596.1</v>
      </c>
      <c r="K269" s="18">
        <v>0</v>
      </c>
      <c r="L269" s="180">
        <v>607.4</v>
      </c>
      <c r="M269" s="180">
        <v>607.4</v>
      </c>
      <c r="N269" s="180">
        <v>526.6</v>
      </c>
      <c r="O269" s="180">
        <v>0</v>
      </c>
      <c r="P269" s="18"/>
      <c r="Q269" s="19"/>
    </row>
    <row r="270" spans="1:17" ht="31.5">
      <c r="A270" s="100" t="s">
        <v>65</v>
      </c>
      <c r="B270" s="100"/>
      <c r="C270" s="101"/>
      <c r="D270" s="102">
        <f t="shared" ref="D270:O270" si="32">SUBTOTAL(9,D271:D276)</f>
        <v>1239.8</v>
      </c>
      <c r="E270" s="102">
        <f t="shared" si="32"/>
        <v>1184.8</v>
      </c>
      <c r="F270" s="102">
        <f t="shared" si="32"/>
        <v>951.3</v>
      </c>
      <c r="G270" s="102">
        <f t="shared" si="32"/>
        <v>55</v>
      </c>
      <c r="H270" s="102">
        <f t="shared" si="32"/>
        <v>941.8</v>
      </c>
      <c r="I270" s="102">
        <f t="shared" si="32"/>
        <v>887.8</v>
      </c>
      <c r="J270" s="102">
        <f t="shared" si="32"/>
        <v>709.8</v>
      </c>
      <c r="K270" s="102">
        <f t="shared" si="32"/>
        <v>53.7</v>
      </c>
      <c r="L270" s="102">
        <f t="shared" si="32"/>
        <v>853.3</v>
      </c>
      <c r="M270" s="102">
        <f t="shared" si="32"/>
        <v>803.5</v>
      </c>
      <c r="N270" s="102">
        <f t="shared" si="32"/>
        <v>673.6</v>
      </c>
      <c r="O270" s="102">
        <f t="shared" si="32"/>
        <v>49.800000000000004</v>
      </c>
      <c r="P270" s="116">
        <f>SUM(L270/D270*100)</f>
        <v>68.825617035005649</v>
      </c>
      <c r="Q270" s="116">
        <f>SUM(L270/H270*100)</f>
        <v>90.603100445954553</v>
      </c>
    </row>
    <row r="271" spans="1:17">
      <c r="A271" s="229"/>
      <c r="B271" s="226" t="s">
        <v>350</v>
      </c>
      <c r="C271" s="17" t="s">
        <v>106</v>
      </c>
      <c r="D271" s="18">
        <v>44.2</v>
      </c>
      <c r="E271" s="18">
        <v>44.2</v>
      </c>
      <c r="F271" s="18">
        <v>0</v>
      </c>
      <c r="G271" s="18">
        <v>0</v>
      </c>
      <c r="H271" s="18">
        <v>33.200000000000003</v>
      </c>
      <c r="I271" s="18">
        <v>33.200000000000003</v>
      </c>
      <c r="J271" s="18">
        <v>0</v>
      </c>
      <c r="K271" s="18">
        <v>0</v>
      </c>
      <c r="L271" s="180">
        <v>17.7</v>
      </c>
      <c r="M271" s="180">
        <v>17.7</v>
      </c>
      <c r="N271" s="180">
        <v>0</v>
      </c>
      <c r="O271" s="180">
        <v>0</v>
      </c>
      <c r="P271" s="18"/>
      <c r="Q271" s="19"/>
    </row>
    <row r="272" spans="1:17">
      <c r="A272" s="231"/>
      <c r="B272" s="228"/>
      <c r="C272" s="17" t="s">
        <v>325</v>
      </c>
      <c r="D272" s="18">
        <v>28.8</v>
      </c>
      <c r="E272" s="18">
        <v>15.1</v>
      </c>
      <c r="F272" s="18">
        <v>7.6</v>
      </c>
      <c r="G272" s="18">
        <v>13.7</v>
      </c>
      <c r="H272" s="18">
        <v>28.8</v>
      </c>
      <c r="I272" s="18">
        <v>15.1</v>
      </c>
      <c r="J272" s="18">
        <v>7.6</v>
      </c>
      <c r="K272" s="18">
        <v>13.7</v>
      </c>
      <c r="L272" s="180">
        <v>20.399999999999999</v>
      </c>
      <c r="M272" s="180">
        <v>6.8</v>
      </c>
      <c r="N272" s="180">
        <v>2.5</v>
      </c>
      <c r="O272" s="180">
        <v>13.6</v>
      </c>
      <c r="P272" s="18"/>
      <c r="Q272" s="19"/>
    </row>
    <row r="273" spans="1:17">
      <c r="A273" s="231"/>
      <c r="B273" s="228"/>
      <c r="C273" s="17" t="s">
        <v>326</v>
      </c>
      <c r="D273" s="18">
        <v>5</v>
      </c>
      <c r="E273" s="18">
        <v>2.4</v>
      </c>
      <c r="F273" s="18">
        <v>1.4</v>
      </c>
      <c r="G273" s="18">
        <v>2.6</v>
      </c>
      <c r="H273" s="18">
        <v>5</v>
      </c>
      <c r="I273" s="18">
        <v>2.4</v>
      </c>
      <c r="J273" s="18">
        <v>1.4</v>
      </c>
      <c r="K273" s="18">
        <v>2.6</v>
      </c>
      <c r="L273" s="180">
        <v>3.7</v>
      </c>
      <c r="M273" s="180">
        <v>1.2</v>
      </c>
      <c r="N273" s="180">
        <v>0.4</v>
      </c>
      <c r="O273" s="180">
        <v>2.5</v>
      </c>
      <c r="P273" s="186"/>
      <c r="Q273" s="186"/>
    </row>
    <row r="274" spans="1:17">
      <c r="A274" s="231"/>
      <c r="B274" s="228"/>
      <c r="C274" s="17" t="s">
        <v>109</v>
      </c>
      <c r="D274" s="18">
        <v>4</v>
      </c>
      <c r="E274" s="18">
        <v>3</v>
      </c>
      <c r="F274" s="18">
        <v>2</v>
      </c>
      <c r="G274" s="18">
        <v>1</v>
      </c>
      <c r="H274" s="18">
        <v>1.7</v>
      </c>
      <c r="I274" s="18">
        <v>1.7</v>
      </c>
      <c r="J274" s="18">
        <v>1.2</v>
      </c>
      <c r="K274" s="18">
        <v>0</v>
      </c>
      <c r="L274" s="180">
        <v>0.6</v>
      </c>
      <c r="M274" s="180">
        <v>0.6</v>
      </c>
      <c r="N274" s="180">
        <v>0.5</v>
      </c>
      <c r="O274" s="180">
        <v>0</v>
      </c>
      <c r="P274" s="18"/>
      <c r="Q274" s="19"/>
    </row>
    <row r="275" spans="1:17">
      <c r="A275" s="231"/>
      <c r="B275" s="228"/>
      <c r="C275" s="17" t="s">
        <v>102</v>
      </c>
      <c r="D275" s="18">
        <v>498.4</v>
      </c>
      <c r="E275" s="18">
        <v>460.7</v>
      </c>
      <c r="F275" s="18">
        <v>364.4</v>
      </c>
      <c r="G275" s="18">
        <v>37.700000000000003</v>
      </c>
      <c r="H275" s="18">
        <v>379.4</v>
      </c>
      <c r="I275" s="18">
        <v>341.7</v>
      </c>
      <c r="J275" s="18">
        <v>268.39999999999998</v>
      </c>
      <c r="K275" s="18">
        <v>37.4</v>
      </c>
      <c r="L275" s="180">
        <v>340.8</v>
      </c>
      <c r="M275" s="180">
        <v>307.10000000000002</v>
      </c>
      <c r="N275" s="180">
        <v>250.3</v>
      </c>
      <c r="O275" s="180">
        <v>33.700000000000003</v>
      </c>
      <c r="P275" s="18"/>
      <c r="Q275" s="19"/>
    </row>
    <row r="276" spans="1:17">
      <c r="A276" s="230"/>
      <c r="B276" s="227"/>
      <c r="C276" s="17" t="s">
        <v>104</v>
      </c>
      <c r="D276" s="18">
        <v>659.4</v>
      </c>
      <c r="E276" s="18">
        <v>659.4</v>
      </c>
      <c r="F276" s="18">
        <v>575.9</v>
      </c>
      <c r="G276" s="18">
        <v>0</v>
      </c>
      <c r="H276" s="18">
        <v>493.7</v>
      </c>
      <c r="I276" s="18">
        <v>493.7</v>
      </c>
      <c r="J276" s="18">
        <v>431.2</v>
      </c>
      <c r="K276" s="18">
        <v>0</v>
      </c>
      <c r="L276" s="180">
        <v>470.1</v>
      </c>
      <c r="M276" s="180">
        <v>470.1</v>
      </c>
      <c r="N276" s="180">
        <v>419.9</v>
      </c>
      <c r="O276" s="180">
        <v>0</v>
      </c>
      <c r="P276" s="18"/>
      <c r="Q276" s="19"/>
    </row>
    <row r="277" spans="1:17" ht="21">
      <c r="A277" s="100" t="s">
        <v>123</v>
      </c>
      <c r="B277" s="100"/>
      <c r="C277" s="101"/>
      <c r="D277" s="102">
        <f t="shared" ref="D277:O277" si="33">SUBTOTAL(9,D278:D280)</f>
        <v>1398.1</v>
      </c>
      <c r="E277" s="102">
        <f t="shared" si="33"/>
        <v>1390.1</v>
      </c>
      <c r="F277" s="102">
        <f t="shared" si="33"/>
        <v>1278.4000000000001</v>
      </c>
      <c r="G277" s="102">
        <f t="shared" si="33"/>
        <v>8</v>
      </c>
      <c r="H277" s="102">
        <f t="shared" si="33"/>
        <v>1163.7</v>
      </c>
      <c r="I277" s="102">
        <f t="shared" si="33"/>
        <v>1155.7</v>
      </c>
      <c r="J277" s="102">
        <f t="shared" si="33"/>
        <v>1065.8</v>
      </c>
      <c r="K277" s="102">
        <f t="shared" si="33"/>
        <v>8</v>
      </c>
      <c r="L277" s="102">
        <f t="shared" si="33"/>
        <v>971</v>
      </c>
      <c r="M277" s="102">
        <f t="shared" si="33"/>
        <v>963</v>
      </c>
      <c r="N277" s="102">
        <f t="shared" si="33"/>
        <v>902.1</v>
      </c>
      <c r="O277" s="102">
        <f t="shared" si="33"/>
        <v>8</v>
      </c>
      <c r="P277" s="116">
        <f>SUM(L277/D277*100)</f>
        <v>69.45139832629998</v>
      </c>
      <c r="Q277" s="116">
        <f>SUM(L277/H277*100)</f>
        <v>83.440749334020794</v>
      </c>
    </row>
    <row r="278" spans="1:17">
      <c r="A278" s="229"/>
      <c r="B278" s="226" t="s">
        <v>357</v>
      </c>
      <c r="C278" s="17" t="s">
        <v>109</v>
      </c>
      <c r="D278" s="18">
        <v>75.3</v>
      </c>
      <c r="E278" s="18">
        <v>75.3</v>
      </c>
      <c r="F278" s="18">
        <v>70</v>
      </c>
      <c r="G278" s="18">
        <v>0</v>
      </c>
      <c r="H278" s="18">
        <v>56.3</v>
      </c>
      <c r="I278" s="18">
        <v>56.3</v>
      </c>
      <c r="J278" s="18">
        <v>52.5</v>
      </c>
      <c r="K278" s="18">
        <v>0</v>
      </c>
      <c r="L278" s="180">
        <v>43.7</v>
      </c>
      <c r="M278" s="180">
        <v>43.7</v>
      </c>
      <c r="N278" s="180">
        <v>42</v>
      </c>
      <c r="O278" s="180">
        <v>0</v>
      </c>
      <c r="P278" s="18"/>
      <c r="Q278" s="19"/>
    </row>
    <row r="279" spans="1:17">
      <c r="A279" s="231"/>
      <c r="B279" s="228"/>
      <c r="C279" s="17" t="s">
        <v>102</v>
      </c>
      <c r="D279" s="18">
        <v>764.6</v>
      </c>
      <c r="E279" s="18">
        <v>756.6</v>
      </c>
      <c r="F279" s="18">
        <v>668</v>
      </c>
      <c r="G279" s="18">
        <v>8</v>
      </c>
      <c r="H279" s="18">
        <v>587.20000000000005</v>
      </c>
      <c r="I279" s="18">
        <v>579.20000000000005</v>
      </c>
      <c r="J279" s="18">
        <v>508.9</v>
      </c>
      <c r="K279" s="18">
        <v>8</v>
      </c>
      <c r="L279" s="180">
        <v>503.7</v>
      </c>
      <c r="M279" s="180">
        <v>495.7</v>
      </c>
      <c r="N279" s="180">
        <v>446.6</v>
      </c>
      <c r="O279" s="180">
        <v>8</v>
      </c>
      <c r="P279" s="18"/>
      <c r="Q279" s="19"/>
    </row>
    <row r="280" spans="1:17">
      <c r="A280" s="230"/>
      <c r="B280" s="227"/>
      <c r="C280" s="17" t="s">
        <v>104</v>
      </c>
      <c r="D280" s="18">
        <v>558.20000000000005</v>
      </c>
      <c r="E280" s="18">
        <v>558.20000000000005</v>
      </c>
      <c r="F280" s="18">
        <v>540.4</v>
      </c>
      <c r="G280" s="18">
        <v>0</v>
      </c>
      <c r="H280" s="18">
        <v>520.20000000000005</v>
      </c>
      <c r="I280" s="18">
        <v>520.20000000000005</v>
      </c>
      <c r="J280" s="18">
        <v>504.4</v>
      </c>
      <c r="K280" s="18">
        <v>0</v>
      </c>
      <c r="L280" s="180">
        <v>423.6</v>
      </c>
      <c r="M280" s="180">
        <v>423.6</v>
      </c>
      <c r="N280" s="180">
        <v>413.5</v>
      </c>
      <c r="O280" s="180">
        <v>0</v>
      </c>
      <c r="P280" s="18"/>
      <c r="Q280" s="19"/>
    </row>
    <row r="281" spans="1:17">
      <c r="A281" s="100" t="s">
        <v>81</v>
      </c>
      <c r="B281" s="100"/>
      <c r="C281" s="101"/>
      <c r="D281" s="102">
        <f t="shared" ref="D281:O281" si="34">SUBTOTAL(9,D282:D287)</f>
        <v>1969.3</v>
      </c>
      <c r="E281" s="102">
        <f t="shared" si="34"/>
        <v>1264.9000000000001</v>
      </c>
      <c r="F281" s="102">
        <f t="shared" si="34"/>
        <v>723.69999999999993</v>
      </c>
      <c r="G281" s="102">
        <f t="shared" si="34"/>
        <v>704.39999999999986</v>
      </c>
      <c r="H281" s="102">
        <f t="shared" si="34"/>
        <v>1677.3</v>
      </c>
      <c r="I281" s="102">
        <f t="shared" si="34"/>
        <v>1016</v>
      </c>
      <c r="J281" s="102">
        <f t="shared" si="34"/>
        <v>545.79999999999995</v>
      </c>
      <c r="K281" s="102">
        <f t="shared" si="34"/>
        <v>661.59999999999991</v>
      </c>
      <c r="L281" s="102">
        <f t="shared" si="34"/>
        <v>1371.8999999999999</v>
      </c>
      <c r="M281" s="102">
        <f t="shared" si="34"/>
        <v>835.80000000000007</v>
      </c>
      <c r="N281" s="102">
        <f t="shared" si="34"/>
        <v>510.5</v>
      </c>
      <c r="O281" s="102">
        <f t="shared" si="34"/>
        <v>537.1</v>
      </c>
      <c r="P281" s="116">
        <f>SUM(L281/D281*100)</f>
        <v>69.664347737774833</v>
      </c>
      <c r="Q281" s="116">
        <f>SUM(L281/H281*100)</f>
        <v>81.792165981040952</v>
      </c>
    </row>
    <row r="282" spans="1:17">
      <c r="A282" s="179"/>
      <c r="B282" s="226" t="s">
        <v>335</v>
      </c>
      <c r="C282" s="17" t="s">
        <v>100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0">
        <v>0</v>
      </c>
      <c r="M282" s="180">
        <v>0</v>
      </c>
      <c r="N282" s="180">
        <v>0</v>
      </c>
      <c r="O282" s="180">
        <v>0</v>
      </c>
      <c r="P282" s="18"/>
      <c r="Q282" s="19"/>
    </row>
    <row r="283" spans="1:17">
      <c r="A283" s="181"/>
      <c r="B283" s="228"/>
      <c r="C283" s="17" t="s">
        <v>353</v>
      </c>
      <c r="D283" s="18">
        <v>22.6</v>
      </c>
      <c r="E283" s="18">
        <v>0</v>
      </c>
      <c r="F283" s="18">
        <v>0</v>
      </c>
      <c r="G283" s="18">
        <v>22.6</v>
      </c>
      <c r="H283" s="18">
        <v>22.6</v>
      </c>
      <c r="I283" s="18">
        <v>0</v>
      </c>
      <c r="J283" s="18">
        <v>0</v>
      </c>
      <c r="K283" s="18">
        <v>22.6</v>
      </c>
      <c r="L283" s="180">
        <v>0</v>
      </c>
      <c r="M283" s="180">
        <v>0</v>
      </c>
      <c r="N283" s="180">
        <v>0</v>
      </c>
      <c r="O283" s="180">
        <v>0</v>
      </c>
      <c r="P283" s="18"/>
      <c r="Q283" s="19"/>
    </row>
    <row r="284" spans="1:17" ht="21" customHeight="1">
      <c r="A284" s="181"/>
      <c r="B284" s="227"/>
      <c r="C284" s="17" t="s">
        <v>102</v>
      </c>
      <c r="D284" s="18">
        <v>38.200000000000003</v>
      </c>
      <c r="E284" s="18">
        <v>0</v>
      </c>
      <c r="F284" s="18">
        <v>0</v>
      </c>
      <c r="G284" s="18">
        <v>38.200000000000003</v>
      </c>
      <c r="H284" s="18">
        <v>38.200000000000003</v>
      </c>
      <c r="I284" s="18">
        <v>0</v>
      </c>
      <c r="J284" s="18">
        <v>0</v>
      </c>
      <c r="K284" s="18">
        <v>38.200000000000003</v>
      </c>
      <c r="L284" s="180">
        <v>0</v>
      </c>
      <c r="M284" s="180">
        <v>0</v>
      </c>
      <c r="N284" s="180">
        <v>0</v>
      </c>
      <c r="O284" s="180">
        <v>0</v>
      </c>
      <c r="P284" s="186"/>
      <c r="Q284" s="186"/>
    </row>
    <row r="285" spans="1:17">
      <c r="A285" s="181"/>
      <c r="B285" s="226" t="s">
        <v>336</v>
      </c>
      <c r="C285" s="17" t="s">
        <v>109</v>
      </c>
      <c r="D285" s="18">
        <v>100</v>
      </c>
      <c r="E285" s="18">
        <v>100</v>
      </c>
      <c r="F285" s="18">
        <v>32.299999999999997</v>
      </c>
      <c r="G285" s="18">
        <v>0</v>
      </c>
      <c r="H285" s="18">
        <v>82.4</v>
      </c>
      <c r="I285" s="18">
        <v>82.4</v>
      </c>
      <c r="J285" s="18">
        <v>24.3</v>
      </c>
      <c r="K285" s="18">
        <v>0</v>
      </c>
      <c r="L285" s="180">
        <v>46.6</v>
      </c>
      <c r="M285" s="180">
        <v>46.6</v>
      </c>
      <c r="N285" s="180">
        <v>10.5</v>
      </c>
      <c r="O285" s="180">
        <v>0</v>
      </c>
      <c r="P285" s="18"/>
      <c r="Q285" s="19"/>
    </row>
    <row r="286" spans="1:17" ht="22.5" customHeight="1">
      <c r="A286" s="185"/>
      <c r="B286" s="227"/>
      <c r="C286" s="17" t="s">
        <v>102</v>
      </c>
      <c r="D286" s="18">
        <v>1778.7</v>
      </c>
      <c r="E286" s="18">
        <v>1164.9000000000001</v>
      </c>
      <c r="F286" s="18">
        <v>691.4</v>
      </c>
      <c r="G286" s="18">
        <v>613.79999999999995</v>
      </c>
      <c r="H286" s="18">
        <v>1504.3</v>
      </c>
      <c r="I286" s="18">
        <v>933.6</v>
      </c>
      <c r="J286" s="18">
        <v>521.5</v>
      </c>
      <c r="K286" s="18">
        <v>571</v>
      </c>
      <c r="L286" s="180">
        <v>1295.5</v>
      </c>
      <c r="M286" s="180">
        <v>789.2</v>
      </c>
      <c r="N286" s="180">
        <v>500</v>
      </c>
      <c r="O286" s="180">
        <v>507.3</v>
      </c>
      <c r="P286" s="18"/>
      <c r="Q286" s="19"/>
    </row>
    <row r="287" spans="1:17" ht="67.5">
      <c r="A287" s="16"/>
      <c r="B287" s="16" t="s">
        <v>334</v>
      </c>
      <c r="C287" s="17" t="s">
        <v>102</v>
      </c>
      <c r="D287" s="18">
        <v>29.8</v>
      </c>
      <c r="E287" s="18">
        <v>0</v>
      </c>
      <c r="F287" s="18">
        <v>0</v>
      </c>
      <c r="G287" s="18">
        <v>29.8</v>
      </c>
      <c r="H287" s="18">
        <v>29.8</v>
      </c>
      <c r="I287" s="18">
        <v>0</v>
      </c>
      <c r="J287" s="18">
        <v>0</v>
      </c>
      <c r="K287" s="18">
        <v>29.8</v>
      </c>
      <c r="L287" s="180">
        <v>29.8</v>
      </c>
      <c r="M287" s="180">
        <v>0</v>
      </c>
      <c r="N287" s="180">
        <v>0</v>
      </c>
      <c r="O287" s="180">
        <v>29.8</v>
      </c>
      <c r="P287" s="186"/>
      <c r="Q287" s="186"/>
    </row>
    <row r="288" spans="1:17" ht="21">
      <c r="A288" s="100" t="s">
        <v>77</v>
      </c>
      <c r="B288" s="100"/>
      <c r="C288" s="101"/>
      <c r="D288" s="102">
        <f t="shared" ref="D288:O288" si="35">SUBTOTAL(9,D289:D290)</f>
        <v>371.3</v>
      </c>
      <c r="E288" s="102">
        <f t="shared" si="35"/>
        <v>342.9</v>
      </c>
      <c r="F288" s="102">
        <f t="shared" si="35"/>
        <v>239.1</v>
      </c>
      <c r="G288" s="102">
        <f t="shared" si="35"/>
        <v>28.4</v>
      </c>
      <c r="H288" s="102">
        <f t="shared" si="35"/>
        <v>297.5</v>
      </c>
      <c r="I288" s="102">
        <f t="shared" si="35"/>
        <v>269.09999999999997</v>
      </c>
      <c r="J288" s="102">
        <f t="shared" si="35"/>
        <v>179</v>
      </c>
      <c r="K288" s="102">
        <f t="shared" si="35"/>
        <v>28.4</v>
      </c>
      <c r="L288" s="102">
        <f t="shared" si="35"/>
        <v>260.60000000000002</v>
      </c>
      <c r="M288" s="102">
        <f t="shared" si="35"/>
        <v>232.2</v>
      </c>
      <c r="N288" s="102">
        <f t="shared" si="35"/>
        <v>174.9</v>
      </c>
      <c r="O288" s="102">
        <f t="shared" si="35"/>
        <v>28.4</v>
      </c>
      <c r="P288" s="116">
        <f>SUM(L288/D288*100)</f>
        <v>70.18583355777001</v>
      </c>
      <c r="Q288" s="116">
        <f>SUM(L288/H288*100)</f>
        <v>87.596638655462186</v>
      </c>
    </row>
    <row r="289" spans="1:17" ht="23.25" customHeight="1">
      <c r="A289" s="229"/>
      <c r="B289" s="226" t="s">
        <v>337</v>
      </c>
      <c r="C289" s="17" t="s">
        <v>109</v>
      </c>
      <c r="D289" s="18">
        <v>6</v>
      </c>
      <c r="E289" s="18">
        <v>6</v>
      </c>
      <c r="F289" s="18">
        <v>0</v>
      </c>
      <c r="G289" s="18">
        <v>0</v>
      </c>
      <c r="H289" s="18">
        <v>5.9</v>
      </c>
      <c r="I289" s="18">
        <v>5.9</v>
      </c>
      <c r="J289" s="18">
        <v>0</v>
      </c>
      <c r="K289" s="18">
        <v>0</v>
      </c>
      <c r="L289" s="180">
        <v>2</v>
      </c>
      <c r="M289" s="180">
        <v>2</v>
      </c>
      <c r="N289" s="180">
        <v>0</v>
      </c>
      <c r="O289" s="180">
        <v>0</v>
      </c>
      <c r="P289" s="18"/>
      <c r="Q289" s="19"/>
    </row>
    <row r="290" spans="1:17" ht="21.75" customHeight="1">
      <c r="A290" s="230"/>
      <c r="B290" s="227"/>
      <c r="C290" s="17" t="s">
        <v>102</v>
      </c>
      <c r="D290" s="18">
        <v>365.3</v>
      </c>
      <c r="E290" s="18">
        <v>336.9</v>
      </c>
      <c r="F290" s="18">
        <v>239.1</v>
      </c>
      <c r="G290" s="18">
        <v>28.4</v>
      </c>
      <c r="H290" s="18">
        <v>291.60000000000002</v>
      </c>
      <c r="I290" s="18">
        <v>263.2</v>
      </c>
      <c r="J290" s="18">
        <v>179</v>
      </c>
      <c r="K290" s="18">
        <v>28.4</v>
      </c>
      <c r="L290" s="180">
        <v>258.60000000000002</v>
      </c>
      <c r="M290" s="180">
        <v>230.2</v>
      </c>
      <c r="N290" s="180">
        <v>174.9</v>
      </c>
      <c r="O290" s="180">
        <v>28.4</v>
      </c>
      <c r="P290" s="186"/>
      <c r="Q290" s="186"/>
    </row>
    <row r="291" spans="1:17" ht="21">
      <c r="A291" s="100" t="s">
        <v>78</v>
      </c>
      <c r="B291" s="100"/>
      <c r="C291" s="101"/>
      <c r="D291" s="102">
        <f t="shared" ref="D291:O291" si="36">SUBTOTAL(9,D292:D293)</f>
        <v>459.3</v>
      </c>
      <c r="E291" s="102">
        <f t="shared" si="36"/>
        <v>409.3</v>
      </c>
      <c r="F291" s="102">
        <f t="shared" si="36"/>
        <v>282</v>
      </c>
      <c r="G291" s="102">
        <f t="shared" si="36"/>
        <v>50</v>
      </c>
      <c r="H291" s="102">
        <f t="shared" si="36"/>
        <v>382.1</v>
      </c>
      <c r="I291" s="102">
        <f t="shared" si="36"/>
        <v>332.1</v>
      </c>
      <c r="J291" s="102">
        <f t="shared" si="36"/>
        <v>211.5</v>
      </c>
      <c r="K291" s="102">
        <f t="shared" si="36"/>
        <v>50</v>
      </c>
      <c r="L291" s="102">
        <f t="shared" si="36"/>
        <v>323</v>
      </c>
      <c r="M291" s="102">
        <f t="shared" si="36"/>
        <v>322</v>
      </c>
      <c r="N291" s="102">
        <f t="shared" si="36"/>
        <v>210.6</v>
      </c>
      <c r="O291" s="102">
        <f t="shared" si="36"/>
        <v>1</v>
      </c>
      <c r="P291" s="116">
        <f>SUM(L291/D291*100)</f>
        <v>70.324406705856731</v>
      </c>
      <c r="Q291" s="116">
        <f>SUM(L291/H291*100)</f>
        <v>84.532844805024851</v>
      </c>
    </row>
    <row r="292" spans="1:17" ht="24" customHeight="1">
      <c r="A292" s="229"/>
      <c r="B292" s="226" t="s">
        <v>337</v>
      </c>
      <c r="C292" s="17" t="s">
        <v>109</v>
      </c>
      <c r="D292" s="18">
        <v>11</v>
      </c>
      <c r="E292" s="18">
        <v>11</v>
      </c>
      <c r="F292" s="18">
        <v>0</v>
      </c>
      <c r="G292" s="18">
        <v>0</v>
      </c>
      <c r="H292" s="18">
        <v>11</v>
      </c>
      <c r="I292" s="18">
        <v>11</v>
      </c>
      <c r="J292" s="18">
        <v>0</v>
      </c>
      <c r="K292" s="18">
        <v>0</v>
      </c>
      <c r="L292" s="180">
        <v>7.8</v>
      </c>
      <c r="M292" s="180">
        <v>7.8</v>
      </c>
      <c r="N292" s="180">
        <v>0</v>
      </c>
      <c r="O292" s="180">
        <v>0</v>
      </c>
      <c r="P292" s="18"/>
      <c r="Q292" s="19"/>
    </row>
    <row r="293" spans="1:17" ht="30" customHeight="1">
      <c r="A293" s="230"/>
      <c r="B293" s="227"/>
      <c r="C293" s="17" t="s">
        <v>102</v>
      </c>
      <c r="D293" s="18">
        <v>448.3</v>
      </c>
      <c r="E293" s="18">
        <v>398.3</v>
      </c>
      <c r="F293" s="18">
        <v>282</v>
      </c>
      <c r="G293" s="18">
        <v>50</v>
      </c>
      <c r="H293" s="18">
        <v>371.1</v>
      </c>
      <c r="I293" s="18">
        <v>321.10000000000002</v>
      </c>
      <c r="J293" s="18">
        <v>211.5</v>
      </c>
      <c r="K293" s="18">
        <v>50</v>
      </c>
      <c r="L293" s="180">
        <v>315.2</v>
      </c>
      <c r="M293" s="180">
        <v>314.2</v>
      </c>
      <c r="N293" s="180">
        <v>210.6</v>
      </c>
      <c r="O293" s="180">
        <v>1</v>
      </c>
      <c r="P293" s="186"/>
      <c r="Q293" s="186"/>
    </row>
    <row r="294" spans="1:17" ht="21">
      <c r="A294" s="100" t="s">
        <v>79</v>
      </c>
      <c r="B294" s="100"/>
      <c r="C294" s="101"/>
      <c r="D294" s="102">
        <f t="shared" ref="D294:O294" si="37">SUBTOTAL(9,D295:D296)</f>
        <v>535.9</v>
      </c>
      <c r="E294" s="102">
        <f t="shared" si="37"/>
        <v>505.9</v>
      </c>
      <c r="F294" s="102">
        <f t="shared" si="37"/>
        <v>361.5</v>
      </c>
      <c r="G294" s="102">
        <f t="shared" si="37"/>
        <v>30</v>
      </c>
      <c r="H294" s="102">
        <f t="shared" si="37"/>
        <v>434.8</v>
      </c>
      <c r="I294" s="102">
        <f t="shared" si="37"/>
        <v>404.8</v>
      </c>
      <c r="J294" s="102">
        <f t="shared" si="37"/>
        <v>271.5</v>
      </c>
      <c r="K294" s="102">
        <f t="shared" si="37"/>
        <v>30</v>
      </c>
      <c r="L294" s="102">
        <f t="shared" si="37"/>
        <v>364.40000000000003</v>
      </c>
      <c r="M294" s="102">
        <f t="shared" si="37"/>
        <v>342.8</v>
      </c>
      <c r="N294" s="102">
        <f t="shared" si="37"/>
        <v>243.7</v>
      </c>
      <c r="O294" s="102">
        <f t="shared" si="37"/>
        <v>21.6</v>
      </c>
      <c r="P294" s="116">
        <f>SUM(L294/D294*100)</f>
        <v>67.997760776264244</v>
      </c>
      <c r="Q294" s="116">
        <f>SUM(L294/H294*100)</f>
        <v>83.808647654093832</v>
      </c>
    </row>
    <row r="295" spans="1:17">
      <c r="A295" s="187"/>
      <c r="B295" s="226" t="s">
        <v>411</v>
      </c>
      <c r="C295" s="17" t="s">
        <v>109</v>
      </c>
      <c r="D295" s="18">
        <v>15</v>
      </c>
      <c r="E295" s="18">
        <v>15</v>
      </c>
      <c r="F295" s="18">
        <v>0</v>
      </c>
      <c r="G295" s="18">
        <v>0</v>
      </c>
      <c r="H295" s="18">
        <v>14</v>
      </c>
      <c r="I295" s="18">
        <v>14</v>
      </c>
      <c r="J295" s="18">
        <v>0</v>
      </c>
      <c r="K295" s="18">
        <v>0</v>
      </c>
      <c r="L295" s="180">
        <v>6.6</v>
      </c>
      <c r="M295" s="180">
        <v>6.6</v>
      </c>
      <c r="N295" s="180">
        <v>0</v>
      </c>
      <c r="O295" s="180">
        <v>0</v>
      </c>
      <c r="P295" s="18"/>
      <c r="Q295" s="19"/>
    </row>
    <row r="296" spans="1:17">
      <c r="A296" s="16"/>
      <c r="B296" s="227"/>
      <c r="C296" s="17" t="s">
        <v>102</v>
      </c>
      <c r="D296" s="18">
        <v>520.9</v>
      </c>
      <c r="E296" s="18">
        <v>490.9</v>
      </c>
      <c r="F296" s="18">
        <v>361.5</v>
      </c>
      <c r="G296" s="18">
        <v>30</v>
      </c>
      <c r="H296" s="18">
        <v>420.8</v>
      </c>
      <c r="I296" s="18">
        <v>390.8</v>
      </c>
      <c r="J296" s="18">
        <v>271.5</v>
      </c>
      <c r="K296" s="18">
        <v>30</v>
      </c>
      <c r="L296" s="180">
        <v>357.8</v>
      </c>
      <c r="M296" s="180">
        <v>336.2</v>
      </c>
      <c r="N296" s="180">
        <v>243.7</v>
      </c>
      <c r="O296" s="180">
        <v>21.6</v>
      </c>
      <c r="P296" s="186"/>
      <c r="Q296" s="186"/>
    </row>
    <row r="297" spans="1:17">
      <c r="A297" s="100" t="s">
        <v>80</v>
      </c>
      <c r="B297" s="100"/>
      <c r="C297" s="101"/>
      <c r="D297" s="102">
        <f t="shared" ref="D297:O297" si="38">SUBTOTAL(9,D298:D299)</f>
        <v>362</v>
      </c>
      <c r="E297" s="102">
        <f t="shared" si="38"/>
        <v>362</v>
      </c>
      <c r="F297" s="102">
        <f t="shared" si="38"/>
        <v>246.3</v>
      </c>
      <c r="G297" s="102">
        <f t="shared" si="38"/>
        <v>0</v>
      </c>
      <c r="H297" s="102">
        <f t="shared" si="38"/>
        <v>278.5</v>
      </c>
      <c r="I297" s="102">
        <f t="shared" si="38"/>
        <v>278.5</v>
      </c>
      <c r="J297" s="102">
        <f t="shared" si="38"/>
        <v>185</v>
      </c>
      <c r="K297" s="102">
        <f t="shared" si="38"/>
        <v>0</v>
      </c>
      <c r="L297" s="102">
        <f t="shared" si="38"/>
        <v>220.29999999999998</v>
      </c>
      <c r="M297" s="102">
        <f t="shared" si="38"/>
        <v>220.29999999999998</v>
      </c>
      <c r="N297" s="102">
        <f t="shared" si="38"/>
        <v>149.9</v>
      </c>
      <c r="O297" s="102">
        <f t="shared" si="38"/>
        <v>0</v>
      </c>
      <c r="P297" s="116">
        <f>SUM(L297/D297*100)</f>
        <v>60.856353591160214</v>
      </c>
      <c r="Q297" s="116">
        <f>SUM(L297/H297*100)</f>
        <v>79.102333931777366</v>
      </c>
    </row>
    <row r="298" spans="1:17" ht="38.25" customHeight="1">
      <c r="A298" s="229"/>
      <c r="B298" s="226" t="s">
        <v>337</v>
      </c>
      <c r="C298" s="17" t="s">
        <v>109</v>
      </c>
      <c r="D298" s="18">
        <v>5.8</v>
      </c>
      <c r="E298" s="18">
        <v>5.8</v>
      </c>
      <c r="F298" s="18">
        <v>0</v>
      </c>
      <c r="G298" s="18">
        <v>0</v>
      </c>
      <c r="H298" s="18">
        <v>4.8</v>
      </c>
      <c r="I298" s="18">
        <v>4.8</v>
      </c>
      <c r="J298" s="18">
        <v>0</v>
      </c>
      <c r="K298" s="18">
        <v>0</v>
      </c>
      <c r="L298" s="180">
        <v>1.1000000000000001</v>
      </c>
      <c r="M298" s="180">
        <v>1.1000000000000001</v>
      </c>
      <c r="N298" s="180">
        <v>0</v>
      </c>
      <c r="O298" s="180">
        <v>0</v>
      </c>
      <c r="P298" s="186"/>
      <c r="Q298" s="186"/>
    </row>
    <row r="299" spans="1:17" ht="38.25" customHeight="1">
      <c r="A299" s="230"/>
      <c r="B299" s="227"/>
      <c r="C299" s="17" t="s">
        <v>102</v>
      </c>
      <c r="D299" s="18">
        <v>356.2</v>
      </c>
      <c r="E299" s="18">
        <v>356.2</v>
      </c>
      <c r="F299" s="18">
        <v>246.3</v>
      </c>
      <c r="G299" s="18">
        <v>0</v>
      </c>
      <c r="H299" s="18">
        <v>273.7</v>
      </c>
      <c r="I299" s="18">
        <v>273.7</v>
      </c>
      <c r="J299" s="18">
        <v>185</v>
      </c>
      <c r="K299" s="18">
        <v>0</v>
      </c>
      <c r="L299" s="180">
        <v>219.2</v>
      </c>
      <c r="M299" s="180">
        <v>219.2</v>
      </c>
      <c r="N299" s="180">
        <v>149.9</v>
      </c>
      <c r="O299" s="180">
        <v>0</v>
      </c>
      <c r="P299" s="18"/>
      <c r="Q299" s="19"/>
    </row>
    <row r="300" spans="1:17" ht="21">
      <c r="A300" s="100" t="s">
        <v>124</v>
      </c>
      <c r="B300" s="100"/>
      <c r="C300" s="101"/>
      <c r="D300" s="102">
        <f t="shared" ref="D300:O300" si="39">SUBTOTAL(9,D301:D301)</f>
        <v>162.6</v>
      </c>
      <c r="E300" s="102">
        <f t="shared" si="39"/>
        <v>162.6</v>
      </c>
      <c r="F300" s="102">
        <f t="shared" si="39"/>
        <v>151.30000000000001</v>
      </c>
      <c r="G300" s="102">
        <f t="shared" si="39"/>
        <v>0</v>
      </c>
      <c r="H300" s="102">
        <f t="shared" si="39"/>
        <v>128.80000000000001</v>
      </c>
      <c r="I300" s="102">
        <f t="shared" si="39"/>
        <v>128.80000000000001</v>
      </c>
      <c r="J300" s="102">
        <f t="shared" si="39"/>
        <v>119.7</v>
      </c>
      <c r="K300" s="102">
        <f t="shared" si="39"/>
        <v>0</v>
      </c>
      <c r="L300" s="102">
        <f t="shared" si="39"/>
        <v>102.5</v>
      </c>
      <c r="M300" s="102">
        <f t="shared" si="39"/>
        <v>102.5</v>
      </c>
      <c r="N300" s="102">
        <f t="shared" si="39"/>
        <v>98.8</v>
      </c>
      <c r="O300" s="102">
        <f t="shared" si="39"/>
        <v>0</v>
      </c>
      <c r="P300" s="116">
        <f>SUM(L300/D300*100)</f>
        <v>63.038130381303816</v>
      </c>
      <c r="Q300" s="116">
        <f>SUM(L300/H300*100)</f>
        <v>79.5807453416149</v>
      </c>
    </row>
    <row r="301" spans="1:17" ht="67.5">
      <c r="A301" s="16"/>
      <c r="B301" s="16" t="s">
        <v>333</v>
      </c>
      <c r="C301" s="17" t="s">
        <v>102</v>
      </c>
      <c r="D301" s="18">
        <v>162.6</v>
      </c>
      <c r="E301" s="18">
        <v>162.6</v>
      </c>
      <c r="F301" s="18">
        <v>151.30000000000001</v>
      </c>
      <c r="G301" s="18">
        <v>0</v>
      </c>
      <c r="H301" s="18">
        <v>128.80000000000001</v>
      </c>
      <c r="I301" s="18">
        <v>128.80000000000001</v>
      </c>
      <c r="J301" s="18">
        <v>119.7</v>
      </c>
      <c r="K301" s="18">
        <v>0</v>
      </c>
      <c r="L301" s="180">
        <v>102.5</v>
      </c>
      <c r="M301" s="180">
        <v>102.5</v>
      </c>
      <c r="N301" s="180">
        <v>98.8</v>
      </c>
      <c r="O301" s="180">
        <v>0</v>
      </c>
      <c r="P301" s="18"/>
      <c r="Q301" s="19"/>
    </row>
    <row r="302" spans="1:17" ht="21">
      <c r="A302" s="100" t="s">
        <v>82</v>
      </c>
      <c r="B302" s="100"/>
      <c r="C302" s="101"/>
      <c r="D302" s="102">
        <f t="shared" ref="D302:O302" si="40">SUBTOTAL(9,D303:D306)</f>
        <v>970.3</v>
      </c>
      <c r="E302" s="102">
        <f t="shared" si="40"/>
        <v>965.5</v>
      </c>
      <c r="F302" s="102">
        <f t="shared" si="40"/>
        <v>767.8</v>
      </c>
      <c r="G302" s="102">
        <f t="shared" si="40"/>
        <v>4.8</v>
      </c>
      <c r="H302" s="102">
        <f t="shared" si="40"/>
        <v>754.19999999999993</v>
      </c>
      <c r="I302" s="102">
        <f t="shared" si="40"/>
        <v>749.4</v>
      </c>
      <c r="J302" s="102">
        <f t="shared" si="40"/>
        <v>579</v>
      </c>
      <c r="K302" s="102">
        <f t="shared" si="40"/>
        <v>4.8</v>
      </c>
      <c r="L302" s="102">
        <f t="shared" si="40"/>
        <v>733.19999999999993</v>
      </c>
      <c r="M302" s="102">
        <f t="shared" si="40"/>
        <v>728.4</v>
      </c>
      <c r="N302" s="102">
        <f t="shared" si="40"/>
        <v>577.79999999999995</v>
      </c>
      <c r="O302" s="102">
        <f t="shared" si="40"/>
        <v>4.8</v>
      </c>
      <c r="P302" s="116">
        <f>SUM(L302/D302*100)</f>
        <v>75.564258476759761</v>
      </c>
      <c r="Q302" s="116">
        <f>SUM(L302/H302*100)</f>
        <v>97.215592680986475</v>
      </c>
    </row>
    <row r="303" spans="1:17" ht="22.5">
      <c r="A303" s="229"/>
      <c r="B303" s="16" t="s">
        <v>349</v>
      </c>
      <c r="C303" s="17" t="s">
        <v>102</v>
      </c>
      <c r="D303" s="18">
        <v>30</v>
      </c>
      <c r="E303" s="18">
        <v>30</v>
      </c>
      <c r="F303" s="18">
        <v>0</v>
      </c>
      <c r="G303" s="18">
        <v>0</v>
      </c>
      <c r="H303" s="18">
        <v>30</v>
      </c>
      <c r="I303" s="18">
        <v>30</v>
      </c>
      <c r="J303" s="18">
        <v>0</v>
      </c>
      <c r="K303" s="18">
        <v>0</v>
      </c>
      <c r="L303" s="180">
        <v>30</v>
      </c>
      <c r="M303" s="180">
        <v>30</v>
      </c>
      <c r="N303" s="180">
        <v>0</v>
      </c>
      <c r="O303" s="180">
        <v>0</v>
      </c>
      <c r="P303" s="186"/>
      <c r="Q303" s="186"/>
    </row>
    <row r="304" spans="1:17" ht="15.75" customHeight="1">
      <c r="A304" s="231"/>
      <c r="B304" s="226" t="s">
        <v>333</v>
      </c>
      <c r="C304" s="17" t="s">
        <v>109</v>
      </c>
      <c r="D304" s="18">
        <v>1</v>
      </c>
      <c r="E304" s="18">
        <v>1</v>
      </c>
      <c r="F304" s="18">
        <v>0</v>
      </c>
      <c r="G304" s="18">
        <v>0</v>
      </c>
      <c r="H304" s="18">
        <v>0.5</v>
      </c>
      <c r="I304" s="18">
        <v>0.5</v>
      </c>
      <c r="J304" s="18">
        <v>0</v>
      </c>
      <c r="K304" s="18">
        <v>0</v>
      </c>
      <c r="L304" s="180">
        <v>0</v>
      </c>
      <c r="M304" s="180">
        <v>0</v>
      </c>
      <c r="N304" s="180">
        <v>0</v>
      </c>
      <c r="O304" s="180">
        <v>0</v>
      </c>
      <c r="P304" s="18"/>
      <c r="Q304" s="19"/>
    </row>
    <row r="305" spans="1:17" ht="20.25" customHeight="1">
      <c r="A305" s="231"/>
      <c r="B305" s="228"/>
      <c r="C305" s="17" t="s">
        <v>102</v>
      </c>
      <c r="D305" s="18">
        <v>101.5</v>
      </c>
      <c r="E305" s="18">
        <v>96.7</v>
      </c>
      <c r="F305" s="18">
        <v>14.3</v>
      </c>
      <c r="G305" s="18">
        <v>4.8</v>
      </c>
      <c r="H305" s="18">
        <v>95.3</v>
      </c>
      <c r="I305" s="18">
        <v>90.5</v>
      </c>
      <c r="J305" s="18">
        <v>10.7</v>
      </c>
      <c r="K305" s="18">
        <v>4.8</v>
      </c>
      <c r="L305" s="180">
        <v>79.3</v>
      </c>
      <c r="M305" s="180">
        <v>74.5</v>
      </c>
      <c r="N305" s="180">
        <v>9.5</v>
      </c>
      <c r="O305" s="180">
        <v>4.8</v>
      </c>
      <c r="P305" s="18"/>
      <c r="Q305" s="19"/>
    </row>
    <row r="306" spans="1:17" ht="20.25" customHeight="1">
      <c r="A306" s="230"/>
      <c r="B306" s="227"/>
      <c r="C306" s="17" t="s">
        <v>104</v>
      </c>
      <c r="D306" s="18">
        <v>837.8</v>
      </c>
      <c r="E306" s="18">
        <v>837.8</v>
      </c>
      <c r="F306" s="18">
        <v>753.5</v>
      </c>
      <c r="G306" s="18">
        <v>0</v>
      </c>
      <c r="H306" s="18">
        <v>628.4</v>
      </c>
      <c r="I306" s="18">
        <v>628.4</v>
      </c>
      <c r="J306" s="18">
        <v>568.29999999999995</v>
      </c>
      <c r="K306" s="18">
        <v>0</v>
      </c>
      <c r="L306" s="180">
        <v>623.9</v>
      </c>
      <c r="M306" s="180">
        <v>623.9</v>
      </c>
      <c r="N306" s="180">
        <v>568.29999999999995</v>
      </c>
      <c r="O306" s="180">
        <v>0</v>
      </c>
      <c r="P306" s="18"/>
      <c r="Q306" s="19"/>
    </row>
    <row r="307" spans="1:17" ht="21">
      <c r="A307" s="100" t="s">
        <v>72</v>
      </c>
      <c r="B307" s="100"/>
      <c r="C307" s="101"/>
      <c r="D307" s="102">
        <f t="shared" ref="D307:O307" si="41">SUBTOTAL(9,D308:D310)</f>
        <v>1854.4</v>
      </c>
      <c r="E307" s="102">
        <f t="shared" si="41"/>
        <v>1581.4</v>
      </c>
      <c r="F307" s="102">
        <f t="shared" si="41"/>
        <v>1217</v>
      </c>
      <c r="G307" s="102">
        <f t="shared" si="41"/>
        <v>273</v>
      </c>
      <c r="H307" s="102">
        <f t="shared" si="41"/>
        <v>1431.1000000000001</v>
      </c>
      <c r="I307" s="102">
        <f t="shared" si="41"/>
        <v>1277.1000000000001</v>
      </c>
      <c r="J307" s="102">
        <f t="shared" si="41"/>
        <v>979.2</v>
      </c>
      <c r="K307" s="102">
        <f t="shared" si="41"/>
        <v>154</v>
      </c>
      <c r="L307" s="102">
        <f t="shared" si="41"/>
        <v>1253.4000000000001</v>
      </c>
      <c r="M307" s="102">
        <f t="shared" si="41"/>
        <v>1238.9000000000001</v>
      </c>
      <c r="N307" s="102">
        <f t="shared" si="41"/>
        <v>978.7</v>
      </c>
      <c r="O307" s="102">
        <f t="shared" si="41"/>
        <v>14.5</v>
      </c>
      <c r="P307" s="116">
        <f>SUM(L307/D307*100)</f>
        <v>67.590595340811049</v>
      </c>
      <c r="Q307" s="116">
        <f>SUM(L307/H307*100)</f>
        <v>87.58297812871217</v>
      </c>
    </row>
    <row r="308" spans="1:17">
      <c r="A308" s="229"/>
      <c r="B308" s="226" t="s">
        <v>410</v>
      </c>
      <c r="C308" s="17" t="s">
        <v>109</v>
      </c>
      <c r="D308" s="18">
        <v>1224.3</v>
      </c>
      <c r="E308" s="18">
        <v>1224.3</v>
      </c>
      <c r="F308" s="18">
        <v>918.1</v>
      </c>
      <c r="G308" s="18">
        <v>0</v>
      </c>
      <c r="H308" s="18">
        <v>1003.2</v>
      </c>
      <c r="I308" s="18">
        <v>1003.2</v>
      </c>
      <c r="J308" s="18">
        <v>755.1</v>
      </c>
      <c r="K308" s="18">
        <v>0</v>
      </c>
      <c r="L308" s="180">
        <v>980.9</v>
      </c>
      <c r="M308" s="180">
        <v>980.9</v>
      </c>
      <c r="N308" s="180">
        <v>754.6</v>
      </c>
      <c r="O308" s="180">
        <v>0</v>
      </c>
      <c r="P308" s="18"/>
      <c r="Q308" s="19"/>
    </row>
    <row r="309" spans="1:17">
      <c r="A309" s="231"/>
      <c r="B309" s="228"/>
      <c r="C309" s="17" t="s">
        <v>102</v>
      </c>
      <c r="D309" s="18">
        <v>313</v>
      </c>
      <c r="E309" s="18">
        <v>40</v>
      </c>
      <c r="F309" s="18">
        <v>0</v>
      </c>
      <c r="G309" s="18">
        <v>273</v>
      </c>
      <c r="H309" s="18">
        <v>190</v>
      </c>
      <c r="I309" s="18">
        <v>36</v>
      </c>
      <c r="J309" s="18">
        <v>0</v>
      </c>
      <c r="K309" s="18">
        <v>154</v>
      </c>
      <c r="L309" s="180">
        <v>34.6</v>
      </c>
      <c r="M309" s="180">
        <v>20.100000000000001</v>
      </c>
      <c r="N309" s="180">
        <v>0</v>
      </c>
      <c r="O309" s="180">
        <v>14.5</v>
      </c>
      <c r="P309" s="18"/>
      <c r="Q309" s="19"/>
    </row>
    <row r="310" spans="1:17">
      <c r="A310" s="230"/>
      <c r="B310" s="227"/>
      <c r="C310" s="17" t="s">
        <v>104</v>
      </c>
      <c r="D310" s="18">
        <v>317.10000000000002</v>
      </c>
      <c r="E310" s="18">
        <v>317.10000000000002</v>
      </c>
      <c r="F310" s="18">
        <v>298.89999999999998</v>
      </c>
      <c r="G310" s="18">
        <v>0</v>
      </c>
      <c r="H310" s="18">
        <v>237.9</v>
      </c>
      <c r="I310" s="18">
        <v>237.9</v>
      </c>
      <c r="J310" s="18">
        <v>224.1</v>
      </c>
      <c r="K310" s="18">
        <v>0</v>
      </c>
      <c r="L310" s="180">
        <v>237.9</v>
      </c>
      <c r="M310" s="180">
        <v>237.9</v>
      </c>
      <c r="N310" s="180">
        <v>224.1</v>
      </c>
      <c r="O310" s="180">
        <v>0</v>
      </c>
      <c r="P310" s="18"/>
      <c r="Q310" s="19"/>
    </row>
    <row r="311" spans="1:17" ht="31.5">
      <c r="A311" s="100" t="s">
        <v>125</v>
      </c>
      <c r="B311" s="100"/>
      <c r="C311" s="101"/>
      <c r="D311" s="102">
        <f t="shared" ref="D311:O311" si="42">SUBTOTAL(9,D312:D316)</f>
        <v>1865.7</v>
      </c>
      <c r="E311" s="102">
        <f t="shared" si="42"/>
        <v>1858.1000000000001</v>
      </c>
      <c r="F311" s="102">
        <f t="shared" si="42"/>
        <v>1518.3</v>
      </c>
      <c r="G311" s="102">
        <f t="shared" si="42"/>
        <v>7.6000000000000005</v>
      </c>
      <c r="H311" s="102">
        <f t="shared" si="42"/>
        <v>1329.0000000000002</v>
      </c>
      <c r="I311" s="102">
        <f t="shared" si="42"/>
        <v>1324.1000000000001</v>
      </c>
      <c r="J311" s="102">
        <f t="shared" si="42"/>
        <v>1065.5</v>
      </c>
      <c r="K311" s="102">
        <f t="shared" si="42"/>
        <v>4.9000000000000004</v>
      </c>
      <c r="L311" s="102">
        <f t="shared" si="42"/>
        <v>1223.5</v>
      </c>
      <c r="M311" s="102">
        <f t="shared" si="42"/>
        <v>1218.6000000000001</v>
      </c>
      <c r="N311" s="102">
        <f t="shared" si="42"/>
        <v>1012.3</v>
      </c>
      <c r="O311" s="102">
        <f t="shared" si="42"/>
        <v>4.9000000000000004</v>
      </c>
      <c r="P311" s="116">
        <f>SUM(L311/D311*100)</f>
        <v>65.578603205231275</v>
      </c>
      <c r="Q311" s="116">
        <f>SUM(L311/H311*100)</f>
        <v>92.061700526711803</v>
      </c>
    </row>
    <row r="312" spans="1:17">
      <c r="A312" s="229"/>
      <c r="B312" s="226" t="s">
        <v>409</v>
      </c>
      <c r="C312" s="17" t="s">
        <v>101</v>
      </c>
      <c r="D312" s="18">
        <v>651.29999999999995</v>
      </c>
      <c r="E312" s="18">
        <v>651.29999999999995</v>
      </c>
      <c r="F312" s="18">
        <v>626.6</v>
      </c>
      <c r="G312" s="18">
        <v>0</v>
      </c>
      <c r="H312" s="18">
        <v>488.1</v>
      </c>
      <c r="I312" s="18">
        <v>488.1</v>
      </c>
      <c r="J312" s="18">
        <v>469.6</v>
      </c>
      <c r="K312" s="18">
        <v>0</v>
      </c>
      <c r="L312" s="180">
        <v>441.9</v>
      </c>
      <c r="M312" s="180">
        <v>441.9</v>
      </c>
      <c r="N312" s="180">
        <v>426.1</v>
      </c>
      <c r="O312" s="180">
        <v>0</v>
      </c>
      <c r="P312" s="18"/>
      <c r="Q312" s="19"/>
    </row>
    <row r="313" spans="1:17">
      <c r="A313" s="231"/>
      <c r="B313" s="228"/>
      <c r="C313" s="17" t="s">
        <v>347</v>
      </c>
      <c r="D313" s="18">
        <v>1.2</v>
      </c>
      <c r="E313" s="18">
        <v>1.2</v>
      </c>
      <c r="F313" s="18">
        <v>1.2</v>
      </c>
      <c r="G313" s="18">
        <v>0</v>
      </c>
      <c r="H313" s="18">
        <v>1.2</v>
      </c>
      <c r="I313" s="18">
        <v>1.2</v>
      </c>
      <c r="J313" s="18">
        <v>1.2</v>
      </c>
      <c r="K313" s="18">
        <v>0</v>
      </c>
      <c r="L313" s="180">
        <v>1.2</v>
      </c>
      <c r="M313" s="180">
        <v>1.2</v>
      </c>
      <c r="N313" s="180">
        <v>1.2</v>
      </c>
      <c r="O313" s="180">
        <v>0</v>
      </c>
      <c r="P313" s="186"/>
      <c r="Q313" s="186"/>
    </row>
    <row r="314" spans="1:17">
      <c r="A314" s="231"/>
      <c r="B314" s="228"/>
      <c r="C314" s="17" t="s">
        <v>109</v>
      </c>
      <c r="D314" s="18">
        <v>105.1</v>
      </c>
      <c r="E314" s="18">
        <v>104.4</v>
      </c>
      <c r="F314" s="18">
        <v>10.3</v>
      </c>
      <c r="G314" s="18">
        <v>0.7</v>
      </c>
      <c r="H314" s="18">
        <v>78.8</v>
      </c>
      <c r="I314" s="18">
        <v>78.099999999999994</v>
      </c>
      <c r="J314" s="18">
        <v>7.7</v>
      </c>
      <c r="K314" s="18">
        <v>0.7</v>
      </c>
      <c r="L314" s="180">
        <v>68.400000000000006</v>
      </c>
      <c r="M314" s="180">
        <v>67.7</v>
      </c>
      <c r="N314" s="180">
        <v>4.3</v>
      </c>
      <c r="O314" s="180">
        <v>0.7</v>
      </c>
      <c r="P314" s="18"/>
      <c r="Q314" s="19"/>
    </row>
    <row r="315" spans="1:17">
      <c r="A315" s="231"/>
      <c r="B315" s="228"/>
      <c r="C315" s="17" t="s">
        <v>102</v>
      </c>
      <c r="D315" s="18">
        <v>1106.9000000000001</v>
      </c>
      <c r="E315" s="18">
        <v>1100</v>
      </c>
      <c r="F315" s="18">
        <v>879.4</v>
      </c>
      <c r="G315" s="18">
        <v>6.9</v>
      </c>
      <c r="H315" s="18">
        <v>759.7</v>
      </c>
      <c r="I315" s="18">
        <v>755.5</v>
      </c>
      <c r="J315" s="18">
        <v>586.20000000000005</v>
      </c>
      <c r="K315" s="18">
        <v>4.2</v>
      </c>
      <c r="L315" s="180">
        <v>710.8</v>
      </c>
      <c r="M315" s="180">
        <v>706.6</v>
      </c>
      <c r="N315" s="180">
        <v>579.9</v>
      </c>
      <c r="O315" s="180">
        <v>4.2</v>
      </c>
      <c r="P315" s="18"/>
      <c r="Q315" s="19"/>
    </row>
    <row r="316" spans="1:17" ht="22.5">
      <c r="A316" s="230"/>
      <c r="B316" s="227"/>
      <c r="C316" s="17" t="s">
        <v>332</v>
      </c>
      <c r="D316" s="18">
        <v>1.2</v>
      </c>
      <c r="E316" s="18">
        <v>1.2</v>
      </c>
      <c r="F316" s="18">
        <v>0.8</v>
      </c>
      <c r="G316" s="18">
        <v>0</v>
      </c>
      <c r="H316" s="18">
        <v>1.2</v>
      </c>
      <c r="I316" s="18">
        <v>1.2</v>
      </c>
      <c r="J316" s="18">
        <v>0.8</v>
      </c>
      <c r="K316" s="18">
        <v>0</v>
      </c>
      <c r="L316" s="180">
        <v>1.2</v>
      </c>
      <c r="M316" s="180">
        <v>1.2</v>
      </c>
      <c r="N316" s="180">
        <v>0.8</v>
      </c>
      <c r="O316" s="180">
        <v>0</v>
      </c>
      <c r="P316" s="186"/>
      <c r="Q316" s="186"/>
    </row>
    <row r="317" spans="1:17" ht="21">
      <c r="A317" s="100" t="s">
        <v>126</v>
      </c>
      <c r="B317" s="100"/>
      <c r="C317" s="101"/>
      <c r="D317" s="102">
        <f t="shared" ref="D317:O317" si="43">SUBTOTAL(9,D318:D319)</f>
        <v>354.2</v>
      </c>
      <c r="E317" s="102">
        <f t="shared" si="43"/>
        <v>91.2</v>
      </c>
      <c r="F317" s="102">
        <f t="shared" si="43"/>
        <v>0</v>
      </c>
      <c r="G317" s="102">
        <f t="shared" si="43"/>
        <v>263</v>
      </c>
      <c r="H317" s="102">
        <f t="shared" si="43"/>
        <v>256.5</v>
      </c>
      <c r="I317" s="102">
        <f t="shared" si="43"/>
        <v>59.2</v>
      </c>
      <c r="J317" s="102">
        <f t="shared" si="43"/>
        <v>0</v>
      </c>
      <c r="K317" s="102">
        <f t="shared" si="43"/>
        <v>197.3</v>
      </c>
      <c r="L317" s="102">
        <f t="shared" si="43"/>
        <v>247.10000000000002</v>
      </c>
      <c r="M317" s="102">
        <f t="shared" si="43"/>
        <v>49.8</v>
      </c>
      <c r="N317" s="102">
        <f t="shared" si="43"/>
        <v>0</v>
      </c>
      <c r="O317" s="102">
        <f t="shared" si="43"/>
        <v>197.3</v>
      </c>
      <c r="P317" s="116">
        <f>SUM(L317/D317*100)</f>
        <v>69.762845849802375</v>
      </c>
      <c r="Q317" s="116">
        <f>SUM(L317/H317*100)</f>
        <v>96.335282651072134</v>
      </c>
    </row>
    <row r="318" spans="1:17" ht="23.25" customHeight="1">
      <c r="A318" s="229"/>
      <c r="B318" s="226" t="s">
        <v>333</v>
      </c>
      <c r="C318" s="17" t="s">
        <v>297</v>
      </c>
      <c r="D318" s="18">
        <v>263</v>
      </c>
      <c r="E318" s="18">
        <v>0</v>
      </c>
      <c r="F318" s="18">
        <v>0</v>
      </c>
      <c r="G318" s="18">
        <v>263</v>
      </c>
      <c r="H318" s="18">
        <v>197.3</v>
      </c>
      <c r="I318" s="18">
        <v>0</v>
      </c>
      <c r="J318" s="18">
        <v>0</v>
      </c>
      <c r="K318" s="18">
        <v>197.3</v>
      </c>
      <c r="L318" s="180">
        <v>197.3</v>
      </c>
      <c r="M318" s="180">
        <v>0</v>
      </c>
      <c r="N318" s="180">
        <v>0</v>
      </c>
      <c r="O318" s="180">
        <v>197.3</v>
      </c>
      <c r="P318" s="18"/>
      <c r="Q318" s="19"/>
    </row>
    <row r="319" spans="1:17" ht="32.25" customHeight="1">
      <c r="A319" s="230"/>
      <c r="B319" s="227"/>
      <c r="C319" s="17" t="s">
        <v>102</v>
      </c>
      <c r="D319" s="18">
        <v>91.2</v>
      </c>
      <c r="E319" s="18">
        <v>91.2</v>
      </c>
      <c r="F319" s="18">
        <v>0</v>
      </c>
      <c r="G319" s="18">
        <v>0</v>
      </c>
      <c r="H319" s="18">
        <v>59.2</v>
      </c>
      <c r="I319" s="18">
        <v>59.2</v>
      </c>
      <c r="J319" s="18">
        <v>0</v>
      </c>
      <c r="K319" s="18">
        <v>0</v>
      </c>
      <c r="L319" s="180">
        <v>49.8</v>
      </c>
      <c r="M319" s="180">
        <v>49.8</v>
      </c>
      <c r="N319" s="180">
        <v>0</v>
      </c>
      <c r="O319" s="180">
        <v>0</v>
      </c>
      <c r="P319" s="186"/>
      <c r="Q319" s="186"/>
    </row>
    <row r="320" spans="1:17" ht="21">
      <c r="A320" s="100" t="s">
        <v>127</v>
      </c>
      <c r="B320" s="100"/>
      <c r="C320" s="101"/>
      <c r="D320" s="102">
        <f t="shared" ref="D320:O320" si="44">SUBTOTAL(9,D321:D322)</f>
        <v>296.60000000000002</v>
      </c>
      <c r="E320" s="102">
        <f t="shared" si="44"/>
        <v>281.3</v>
      </c>
      <c r="F320" s="102">
        <f t="shared" si="44"/>
        <v>207.6</v>
      </c>
      <c r="G320" s="102">
        <f t="shared" si="44"/>
        <v>15.3</v>
      </c>
      <c r="H320" s="102">
        <f t="shared" si="44"/>
        <v>239.9</v>
      </c>
      <c r="I320" s="102">
        <f t="shared" si="44"/>
        <v>224.6</v>
      </c>
      <c r="J320" s="102">
        <f t="shared" si="44"/>
        <v>155.69999999999999</v>
      </c>
      <c r="K320" s="102">
        <f t="shared" si="44"/>
        <v>15.3</v>
      </c>
      <c r="L320" s="102">
        <f t="shared" si="44"/>
        <v>191.9</v>
      </c>
      <c r="M320" s="102">
        <f t="shared" si="44"/>
        <v>176.6</v>
      </c>
      <c r="N320" s="102">
        <f t="shared" si="44"/>
        <v>140.19999999999999</v>
      </c>
      <c r="O320" s="102">
        <f t="shared" si="44"/>
        <v>15.3</v>
      </c>
      <c r="P320" s="116">
        <f>SUM(L320/D320*100)</f>
        <v>64.69993256911664</v>
      </c>
      <c r="Q320" s="116">
        <f>SUM(L320/H320*100)</f>
        <v>79.991663192997081</v>
      </c>
    </row>
    <row r="321" spans="1:17" ht="14.25" customHeight="1">
      <c r="A321" s="229"/>
      <c r="B321" s="226" t="s">
        <v>357</v>
      </c>
      <c r="C321" s="17" t="s">
        <v>109</v>
      </c>
      <c r="D321" s="18">
        <v>0.5</v>
      </c>
      <c r="E321" s="18">
        <v>0.5</v>
      </c>
      <c r="F321" s="18">
        <v>0</v>
      </c>
      <c r="G321" s="18">
        <v>0</v>
      </c>
      <c r="H321" s="18">
        <v>0.4</v>
      </c>
      <c r="I321" s="18">
        <v>0.4</v>
      </c>
      <c r="J321" s="18">
        <v>0</v>
      </c>
      <c r="K321" s="18">
        <v>0</v>
      </c>
      <c r="L321" s="180">
        <v>0</v>
      </c>
      <c r="M321" s="180">
        <v>0</v>
      </c>
      <c r="N321" s="180">
        <v>0</v>
      </c>
      <c r="O321" s="180">
        <v>0</v>
      </c>
      <c r="P321" s="18"/>
      <c r="Q321" s="19"/>
    </row>
    <row r="322" spans="1:17" ht="20.25" customHeight="1">
      <c r="A322" s="230"/>
      <c r="B322" s="227"/>
      <c r="C322" s="17" t="s">
        <v>102</v>
      </c>
      <c r="D322" s="18">
        <v>296.10000000000002</v>
      </c>
      <c r="E322" s="18">
        <v>280.8</v>
      </c>
      <c r="F322" s="18">
        <v>207.6</v>
      </c>
      <c r="G322" s="18">
        <v>15.3</v>
      </c>
      <c r="H322" s="18">
        <v>239.5</v>
      </c>
      <c r="I322" s="18">
        <v>224.2</v>
      </c>
      <c r="J322" s="18">
        <v>155.69999999999999</v>
      </c>
      <c r="K322" s="18">
        <v>15.3</v>
      </c>
      <c r="L322" s="180">
        <v>191.9</v>
      </c>
      <c r="M322" s="180">
        <v>176.6</v>
      </c>
      <c r="N322" s="180">
        <v>140.19999999999999</v>
      </c>
      <c r="O322" s="180">
        <v>15.3</v>
      </c>
      <c r="P322" s="186"/>
      <c r="Q322" s="186"/>
    </row>
    <row r="323" spans="1:17">
      <c r="A323" s="100" t="s">
        <v>128</v>
      </c>
      <c r="B323" s="100"/>
      <c r="C323" s="101"/>
      <c r="D323" s="102">
        <f t="shared" ref="D323:O323" si="45">SUBTOTAL(9,D324:D325)</f>
        <v>141.19999999999999</v>
      </c>
      <c r="E323" s="102">
        <f t="shared" si="45"/>
        <v>28</v>
      </c>
      <c r="F323" s="102">
        <f t="shared" si="45"/>
        <v>0</v>
      </c>
      <c r="G323" s="102">
        <f t="shared" si="45"/>
        <v>113.2</v>
      </c>
      <c r="H323" s="102">
        <f t="shared" si="45"/>
        <v>108.9</v>
      </c>
      <c r="I323" s="102">
        <f t="shared" si="45"/>
        <v>24</v>
      </c>
      <c r="J323" s="102">
        <f t="shared" si="45"/>
        <v>0</v>
      </c>
      <c r="K323" s="102">
        <f t="shared" si="45"/>
        <v>84.9</v>
      </c>
      <c r="L323" s="102">
        <f t="shared" si="45"/>
        <v>104.10000000000001</v>
      </c>
      <c r="M323" s="102">
        <f t="shared" si="45"/>
        <v>19.2</v>
      </c>
      <c r="N323" s="102">
        <f t="shared" si="45"/>
        <v>0</v>
      </c>
      <c r="O323" s="102">
        <f t="shared" si="45"/>
        <v>84.9</v>
      </c>
      <c r="P323" s="117">
        <f>SUM(L323/D323*100)</f>
        <v>73.725212464589248</v>
      </c>
      <c r="Q323" s="116">
        <f>SUM(L323/H323*100)</f>
        <v>95.592286501377416</v>
      </c>
    </row>
    <row r="324" spans="1:17" ht="35.25" customHeight="1">
      <c r="A324" s="229"/>
      <c r="B324" s="226" t="s">
        <v>333</v>
      </c>
      <c r="C324" s="17" t="s">
        <v>297</v>
      </c>
      <c r="D324" s="18">
        <v>113.2</v>
      </c>
      <c r="E324" s="18">
        <v>0</v>
      </c>
      <c r="F324" s="18">
        <v>0</v>
      </c>
      <c r="G324" s="18">
        <v>113.2</v>
      </c>
      <c r="H324" s="18">
        <v>84.9</v>
      </c>
      <c r="I324" s="18">
        <v>0</v>
      </c>
      <c r="J324" s="18">
        <v>0</v>
      </c>
      <c r="K324" s="18">
        <v>84.9</v>
      </c>
      <c r="L324" s="180">
        <v>84.9</v>
      </c>
      <c r="M324" s="180">
        <v>0</v>
      </c>
      <c r="N324" s="180">
        <v>0</v>
      </c>
      <c r="O324" s="180">
        <v>84.9</v>
      </c>
      <c r="P324" s="19"/>
      <c r="Q324" s="19"/>
    </row>
    <row r="325" spans="1:17" ht="35.25" customHeight="1">
      <c r="A325" s="230"/>
      <c r="B325" s="227"/>
      <c r="C325" s="17" t="s">
        <v>102</v>
      </c>
      <c r="D325" s="18">
        <v>28</v>
      </c>
      <c r="E325" s="18">
        <v>28</v>
      </c>
      <c r="F325" s="18">
        <v>0</v>
      </c>
      <c r="G325" s="18">
        <v>0</v>
      </c>
      <c r="H325" s="18">
        <v>24</v>
      </c>
      <c r="I325" s="18">
        <v>24</v>
      </c>
      <c r="J325" s="18">
        <v>0</v>
      </c>
      <c r="K325" s="18">
        <v>0</v>
      </c>
      <c r="L325" s="180">
        <v>19.2</v>
      </c>
      <c r="M325" s="180">
        <v>19.2</v>
      </c>
      <c r="N325" s="180">
        <v>0</v>
      </c>
      <c r="O325" s="180">
        <v>0</v>
      </c>
      <c r="P325" s="19"/>
      <c r="Q325" s="19"/>
    </row>
    <row r="326" spans="1:17" ht="15.95" customHeight="1">
      <c r="A326" s="269" t="s">
        <v>129</v>
      </c>
      <c r="B326" s="270"/>
      <c r="C326" s="271"/>
      <c r="D326" s="188">
        <f>SUBTOTAL(9,D11:D325)</f>
        <v>130983.6</v>
      </c>
      <c r="E326" s="188">
        <f>SUBTOTAL(9,E11:E325)</f>
        <v>94371.999999999985</v>
      </c>
      <c r="F326" s="188">
        <f>SUBTOTAL(9,F11:F325)</f>
        <v>54939.000000000036</v>
      </c>
      <c r="G326" s="188">
        <f>SUBTOTAL(9,G11:G325)</f>
        <v>36611.599999999977</v>
      </c>
      <c r="H326" s="188">
        <f>SUBTOTAL(9,H11:H325)</f>
        <v>103861.59999999998</v>
      </c>
      <c r="I326" s="188">
        <f t="shared" ref="I326:N326" si="46">SUBTOTAL(9,I11:I325)</f>
        <v>74338.29999999993</v>
      </c>
      <c r="J326" s="188">
        <f t="shared" si="46"/>
        <v>41404.69999999999</v>
      </c>
      <c r="K326" s="188">
        <f t="shared" si="46"/>
        <v>29523.300000000014</v>
      </c>
      <c r="L326" s="188">
        <f t="shared" si="46"/>
        <v>83349.500000000015</v>
      </c>
      <c r="M326" s="188">
        <f t="shared" si="46"/>
        <v>64205.899999999972</v>
      </c>
      <c r="N326" s="188">
        <f t="shared" si="46"/>
        <v>37622.799999999996</v>
      </c>
      <c r="O326" s="188">
        <v>19143.599999999999</v>
      </c>
      <c r="P326" s="186">
        <f>SUM(L326/D326*100)</f>
        <v>63.633538855246009</v>
      </c>
      <c r="Q326" s="186">
        <f>SUM(L326/H326*100)</f>
        <v>80.250544955979905</v>
      </c>
    </row>
    <row r="327" spans="1:17">
      <c r="O327" s="115"/>
    </row>
    <row r="328" spans="1:17">
      <c r="H328" s="310"/>
      <c r="I328" s="310"/>
      <c r="J328" s="310"/>
    </row>
    <row r="329" spans="1:17">
      <c r="O329" s="115"/>
    </row>
  </sheetData>
  <sheetProtection selectLockedCells="1"/>
  <mergeCells count="128">
    <mergeCell ref="A324:A325"/>
    <mergeCell ref="A12:A75"/>
    <mergeCell ref="A135:A140"/>
    <mergeCell ref="A241:A244"/>
    <mergeCell ref="A233:A239"/>
    <mergeCell ref="A246:A252"/>
    <mergeCell ref="A254:A256"/>
    <mergeCell ref="A258:A261"/>
    <mergeCell ref="A263:A264"/>
    <mergeCell ref="A266:A269"/>
    <mergeCell ref="A271:A276"/>
    <mergeCell ref="A278:A280"/>
    <mergeCell ref="B324:B325"/>
    <mergeCell ref="A326:C326"/>
    <mergeCell ref="P1:Q1"/>
    <mergeCell ref="A82:A87"/>
    <mergeCell ref="A89:A98"/>
    <mergeCell ref="A100:A109"/>
    <mergeCell ref="A111:A116"/>
    <mergeCell ref="A118:A126"/>
    <mergeCell ref="A128:A133"/>
    <mergeCell ref="A142:A146"/>
    <mergeCell ref="A148:A151"/>
    <mergeCell ref="A153:A157"/>
    <mergeCell ref="A159:A162"/>
    <mergeCell ref="A165:A171"/>
    <mergeCell ref="A173:A180"/>
    <mergeCell ref="A182:A189"/>
    <mergeCell ref="A191:A197"/>
    <mergeCell ref="A199:A200"/>
    <mergeCell ref="A202:A203"/>
    <mergeCell ref="A205:A208"/>
    <mergeCell ref="A210:A211"/>
    <mergeCell ref="A213:A214"/>
    <mergeCell ref="A216:A218"/>
    <mergeCell ref="A220:A224"/>
    <mergeCell ref="B26:B34"/>
    <mergeCell ref="B35:B39"/>
    <mergeCell ref="B40:B48"/>
    <mergeCell ref="B49:B59"/>
    <mergeCell ref="B60:B65"/>
    <mergeCell ref="B66:B68"/>
    <mergeCell ref="B69:B75"/>
    <mergeCell ref="B142:B146"/>
    <mergeCell ref="B148:B151"/>
    <mergeCell ref="Q7:Q9"/>
    <mergeCell ref="E8:F8"/>
    <mergeCell ref="G8:G9"/>
    <mergeCell ref="I8:J8"/>
    <mergeCell ref="K8:K9"/>
    <mergeCell ref="M8:N8"/>
    <mergeCell ref="O8:O9"/>
    <mergeCell ref="B12:B21"/>
    <mergeCell ref="B22:B25"/>
    <mergeCell ref="A2:I2"/>
    <mergeCell ref="B77:B79"/>
    <mergeCell ref="B82:B87"/>
    <mergeCell ref="B89:B94"/>
    <mergeCell ref="B95:B97"/>
    <mergeCell ref="B100:B106"/>
    <mergeCell ref="B107:B109"/>
    <mergeCell ref="B111:B116"/>
    <mergeCell ref="B118:B123"/>
    <mergeCell ref="A4:P4"/>
    <mergeCell ref="A6:A9"/>
    <mergeCell ref="B6:B9"/>
    <mergeCell ref="C6:C9"/>
    <mergeCell ref="D6:G6"/>
    <mergeCell ref="H6:K6"/>
    <mergeCell ref="L6:O6"/>
    <mergeCell ref="P6:Q6"/>
    <mergeCell ref="D7:D9"/>
    <mergeCell ref="E7:G7"/>
    <mergeCell ref="H7:H9"/>
    <mergeCell ref="I7:K7"/>
    <mergeCell ref="L7:L9"/>
    <mergeCell ref="M7:O7"/>
    <mergeCell ref="P7:P9"/>
    <mergeCell ref="B124:B126"/>
    <mergeCell ref="B128:B133"/>
    <mergeCell ref="B135:B140"/>
    <mergeCell ref="B187:B189"/>
    <mergeCell ref="B191:B194"/>
    <mergeCell ref="B195:B197"/>
    <mergeCell ref="B199:B200"/>
    <mergeCell ref="B202:B203"/>
    <mergeCell ref="B205:B208"/>
    <mergeCell ref="B153:B157"/>
    <mergeCell ref="B159:B162"/>
    <mergeCell ref="B164:B168"/>
    <mergeCell ref="B169:B171"/>
    <mergeCell ref="B173:B177"/>
    <mergeCell ref="B178:B180"/>
    <mergeCell ref="B182:B186"/>
    <mergeCell ref="B210:B211"/>
    <mergeCell ref="B213:B214"/>
    <mergeCell ref="B216:B218"/>
    <mergeCell ref="B220:B224"/>
    <mergeCell ref="B226:B231"/>
    <mergeCell ref="B233:B238"/>
    <mergeCell ref="A226:A231"/>
    <mergeCell ref="B285:B286"/>
    <mergeCell ref="B289:B290"/>
    <mergeCell ref="A289:A290"/>
    <mergeCell ref="B241:B244"/>
    <mergeCell ref="B246:B252"/>
    <mergeCell ref="B255:B256"/>
    <mergeCell ref="B258:B261"/>
    <mergeCell ref="B263:B264"/>
    <mergeCell ref="B266:B267"/>
    <mergeCell ref="B271:B276"/>
    <mergeCell ref="B278:B280"/>
    <mergeCell ref="B282:B284"/>
    <mergeCell ref="B292:B293"/>
    <mergeCell ref="B295:B296"/>
    <mergeCell ref="B298:B299"/>
    <mergeCell ref="B304:B306"/>
    <mergeCell ref="B308:B310"/>
    <mergeCell ref="B312:B316"/>
    <mergeCell ref="B318:B319"/>
    <mergeCell ref="B321:B322"/>
    <mergeCell ref="A292:A293"/>
    <mergeCell ref="A298:A299"/>
    <mergeCell ref="A303:A306"/>
    <mergeCell ref="A308:A310"/>
    <mergeCell ref="A312:A316"/>
    <mergeCell ref="A318:A319"/>
    <mergeCell ref="A321:A322"/>
  </mergeCells>
  <conditionalFormatting sqref="D326">
    <cfRule type="cellIs" dxfId="1" priority="1" stopIfTrue="1" operator="equal">
      <formula>0</formula>
    </cfRule>
  </conditionalFormatting>
  <pageMargins left="0" right="0" top="0.55118110236220474" bottom="0.11811023622047245" header="0" footer="0"/>
  <pageSetup paperSize="9" fitToHeight="0" orientation="landscape" horizontalDpi="4294967294" verticalDpi="4294967294" r:id="rId1"/>
  <headerFooter differentFirst="1" alignWithMargins="0">
    <oddHeader>&amp;C&amp;P&amp;R4 lentelė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"/>
  <sheetViews>
    <sheetView showZeros="0" zoomScale="110" zoomScaleNormal="110" workbookViewId="0"/>
  </sheetViews>
  <sheetFormatPr defaultColWidth="8.85546875" defaultRowHeight="12"/>
  <cols>
    <col min="1" max="1" width="5.5703125" style="13" customWidth="1"/>
    <col min="2" max="2" width="23.28515625" style="13" customWidth="1"/>
    <col min="3" max="3" width="7.85546875" style="13" customWidth="1"/>
    <col min="4" max="4" width="8.42578125" style="13" customWidth="1"/>
    <col min="5" max="5" width="9.42578125" style="13" customWidth="1"/>
    <col min="6" max="6" width="8" style="13" customWidth="1"/>
    <col min="7" max="7" width="7.5703125" style="13" customWidth="1"/>
    <col min="8" max="8" width="8.5703125" style="13" customWidth="1"/>
    <col min="9" max="9" width="9.42578125" style="13" customWidth="1"/>
    <col min="10" max="10" width="7.85546875" style="13" customWidth="1"/>
    <col min="11" max="11" width="8.140625" style="13" customWidth="1"/>
    <col min="12" max="12" width="8.28515625" style="13" customWidth="1"/>
    <col min="13" max="13" width="9.42578125" style="13" customWidth="1"/>
    <col min="14" max="14" width="7.28515625" style="13" customWidth="1"/>
    <col min="15" max="15" width="7" style="13" customWidth="1"/>
    <col min="16" max="16" width="8" style="13" customWidth="1"/>
    <col min="17" max="16384" width="8.85546875" style="13"/>
  </cols>
  <sheetData>
    <row r="1" spans="1:16">
      <c r="O1" s="272" t="s">
        <v>303</v>
      </c>
      <c r="P1" s="272"/>
    </row>
    <row r="2" spans="1:16" ht="12.75">
      <c r="A2" s="233" t="s">
        <v>414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6" ht="12.75" customHeight="1">
      <c r="A3" s="14"/>
      <c r="B3" s="14"/>
      <c r="C3" s="14"/>
      <c r="D3" s="14"/>
      <c r="E3" s="14"/>
      <c r="F3" s="14"/>
      <c r="G3" s="14"/>
      <c r="H3" s="14"/>
      <c r="I3" s="11"/>
      <c r="J3" s="11"/>
      <c r="K3" s="12"/>
      <c r="L3" s="12"/>
      <c r="M3" s="12"/>
      <c r="N3" s="12"/>
    </row>
    <row r="4" spans="1:16" ht="15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71"/>
      <c r="P4" s="171" t="s">
        <v>408</v>
      </c>
    </row>
    <row r="5" spans="1:16" ht="12.75" customHeight="1" thickBot="1">
      <c r="A5" s="234" t="s">
        <v>194</v>
      </c>
      <c r="B5" s="234" t="s">
        <v>130</v>
      </c>
      <c r="C5" s="237" t="s">
        <v>90</v>
      </c>
      <c r="D5" s="238"/>
      <c r="E5" s="238"/>
      <c r="F5" s="239"/>
      <c r="G5" s="237" t="s">
        <v>345</v>
      </c>
      <c r="H5" s="238"/>
      <c r="I5" s="238"/>
      <c r="J5" s="239"/>
      <c r="K5" s="237" t="s">
        <v>91</v>
      </c>
      <c r="L5" s="238"/>
      <c r="M5" s="238"/>
      <c r="N5" s="239"/>
      <c r="O5" s="243" t="s">
        <v>92</v>
      </c>
      <c r="P5" s="244"/>
    </row>
    <row r="6" spans="1:16" ht="12" customHeight="1">
      <c r="A6" s="235"/>
      <c r="B6" s="235"/>
      <c r="C6" s="245" t="s">
        <v>93</v>
      </c>
      <c r="D6" s="247" t="s">
        <v>94</v>
      </c>
      <c r="E6" s="248"/>
      <c r="F6" s="249"/>
      <c r="G6" s="245" t="s">
        <v>93</v>
      </c>
      <c r="H6" s="247" t="s">
        <v>94</v>
      </c>
      <c r="I6" s="248"/>
      <c r="J6" s="249"/>
      <c r="K6" s="245" t="s">
        <v>93</v>
      </c>
      <c r="L6" s="247" t="s">
        <v>94</v>
      </c>
      <c r="M6" s="248"/>
      <c r="N6" s="249"/>
      <c r="O6" s="255" t="s">
        <v>95</v>
      </c>
      <c r="P6" s="258" t="s">
        <v>96</v>
      </c>
    </row>
    <row r="7" spans="1:16" ht="12" customHeight="1">
      <c r="A7" s="235"/>
      <c r="B7" s="235"/>
      <c r="C7" s="245"/>
      <c r="D7" s="261" t="s">
        <v>97</v>
      </c>
      <c r="E7" s="262"/>
      <c r="F7" s="263" t="s">
        <v>98</v>
      </c>
      <c r="G7" s="245"/>
      <c r="H7" s="261" t="s">
        <v>97</v>
      </c>
      <c r="I7" s="262"/>
      <c r="J7" s="263" t="s">
        <v>98</v>
      </c>
      <c r="K7" s="245"/>
      <c r="L7" s="261" t="s">
        <v>97</v>
      </c>
      <c r="M7" s="262"/>
      <c r="N7" s="263" t="s">
        <v>98</v>
      </c>
      <c r="O7" s="256"/>
      <c r="P7" s="259"/>
    </row>
    <row r="8" spans="1:16" ht="42.6" customHeight="1" thickBot="1">
      <c r="A8" s="236"/>
      <c r="B8" s="236"/>
      <c r="C8" s="246"/>
      <c r="D8" s="172" t="s">
        <v>93</v>
      </c>
      <c r="E8" s="173" t="s">
        <v>346</v>
      </c>
      <c r="F8" s="264"/>
      <c r="G8" s="246"/>
      <c r="H8" s="172" t="s">
        <v>93</v>
      </c>
      <c r="I8" s="173" t="s">
        <v>346</v>
      </c>
      <c r="J8" s="264"/>
      <c r="K8" s="246"/>
      <c r="L8" s="172" t="s">
        <v>93</v>
      </c>
      <c r="M8" s="173" t="s">
        <v>346</v>
      </c>
      <c r="N8" s="264"/>
      <c r="O8" s="257"/>
      <c r="P8" s="260"/>
    </row>
    <row r="9" spans="1:16" ht="12" customHeight="1">
      <c r="A9" s="176">
        <v>1</v>
      </c>
      <c r="B9" s="176">
        <v>2</v>
      </c>
      <c r="C9" s="177">
        <v>3</v>
      </c>
      <c r="D9" s="177">
        <v>4</v>
      </c>
      <c r="E9" s="177">
        <v>5</v>
      </c>
      <c r="F9" s="177">
        <v>6</v>
      </c>
      <c r="G9" s="177">
        <v>7</v>
      </c>
      <c r="H9" s="177">
        <v>8</v>
      </c>
      <c r="I9" s="177">
        <v>9</v>
      </c>
      <c r="J9" s="177">
        <v>10</v>
      </c>
      <c r="K9" s="177">
        <v>11</v>
      </c>
      <c r="L9" s="177">
        <v>12</v>
      </c>
      <c r="M9" s="177">
        <v>13</v>
      </c>
      <c r="N9" s="177">
        <v>14</v>
      </c>
      <c r="O9" s="177">
        <v>15</v>
      </c>
      <c r="P9" s="177">
        <v>16</v>
      </c>
    </row>
    <row r="10" spans="1:16" ht="20.45" customHeight="1">
      <c r="A10" s="17" t="s">
        <v>131</v>
      </c>
      <c r="B10" s="17" t="s">
        <v>132</v>
      </c>
      <c r="C10" s="18">
        <v>53794.7</v>
      </c>
      <c r="D10" s="18">
        <v>47165.7</v>
      </c>
      <c r="E10" s="18">
        <v>33688.199999999997</v>
      </c>
      <c r="F10" s="18">
        <v>6629</v>
      </c>
      <c r="G10" s="18">
        <v>39777.9</v>
      </c>
      <c r="H10" s="18">
        <v>34893.599999999999</v>
      </c>
      <c r="I10" s="18">
        <v>24522.3</v>
      </c>
      <c r="J10" s="18">
        <v>4884.3</v>
      </c>
      <c r="K10" s="18">
        <v>34556.5</v>
      </c>
      <c r="L10" s="18">
        <v>31164.1</v>
      </c>
      <c r="M10" s="18">
        <v>22643.5</v>
      </c>
      <c r="N10" s="18">
        <v>3392.4</v>
      </c>
      <c r="O10" s="116">
        <f>SUM(K10/C10*100)</f>
        <v>64.237740892690169</v>
      </c>
      <c r="P10" s="116">
        <f>SUM(K10/G10*100)</f>
        <v>86.87361575145998</v>
      </c>
    </row>
    <row r="11" spans="1:16" ht="22.5">
      <c r="A11" s="17" t="s">
        <v>133</v>
      </c>
      <c r="B11" s="17" t="s">
        <v>134</v>
      </c>
      <c r="C11" s="18">
        <v>1474.2</v>
      </c>
      <c r="D11" s="18">
        <v>921.7</v>
      </c>
      <c r="E11" s="18">
        <v>108.4</v>
      </c>
      <c r="F11" s="18">
        <v>552.5</v>
      </c>
      <c r="G11" s="18">
        <v>1193.9000000000001</v>
      </c>
      <c r="H11" s="18">
        <v>813.4</v>
      </c>
      <c r="I11" s="18">
        <v>90.2</v>
      </c>
      <c r="J11" s="18">
        <v>380.5</v>
      </c>
      <c r="K11" s="18">
        <v>751.2</v>
      </c>
      <c r="L11" s="18">
        <v>564.70000000000005</v>
      </c>
      <c r="M11" s="18">
        <v>70.2</v>
      </c>
      <c r="N11" s="18">
        <v>186.5</v>
      </c>
      <c r="O11" s="116">
        <f t="shared" ref="O11:O19" si="0">SUM(K11/C11*100)</f>
        <v>50.956450956450958</v>
      </c>
      <c r="P11" s="116">
        <f t="shared" ref="P11:P19" si="1">SUM(K11/G11*100)</f>
        <v>62.91984253287545</v>
      </c>
    </row>
    <row r="12" spans="1:16">
      <c r="A12" s="17" t="s">
        <v>135</v>
      </c>
      <c r="B12" s="17" t="s">
        <v>136</v>
      </c>
      <c r="C12" s="18">
        <v>7601.8</v>
      </c>
      <c r="D12" s="18">
        <v>5299.1</v>
      </c>
      <c r="E12" s="18">
        <v>970.2</v>
      </c>
      <c r="F12" s="18">
        <v>2302.6999999999998</v>
      </c>
      <c r="G12" s="18">
        <v>6640.6</v>
      </c>
      <c r="H12" s="18">
        <v>4557.2</v>
      </c>
      <c r="I12" s="18">
        <v>742.4</v>
      </c>
      <c r="J12" s="18">
        <v>2083.4</v>
      </c>
      <c r="K12" s="18">
        <v>5477.2</v>
      </c>
      <c r="L12" s="18">
        <v>4167.1000000000004</v>
      </c>
      <c r="M12" s="18">
        <v>648.79999999999995</v>
      </c>
      <c r="N12" s="18">
        <v>1310.0999999999999</v>
      </c>
      <c r="O12" s="116">
        <f t="shared" si="0"/>
        <v>72.051356257728429</v>
      </c>
      <c r="P12" s="116">
        <f t="shared" si="1"/>
        <v>82.480498750112929</v>
      </c>
    </row>
    <row r="13" spans="1:16">
      <c r="A13" s="17" t="s">
        <v>137</v>
      </c>
      <c r="B13" s="17" t="s">
        <v>138</v>
      </c>
      <c r="C13" s="18">
        <v>2054.4</v>
      </c>
      <c r="D13" s="18">
        <v>1755.1</v>
      </c>
      <c r="E13" s="18">
        <v>1138</v>
      </c>
      <c r="F13" s="18">
        <v>299.3</v>
      </c>
      <c r="G13" s="18">
        <v>1694</v>
      </c>
      <c r="H13" s="18">
        <v>1395.7</v>
      </c>
      <c r="I13" s="18">
        <v>856.1</v>
      </c>
      <c r="J13" s="18">
        <v>298.3</v>
      </c>
      <c r="K13" s="18">
        <v>1452.6</v>
      </c>
      <c r="L13" s="18">
        <v>1158.7</v>
      </c>
      <c r="M13" s="18">
        <v>807.2</v>
      </c>
      <c r="N13" s="18">
        <v>293.89999999999998</v>
      </c>
      <c r="O13" s="116">
        <f t="shared" si="0"/>
        <v>70.706775700934571</v>
      </c>
      <c r="P13" s="116">
        <f t="shared" si="1"/>
        <v>85.74970484061393</v>
      </c>
    </row>
    <row r="14" spans="1:16">
      <c r="A14" s="17" t="s">
        <v>139</v>
      </c>
      <c r="B14" s="17" t="s">
        <v>140</v>
      </c>
      <c r="C14" s="18">
        <v>16738.5</v>
      </c>
      <c r="D14" s="18">
        <v>14978</v>
      </c>
      <c r="E14" s="18">
        <v>5443.3</v>
      </c>
      <c r="F14" s="18">
        <v>1760.5</v>
      </c>
      <c r="G14" s="18">
        <v>14385</v>
      </c>
      <c r="H14" s="18">
        <v>12743.5</v>
      </c>
      <c r="I14" s="18">
        <v>4259.8999999999996</v>
      </c>
      <c r="J14" s="18">
        <v>1641.5</v>
      </c>
      <c r="K14" s="18">
        <v>11713</v>
      </c>
      <c r="L14" s="18">
        <v>11148</v>
      </c>
      <c r="M14" s="18">
        <v>3678.7</v>
      </c>
      <c r="N14" s="18">
        <v>565</v>
      </c>
      <c r="O14" s="116">
        <f t="shared" si="0"/>
        <v>69.976401708635777</v>
      </c>
      <c r="P14" s="116">
        <f t="shared" si="1"/>
        <v>81.425095585679529</v>
      </c>
    </row>
    <row r="15" spans="1:16" ht="22.5">
      <c r="A15" s="17" t="s">
        <v>141</v>
      </c>
      <c r="B15" s="17" t="s">
        <v>142</v>
      </c>
      <c r="C15" s="18">
        <f>14340.1-0.2</f>
        <v>14339.9</v>
      </c>
      <c r="D15" s="18">
        <f>3201.6-44.4</f>
        <v>3157.2</v>
      </c>
      <c r="E15" s="18">
        <v>15.5</v>
      </c>
      <c r="F15" s="18">
        <f>11138.5+44.2</f>
        <v>11182.7</v>
      </c>
      <c r="G15" s="18">
        <v>11962.7</v>
      </c>
      <c r="H15" s="18">
        <v>2795.5</v>
      </c>
      <c r="I15" s="18">
        <v>11.8</v>
      </c>
      <c r="J15" s="18">
        <v>9167.2000000000007</v>
      </c>
      <c r="K15" s="18">
        <v>7855.2</v>
      </c>
      <c r="L15" s="18">
        <v>2023.3</v>
      </c>
      <c r="M15" s="18">
        <v>0</v>
      </c>
      <c r="N15" s="18">
        <v>5831</v>
      </c>
      <c r="O15" s="116">
        <f t="shared" si="0"/>
        <v>54.778624676601652</v>
      </c>
      <c r="P15" s="116">
        <f t="shared" si="1"/>
        <v>65.664105929263457</v>
      </c>
    </row>
    <row r="16" spans="1:16" ht="22.5">
      <c r="A16" s="17" t="s">
        <v>143</v>
      </c>
      <c r="B16" s="17" t="s">
        <v>360</v>
      </c>
      <c r="C16" s="18">
        <v>9034.2000000000007</v>
      </c>
      <c r="D16" s="18">
        <v>5668</v>
      </c>
      <c r="E16" s="18">
        <v>3606.8</v>
      </c>
      <c r="F16" s="18">
        <v>3366.2</v>
      </c>
      <c r="G16" s="18">
        <v>7876</v>
      </c>
      <c r="H16" s="18">
        <v>4549.6000000000004</v>
      </c>
      <c r="I16" s="18">
        <v>2774.6</v>
      </c>
      <c r="J16" s="18">
        <v>3326.4</v>
      </c>
      <c r="K16" s="18">
        <v>5167.1000000000004</v>
      </c>
      <c r="L16" s="18">
        <v>3646.2</v>
      </c>
      <c r="M16" s="18">
        <v>2569.5</v>
      </c>
      <c r="N16" s="18">
        <v>1521.8</v>
      </c>
      <c r="O16" s="116">
        <f t="shared" si="0"/>
        <v>57.194881671869126</v>
      </c>
      <c r="P16" s="116">
        <f t="shared" si="1"/>
        <v>65.605637379380397</v>
      </c>
    </row>
    <row r="17" spans="1:16" ht="30.75" customHeight="1">
      <c r="A17" s="17" t="s">
        <v>144</v>
      </c>
      <c r="B17" s="17" t="s">
        <v>145</v>
      </c>
      <c r="C17" s="18">
        <v>9357.7000000000007</v>
      </c>
      <c r="D17" s="18">
        <v>2458.9</v>
      </c>
      <c r="E17" s="18">
        <v>989.2</v>
      </c>
      <c r="F17" s="18">
        <v>6898.8</v>
      </c>
      <c r="G17" s="18">
        <v>6340.3</v>
      </c>
      <c r="H17" s="18">
        <v>1922.3</v>
      </c>
      <c r="I17" s="18">
        <v>748</v>
      </c>
      <c r="J17" s="18">
        <v>4418</v>
      </c>
      <c r="K17" s="18">
        <v>5835.8</v>
      </c>
      <c r="L17" s="18">
        <v>1685</v>
      </c>
      <c r="M17" s="18">
        <v>710.2</v>
      </c>
      <c r="N17" s="18">
        <v>4150.8</v>
      </c>
      <c r="O17" s="116">
        <f t="shared" si="0"/>
        <v>62.363614990863134</v>
      </c>
      <c r="P17" s="116">
        <f t="shared" si="1"/>
        <v>92.042963266722396</v>
      </c>
    </row>
    <row r="18" spans="1:16" ht="30.6" customHeight="1">
      <c r="A18" s="17" t="s">
        <v>146</v>
      </c>
      <c r="B18" s="17" t="s">
        <v>361</v>
      </c>
      <c r="C18" s="18">
        <v>16588.2</v>
      </c>
      <c r="D18" s="18">
        <v>12968.3</v>
      </c>
      <c r="E18" s="18">
        <v>8979.4</v>
      </c>
      <c r="F18" s="18">
        <v>3619.9</v>
      </c>
      <c r="G18" s="18">
        <v>13991.2</v>
      </c>
      <c r="H18" s="18">
        <v>10667.5</v>
      </c>
      <c r="I18" s="18">
        <v>7399.4</v>
      </c>
      <c r="J18" s="18">
        <v>3323.7</v>
      </c>
      <c r="K18" s="18">
        <v>10540.9</v>
      </c>
      <c r="L18" s="18">
        <v>8648.7999999999993</v>
      </c>
      <c r="M18" s="18">
        <v>6494.7</v>
      </c>
      <c r="N18" s="18">
        <v>1892.1</v>
      </c>
      <c r="O18" s="116">
        <f t="shared" si="0"/>
        <v>63.544567825321607</v>
      </c>
      <c r="P18" s="116">
        <f t="shared" si="1"/>
        <v>75.339499113728621</v>
      </c>
    </row>
    <row r="19" spans="1:16" ht="12.75" customHeight="1">
      <c r="A19" s="273" t="s">
        <v>129</v>
      </c>
      <c r="B19" s="274"/>
      <c r="C19" s="188">
        <f t="shared" ref="C19:N19" si="2">SUBTOTAL(9,C10:C18)</f>
        <v>130983.59999999999</v>
      </c>
      <c r="D19" s="188">
        <f t="shared" si="2"/>
        <v>94371.999999999985</v>
      </c>
      <c r="E19" s="188">
        <f t="shared" si="2"/>
        <v>54939</v>
      </c>
      <c r="F19" s="188">
        <f t="shared" si="2"/>
        <v>36611.600000000006</v>
      </c>
      <c r="G19" s="188">
        <f t="shared" si="2"/>
        <v>103861.6</v>
      </c>
      <c r="H19" s="188">
        <f t="shared" si="2"/>
        <v>74338.299999999988</v>
      </c>
      <c r="I19" s="188">
        <f t="shared" si="2"/>
        <v>41404.700000000004</v>
      </c>
      <c r="J19" s="188">
        <f t="shared" si="2"/>
        <v>29523.300000000003</v>
      </c>
      <c r="K19" s="188">
        <f t="shared" si="2"/>
        <v>83349.499999999985</v>
      </c>
      <c r="L19" s="188">
        <f t="shared" si="2"/>
        <v>64205.899999999994</v>
      </c>
      <c r="M19" s="188">
        <f t="shared" si="2"/>
        <v>37622.800000000003</v>
      </c>
      <c r="N19" s="188">
        <f t="shared" si="2"/>
        <v>19143.599999999999</v>
      </c>
      <c r="O19" s="186">
        <f t="shared" si="0"/>
        <v>63.633538855245995</v>
      </c>
      <c r="P19" s="186">
        <f t="shared" si="1"/>
        <v>80.250544955979862</v>
      </c>
    </row>
    <row r="21" spans="1:16">
      <c r="H21" s="310"/>
      <c r="I21" s="310"/>
      <c r="J21" s="310"/>
    </row>
  </sheetData>
  <sheetProtection selectLockedCells="1"/>
  <mergeCells count="23">
    <mergeCell ref="O1:P1"/>
    <mergeCell ref="A19:B19"/>
    <mergeCell ref="A5:A8"/>
    <mergeCell ref="B5:B8"/>
    <mergeCell ref="D6:F6"/>
    <mergeCell ref="D7:E7"/>
    <mergeCell ref="F7:F8"/>
    <mergeCell ref="H7:I7"/>
    <mergeCell ref="J7:J8"/>
    <mergeCell ref="L7:M7"/>
    <mergeCell ref="N7:N8"/>
    <mergeCell ref="C5:F5"/>
    <mergeCell ref="G5:J5"/>
    <mergeCell ref="A2:P2"/>
    <mergeCell ref="O5:P5"/>
    <mergeCell ref="K5:N5"/>
    <mergeCell ref="C6:C8"/>
    <mergeCell ref="G6:G8"/>
    <mergeCell ref="H6:J6"/>
    <mergeCell ref="K6:K8"/>
    <mergeCell ref="L6:N6"/>
    <mergeCell ref="O6:O8"/>
    <mergeCell ref="P6:P8"/>
  </mergeCells>
  <conditionalFormatting sqref="C19">
    <cfRule type="cellIs" dxfId="0" priority="1" stopIfTrue="1" operator="equal">
      <formula>0</formula>
    </cfRule>
  </conditionalFormatting>
  <printOptions horizontalCentered="1"/>
  <pageMargins left="0" right="0" top="0.86614173228346458" bottom="0.62992125984251968" header="0.51181102362204722" footer="0.31496062992125984"/>
  <pageSetup paperSize="9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zoomScaleNormal="100" workbookViewId="0"/>
  </sheetViews>
  <sheetFormatPr defaultRowHeight="12.75"/>
  <cols>
    <col min="1" max="1" width="5.5703125" customWidth="1"/>
    <col min="2" max="2" width="33.5703125" customWidth="1"/>
    <col min="4" max="4" width="9" customWidth="1"/>
    <col min="6" max="6" width="9" customWidth="1"/>
    <col min="8" max="8" width="8.5703125" customWidth="1"/>
    <col min="9" max="9" width="13.5703125" customWidth="1"/>
    <col min="10" max="10" width="12.28515625" customWidth="1"/>
    <col min="12" max="12" width="9.5703125" bestFit="1" customWidth="1"/>
  </cols>
  <sheetData>
    <row r="1" spans="1:13">
      <c r="J1" t="s">
        <v>293</v>
      </c>
    </row>
    <row r="3" spans="1:13">
      <c r="B3" s="279" t="s">
        <v>387</v>
      </c>
      <c r="C3" s="279"/>
      <c r="D3" s="279"/>
      <c r="E3" s="279"/>
      <c r="F3" s="279"/>
      <c r="G3" s="279"/>
      <c r="H3" s="279"/>
      <c r="I3" s="279"/>
      <c r="J3" s="279"/>
      <c r="K3" s="109"/>
      <c r="L3" s="109"/>
      <c r="M3" s="109"/>
    </row>
    <row r="4" spans="1:13">
      <c r="B4" s="280" t="s">
        <v>276</v>
      </c>
      <c r="C4" s="280"/>
      <c r="D4" s="280"/>
      <c r="E4" s="280"/>
      <c r="F4" s="280"/>
      <c r="G4" s="280"/>
      <c r="H4" s="280"/>
      <c r="I4" s="280"/>
      <c r="J4" s="280"/>
      <c r="K4" s="110"/>
      <c r="L4" s="110"/>
      <c r="M4" s="110"/>
    </row>
    <row r="5" spans="1:13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1:13">
      <c r="J6" s="24" t="s">
        <v>176</v>
      </c>
    </row>
    <row r="7" spans="1:13" ht="27.75" customHeight="1">
      <c r="A7" s="275" t="s">
        <v>388</v>
      </c>
      <c r="B7" s="277" t="s">
        <v>277</v>
      </c>
      <c r="C7" s="277" t="s">
        <v>304</v>
      </c>
      <c r="D7" s="277" t="s">
        <v>306</v>
      </c>
      <c r="E7" s="277" t="s">
        <v>316</v>
      </c>
      <c r="F7" s="277" t="s">
        <v>306</v>
      </c>
      <c r="G7" s="277" t="s">
        <v>362</v>
      </c>
      <c r="H7" s="277" t="s">
        <v>306</v>
      </c>
      <c r="I7" s="281" t="s">
        <v>363</v>
      </c>
      <c r="J7" s="282"/>
      <c r="K7" s="110"/>
      <c r="L7" s="110"/>
    </row>
    <row r="8" spans="1:13" ht="28.5" customHeight="1">
      <c r="A8" s="276"/>
      <c r="B8" s="278"/>
      <c r="C8" s="278"/>
      <c r="D8" s="278"/>
      <c r="E8" s="278"/>
      <c r="F8" s="278"/>
      <c r="G8" s="278"/>
      <c r="H8" s="278"/>
      <c r="I8" s="170" t="s">
        <v>406</v>
      </c>
      <c r="J8" s="169" t="s">
        <v>278</v>
      </c>
      <c r="K8" s="110"/>
      <c r="L8" s="110"/>
    </row>
    <row r="9" spans="1:13">
      <c r="A9" s="23" t="s">
        <v>0</v>
      </c>
      <c r="B9" s="139" t="s">
        <v>167</v>
      </c>
      <c r="C9" s="114">
        <v>3028.3</v>
      </c>
      <c r="D9" s="114">
        <f>SUM(C9/C21*100)</f>
        <v>6.402068415856446</v>
      </c>
      <c r="E9" s="114">
        <v>5164.8999999999996</v>
      </c>
      <c r="F9" s="114">
        <f>SUM(E9/E21*100)</f>
        <v>8.2489127674560105</v>
      </c>
      <c r="G9" s="114">
        <f>7232.4-1017.3-50-247</f>
        <v>5918.0999999999995</v>
      </c>
      <c r="H9" s="114">
        <f>SUM(G9/G21*100)</f>
        <v>7.1003425335484911</v>
      </c>
      <c r="I9" s="114">
        <f>SUM(G9-E9)</f>
        <v>753.19999999999982</v>
      </c>
      <c r="J9" s="140">
        <f>SUM(G9/E9*100)</f>
        <v>114.58305097872174</v>
      </c>
      <c r="L9" s="84"/>
    </row>
    <row r="10" spans="1:13">
      <c r="A10" s="23" t="s">
        <v>1</v>
      </c>
      <c r="B10" s="141" t="s">
        <v>168</v>
      </c>
      <c r="C10" s="114">
        <v>38.799999999999997</v>
      </c>
      <c r="D10" s="114">
        <f>SUM(C10/C21*100)</f>
        <v>8.2026303383162191E-2</v>
      </c>
      <c r="E10" s="114">
        <v>84.9</v>
      </c>
      <c r="F10" s="114">
        <f>SUM(E10/E21*100)</f>
        <v>0.13559462796124136</v>
      </c>
      <c r="G10" s="114">
        <v>75</v>
      </c>
      <c r="H10" s="114">
        <f>SUM(G10/G21*100)</f>
        <v>8.9982543386583E-2</v>
      </c>
      <c r="I10" s="114">
        <f>SUM(G10-E10)</f>
        <v>-9.9000000000000057</v>
      </c>
      <c r="J10" s="140">
        <f t="shared" ref="J10:J21" si="0">SUM(G10/E10*100)</f>
        <v>88.339222614840978</v>
      </c>
      <c r="L10" s="84"/>
    </row>
    <row r="11" spans="1:13">
      <c r="A11" s="23" t="s">
        <v>2</v>
      </c>
      <c r="B11" s="142" t="s">
        <v>169</v>
      </c>
      <c r="C11" s="114">
        <v>591.70000000000005</v>
      </c>
      <c r="D11" s="114">
        <f>SUM(C11/C21*100)</f>
        <v>1.2509011265932235</v>
      </c>
      <c r="E11" s="141">
        <v>707.5</v>
      </c>
      <c r="F11" s="114">
        <f>SUM(E11/E21*100)</f>
        <v>1.1299552330103446</v>
      </c>
      <c r="G11" s="141">
        <v>734.7</v>
      </c>
      <c r="H11" s="114">
        <f>SUM(G11/G21*100)</f>
        <v>0.88146899501496712</v>
      </c>
      <c r="I11" s="114">
        <f t="shared" ref="I11:I21" si="1">SUM(G11-E11)</f>
        <v>27.200000000000045</v>
      </c>
      <c r="J11" s="140">
        <f t="shared" si="0"/>
        <v>103.84452296819788</v>
      </c>
      <c r="L11" s="84"/>
    </row>
    <row r="12" spans="1:13">
      <c r="A12" s="23" t="s">
        <v>3</v>
      </c>
      <c r="B12" s="143" t="s">
        <v>170</v>
      </c>
      <c r="C12" s="114">
        <v>6243.2</v>
      </c>
      <c r="D12" s="114">
        <f>SUM(C12/C21*100)</f>
        <v>13.198624156746346</v>
      </c>
      <c r="E12" s="143">
        <v>8030.9</v>
      </c>
      <c r="F12" s="114">
        <f>SUM(E12/E21*100)</f>
        <v>12.826229654816643</v>
      </c>
      <c r="G12" s="143">
        <v>8485.1</v>
      </c>
      <c r="H12" s="114">
        <f>SUM(G12/G21*100)</f>
        <v>10.18014505185994</v>
      </c>
      <c r="I12" s="114">
        <f t="shared" si="1"/>
        <v>454.20000000000073</v>
      </c>
      <c r="J12" s="140">
        <f t="shared" si="0"/>
        <v>105.65565503243721</v>
      </c>
      <c r="L12" s="84"/>
    </row>
    <row r="13" spans="1:13">
      <c r="A13" s="23" t="s">
        <v>4</v>
      </c>
      <c r="B13" s="144" t="s">
        <v>171</v>
      </c>
      <c r="C13" s="114">
        <v>3219.6</v>
      </c>
      <c r="D13" s="114">
        <f>SUM(C13/C21*100)</f>
        <v>6.8064919168151796</v>
      </c>
      <c r="E13" s="145">
        <v>4661.8999999999996</v>
      </c>
      <c r="F13" s="114">
        <f>SUM(E13/E21*100)</f>
        <v>7.4455665028564306</v>
      </c>
      <c r="G13" s="145">
        <v>5495.1</v>
      </c>
      <c r="H13" s="114">
        <f>SUM(G13/G21*100)</f>
        <v>6.5928409888481641</v>
      </c>
      <c r="I13" s="114">
        <f t="shared" si="1"/>
        <v>833.20000000000073</v>
      </c>
      <c r="J13" s="140">
        <f t="shared" si="0"/>
        <v>117.87254123855082</v>
      </c>
      <c r="L13" s="84"/>
    </row>
    <row r="14" spans="1:13">
      <c r="A14" s="23" t="s">
        <v>5</v>
      </c>
      <c r="B14" s="141" t="s">
        <v>172</v>
      </c>
      <c r="C14" s="114">
        <v>285.10000000000002</v>
      </c>
      <c r="D14" s="114">
        <f>SUM(C14/C21*100)</f>
        <v>0.60272420346751399</v>
      </c>
      <c r="E14" s="141">
        <v>657.3</v>
      </c>
      <c r="F14" s="114">
        <f>SUM(E14/E21*100)</f>
        <v>1.0497803175373843</v>
      </c>
      <c r="G14" s="141">
        <v>1496.2</v>
      </c>
      <c r="H14" s="114">
        <f>SUM(G14/G21*100)</f>
        <v>1.7950917522000731</v>
      </c>
      <c r="I14" s="114">
        <f t="shared" si="1"/>
        <v>838.90000000000009</v>
      </c>
      <c r="J14" s="140">
        <f t="shared" si="0"/>
        <v>227.62817587098741</v>
      </c>
      <c r="L14" s="84"/>
    </row>
    <row r="15" spans="1:13">
      <c r="A15" s="23" t="s">
        <v>6</v>
      </c>
      <c r="B15" s="145" t="s">
        <v>279</v>
      </c>
      <c r="C15" s="114">
        <v>860.7</v>
      </c>
      <c r="D15" s="114">
        <f>SUM(C15/C21*100)</f>
        <v>1.8195886423166934</v>
      </c>
      <c r="E15" s="141">
        <v>977.4</v>
      </c>
      <c r="F15" s="114">
        <f>SUM(E15/E21*100)</f>
        <v>1.5610151869177535</v>
      </c>
      <c r="G15" s="141">
        <v>1500.6</v>
      </c>
      <c r="H15" s="114">
        <f>SUM(G15/G21*100)</f>
        <v>1.8003707280787526</v>
      </c>
      <c r="I15" s="114">
        <f t="shared" si="1"/>
        <v>523.19999999999993</v>
      </c>
      <c r="J15" s="140">
        <f t="shared" si="0"/>
        <v>153.52977286678944</v>
      </c>
      <c r="L15" s="84"/>
    </row>
    <row r="16" spans="1:13">
      <c r="A16" s="23" t="s">
        <v>7</v>
      </c>
      <c r="B16" s="146" t="s">
        <v>173</v>
      </c>
      <c r="C16" s="114">
        <v>3885.2</v>
      </c>
      <c r="D16" s="114">
        <f>SUM(C16/C21*100)</f>
        <v>8.2136235542335498</v>
      </c>
      <c r="E16" s="141">
        <v>5202.3</v>
      </c>
      <c r="F16" s="114">
        <f>SUM(E16/E21*100)</f>
        <v>8.3086446765932376</v>
      </c>
      <c r="G16" s="141">
        <v>11621</v>
      </c>
      <c r="H16" s="114">
        <f>SUM(G16/G21*100)</f>
        <v>13.942495155939746</v>
      </c>
      <c r="I16" s="114">
        <f t="shared" si="1"/>
        <v>6418.7</v>
      </c>
      <c r="J16" s="140">
        <f t="shared" si="0"/>
        <v>223.38196566903102</v>
      </c>
      <c r="L16" s="84"/>
    </row>
    <row r="17" spans="1:12">
      <c r="A17" s="23" t="s">
        <v>20</v>
      </c>
      <c r="B17" s="145" t="s">
        <v>174</v>
      </c>
      <c r="C17" s="114">
        <v>21988.400000000001</v>
      </c>
      <c r="D17" s="114">
        <f>SUM(C17/C21*100)</f>
        <v>46.485236322431021</v>
      </c>
      <c r="E17" s="143">
        <v>27930.1</v>
      </c>
      <c r="F17" s="114">
        <f>SUM(E17/E21*100)</f>
        <v>44.607438379508437</v>
      </c>
      <c r="G17" s="143">
        <v>35084.800000000003</v>
      </c>
      <c r="H17" s="114">
        <f>SUM(G17/G21*100)</f>
        <v>42.093593842794505</v>
      </c>
      <c r="I17" s="114">
        <f t="shared" si="1"/>
        <v>7154.7000000000044</v>
      </c>
      <c r="J17" s="140">
        <f t="shared" si="0"/>
        <v>125.6164496367718</v>
      </c>
      <c r="L17" s="84"/>
    </row>
    <row r="18" spans="1:12">
      <c r="A18" s="23" t="s">
        <v>22</v>
      </c>
      <c r="B18" s="144" t="s">
        <v>175</v>
      </c>
      <c r="C18" s="114">
        <v>6228.1</v>
      </c>
      <c r="D18" s="147">
        <f>SUM(C18/C21*100)</f>
        <v>13.166701548986403</v>
      </c>
      <c r="E18" s="141">
        <v>8136.6</v>
      </c>
      <c r="F18" s="114">
        <f>SUM(E18/E21*100)</f>
        <v>12.995044168073456</v>
      </c>
      <c r="G18" s="141">
        <f>11624.6-2.1</f>
        <v>11622.5</v>
      </c>
      <c r="H18" s="114">
        <f>SUM(G18/G21*100)</f>
        <v>13.944294806807481</v>
      </c>
      <c r="I18" s="114">
        <f t="shared" si="1"/>
        <v>3485.8999999999996</v>
      </c>
      <c r="J18" s="140">
        <f t="shared" si="0"/>
        <v>142.84221910871861</v>
      </c>
      <c r="L18" s="84"/>
    </row>
    <row r="19" spans="1:12">
      <c r="A19" s="4"/>
      <c r="B19" s="148" t="s">
        <v>305</v>
      </c>
      <c r="C19" s="114">
        <v>932.8</v>
      </c>
      <c r="D19" s="147">
        <f>SUM(C19/C21*100)</f>
        <v>1.972013809170456</v>
      </c>
      <c r="E19" s="145">
        <v>1059.3</v>
      </c>
      <c r="F19" s="114">
        <f>SUM(E19/E21*100)</f>
        <v>1.691818485269057</v>
      </c>
      <c r="G19" s="145">
        <v>1266.4000000000001</v>
      </c>
      <c r="H19" s="114">
        <f>SUM(G19/G21*100)</f>
        <v>1.5193852392635829</v>
      </c>
      <c r="I19" s="114">
        <f t="shared" si="1"/>
        <v>207.10000000000014</v>
      </c>
      <c r="J19" s="140">
        <f t="shared" si="0"/>
        <v>119.55064665345041</v>
      </c>
      <c r="L19" s="84"/>
    </row>
    <row r="20" spans="1:12" ht="25.5">
      <c r="A20" s="4"/>
      <c r="B20" s="148" t="s">
        <v>280</v>
      </c>
      <c r="C20" s="114"/>
      <c r="D20" s="147"/>
      <c r="E20" s="114"/>
      <c r="F20" s="114"/>
      <c r="G20" s="114">
        <v>50</v>
      </c>
      <c r="H20" s="114">
        <f>SUM(G20/G21*100)</f>
        <v>5.9988362257722E-2</v>
      </c>
      <c r="I20" s="114">
        <f t="shared" si="1"/>
        <v>50</v>
      </c>
      <c r="J20" s="140"/>
      <c r="L20" s="84"/>
    </row>
    <row r="21" spans="1:12">
      <c r="A21" s="4"/>
      <c r="B21" s="22" t="s">
        <v>163</v>
      </c>
      <c r="C21" s="113">
        <f>SUM(C9:C20)</f>
        <v>47301.9</v>
      </c>
      <c r="D21" s="149">
        <f>SUM(C21/C21*100)</f>
        <v>100</v>
      </c>
      <c r="E21" s="113">
        <f>SUM(E9:E20)</f>
        <v>62613.1</v>
      </c>
      <c r="F21" s="113">
        <f>SUM(E21/E21*100)</f>
        <v>100</v>
      </c>
      <c r="G21" s="113">
        <f>SUM(G9:G20)</f>
        <v>83349.5</v>
      </c>
      <c r="H21" s="113">
        <f>SUM(G21/G21*100)</f>
        <v>100</v>
      </c>
      <c r="I21" s="113">
        <f t="shared" si="1"/>
        <v>20736.400000000001</v>
      </c>
      <c r="J21" s="150">
        <f t="shared" si="0"/>
        <v>133.11830910783846</v>
      </c>
      <c r="K21" s="85"/>
      <c r="L21" s="85"/>
    </row>
    <row r="24" spans="1:12">
      <c r="C24" s="10"/>
      <c r="D24" s="10"/>
      <c r="E24" s="10"/>
    </row>
  </sheetData>
  <mergeCells count="11">
    <mergeCell ref="B3:J3"/>
    <mergeCell ref="B4:J4"/>
    <mergeCell ref="H7:H8"/>
    <mergeCell ref="I7:J7"/>
    <mergeCell ref="F7:F8"/>
    <mergeCell ref="G7:G8"/>
    <mergeCell ref="A7:A8"/>
    <mergeCell ref="B7:B8"/>
    <mergeCell ref="C7:C8"/>
    <mergeCell ref="D7:D8"/>
    <mergeCell ref="E7:E8"/>
  </mergeCells>
  <phoneticPr fontId="2" type="noConversion"/>
  <printOptions horizontalCentered="1"/>
  <pageMargins left="1.1023622047244095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5"/>
  <sheetViews>
    <sheetView zoomScaleNormal="100" workbookViewId="0"/>
  </sheetViews>
  <sheetFormatPr defaultRowHeight="12.75"/>
  <cols>
    <col min="1" max="1" width="5.28515625" customWidth="1"/>
    <col min="2" max="2" width="37.7109375" customWidth="1"/>
    <col min="3" max="3" width="12" customWidth="1"/>
    <col min="4" max="4" width="12.5703125" customWidth="1"/>
    <col min="5" max="5" width="11" customWidth="1"/>
    <col min="6" max="6" width="13" customWidth="1"/>
    <col min="7" max="7" width="11.42578125" customWidth="1"/>
    <col min="8" max="8" width="11.28515625" customWidth="1"/>
  </cols>
  <sheetData>
    <row r="1" spans="1:8">
      <c r="B1" s="110"/>
      <c r="C1" s="110"/>
      <c r="G1" s="40" t="s">
        <v>285</v>
      </c>
    </row>
    <row r="2" spans="1:8">
      <c r="B2" s="110"/>
      <c r="C2" s="110"/>
      <c r="G2" s="40"/>
    </row>
    <row r="3" spans="1:8" ht="12.75" customHeight="1">
      <c r="B3" s="286" t="s">
        <v>389</v>
      </c>
      <c r="C3" s="286"/>
      <c r="D3" s="286"/>
      <c r="E3" s="286"/>
      <c r="F3" s="286"/>
      <c r="G3" s="286"/>
    </row>
    <row r="4" spans="1:8">
      <c r="B4" s="286"/>
      <c r="C4" s="286"/>
      <c r="D4" s="286"/>
      <c r="E4" s="286"/>
      <c r="F4" s="286"/>
      <c r="G4" s="286"/>
    </row>
    <row r="5" spans="1:8">
      <c r="B5" s="85"/>
      <c r="C5" s="85"/>
    </row>
    <row r="6" spans="1:8">
      <c r="G6" s="86" t="s">
        <v>281</v>
      </c>
    </row>
    <row r="7" spans="1:8" ht="27.75" customHeight="1">
      <c r="A7" s="275" t="s">
        <v>388</v>
      </c>
      <c r="B7" s="275" t="s">
        <v>162</v>
      </c>
      <c r="C7" s="284" t="s">
        <v>282</v>
      </c>
      <c r="D7" s="275" t="s">
        <v>407</v>
      </c>
      <c r="E7" s="284" t="s">
        <v>15</v>
      </c>
      <c r="F7" s="287" t="s">
        <v>390</v>
      </c>
      <c r="G7" s="288"/>
    </row>
    <row r="8" spans="1:8">
      <c r="A8" s="276"/>
      <c r="B8" s="283"/>
      <c r="C8" s="285"/>
      <c r="D8" s="283"/>
      <c r="E8" s="285"/>
      <c r="F8" s="170" t="s">
        <v>406</v>
      </c>
      <c r="G8" s="169" t="s">
        <v>278</v>
      </c>
    </row>
    <row r="9" spans="1:8">
      <c r="A9" s="151" t="s">
        <v>0</v>
      </c>
      <c r="B9" s="152" t="s">
        <v>391</v>
      </c>
      <c r="C9" s="4">
        <f>11532.4-1383.6-50-370</f>
        <v>9728.7999999999993</v>
      </c>
      <c r="D9" s="67">
        <f>10002.7-1017.4-50-270</f>
        <v>8665.3000000000011</v>
      </c>
      <c r="E9" s="67">
        <f>7232.4-1017.3-247-50</f>
        <v>5918.0999999999995</v>
      </c>
      <c r="F9" s="68">
        <f>SUM(E9-D9)</f>
        <v>-2747.2000000000016</v>
      </c>
      <c r="G9" s="87">
        <f t="shared" ref="G9:G18" si="0">SUM(E9/D9*100)</f>
        <v>68.296539069622497</v>
      </c>
      <c r="H9" s="88"/>
    </row>
    <row r="10" spans="1:8">
      <c r="A10" s="151" t="s">
        <v>1</v>
      </c>
      <c r="B10" s="71" t="s">
        <v>168</v>
      </c>
      <c r="C10" s="25">
        <v>183.4</v>
      </c>
      <c r="D10" s="4">
        <v>80.8</v>
      </c>
      <c r="E10" s="9">
        <v>75</v>
      </c>
      <c r="F10" s="68">
        <f>SUM(E10-D10)</f>
        <v>-5.7999999999999972</v>
      </c>
      <c r="G10" s="87">
        <f t="shared" si="0"/>
        <v>92.821782178217831</v>
      </c>
    </row>
    <row r="11" spans="1:8">
      <c r="A11" s="151" t="s">
        <v>2</v>
      </c>
      <c r="B11" s="153" t="s">
        <v>169</v>
      </c>
      <c r="C11" s="26">
        <v>979.2</v>
      </c>
      <c r="D11" s="6">
        <v>763.1</v>
      </c>
      <c r="E11" s="4">
        <v>734.7</v>
      </c>
      <c r="F11" s="68">
        <f t="shared" ref="F11:F21" si="1">SUM(E11-D11)</f>
        <v>-28.399999999999977</v>
      </c>
      <c r="G11" s="87">
        <f t="shared" si="0"/>
        <v>96.278338356702932</v>
      </c>
    </row>
    <row r="12" spans="1:8">
      <c r="A12" s="151" t="s">
        <v>3</v>
      </c>
      <c r="B12" s="154" t="s">
        <v>170</v>
      </c>
      <c r="C12" s="27">
        <v>14360.4</v>
      </c>
      <c r="D12" s="27">
        <v>11624.4</v>
      </c>
      <c r="E12" s="67">
        <v>8485.1</v>
      </c>
      <c r="F12" s="68">
        <f t="shared" si="1"/>
        <v>-3139.2999999999993</v>
      </c>
      <c r="G12" s="7">
        <f t="shared" si="0"/>
        <v>72.993874952685729</v>
      </c>
    </row>
    <row r="13" spans="1:8">
      <c r="A13" s="151" t="s">
        <v>4</v>
      </c>
      <c r="B13" s="154" t="s">
        <v>171</v>
      </c>
      <c r="C13" s="4">
        <v>7627.6</v>
      </c>
      <c r="D13" s="3">
        <v>6661.1</v>
      </c>
      <c r="E13" s="28">
        <v>5495.1</v>
      </c>
      <c r="F13" s="68">
        <f>SUM(E13-D13)</f>
        <v>-1166</v>
      </c>
      <c r="G13" s="87">
        <f t="shared" si="0"/>
        <v>82.495383645343864</v>
      </c>
    </row>
    <row r="14" spans="1:8">
      <c r="A14" s="151" t="s">
        <v>5</v>
      </c>
      <c r="B14" s="155" t="s">
        <v>172</v>
      </c>
      <c r="C14" s="4">
        <v>3427.6</v>
      </c>
      <c r="D14" s="2">
        <v>3067.8</v>
      </c>
      <c r="E14" s="4">
        <v>1496.2</v>
      </c>
      <c r="F14" s="68">
        <f t="shared" si="1"/>
        <v>-1571.6000000000001</v>
      </c>
      <c r="G14" s="87">
        <f t="shared" si="0"/>
        <v>48.771106330269248</v>
      </c>
    </row>
    <row r="15" spans="1:8">
      <c r="A15" s="151" t="s">
        <v>6</v>
      </c>
      <c r="B15" s="156" t="s">
        <v>279</v>
      </c>
      <c r="C15" s="4">
        <v>2167.1</v>
      </c>
      <c r="D15" s="2">
        <v>1781.1</v>
      </c>
      <c r="E15" s="4">
        <v>1500.6</v>
      </c>
      <c r="F15" s="68">
        <f t="shared" si="1"/>
        <v>-280.5</v>
      </c>
      <c r="G15" s="87">
        <f t="shared" si="0"/>
        <v>84.251305373084051</v>
      </c>
    </row>
    <row r="16" spans="1:8">
      <c r="A16" s="151" t="s">
        <v>7</v>
      </c>
      <c r="B16" s="157" t="s">
        <v>173</v>
      </c>
      <c r="C16" s="4">
        <v>19290.099999999999</v>
      </c>
      <c r="D16" s="6">
        <v>15147.1</v>
      </c>
      <c r="E16" s="4">
        <v>11621</v>
      </c>
      <c r="F16" s="68">
        <f t="shared" si="1"/>
        <v>-3526.1000000000004</v>
      </c>
      <c r="G16" s="87">
        <f t="shared" si="0"/>
        <v>76.720956486720226</v>
      </c>
    </row>
    <row r="17" spans="1:8">
      <c r="A17" s="151" t="s">
        <v>20</v>
      </c>
      <c r="B17" s="158" t="s">
        <v>174</v>
      </c>
      <c r="C17" s="4">
        <v>54510.400000000001</v>
      </c>
      <c r="D17" s="10">
        <v>40351.9</v>
      </c>
      <c r="E17" s="67">
        <v>35084.800000000003</v>
      </c>
      <c r="F17" s="68">
        <f t="shared" si="1"/>
        <v>-5267.0999999999985</v>
      </c>
      <c r="G17" s="87">
        <f t="shared" si="0"/>
        <v>86.94708303698215</v>
      </c>
    </row>
    <row r="18" spans="1:8">
      <c r="A18" s="151" t="s">
        <v>22</v>
      </c>
      <c r="B18" s="158" t="s">
        <v>175</v>
      </c>
      <c r="C18" s="4">
        <f>16905.4-3.1</f>
        <v>16902.300000000003</v>
      </c>
      <c r="D18" s="5">
        <f>14381.6-3.1</f>
        <v>14378.5</v>
      </c>
      <c r="E18" s="4">
        <f>11624.6-2.1</f>
        <v>11622.5</v>
      </c>
      <c r="F18" s="68">
        <f t="shared" si="1"/>
        <v>-2756</v>
      </c>
      <c r="G18" s="87">
        <f t="shared" si="0"/>
        <v>80.832492958236259</v>
      </c>
    </row>
    <row r="19" spans="1:8">
      <c r="A19" s="4"/>
      <c r="B19" s="69" t="s">
        <v>163</v>
      </c>
      <c r="C19" s="22">
        <f>SUM(C9+C10+C11+C12+C13+C14+C15+C16+C17+C18)</f>
        <v>129176.90000000001</v>
      </c>
      <c r="D19" s="22">
        <f>SUM(D9+D10+D11+D12+D13+D14+D15+D16+D17+D18)</f>
        <v>102521.1</v>
      </c>
      <c r="E19" s="113">
        <f>SUM(E9+E10+E11+E12+E13+E14+E15+E16+E17+E18)</f>
        <v>82033.100000000006</v>
      </c>
      <c r="F19" s="32">
        <f>SUM(E19-D19)</f>
        <v>-20488</v>
      </c>
      <c r="G19" s="79">
        <f t="shared" ref="G19:G22" si="2">SUM(E19/D19*100)</f>
        <v>80.015821133405709</v>
      </c>
      <c r="H19" s="89"/>
    </row>
    <row r="20" spans="1:8">
      <c r="A20" s="4"/>
      <c r="B20" s="148" t="s">
        <v>305</v>
      </c>
      <c r="C20" s="4">
        <f>1383.6+370+3.1</f>
        <v>1756.6999999999998</v>
      </c>
      <c r="D20" s="4">
        <f>1017.4+270+3.1</f>
        <v>1290.5</v>
      </c>
      <c r="E20" s="4">
        <f>1017.3+247+2.1</f>
        <v>1266.3999999999999</v>
      </c>
      <c r="F20" s="39">
        <f t="shared" si="1"/>
        <v>-24.100000000000136</v>
      </c>
      <c r="G20" s="90">
        <f t="shared" si="2"/>
        <v>98.132506780317698</v>
      </c>
    </row>
    <row r="21" spans="1:8">
      <c r="A21" s="4"/>
      <c r="B21" s="148" t="s">
        <v>280</v>
      </c>
      <c r="C21" s="4">
        <v>50</v>
      </c>
      <c r="D21" s="4">
        <v>50</v>
      </c>
      <c r="E21" s="4">
        <v>50</v>
      </c>
      <c r="F21" s="39">
        <f t="shared" si="1"/>
        <v>0</v>
      </c>
      <c r="G21" s="90">
        <f t="shared" si="2"/>
        <v>100</v>
      </c>
    </row>
    <row r="22" spans="1:8">
      <c r="A22" s="4"/>
      <c r="B22" s="69" t="s">
        <v>129</v>
      </c>
      <c r="C22" s="34">
        <f>SUM(C19:C21)</f>
        <v>130983.6</v>
      </c>
      <c r="D22" s="34">
        <f>SUM(D19:D21)</f>
        <v>103861.6</v>
      </c>
      <c r="E22" s="1">
        <f>SUM(E19:E21)</f>
        <v>83349.5</v>
      </c>
      <c r="F22" s="32">
        <f>SUM(E22-D22)</f>
        <v>-20512.100000000006</v>
      </c>
      <c r="G22" s="79">
        <f t="shared" si="2"/>
        <v>80.250544955979876</v>
      </c>
      <c r="H22" s="91"/>
    </row>
    <row r="25" spans="1:8">
      <c r="C25" s="10"/>
      <c r="D25" s="10"/>
      <c r="E25" s="10"/>
    </row>
  </sheetData>
  <mergeCells count="7">
    <mergeCell ref="A7:A8"/>
    <mergeCell ref="B7:B8"/>
    <mergeCell ref="C7:C8"/>
    <mergeCell ref="D7:D8"/>
    <mergeCell ref="B3:G4"/>
    <mergeCell ref="E7:E8"/>
    <mergeCell ref="F7:G7"/>
  </mergeCells>
  <printOptions horizontalCentered="1"/>
  <pageMargins left="1.1023622047244095" right="0.51181102362204722" top="0.94488188976377963" bottom="0.74803149606299213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2"/>
  <sheetViews>
    <sheetView zoomScaleNormal="100" workbookViewId="0"/>
  </sheetViews>
  <sheetFormatPr defaultRowHeight="12.75"/>
  <cols>
    <col min="1" max="1" width="4.7109375" customWidth="1"/>
    <col min="2" max="2" width="30.7109375" customWidth="1"/>
    <col min="3" max="3" width="8.42578125" customWidth="1"/>
    <col min="4" max="4" width="7" customWidth="1"/>
    <col min="5" max="5" width="8.28515625" customWidth="1"/>
    <col min="6" max="6" width="7.28515625" customWidth="1"/>
    <col min="7" max="7" width="8.42578125" customWidth="1"/>
    <col min="8" max="8" width="7.140625" customWidth="1"/>
    <col min="9" max="9" width="13.140625" customWidth="1"/>
    <col min="10" max="10" width="12" customWidth="1"/>
  </cols>
  <sheetData>
    <row r="1" spans="1:11">
      <c r="J1" t="s">
        <v>296</v>
      </c>
    </row>
    <row r="3" spans="1:11">
      <c r="B3" s="279" t="s">
        <v>392</v>
      </c>
      <c r="C3" s="279"/>
      <c r="D3" s="279"/>
      <c r="E3" s="279"/>
      <c r="F3" s="279"/>
      <c r="G3" s="279"/>
      <c r="H3" s="279"/>
      <c r="I3" s="279"/>
      <c r="J3" s="279"/>
      <c r="K3" s="29"/>
    </row>
    <row r="4" spans="1:11">
      <c r="B4" s="280" t="s">
        <v>286</v>
      </c>
      <c r="C4" s="280"/>
      <c r="D4" s="280"/>
      <c r="E4" s="280"/>
      <c r="F4" s="280"/>
      <c r="G4" s="280"/>
      <c r="H4" s="280"/>
      <c r="I4" s="280"/>
      <c r="J4" s="280"/>
      <c r="K4" s="30"/>
    </row>
    <row r="6" spans="1:11">
      <c r="J6" s="92" t="s">
        <v>281</v>
      </c>
    </row>
    <row r="7" spans="1:11" ht="24" customHeight="1">
      <c r="A7" s="295" t="s">
        <v>388</v>
      </c>
      <c r="B7" s="296" t="s">
        <v>287</v>
      </c>
      <c r="C7" s="293" t="s">
        <v>304</v>
      </c>
      <c r="D7" s="214" t="s">
        <v>306</v>
      </c>
      <c r="E7" s="293" t="s">
        <v>316</v>
      </c>
      <c r="F7" s="214" t="s">
        <v>306</v>
      </c>
      <c r="G7" s="293" t="s">
        <v>362</v>
      </c>
      <c r="H7" s="214" t="s">
        <v>306</v>
      </c>
      <c r="I7" s="298" t="s">
        <v>363</v>
      </c>
      <c r="J7" s="299"/>
      <c r="K7" s="110"/>
    </row>
    <row r="8" spans="1:11" ht="14.25" customHeight="1">
      <c r="A8" s="295"/>
      <c r="B8" s="297"/>
      <c r="C8" s="294"/>
      <c r="D8" s="215"/>
      <c r="E8" s="294"/>
      <c r="F8" s="215"/>
      <c r="G8" s="294"/>
      <c r="H8" s="215"/>
      <c r="I8" s="168" t="s">
        <v>406</v>
      </c>
      <c r="J8" s="166" t="s">
        <v>278</v>
      </c>
      <c r="K8" s="110"/>
    </row>
    <row r="9" spans="1:11" ht="24" customHeight="1">
      <c r="A9" s="4" t="s">
        <v>0</v>
      </c>
      <c r="B9" s="159" t="s">
        <v>308</v>
      </c>
      <c r="C9" s="32">
        <v>26451.4</v>
      </c>
      <c r="D9" s="32">
        <f>SUM(C9/C39*100)</f>
        <v>55.920375291478784</v>
      </c>
      <c r="E9" s="32">
        <v>32014.6</v>
      </c>
      <c r="F9" s="32">
        <f>SUM(E9/E39*100)</f>
        <v>51.130833643438834</v>
      </c>
      <c r="G9" s="32">
        <v>38206.400000000001</v>
      </c>
      <c r="H9" s="32">
        <f>SUM(G9/G39*100)</f>
        <v>45.838787275268601</v>
      </c>
      <c r="I9" s="32">
        <f>SUM(G9-E9)</f>
        <v>6191.8000000000029</v>
      </c>
      <c r="J9" s="32">
        <f t="shared" ref="J9:J36" si="0">SUM(G9/E9*100)</f>
        <v>119.34055087366391</v>
      </c>
      <c r="K9" s="93"/>
    </row>
    <row r="10" spans="1:11">
      <c r="A10" s="4" t="s">
        <v>1</v>
      </c>
      <c r="B10" s="38" t="s">
        <v>319</v>
      </c>
      <c r="C10" s="32">
        <f>SUM(C11:C25)</f>
        <v>7671.6</v>
      </c>
      <c r="D10" s="32">
        <f>SUM(C10/C39*100)</f>
        <v>16.218376006037815</v>
      </c>
      <c r="E10" s="32">
        <f>SUM(E11:E25)</f>
        <v>11663</v>
      </c>
      <c r="F10" s="32">
        <f>SUM(E10/E39*100)</f>
        <v>18.627092413568409</v>
      </c>
      <c r="G10" s="32">
        <f>SUM(G11:G25)</f>
        <v>13618.3</v>
      </c>
      <c r="H10" s="32">
        <f>SUM(G10/G39*100)</f>
        <v>16.338790274686708</v>
      </c>
      <c r="I10" s="32">
        <f>SUM(G10-E10)</f>
        <v>1955.2999999999993</v>
      </c>
      <c r="J10" s="32">
        <f>SUM(G10/E10*100)</f>
        <v>116.76498328045956</v>
      </c>
      <c r="K10" s="93"/>
    </row>
    <row r="11" spans="1:11">
      <c r="A11" s="21" t="s">
        <v>177</v>
      </c>
      <c r="B11" s="2" t="s">
        <v>147</v>
      </c>
      <c r="C11" s="39">
        <v>501.5</v>
      </c>
      <c r="D11" s="39">
        <f>SUM(C11/C39*100)</f>
        <v>1.0602111120272126</v>
      </c>
      <c r="E11" s="39">
        <v>792.8</v>
      </c>
      <c r="F11" s="39">
        <f>SUM(E11/E39*100)</f>
        <v>1.2661887049195777</v>
      </c>
      <c r="G11" s="39">
        <v>1147.3</v>
      </c>
      <c r="H11" s="39">
        <f>SUM(G11/G39*100)</f>
        <v>1.376492960365689</v>
      </c>
      <c r="I11" s="39">
        <f t="shared" ref="I11:I38" si="1">SUM(G11-E11)</f>
        <v>354.5</v>
      </c>
      <c r="J11" s="39">
        <f t="shared" si="0"/>
        <v>144.7149344096872</v>
      </c>
      <c r="K11" s="93"/>
    </row>
    <row r="12" spans="1:11">
      <c r="A12" s="21" t="s">
        <v>178</v>
      </c>
      <c r="B12" s="2" t="s">
        <v>148</v>
      </c>
      <c r="C12" s="39">
        <v>35.200000000000003</v>
      </c>
      <c r="D12" s="39">
        <f>SUM(C12/C39*100)</f>
        <v>7.4415615440394586E-2</v>
      </c>
      <c r="E12" s="39">
        <v>27.5</v>
      </c>
      <c r="F12" s="90">
        <f>SUM(E12/E39*100)</f>
        <v>4.3920521424430356E-2</v>
      </c>
      <c r="G12" s="39">
        <v>30.8</v>
      </c>
      <c r="H12" s="90">
        <f>SUM(G12/G39*100)</f>
        <v>3.6952831150756753E-2</v>
      </c>
      <c r="I12" s="39">
        <f t="shared" si="1"/>
        <v>3.3000000000000007</v>
      </c>
      <c r="J12" s="39">
        <f t="shared" si="0"/>
        <v>112.00000000000001</v>
      </c>
      <c r="K12" s="93"/>
    </row>
    <row r="13" spans="1:11">
      <c r="A13" s="21" t="s">
        <v>179</v>
      </c>
      <c r="B13" s="2" t="s">
        <v>149</v>
      </c>
      <c r="C13" s="39">
        <v>66.2</v>
      </c>
      <c r="D13" s="39">
        <f>SUM(C13/C39*100)</f>
        <v>0.13995209494756028</v>
      </c>
      <c r="E13" s="39">
        <v>64.3</v>
      </c>
      <c r="F13" s="39">
        <f>SUM(E13/E39*100)</f>
        <v>0.10269416463966807</v>
      </c>
      <c r="G13" s="39">
        <v>74.599999999999994</v>
      </c>
      <c r="H13" s="39">
        <f>SUM(G13/G39*100)</f>
        <v>8.950263648852122E-2</v>
      </c>
      <c r="I13" s="39">
        <f t="shared" si="1"/>
        <v>10.299999999999997</v>
      </c>
      <c r="J13" s="39">
        <f t="shared" si="0"/>
        <v>116.01866251944013</v>
      </c>
      <c r="K13" s="93"/>
    </row>
    <row r="14" spans="1:11">
      <c r="A14" s="21" t="s">
        <v>180</v>
      </c>
      <c r="B14" s="2" t="s">
        <v>150</v>
      </c>
      <c r="C14" s="39">
        <v>254.2</v>
      </c>
      <c r="D14" s="39">
        <f>SUM(C14/C39*100)</f>
        <v>0.53739913195875855</v>
      </c>
      <c r="E14" s="39">
        <v>455.2</v>
      </c>
      <c r="F14" s="39">
        <f>SUM(E14/E39*100)</f>
        <v>0.72700441281457084</v>
      </c>
      <c r="G14" s="39">
        <v>527.20000000000005</v>
      </c>
      <c r="H14" s="39">
        <f>SUM(G14/G39*100)</f>
        <v>0.63251729164542081</v>
      </c>
      <c r="I14" s="39">
        <f t="shared" si="1"/>
        <v>72.000000000000057</v>
      </c>
      <c r="J14" s="39">
        <f t="shared" si="0"/>
        <v>115.81722319859405</v>
      </c>
      <c r="K14" s="93"/>
    </row>
    <row r="15" spans="1:11">
      <c r="A15" s="21" t="s">
        <v>181</v>
      </c>
      <c r="B15" s="2" t="s">
        <v>151</v>
      </c>
      <c r="C15" s="39">
        <v>20.8</v>
      </c>
      <c r="D15" s="90">
        <f>SUM(C15/C39*100)</f>
        <v>4.3972863669324076E-2</v>
      </c>
      <c r="E15" s="39">
        <v>23.9</v>
      </c>
      <c r="F15" s="90">
        <f>SUM(E15/E39*100)</f>
        <v>3.8170925892504926E-2</v>
      </c>
      <c r="G15" s="39">
        <v>45.8</v>
      </c>
      <c r="H15" s="90">
        <f>SUM(G15/G39*100)</f>
        <v>5.4949339828073353E-2</v>
      </c>
      <c r="I15" s="39">
        <f t="shared" si="1"/>
        <v>21.9</v>
      </c>
      <c r="J15" s="39">
        <f t="shared" si="0"/>
        <v>191.63179916317992</v>
      </c>
      <c r="K15" s="93"/>
    </row>
    <row r="16" spans="1:11">
      <c r="A16" s="21" t="s">
        <v>182</v>
      </c>
      <c r="B16" s="35" t="s">
        <v>152</v>
      </c>
      <c r="C16" s="94">
        <v>10</v>
      </c>
      <c r="D16" s="90">
        <f>SUM(C16/C39*100)</f>
        <v>2.1140799841021189E-2</v>
      </c>
      <c r="E16" s="42">
        <v>34.299999999999997</v>
      </c>
      <c r="F16" s="90">
        <f>SUM(E16/E39*100)</f>
        <v>5.478086854028949E-2</v>
      </c>
      <c r="G16" s="42">
        <v>78.900000000000006</v>
      </c>
      <c r="H16" s="94">
        <f>SUM(G16/G39*100)</f>
        <v>9.4661635642685329E-2</v>
      </c>
      <c r="I16" s="42">
        <f t="shared" si="1"/>
        <v>44.600000000000009</v>
      </c>
      <c r="J16" s="39">
        <f t="shared" si="0"/>
        <v>230.02915451895046</v>
      </c>
      <c r="K16" s="93"/>
    </row>
    <row r="17" spans="1:11">
      <c r="A17" s="21" t="s">
        <v>183</v>
      </c>
      <c r="B17" s="160" t="s">
        <v>186</v>
      </c>
      <c r="C17" s="95">
        <v>1110.9000000000001</v>
      </c>
      <c r="D17" s="41">
        <f>SUM(C17/C39*100)</f>
        <v>2.3485314543390441</v>
      </c>
      <c r="E17" s="95">
        <v>2174.6</v>
      </c>
      <c r="F17" s="39">
        <f>SUM(E17/E39*100)</f>
        <v>3.4730751232569546</v>
      </c>
      <c r="G17" s="95">
        <v>2093.1999999999998</v>
      </c>
      <c r="H17" s="95">
        <f>SUM(G17/G39*100)</f>
        <v>2.5113527975572736</v>
      </c>
      <c r="I17" s="95">
        <f>SUM(G17-E17)</f>
        <v>-81.400000000000091</v>
      </c>
      <c r="J17" s="39">
        <f t="shared" si="0"/>
        <v>96.256782856617306</v>
      </c>
      <c r="K17" s="93"/>
    </row>
    <row r="18" spans="1:11">
      <c r="A18" s="21" t="s">
        <v>184</v>
      </c>
      <c r="B18" s="161" t="s">
        <v>288</v>
      </c>
      <c r="C18" s="39">
        <v>54.5</v>
      </c>
      <c r="D18" s="39">
        <f>SUM(C18/C39*100)</f>
        <v>0.11521735913356547</v>
      </c>
      <c r="E18" s="39">
        <v>80.599999999999994</v>
      </c>
      <c r="F18" s="39">
        <f>SUM(E18/E39*100)</f>
        <v>0.12872705552033042</v>
      </c>
      <c r="G18" s="39">
        <v>97</v>
      </c>
      <c r="H18" s="39">
        <f>SUM(G18/G39*100)</f>
        <v>0.11637742277998069</v>
      </c>
      <c r="I18" s="39">
        <f t="shared" si="1"/>
        <v>16.400000000000006</v>
      </c>
      <c r="J18" s="39">
        <f t="shared" si="0"/>
        <v>120.34739454094294</v>
      </c>
      <c r="K18" s="93"/>
    </row>
    <row r="19" spans="1:11">
      <c r="A19" s="21" t="s">
        <v>185</v>
      </c>
      <c r="B19" s="162" t="s">
        <v>317</v>
      </c>
      <c r="C19" s="39">
        <v>262.2</v>
      </c>
      <c r="D19" s="39">
        <f>SUM(C19/C39*100)</f>
        <v>0.55431177183157554</v>
      </c>
      <c r="E19" s="39">
        <v>568.20000000000005</v>
      </c>
      <c r="F19" s="39">
        <f>SUM(E19/E39*100)</f>
        <v>0.90747782812223032</v>
      </c>
      <c r="G19" s="39">
        <v>630.79999999999995</v>
      </c>
      <c r="H19" s="39">
        <f>SUM(G19/G39*100)</f>
        <v>0.75681317824342076</v>
      </c>
      <c r="I19" s="39">
        <f t="shared" si="1"/>
        <v>62.599999999999909</v>
      </c>
      <c r="J19" s="39">
        <f t="shared" si="0"/>
        <v>111.01724744808163</v>
      </c>
      <c r="K19" s="93"/>
    </row>
    <row r="20" spans="1:11">
      <c r="A20" s="21" t="s">
        <v>187</v>
      </c>
      <c r="B20" s="161" t="s">
        <v>153</v>
      </c>
      <c r="C20" s="39">
        <v>123.8</v>
      </c>
      <c r="D20" s="39">
        <f>SUM(C20/C39*100)</f>
        <v>0.26172310203184229</v>
      </c>
      <c r="E20" s="39">
        <v>105.9</v>
      </c>
      <c r="F20" s="39">
        <f>SUM(E20/E39*100)</f>
        <v>0.16913393523080636</v>
      </c>
      <c r="G20" s="39">
        <v>151</v>
      </c>
      <c r="H20" s="39">
        <f>SUM(G20/G39*100)</f>
        <v>0.18116485401832044</v>
      </c>
      <c r="I20" s="39">
        <f t="shared" si="1"/>
        <v>45.099999999999994</v>
      </c>
      <c r="J20" s="39">
        <f t="shared" si="0"/>
        <v>142.58734655335221</v>
      </c>
      <c r="K20" s="93"/>
    </row>
    <row r="21" spans="1:11">
      <c r="A21" s="21" t="s">
        <v>188</v>
      </c>
      <c r="B21" s="163" t="s">
        <v>309</v>
      </c>
      <c r="C21" s="39">
        <v>1.1000000000000001</v>
      </c>
      <c r="D21" s="90">
        <f>SUM(C21/C39*100)</f>
        <v>2.3254879825123308E-3</v>
      </c>
      <c r="E21" s="39">
        <v>1.5</v>
      </c>
      <c r="F21" s="90">
        <f>SUM(E21/E39*100)</f>
        <v>2.3956648049689284E-3</v>
      </c>
      <c r="G21" s="39">
        <v>1.5</v>
      </c>
      <c r="H21" s="90">
        <f>SUM(G21/G39*100)</f>
        <v>1.7996508677316598E-3</v>
      </c>
      <c r="I21" s="90">
        <f t="shared" si="1"/>
        <v>0</v>
      </c>
      <c r="J21" s="39">
        <f t="shared" si="0"/>
        <v>100</v>
      </c>
      <c r="K21" s="93"/>
    </row>
    <row r="22" spans="1:11">
      <c r="A22" s="21" t="s">
        <v>190</v>
      </c>
      <c r="B22" s="161" t="s">
        <v>154</v>
      </c>
      <c r="C22" s="39">
        <v>916.5</v>
      </c>
      <c r="D22" s="39">
        <f>SUM(C22/C39*100)</f>
        <v>1.9375543054295916</v>
      </c>
      <c r="E22" s="39">
        <v>1653.6</v>
      </c>
      <c r="F22" s="39">
        <f>SUM(E22/E39*100)</f>
        <v>2.6409808809977466</v>
      </c>
      <c r="G22" s="39">
        <v>1513.4</v>
      </c>
      <c r="H22" s="39">
        <f>SUM(G22/G39*100)</f>
        <v>1.8157277488167298</v>
      </c>
      <c r="I22" s="39">
        <f t="shared" si="1"/>
        <v>-140.19999999999982</v>
      </c>
      <c r="J22" s="39">
        <f t="shared" si="0"/>
        <v>91.521528785679735</v>
      </c>
      <c r="K22" s="93"/>
    </row>
    <row r="23" spans="1:11">
      <c r="A23" s="21" t="s">
        <v>191</v>
      </c>
      <c r="B23" s="162" t="s">
        <v>318</v>
      </c>
      <c r="C23" s="39">
        <v>226.2</v>
      </c>
      <c r="D23" s="39">
        <f>SUM(C23/C39*100)</f>
        <v>0.47820489240389924</v>
      </c>
      <c r="E23" s="39">
        <v>268.39999999999998</v>
      </c>
      <c r="F23" s="39">
        <f>SUM(E23/E39*100)</f>
        <v>0.4286642891024402</v>
      </c>
      <c r="G23" s="39">
        <v>390.7</v>
      </c>
      <c r="H23" s="39">
        <f>SUM(G23/G39*100)</f>
        <v>0.46874906268183975</v>
      </c>
      <c r="I23" s="39">
        <f t="shared" si="1"/>
        <v>122.30000000000001</v>
      </c>
      <c r="J23" s="39">
        <f t="shared" si="0"/>
        <v>145.56631892697467</v>
      </c>
      <c r="K23" s="93"/>
    </row>
    <row r="24" spans="1:11">
      <c r="A24" s="21" t="s">
        <v>192</v>
      </c>
      <c r="B24" s="162" t="s">
        <v>155</v>
      </c>
      <c r="C24" s="39">
        <v>20.9</v>
      </c>
      <c r="D24" s="90">
        <f>SUM(C24/C39*100)</f>
        <v>4.4184271667734282E-2</v>
      </c>
      <c r="E24" s="39">
        <v>36.4</v>
      </c>
      <c r="F24" s="90">
        <f>SUM(E24/E39*100)</f>
        <v>5.813479926724599E-2</v>
      </c>
      <c r="G24" s="39">
        <v>75</v>
      </c>
      <c r="H24" s="90">
        <f>SUM(G24/G39*100)</f>
        <v>8.9982543386583E-2</v>
      </c>
      <c r="I24" s="39">
        <f t="shared" si="1"/>
        <v>38.6</v>
      </c>
      <c r="J24" s="39">
        <f t="shared" si="0"/>
        <v>206.04395604395606</v>
      </c>
      <c r="K24" s="93"/>
    </row>
    <row r="25" spans="1:11">
      <c r="A25" s="21" t="s">
        <v>310</v>
      </c>
      <c r="B25" s="162" t="s">
        <v>193</v>
      </c>
      <c r="C25" s="39">
        <v>4067.6</v>
      </c>
      <c r="D25" s="39">
        <f>SUM(C25/C39*100)</f>
        <v>8.5992317433337782</v>
      </c>
      <c r="E25" s="39">
        <v>5375.8</v>
      </c>
      <c r="F25" s="39">
        <f>SUM(E25/E39*100)</f>
        <v>8.5857432390346453</v>
      </c>
      <c r="G25" s="39">
        <v>6761.1</v>
      </c>
      <c r="H25" s="39">
        <f>SUM(G25/G39*100)</f>
        <v>8.1117463212136851</v>
      </c>
      <c r="I25" s="39">
        <f t="shared" si="1"/>
        <v>1385.3000000000002</v>
      </c>
      <c r="J25" s="39">
        <f t="shared" si="0"/>
        <v>125.7691878418096</v>
      </c>
      <c r="K25" s="93"/>
    </row>
    <row r="26" spans="1:11">
      <c r="A26" s="21" t="s">
        <v>2</v>
      </c>
      <c r="B26" s="38" t="s">
        <v>290</v>
      </c>
      <c r="C26" s="39">
        <v>61.6</v>
      </c>
      <c r="D26" s="39">
        <f>SUM(C26/C39*100)</f>
        <v>0.13022732702069054</v>
      </c>
      <c r="E26" s="39">
        <v>66.7</v>
      </c>
      <c r="F26" s="39">
        <f>SUM(E26/E39*100)</f>
        <v>0.10652722832761836</v>
      </c>
      <c r="G26" s="39">
        <v>249.1</v>
      </c>
      <c r="H26" s="39">
        <f>SUM(G26/G39*100)</f>
        <v>0.29886202076797103</v>
      </c>
      <c r="I26" s="39">
        <f t="shared" si="1"/>
        <v>182.39999999999998</v>
      </c>
      <c r="J26" s="39">
        <f t="shared" si="0"/>
        <v>373.46326836581704</v>
      </c>
      <c r="K26" s="93"/>
    </row>
    <row r="27" spans="1:11">
      <c r="A27" s="21" t="s">
        <v>3</v>
      </c>
      <c r="B27" s="2" t="s">
        <v>156</v>
      </c>
      <c r="C27" s="39">
        <v>97.5</v>
      </c>
      <c r="D27" s="39">
        <f>SUM(C27/C39*100)</f>
        <v>0.20612279844995657</v>
      </c>
      <c r="E27" s="39">
        <v>102.4</v>
      </c>
      <c r="F27" s="39">
        <f>SUM(E27/E39*100)</f>
        <v>0.16354405068587885</v>
      </c>
      <c r="G27" s="39">
        <v>184.8</v>
      </c>
      <c r="H27" s="39">
        <f>SUM(G27/G39*100)</f>
        <v>0.22171698690454053</v>
      </c>
      <c r="I27" s="39">
        <f t="shared" si="1"/>
        <v>82.4</v>
      </c>
      <c r="J27" s="39">
        <f t="shared" si="0"/>
        <v>180.46875</v>
      </c>
      <c r="K27" s="93"/>
    </row>
    <row r="28" spans="1:11">
      <c r="A28" s="21" t="s">
        <v>4</v>
      </c>
      <c r="B28" s="2" t="s">
        <v>320</v>
      </c>
      <c r="C28" s="39"/>
      <c r="D28" s="39"/>
      <c r="E28" s="39">
        <v>50</v>
      </c>
      <c r="F28" s="39">
        <f>SUM(E28/E39*100)</f>
        <v>7.9855493498964286E-2</v>
      </c>
      <c r="G28" s="39"/>
      <c r="H28" s="90">
        <f>SUM(G28/G39*100)</f>
        <v>0</v>
      </c>
      <c r="I28" s="39">
        <f t="shared" si="1"/>
        <v>-50</v>
      </c>
      <c r="J28" s="90">
        <f>SUM(G28/E28*100)</f>
        <v>0</v>
      </c>
      <c r="K28" s="93"/>
    </row>
    <row r="29" spans="1:11">
      <c r="A29" s="21" t="s">
        <v>5</v>
      </c>
      <c r="B29" s="38" t="s">
        <v>157</v>
      </c>
      <c r="C29" s="39">
        <v>3258.6</v>
      </c>
      <c r="D29" s="39">
        <f>SUM(C29/C39*100)</f>
        <v>6.8889410361951651</v>
      </c>
      <c r="E29" s="39">
        <v>4448.6000000000004</v>
      </c>
      <c r="F29" s="39">
        <f>SUM(E29/E39*100)</f>
        <v>7.1049029675898501</v>
      </c>
      <c r="G29" s="39">
        <v>6482</v>
      </c>
      <c r="H29" s="39">
        <f>SUM(G29/G39*100)</f>
        <v>7.7768912830910804</v>
      </c>
      <c r="I29" s="39">
        <f>SUM(G29-E29)</f>
        <v>2033.3999999999996</v>
      </c>
      <c r="J29" s="39">
        <f>SUM(G29/E29*100)</f>
        <v>145.70876230724272</v>
      </c>
      <c r="K29" s="93"/>
    </row>
    <row r="30" spans="1:11">
      <c r="A30" s="21" t="s">
        <v>6</v>
      </c>
      <c r="B30" s="2" t="s">
        <v>158</v>
      </c>
      <c r="C30" s="39">
        <v>1336</v>
      </c>
      <c r="D30" s="39">
        <f>SUM(C30/C39*100)</f>
        <v>2.8244108587604306</v>
      </c>
      <c r="E30" s="39">
        <v>4159.3</v>
      </c>
      <c r="F30" s="39">
        <f>SUM(E30/E39*100)</f>
        <v>6.6428590822048434</v>
      </c>
      <c r="G30" s="39">
        <v>5465.3</v>
      </c>
      <c r="H30" s="39">
        <f>SUM(G30/G39*100)</f>
        <v>6.5570879249425618</v>
      </c>
      <c r="I30" s="39">
        <f t="shared" si="1"/>
        <v>1306</v>
      </c>
      <c r="J30" s="39">
        <f t="shared" si="0"/>
        <v>131.39951434135551</v>
      </c>
      <c r="K30" s="93"/>
    </row>
    <row r="31" spans="1:11" ht="25.5">
      <c r="A31" s="21" t="s">
        <v>7</v>
      </c>
      <c r="B31" s="81" t="s">
        <v>321</v>
      </c>
      <c r="C31" s="32">
        <f>SUM(C32:C35)</f>
        <v>7579.5999999999995</v>
      </c>
      <c r="D31" s="32">
        <f>SUM(C31/C39*100)</f>
        <v>16.02388064750042</v>
      </c>
      <c r="E31" s="32">
        <f>SUM(E32:E35)</f>
        <v>9115.7999999999993</v>
      </c>
      <c r="F31" s="32">
        <f>SUM(E31/E39*100)</f>
        <v>14.558934152757171</v>
      </c>
      <c r="G31" s="32">
        <f>SUM(G32:G35)</f>
        <v>18076.3</v>
      </c>
      <c r="H31" s="32">
        <f>SUM(G31/G39*100)</f>
        <v>21.687352653585204</v>
      </c>
      <c r="I31" s="32">
        <f>SUM(G31-E31)</f>
        <v>8960.5</v>
      </c>
      <c r="J31" s="32">
        <f>SUM(G31/E31*100)</f>
        <v>198.29636455385156</v>
      </c>
      <c r="K31" s="93"/>
    </row>
    <row r="32" spans="1:11">
      <c r="A32" s="21" t="s">
        <v>393</v>
      </c>
      <c r="B32" s="75" t="s">
        <v>159</v>
      </c>
      <c r="C32" s="39">
        <v>14.2</v>
      </c>
      <c r="D32" s="90">
        <f>SUM(C32/C39*100)</f>
        <v>3.0019935774250085E-2</v>
      </c>
      <c r="E32" s="90"/>
      <c r="F32" s="90"/>
      <c r="G32" s="90"/>
      <c r="H32" s="39"/>
      <c r="I32" s="90"/>
      <c r="J32" s="39"/>
      <c r="K32" s="93"/>
    </row>
    <row r="33" spans="1:11">
      <c r="A33" s="21" t="s">
        <v>394</v>
      </c>
      <c r="B33" s="35" t="s">
        <v>160</v>
      </c>
      <c r="C33" s="39">
        <v>6916.3</v>
      </c>
      <c r="D33" s="39">
        <f>SUM(C33/C39*100)</f>
        <v>14.621611394045484</v>
      </c>
      <c r="E33" s="39">
        <v>8010.8</v>
      </c>
      <c r="F33" s="39">
        <f>SUM(E33/E39*100)</f>
        <v>12.794127746430062</v>
      </c>
      <c r="G33" s="39">
        <v>16164.8</v>
      </c>
      <c r="H33" s="39">
        <f>SUM(G33/G39*100)</f>
        <v>19.393997564472492</v>
      </c>
      <c r="I33" s="39">
        <f>SUM(G33-E33)</f>
        <v>8153.9999999999991</v>
      </c>
      <c r="J33" s="39">
        <f>SUM(G33/E33*100)</f>
        <v>201.78758675787685</v>
      </c>
      <c r="K33" s="93"/>
    </row>
    <row r="34" spans="1:11">
      <c r="A34" s="21" t="s">
        <v>395</v>
      </c>
      <c r="B34" s="2" t="s">
        <v>291</v>
      </c>
      <c r="C34" s="39">
        <v>503.2</v>
      </c>
      <c r="D34" s="39">
        <f>SUM(C34/C39*100)</f>
        <v>1.0638050480001862</v>
      </c>
      <c r="E34" s="39">
        <v>960.1</v>
      </c>
      <c r="F34" s="39">
        <f>SUM(E34/E39*100)</f>
        <v>1.5333851861671122</v>
      </c>
      <c r="G34" s="39">
        <v>1610.6</v>
      </c>
      <c r="H34" s="39">
        <f>SUM(G34/G39*100)</f>
        <v>1.9323451250457411</v>
      </c>
      <c r="I34" s="39">
        <f t="shared" si="1"/>
        <v>650.49999999999989</v>
      </c>
      <c r="J34" s="39">
        <f t="shared" si="0"/>
        <v>167.75335902510153</v>
      </c>
      <c r="K34" s="93"/>
    </row>
    <row r="35" spans="1:11" ht="15" customHeight="1">
      <c r="A35" s="21" t="s">
        <v>396</v>
      </c>
      <c r="B35" s="35" t="s">
        <v>292</v>
      </c>
      <c r="C35" s="39">
        <v>145.9</v>
      </c>
      <c r="D35" s="39">
        <f>SUM(C35/C39*100)</f>
        <v>0.30844426968049915</v>
      </c>
      <c r="E35" s="39">
        <v>144.9</v>
      </c>
      <c r="F35" s="39">
        <f>SUM(E35/E39*100)</f>
        <v>0.2314212201599985</v>
      </c>
      <c r="G35" s="39">
        <v>300.89999999999998</v>
      </c>
      <c r="H35" s="39">
        <f>SUM(G35/G39*100)</f>
        <v>0.361009964066971</v>
      </c>
      <c r="I35" s="39">
        <f t="shared" si="1"/>
        <v>155.99999999999997</v>
      </c>
      <c r="J35" s="39">
        <f t="shared" si="0"/>
        <v>207.66045548654245</v>
      </c>
      <c r="K35" s="93"/>
    </row>
    <row r="36" spans="1:11">
      <c r="A36" s="300" t="s">
        <v>163</v>
      </c>
      <c r="B36" s="301"/>
      <c r="C36" s="32">
        <f>SUM(C9+C10+C26+C27+C28+C29+C30+C31)</f>
        <v>46456.299999999996</v>
      </c>
      <c r="D36" s="32">
        <f>SUM(C36/C39*100)</f>
        <v>98.21233396544325</v>
      </c>
      <c r="E36" s="32">
        <f>SUM(E9+E10+E26+E27+E28+E29+E30+E31)</f>
        <v>61620.399999999994</v>
      </c>
      <c r="F36" s="32">
        <f>SUM(E36/E39*100)</f>
        <v>98.414549032071562</v>
      </c>
      <c r="G36" s="32">
        <f>SUM(G9+G10+G26+G27+G28+G29+G30+G31)</f>
        <v>82282.2</v>
      </c>
      <c r="H36" s="32">
        <f>SUM(G36/G39*100)</f>
        <v>98.719488419246659</v>
      </c>
      <c r="I36" s="32">
        <f t="shared" si="1"/>
        <v>20661.800000000003</v>
      </c>
      <c r="J36" s="32">
        <f t="shared" si="0"/>
        <v>133.53077876807032</v>
      </c>
      <c r="K36" s="93"/>
    </row>
    <row r="37" spans="1:11">
      <c r="A37" s="289" t="s">
        <v>284</v>
      </c>
      <c r="B37" s="290"/>
      <c r="C37" s="79"/>
      <c r="D37" s="1"/>
      <c r="E37" s="79"/>
      <c r="F37" s="79"/>
      <c r="G37" s="79">
        <v>50</v>
      </c>
      <c r="H37" s="32">
        <f>SUM(G37/G39*100)</f>
        <v>5.9988362257722E-2</v>
      </c>
      <c r="I37" s="32">
        <f t="shared" si="1"/>
        <v>50</v>
      </c>
      <c r="J37" s="79">
        <v>0</v>
      </c>
      <c r="K37" s="93"/>
    </row>
    <row r="38" spans="1:11">
      <c r="A38" s="289" t="s">
        <v>283</v>
      </c>
      <c r="B38" s="290"/>
      <c r="C38" s="32">
        <v>845.6</v>
      </c>
      <c r="D38" s="164">
        <f>SUM(C38/C39*100)</f>
        <v>1.7876660345567519</v>
      </c>
      <c r="E38" s="32">
        <v>992.7</v>
      </c>
      <c r="F38" s="32">
        <f>SUM(E38/E39*100)</f>
        <v>1.5854509679284372</v>
      </c>
      <c r="G38" s="32">
        <v>1017.3</v>
      </c>
      <c r="H38" s="32">
        <f>SUM(G38/G39*100)</f>
        <v>1.2205232184956119</v>
      </c>
      <c r="I38" s="32">
        <f t="shared" si="1"/>
        <v>24.599999999999909</v>
      </c>
      <c r="J38" s="32">
        <f>SUM(G38/E38*100)</f>
        <v>102.47809005741915</v>
      </c>
      <c r="K38" s="93"/>
    </row>
    <row r="39" spans="1:11">
      <c r="A39" s="291" t="s">
        <v>161</v>
      </c>
      <c r="B39" s="292"/>
      <c r="C39" s="1">
        <f>SUM(C36+C37+C38)</f>
        <v>47301.899999999994</v>
      </c>
      <c r="D39" s="80">
        <f>SUM(C39/C39*100)</f>
        <v>100</v>
      </c>
      <c r="E39" s="1">
        <f>SUM(E36+E37+E38)</f>
        <v>62613.099999999991</v>
      </c>
      <c r="F39" s="79">
        <f>SUM(E39/E39*100)</f>
        <v>100</v>
      </c>
      <c r="G39" s="1">
        <f>SUM(G36+G37+G38)</f>
        <v>83349.5</v>
      </c>
      <c r="H39" s="79">
        <f>SUM(G39/G39*100)</f>
        <v>100</v>
      </c>
      <c r="I39" s="32">
        <f>SUM(G39-E39)</f>
        <v>20736.400000000009</v>
      </c>
      <c r="J39" s="32">
        <f>SUM(G39/E39*100)</f>
        <v>133.11830910783848</v>
      </c>
      <c r="K39" s="96"/>
    </row>
    <row r="42" spans="1:11">
      <c r="D42" s="10"/>
      <c r="E42" s="10"/>
      <c r="F42" s="10"/>
    </row>
  </sheetData>
  <mergeCells count="15">
    <mergeCell ref="B3:J3"/>
    <mergeCell ref="B4:J4"/>
    <mergeCell ref="H7:H8"/>
    <mergeCell ref="I7:J7"/>
    <mergeCell ref="A36:B36"/>
    <mergeCell ref="A37:B37"/>
    <mergeCell ref="A38:B38"/>
    <mergeCell ref="A39:B39"/>
    <mergeCell ref="G7:G8"/>
    <mergeCell ref="A7:A8"/>
    <mergeCell ref="B7:B8"/>
    <mergeCell ref="C7:C8"/>
    <mergeCell ref="D7:D8"/>
    <mergeCell ref="E7:E8"/>
    <mergeCell ref="F7:F8"/>
  </mergeCells>
  <phoneticPr fontId="2" type="noConversion"/>
  <printOptions horizontalCentered="1"/>
  <pageMargins left="1.299212598425197" right="0.70866141732283472" top="0.35433070866141736" bottom="7.874015748031496E-2" header="0.31496062992125984" footer="0.31496062992125984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"/>
  <sheetViews>
    <sheetView zoomScaleNormal="100" workbookViewId="0"/>
  </sheetViews>
  <sheetFormatPr defaultRowHeight="12.75"/>
  <cols>
    <col min="1" max="1" width="4.5703125" customWidth="1"/>
    <col min="2" max="2" width="28.5703125" customWidth="1"/>
    <col min="3" max="3" width="10.85546875" customWidth="1"/>
    <col min="4" max="4" width="10.7109375" customWidth="1"/>
    <col min="5" max="5" width="10.140625" customWidth="1"/>
    <col min="6" max="6" width="14.140625" customWidth="1"/>
    <col min="7" max="7" width="9.7109375" customWidth="1"/>
    <col min="8" max="8" width="8.7109375" customWidth="1"/>
  </cols>
  <sheetData>
    <row r="1" spans="1:8">
      <c r="G1" t="s">
        <v>166</v>
      </c>
    </row>
    <row r="2" spans="1:8">
      <c r="B2" s="279"/>
      <c r="C2" s="279"/>
      <c r="D2" s="279"/>
      <c r="E2" s="279"/>
      <c r="F2" s="109"/>
      <c r="G2" s="109"/>
      <c r="H2" s="109"/>
    </row>
    <row r="3" spans="1:8">
      <c r="A3" s="279" t="s">
        <v>397</v>
      </c>
      <c r="B3" s="279"/>
      <c r="C3" s="279"/>
      <c r="D3" s="279"/>
      <c r="E3" s="279"/>
      <c r="F3" s="279"/>
      <c r="G3" s="279"/>
      <c r="H3" s="29"/>
    </row>
    <row r="4" spans="1:8">
      <c r="A4" s="280" t="s">
        <v>294</v>
      </c>
      <c r="B4" s="280"/>
      <c r="C4" s="280"/>
      <c r="D4" s="280"/>
      <c r="E4" s="280"/>
      <c r="F4" s="280"/>
      <c r="G4" s="280"/>
      <c r="H4" s="30"/>
    </row>
    <row r="6" spans="1:8">
      <c r="F6" s="225" t="s">
        <v>281</v>
      </c>
      <c r="G6" s="225"/>
    </row>
    <row r="7" spans="1:8" ht="30" customHeight="1">
      <c r="A7" s="306" t="s">
        <v>307</v>
      </c>
      <c r="B7" s="307" t="s">
        <v>295</v>
      </c>
      <c r="C7" s="275" t="s">
        <v>282</v>
      </c>
      <c r="D7" s="275" t="s">
        <v>398</v>
      </c>
      <c r="E7" s="307" t="s">
        <v>15</v>
      </c>
      <c r="F7" s="309" t="s">
        <v>390</v>
      </c>
      <c r="G7" s="288"/>
      <c r="H7" s="110"/>
    </row>
    <row r="8" spans="1:8" ht="16.5" customHeight="1">
      <c r="A8" s="276"/>
      <c r="B8" s="308"/>
      <c r="C8" s="276"/>
      <c r="D8" s="276"/>
      <c r="E8" s="308"/>
      <c r="F8" s="170" t="s">
        <v>406</v>
      </c>
      <c r="G8" s="169" t="s">
        <v>278</v>
      </c>
      <c r="H8" s="110"/>
    </row>
    <row r="9" spans="1:8" ht="27" customHeight="1">
      <c r="A9" s="4" t="s">
        <v>0</v>
      </c>
      <c r="B9" s="159" t="s">
        <v>308</v>
      </c>
      <c r="C9" s="31">
        <v>55809.3</v>
      </c>
      <c r="D9" s="31">
        <v>42070.7</v>
      </c>
      <c r="E9" s="70">
        <v>38206.400000000001</v>
      </c>
      <c r="F9" s="32">
        <f>SUM(E9-D9)</f>
        <v>-3864.2999999999956</v>
      </c>
      <c r="G9" s="80">
        <f>SUM(E9/D9*100)</f>
        <v>90.814747555899956</v>
      </c>
      <c r="H9" s="84"/>
    </row>
    <row r="10" spans="1:8">
      <c r="A10" s="4" t="s">
        <v>1</v>
      </c>
      <c r="B10" s="38" t="s">
        <v>319</v>
      </c>
      <c r="C10" s="33">
        <f>SUM(C11:C25)</f>
        <v>21609.7</v>
      </c>
      <c r="D10" s="33">
        <f>SUM(D11:D25)</f>
        <v>18125.900000000001</v>
      </c>
      <c r="E10" s="33">
        <f>SUM(E11:E25)</f>
        <v>13618.3</v>
      </c>
      <c r="F10" s="32">
        <f t="shared" ref="F10:F33" si="0">SUM(E10-D10)</f>
        <v>-4507.6000000000022</v>
      </c>
      <c r="G10" s="80">
        <f t="shared" ref="G10:G35" si="1">SUM(E10/D10*100)</f>
        <v>75.13171759747101</v>
      </c>
      <c r="H10" s="84"/>
    </row>
    <row r="11" spans="1:8">
      <c r="A11" s="4" t="s">
        <v>177</v>
      </c>
      <c r="B11" s="2" t="s">
        <v>147</v>
      </c>
      <c r="C11" s="2">
        <v>1697.9</v>
      </c>
      <c r="D11" s="2">
        <v>1339.7</v>
      </c>
      <c r="E11" s="4">
        <v>1147.3</v>
      </c>
      <c r="F11" s="68">
        <f t="shared" si="0"/>
        <v>-192.40000000000009</v>
      </c>
      <c r="G11" s="7">
        <f t="shared" si="1"/>
        <v>85.638575800552346</v>
      </c>
      <c r="H11" s="84"/>
    </row>
    <row r="12" spans="1:8">
      <c r="A12" s="4" t="s">
        <v>178</v>
      </c>
      <c r="B12" s="2" t="s">
        <v>148</v>
      </c>
      <c r="C12" s="2">
        <v>52.4</v>
      </c>
      <c r="D12" s="2">
        <v>42.6</v>
      </c>
      <c r="E12" s="4">
        <v>30.8</v>
      </c>
      <c r="F12" s="68">
        <f t="shared" si="0"/>
        <v>-11.8</v>
      </c>
      <c r="G12" s="7">
        <f t="shared" si="1"/>
        <v>72.300469483568079</v>
      </c>
      <c r="H12" s="84"/>
    </row>
    <row r="13" spans="1:8">
      <c r="A13" s="4" t="s">
        <v>179</v>
      </c>
      <c r="B13" s="2" t="s">
        <v>149</v>
      </c>
      <c r="C13" s="2">
        <v>129.19999999999999</v>
      </c>
      <c r="D13" s="2">
        <v>103.7</v>
      </c>
      <c r="E13" s="4">
        <v>74.599999999999994</v>
      </c>
      <c r="F13" s="68">
        <f t="shared" si="0"/>
        <v>-29.100000000000009</v>
      </c>
      <c r="G13" s="7">
        <f t="shared" si="1"/>
        <v>71.938283510125359</v>
      </c>
      <c r="H13" s="84"/>
    </row>
    <row r="14" spans="1:8">
      <c r="A14" s="4" t="s">
        <v>180</v>
      </c>
      <c r="B14" s="2" t="s">
        <v>150</v>
      </c>
      <c r="C14" s="2">
        <v>866.5</v>
      </c>
      <c r="D14" s="2">
        <v>716.9</v>
      </c>
      <c r="E14" s="4">
        <v>527.20000000000005</v>
      </c>
      <c r="F14" s="68">
        <f t="shared" si="0"/>
        <v>-189.69999999999993</v>
      </c>
      <c r="G14" s="7">
        <f t="shared" si="1"/>
        <v>73.538847816989829</v>
      </c>
      <c r="H14" s="84"/>
    </row>
    <row r="15" spans="1:8">
      <c r="A15" s="4" t="s">
        <v>181</v>
      </c>
      <c r="B15" s="2" t="s">
        <v>151</v>
      </c>
      <c r="C15" s="2">
        <v>80.900000000000006</v>
      </c>
      <c r="D15" s="2">
        <v>71</v>
      </c>
      <c r="E15" s="4">
        <v>45.8</v>
      </c>
      <c r="F15" s="68">
        <f t="shared" si="0"/>
        <v>-25.200000000000003</v>
      </c>
      <c r="G15" s="7">
        <f t="shared" si="1"/>
        <v>64.507042253521121</v>
      </c>
      <c r="H15" s="84"/>
    </row>
    <row r="16" spans="1:8">
      <c r="A16" s="20" t="s">
        <v>182</v>
      </c>
      <c r="B16" s="4" t="s">
        <v>152</v>
      </c>
      <c r="C16" s="4">
        <v>122.9</v>
      </c>
      <c r="D16" s="4">
        <v>111.3</v>
      </c>
      <c r="E16" s="4">
        <v>78.900000000000006</v>
      </c>
      <c r="F16" s="9">
        <f>SUM(E16-D16)</f>
        <v>-32.399999999999991</v>
      </c>
      <c r="G16" s="7">
        <f t="shared" si="1"/>
        <v>70.889487870619945</v>
      </c>
      <c r="H16" s="84"/>
    </row>
    <row r="17" spans="1:8" ht="25.15" customHeight="1">
      <c r="A17" s="71" t="s">
        <v>183</v>
      </c>
      <c r="B17" s="26" t="s">
        <v>186</v>
      </c>
      <c r="C17" s="4">
        <v>3070.7</v>
      </c>
      <c r="D17" s="4">
        <v>2665.1</v>
      </c>
      <c r="E17" s="4">
        <v>2093.1999999999998</v>
      </c>
      <c r="F17" s="9">
        <f>SUM(E17-D17)</f>
        <v>-571.90000000000009</v>
      </c>
      <c r="G17" s="7">
        <f>SUM(E17/D17*100)</f>
        <v>78.54114292146636</v>
      </c>
      <c r="H17" s="84"/>
    </row>
    <row r="18" spans="1:8">
      <c r="A18" s="21" t="s">
        <v>184</v>
      </c>
      <c r="B18" s="10" t="s">
        <v>288</v>
      </c>
      <c r="C18" s="27">
        <v>141.19999999999999</v>
      </c>
      <c r="D18" s="67">
        <v>100.7</v>
      </c>
      <c r="E18" s="87">
        <v>97</v>
      </c>
      <c r="F18" s="72">
        <f t="shared" si="0"/>
        <v>-3.7000000000000028</v>
      </c>
      <c r="G18" s="87">
        <f t="shared" si="1"/>
        <v>96.32571996027805</v>
      </c>
      <c r="H18" s="84"/>
    </row>
    <row r="19" spans="1:8">
      <c r="A19" s="21" t="s">
        <v>185</v>
      </c>
      <c r="B19" s="36" t="s">
        <v>189</v>
      </c>
      <c r="C19" s="27">
        <v>1033.0999999999999</v>
      </c>
      <c r="D19" s="67">
        <v>934.9</v>
      </c>
      <c r="E19" s="67">
        <v>630.79999999999995</v>
      </c>
      <c r="F19" s="72">
        <f t="shared" si="0"/>
        <v>-304.10000000000002</v>
      </c>
      <c r="G19" s="7">
        <f t="shared" si="1"/>
        <v>67.472456947267077</v>
      </c>
      <c r="H19" s="84"/>
    </row>
    <row r="20" spans="1:8">
      <c r="A20" s="21" t="s">
        <v>187</v>
      </c>
      <c r="B20" s="10" t="s">
        <v>153</v>
      </c>
      <c r="C20" s="27">
        <v>263.7</v>
      </c>
      <c r="D20" s="67">
        <v>216</v>
      </c>
      <c r="E20" s="67">
        <v>151</v>
      </c>
      <c r="F20" s="72">
        <f t="shared" si="0"/>
        <v>-65</v>
      </c>
      <c r="G20" s="7">
        <f t="shared" si="1"/>
        <v>69.907407407407405</v>
      </c>
      <c r="H20" s="84"/>
    </row>
    <row r="21" spans="1:8">
      <c r="A21" s="21" t="s">
        <v>188</v>
      </c>
      <c r="B21" s="36" t="s">
        <v>309</v>
      </c>
      <c r="C21" s="27">
        <v>1.5</v>
      </c>
      <c r="D21" s="67">
        <v>1.5</v>
      </c>
      <c r="E21" s="67">
        <v>1.5</v>
      </c>
      <c r="F21" s="72">
        <f>SUM(E21-D21)</f>
        <v>0</v>
      </c>
      <c r="G21" s="7">
        <f t="shared" si="1"/>
        <v>100</v>
      </c>
      <c r="H21" s="84"/>
    </row>
    <row r="22" spans="1:8">
      <c r="A22" s="21" t="s">
        <v>190</v>
      </c>
      <c r="B22" s="10" t="s">
        <v>154</v>
      </c>
      <c r="C22" s="27">
        <v>2921.3</v>
      </c>
      <c r="D22" s="67">
        <v>2192.9</v>
      </c>
      <c r="E22" s="67">
        <v>1513.4</v>
      </c>
      <c r="F22" s="72">
        <f t="shared" si="0"/>
        <v>-679.5</v>
      </c>
      <c r="G22" s="7">
        <f t="shared" si="1"/>
        <v>69.013634912672714</v>
      </c>
      <c r="H22" s="84"/>
    </row>
    <row r="23" spans="1:8">
      <c r="A23" s="21" t="s">
        <v>191</v>
      </c>
      <c r="B23" s="36" t="s">
        <v>289</v>
      </c>
      <c r="C23" s="27">
        <v>596.5</v>
      </c>
      <c r="D23" s="67">
        <v>460.9</v>
      </c>
      <c r="E23" s="67">
        <v>390.7</v>
      </c>
      <c r="F23" s="72">
        <f t="shared" si="0"/>
        <v>-70.199999999999989</v>
      </c>
      <c r="G23" s="7">
        <f t="shared" si="1"/>
        <v>84.76893035365589</v>
      </c>
      <c r="H23" s="84"/>
    </row>
    <row r="24" spans="1:8">
      <c r="A24" s="21" t="s">
        <v>192</v>
      </c>
      <c r="B24" s="37" t="s">
        <v>155</v>
      </c>
      <c r="C24" s="27">
        <v>111.2</v>
      </c>
      <c r="D24" s="67">
        <v>95.6</v>
      </c>
      <c r="E24" s="67">
        <v>75</v>
      </c>
      <c r="F24" s="72">
        <f t="shared" si="0"/>
        <v>-20.599999999999994</v>
      </c>
      <c r="G24" s="7">
        <f t="shared" si="1"/>
        <v>78.451882845188294</v>
      </c>
      <c r="H24" s="84"/>
    </row>
    <row r="25" spans="1:8">
      <c r="A25" s="21" t="s">
        <v>310</v>
      </c>
      <c r="B25" s="37" t="s">
        <v>193</v>
      </c>
      <c r="C25" s="4">
        <v>10520.7</v>
      </c>
      <c r="D25" s="67">
        <v>9073.1</v>
      </c>
      <c r="E25" s="67">
        <v>6761.1</v>
      </c>
      <c r="F25" s="72">
        <f t="shared" si="0"/>
        <v>-2312</v>
      </c>
      <c r="G25" s="7">
        <f t="shared" si="1"/>
        <v>74.518080920523317</v>
      </c>
      <c r="H25" s="84"/>
    </row>
    <row r="26" spans="1:8">
      <c r="A26" s="4" t="s">
        <v>2</v>
      </c>
      <c r="B26" s="38" t="s">
        <v>290</v>
      </c>
      <c r="C26" s="2">
        <v>373.1</v>
      </c>
      <c r="D26" s="2">
        <v>273.10000000000002</v>
      </c>
      <c r="E26" s="4">
        <v>249.1</v>
      </c>
      <c r="F26" s="72">
        <f t="shared" si="0"/>
        <v>-24.000000000000028</v>
      </c>
      <c r="G26" s="7">
        <f t="shared" si="1"/>
        <v>91.212010252654693</v>
      </c>
      <c r="H26" s="84"/>
    </row>
    <row r="27" spans="1:8">
      <c r="A27" s="4" t="s">
        <v>3</v>
      </c>
      <c r="B27" s="2" t="s">
        <v>156</v>
      </c>
      <c r="C27" s="2">
        <v>290</v>
      </c>
      <c r="D27" s="2">
        <v>225</v>
      </c>
      <c r="E27" s="4">
        <v>184.8</v>
      </c>
      <c r="F27" s="72">
        <f t="shared" si="0"/>
        <v>-40.199999999999989</v>
      </c>
      <c r="G27" s="7">
        <f t="shared" si="1"/>
        <v>82.13333333333334</v>
      </c>
      <c r="H27" s="84"/>
    </row>
    <row r="28" spans="1:8">
      <c r="A28" s="4" t="s">
        <v>4</v>
      </c>
      <c r="B28" s="38" t="s">
        <v>157</v>
      </c>
      <c r="C28" s="2">
        <v>8329.6</v>
      </c>
      <c r="D28" s="2">
        <v>7348.7</v>
      </c>
      <c r="E28" s="4">
        <v>6482</v>
      </c>
      <c r="F28" s="72">
        <f t="shared" si="0"/>
        <v>-866.69999999999982</v>
      </c>
      <c r="G28" s="7">
        <f t="shared" si="1"/>
        <v>88.206077265366673</v>
      </c>
      <c r="H28" s="84"/>
    </row>
    <row r="29" spans="1:8">
      <c r="A29" s="4" t="s">
        <v>5</v>
      </c>
      <c r="B29" s="2" t="s">
        <v>158</v>
      </c>
      <c r="C29" s="2">
        <v>7960.3</v>
      </c>
      <c r="D29" s="2">
        <v>6294.9</v>
      </c>
      <c r="E29" s="4">
        <v>5465.3</v>
      </c>
      <c r="F29" s="72">
        <f t="shared" si="0"/>
        <v>-829.59999999999945</v>
      </c>
      <c r="G29" s="7">
        <f t="shared" si="1"/>
        <v>86.821077380101357</v>
      </c>
      <c r="H29" s="84"/>
    </row>
    <row r="30" spans="1:8" ht="24" customHeight="1">
      <c r="A30" s="73" t="s">
        <v>6</v>
      </c>
      <c r="B30" s="81" t="s">
        <v>321</v>
      </c>
      <c r="C30" s="33">
        <f>SUM(C31:C34)</f>
        <v>35178</v>
      </c>
      <c r="D30" s="33">
        <f>SUM(D31:D34)</f>
        <v>28455.9</v>
      </c>
      <c r="E30" s="33">
        <f>SUM(E31:E34)</f>
        <v>18076.3</v>
      </c>
      <c r="F30" s="74">
        <f t="shared" si="0"/>
        <v>-10379.600000000002</v>
      </c>
      <c r="G30" s="80">
        <f>SUM(E30/D30*100)</f>
        <v>63.523908925741225</v>
      </c>
      <c r="H30" s="84"/>
    </row>
    <row r="31" spans="1:8">
      <c r="A31" s="21" t="s">
        <v>364</v>
      </c>
      <c r="B31" s="75" t="s">
        <v>159</v>
      </c>
      <c r="C31" s="38">
        <v>260</v>
      </c>
      <c r="D31" s="38">
        <v>260</v>
      </c>
      <c r="E31" s="38">
        <v>0</v>
      </c>
      <c r="F31" s="97">
        <f t="shared" si="0"/>
        <v>-260</v>
      </c>
      <c r="G31" s="98">
        <f t="shared" si="1"/>
        <v>0</v>
      </c>
      <c r="H31" s="84"/>
    </row>
    <row r="32" spans="1:8">
      <c r="A32" s="21" t="s">
        <v>365</v>
      </c>
      <c r="B32" s="35" t="s">
        <v>160</v>
      </c>
      <c r="C32" s="2">
        <v>31863</v>
      </c>
      <c r="D32" s="2">
        <v>25369.7</v>
      </c>
      <c r="E32" s="4">
        <v>16164.8</v>
      </c>
      <c r="F32" s="72">
        <f t="shared" si="0"/>
        <v>-9204.9000000000015</v>
      </c>
      <c r="G32" s="98">
        <f t="shared" si="1"/>
        <v>63.716953688849287</v>
      </c>
      <c r="H32" s="84"/>
    </row>
    <row r="33" spans="1:8">
      <c r="A33" s="21" t="s">
        <v>366</v>
      </c>
      <c r="B33" s="2" t="s">
        <v>291</v>
      </c>
      <c r="C33" s="2">
        <v>2425.5</v>
      </c>
      <c r="D33" s="2">
        <v>2373</v>
      </c>
      <c r="E33" s="2">
        <v>1610.6</v>
      </c>
      <c r="F33" s="72">
        <f t="shared" si="0"/>
        <v>-762.40000000000009</v>
      </c>
      <c r="G33" s="98">
        <f t="shared" si="1"/>
        <v>67.871892119679728</v>
      </c>
      <c r="H33" s="84"/>
    </row>
    <row r="34" spans="1:8">
      <c r="A34" s="21" t="s">
        <v>367</v>
      </c>
      <c r="B34" s="75" t="s">
        <v>292</v>
      </c>
      <c r="C34" s="2">
        <v>629.5</v>
      </c>
      <c r="D34" s="35">
        <v>453.2</v>
      </c>
      <c r="E34" s="25">
        <v>300.89999999999998</v>
      </c>
      <c r="F34" s="72">
        <f>SUM(E34-D34)</f>
        <v>-152.30000000000001</v>
      </c>
      <c r="G34" s="7">
        <f t="shared" si="1"/>
        <v>66.394527802294789</v>
      </c>
      <c r="H34" s="84"/>
    </row>
    <row r="35" spans="1:8">
      <c r="A35" s="300" t="s">
        <v>163</v>
      </c>
      <c r="B35" s="301"/>
      <c r="C35" s="76">
        <f>SUM(C9+C10+C26+C27+C28+C29+C30)</f>
        <v>129550.00000000001</v>
      </c>
      <c r="D35" s="76">
        <f>SUM(D9+D10+D26+D27+D28+D29+D30)</f>
        <v>102794.19999999998</v>
      </c>
      <c r="E35" s="76">
        <f>SUM(E9+E10+E26+E27+E28+E29+E30)</f>
        <v>82282.2</v>
      </c>
      <c r="F35" s="167">
        <f>SUM(F9+F10+F26+F27+F28+F29+F30)</f>
        <v>-20512</v>
      </c>
      <c r="G35" s="80">
        <f t="shared" si="1"/>
        <v>80.045566773222617</v>
      </c>
      <c r="H35" s="84"/>
    </row>
    <row r="36" spans="1:8">
      <c r="A36" s="304" t="s">
        <v>284</v>
      </c>
      <c r="B36" s="305"/>
      <c r="C36" s="76">
        <v>50</v>
      </c>
      <c r="D36" s="76">
        <v>50</v>
      </c>
      <c r="E36" s="76">
        <v>50</v>
      </c>
      <c r="F36" s="118">
        <f>SUM(E36-D36)</f>
        <v>0</v>
      </c>
      <c r="G36" s="80">
        <f>SUM(E36/D36*100)</f>
        <v>100</v>
      </c>
      <c r="H36" s="84"/>
    </row>
    <row r="37" spans="1:8" ht="13.5" thickBot="1">
      <c r="A37" s="289" t="s">
        <v>283</v>
      </c>
      <c r="B37" s="290"/>
      <c r="C37" s="34">
        <v>1383.6</v>
      </c>
      <c r="D37" s="33">
        <v>1017.4</v>
      </c>
      <c r="E37" s="34">
        <v>1017.3</v>
      </c>
      <c r="F37" s="118">
        <f>SUM(E37-D37)</f>
        <v>-0.10000000000002274</v>
      </c>
      <c r="G37" s="80">
        <f>SUM(E37/D37*100)</f>
        <v>99.990171024179276</v>
      </c>
      <c r="H37" s="84"/>
    </row>
    <row r="38" spans="1:8" ht="13.5" thickBot="1">
      <c r="A38" s="302" t="s">
        <v>129</v>
      </c>
      <c r="B38" s="303"/>
      <c r="C38" s="136">
        <f>SUM(C35:C37)</f>
        <v>130983.60000000002</v>
      </c>
      <c r="D38" s="137">
        <f>SUM(D35:D37)</f>
        <v>103861.59999999998</v>
      </c>
      <c r="E38" s="137">
        <f>SUM(E35:E37)</f>
        <v>83349.5</v>
      </c>
      <c r="F38" s="77">
        <f>SUM(E38-D38)</f>
        <v>-20512.099999999977</v>
      </c>
      <c r="G38" s="99">
        <f>SUM(E38/D38*100)</f>
        <v>80.25054495597989</v>
      </c>
      <c r="H38" s="96"/>
    </row>
    <row r="40" spans="1:8">
      <c r="C40" s="10"/>
      <c r="D40" s="10"/>
      <c r="E40" s="10"/>
    </row>
  </sheetData>
  <mergeCells count="14">
    <mergeCell ref="A35:B35"/>
    <mergeCell ref="A38:B38"/>
    <mergeCell ref="A36:B36"/>
    <mergeCell ref="A37:B37"/>
    <mergeCell ref="B2:E2"/>
    <mergeCell ref="A3:G3"/>
    <mergeCell ref="A4:G4"/>
    <mergeCell ref="A7:A8"/>
    <mergeCell ref="B7:B8"/>
    <mergeCell ref="C7:C8"/>
    <mergeCell ref="D7:D8"/>
    <mergeCell ref="E7:E8"/>
    <mergeCell ref="F7:G7"/>
    <mergeCell ref="F6:G6"/>
  </mergeCells>
  <printOptions horizontalCentered="1"/>
  <pageMargins left="0.9055118110236221" right="0.51181102362204722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biudžeto pajamų vykdymas</vt:lpstr>
      <vt:lpstr>pajamų už teikiamas pasl vykdym</vt:lpstr>
      <vt:lpstr>pajamos už patalpų nuomą</vt:lpstr>
      <vt:lpstr>vykdymas pagal asig valdytojus</vt:lpstr>
      <vt:lpstr>vykdymas pagal programas</vt:lpstr>
      <vt:lpstr>vykdymas pagal valstybės funk</vt:lpstr>
      <vt:lpstr>asignavimai pgl valstybės funk </vt:lpstr>
      <vt:lpstr>vykdymas pagal ekonom paskirst</vt:lpstr>
      <vt:lpstr>asignavimai pagal ekonom paskir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Irena Gailiuvienė</cp:lastModifiedBy>
  <cp:lastPrinted>2023-10-23T08:55:03Z</cp:lastPrinted>
  <dcterms:created xsi:type="dcterms:W3CDTF">1996-10-14T23:33:28Z</dcterms:created>
  <dcterms:modified xsi:type="dcterms:W3CDTF">2023-10-23T09:00:03Z</dcterms:modified>
</cp:coreProperties>
</file>