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eda.balcytiene\AppData\Local\Microsoft\Windows\INetCache\Content.Outlook\C2YE0FDB\"/>
    </mc:Choice>
  </mc:AlternateContent>
  <xr:revisionPtr revIDLastSave="0" documentId="13_ncr:1_{3CE910BA-ED31-4D27-876A-FB54A3D543ED}" xr6:coauthVersionLast="47" xr6:coauthVersionMax="47" xr10:uidLastSave="{00000000-0000-0000-0000-000000000000}"/>
  <bookViews>
    <workbookView xWindow="-28920" yWindow="1440" windowWidth="29040" windowHeight="15720" firstSheet="5" activeTab="8" xr2:uid="{00000000-000D-0000-FFFF-FFFF00000000}"/>
  </bookViews>
  <sheets>
    <sheet name="biudžeto pajamų vykdymas" sheetId="2" r:id="rId1"/>
    <sheet name="pajamų už teikiamas pasl vykdym" sheetId="10" r:id="rId2"/>
    <sheet name="pajamo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agal valstyb funk" sheetId="38" r:id="rId7"/>
    <sheet name="vykdymas pagal ekonom paskirst" sheetId="14" r:id="rId8"/>
    <sheet name="asignavimai pagal ekonom paskir" sheetId="39" r:id="rId9"/>
  </sheets>
  <calcPr calcId="191029"/>
</workbook>
</file>

<file path=xl/calcChain.xml><?xml version="1.0" encoding="utf-8"?>
<calcChain xmlns="http://schemas.openxmlformats.org/spreadsheetml/2006/main">
  <c r="J27" i="40" l="1"/>
  <c r="J30" i="10"/>
  <c r="G32" i="10"/>
  <c r="F32" i="10"/>
  <c r="G46" i="10"/>
  <c r="F46" i="10"/>
  <c r="G45" i="10"/>
  <c r="F45" i="10"/>
  <c r="F43" i="10"/>
  <c r="G43" i="10"/>
  <c r="G42" i="10"/>
  <c r="G48" i="10"/>
  <c r="G44" i="10"/>
  <c r="G41" i="10"/>
  <c r="G40" i="10"/>
  <c r="G39" i="10"/>
  <c r="G38" i="10"/>
  <c r="G37" i="10"/>
  <c r="G36" i="10"/>
  <c r="G35" i="10"/>
  <c r="G34" i="10"/>
  <c r="G33" i="10"/>
  <c r="G31" i="10"/>
  <c r="G30" i="10"/>
  <c r="G29" i="10"/>
  <c r="G28" i="10"/>
  <c r="G27" i="10"/>
  <c r="G26" i="10"/>
  <c r="G25" i="10"/>
  <c r="J25" i="10" s="1"/>
  <c r="G24" i="10"/>
  <c r="G23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F8" i="10"/>
  <c r="G30" i="40"/>
  <c r="G38" i="40" s="1"/>
  <c r="F30" i="40"/>
  <c r="I31" i="40"/>
  <c r="F19" i="40"/>
  <c r="C8" i="38" l="1"/>
  <c r="C20" i="38" s="1"/>
  <c r="N18" i="37"/>
  <c r="M18" i="37"/>
  <c r="L18" i="37"/>
  <c r="K18" i="37"/>
  <c r="O18" i="37" s="1"/>
  <c r="J18" i="37"/>
  <c r="I18" i="37"/>
  <c r="H18" i="37"/>
  <c r="G18" i="37"/>
  <c r="F18" i="37"/>
  <c r="E18" i="37"/>
  <c r="D18" i="37"/>
  <c r="C18" i="37"/>
  <c r="P17" i="37"/>
  <c r="O17" i="37"/>
  <c r="P16" i="37"/>
  <c r="O16" i="37"/>
  <c r="P15" i="37"/>
  <c r="O15" i="37"/>
  <c r="P14" i="37"/>
  <c r="O14" i="37"/>
  <c r="P13" i="37"/>
  <c r="O13" i="37"/>
  <c r="P12" i="37"/>
  <c r="O12" i="37"/>
  <c r="P11" i="37"/>
  <c r="O11" i="37"/>
  <c r="P10" i="37"/>
  <c r="O10" i="37"/>
  <c r="P9" i="37"/>
  <c r="O9" i="37"/>
  <c r="O272" i="36"/>
  <c r="N272" i="36"/>
  <c r="M272" i="36"/>
  <c r="L272" i="36"/>
  <c r="K272" i="36"/>
  <c r="J272" i="36"/>
  <c r="I272" i="36"/>
  <c r="H272" i="36"/>
  <c r="G272" i="36"/>
  <c r="F272" i="36"/>
  <c r="E272" i="36"/>
  <c r="D272" i="36"/>
  <c r="O270" i="36"/>
  <c r="N270" i="36"/>
  <c r="M270" i="36"/>
  <c r="L270" i="36"/>
  <c r="Q270" i="36" s="1"/>
  <c r="K270" i="36"/>
  <c r="J270" i="36"/>
  <c r="I270" i="36"/>
  <c r="H270" i="36"/>
  <c r="G270" i="36"/>
  <c r="F270" i="36"/>
  <c r="E270" i="36"/>
  <c r="D270" i="36"/>
  <c r="O267" i="36"/>
  <c r="N267" i="36"/>
  <c r="M267" i="36"/>
  <c r="L267" i="36"/>
  <c r="K267" i="36"/>
  <c r="J267" i="36"/>
  <c r="I267" i="36"/>
  <c r="H267" i="36"/>
  <c r="Q267" i="36" s="1"/>
  <c r="G267" i="36"/>
  <c r="F267" i="36"/>
  <c r="E267" i="36"/>
  <c r="D267" i="36"/>
  <c r="O265" i="36"/>
  <c r="N265" i="36"/>
  <c r="M265" i="36"/>
  <c r="L265" i="36"/>
  <c r="Q265" i="36" s="1"/>
  <c r="K265" i="36"/>
  <c r="J265" i="36"/>
  <c r="I265" i="36"/>
  <c r="H265" i="36"/>
  <c r="G265" i="36"/>
  <c r="F265" i="36"/>
  <c r="E265" i="36"/>
  <c r="D265" i="36"/>
  <c r="O260" i="36"/>
  <c r="N260" i="36"/>
  <c r="M260" i="36"/>
  <c r="L260" i="36"/>
  <c r="Q260" i="36" s="1"/>
  <c r="K260" i="36"/>
  <c r="J260" i="36"/>
  <c r="I260" i="36"/>
  <c r="H260" i="36"/>
  <c r="G260" i="36"/>
  <c r="F260" i="36"/>
  <c r="E260" i="36"/>
  <c r="D260" i="36"/>
  <c r="O254" i="36"/>
  <c r="N254" i="36"/>
  <c r="M254" i="36"/>
  <c r="L254" i="36"/>
  <c r="K254" i="36"/>
  <c r="J254" i="36"/>
  <c r="I254" i="36"/>
  <c r="H254" i="36"/>
  <c r="G254" i="36"/>
  <c r="F254" i="36"/>
  <c r="E254" i="36"/>
  <c r="D254" i="36"/>
  <c r="O249" i="36"/>
  <c r="N249" i="36"/>
  <c r="M249" i="36"/>
  <c r="L249" i="36"/>
  <c r="K249" i="36"/>
  <c r="J249" i="36"/>
  <c r="I249" i="36"/>
  <c r="H249" i="36"/>
  <c r="Q249" i="36" s="1"/>
  <c r="G249" i="36"/>
  <c r="F249" i="36"/>
  <c r="E249" i="36"/>
  <c r="D249" i="36"/>
  <c r="O247" i="36"/>
  <c r="N247" i="36"/>
  <c r="M247" i="36"/>
  <c r="L247" i="36"/>
  <c r="K247" i="36"/>
  <c r="J247" i="36"/>
  <c r="I247" i="36"/>
  <c r="H247" i="36"/>
  <c r="Q247" i="36" s="1"/>
  <c r="G247" i="36"/>
  <c r="F247" i="36"/>
  <c r="E247" i="36"/>
  <c r="D247" i="36"/>
  <c r="O244" i="36"/>
  <c r="N244" i="36"/>
  <c r="M244" i="36"/>
  <c r="L244" i="36"/>
  <c r="Q244" i="36" s="1"/>
  <c r="K244" i="36"/>
  <c r="J244" i="36"/>
  <c r="I244" i="36"/>
  <c r="H244" i="36"/>
  <c r="G244" i="36"/>
  <c r="F244" i="36"/>
  <c r="E244" i="36"/>
  <c r="D244" i="36"/>
  <c r="O241" i="36"/>
  <c r="N241" i="36"/>
  <c r="M241" i="36"/>
  <c r="L241" i="36"/>
  <c r="K241" i="36"/>
  <c r="J241" i="36"/>
  <c r="I241" i="36"/>
  <c r="H241" i="36"/>
  <c r="G241" i="36"/>
  <c r="F241" i="36"/>
  <c r="E241" i="36"/>
  <c r="D241" i="36"/>
  <c r="O237" i="36"/>
  <c r="N237" i="36"/>
  <c r="M237" i="36"/>
  <c r="L237" i="36"/>
  <c r="Q237" i="36" s="1"/>
  <c r="K237" i="36"/>
  <c r="J237" i="36"/>
  <c r="I237" i="36"/>
  <c r="H237" i="36"/>
  <c r="G237" i="36"/>
  <c r="F237" i="36"/>
  <c r="E237" i="36"/>
  <c r="D237" i="36"/>
  <c r="O234" i="36"/>
  <c r="N234" i="36"/>
  <c r="M234" i="36"/>
  <c r="L234" i="36"/>
  <c r="K234" i="36"/>
  <c r="J234" i="36"/>
  <c r="I234" i="36"/>
  <c r="H234" i="36"/>
  <c r="G234" i="36"/>
  <c r="F234" i="36"/>
  <c r="E234" i="36"/>
  <c r="D234" i="36"/>
  <c r="O231" i="36"/>
  <c r="N231" i="36"/>
  <c r="M231" i="36"/>
  <c r="L231" i="36"/>
  <c r="K231" i="36"/>
  <c r="J231" i="36"/>
  <c r="I231" i="36"/>
  <c r="H231" i="36"/>
  <c r="G231" i="36"/>
  <c r="F231" i="36"/>
  <c r="E231" i="36"/>
  <c r="D231" i="36"/>
  <c r="O227" i="36"/>
  <c r="N227" i="36"/>
  <c r="M227" i="36"/>
  <c r="L227" i="36"/>
  <c r="Q227" i="36" s="1"/>
  <c r="K227" i="36"/>
  <c r="J227" i="36"/>
  <c r="I227" i="36"/>
  <c r="H227" i="36"/>
  <c r="G227" i="36"/>
  <c r="F227" i="36"/>
  <c r="E227" i="36"/>
  <c r="D227" i="36"/>
  <c r="O220" i="36"/>
  <c r="N220" i="36"/>
  <c r="M220" i="36"/>
  <c r="L220" i="36"/>
  <c r="Q220" i="36" s="1"/>
  <c r="K220" i="36"/>
  <c r="J220" i="36"/>
  <c r="I220" i="36"/>
  <c r="H220" i="36"/>
  <c r="G220" i="36"/>
  <c r="F220" i="36"/>
  <c r="E220" i="36"/>
  <c r="D220" i="36"/>
  <c r="O214" i="36"/>
  <c r="N214" i="36"/>
  <c r="M214" i="36"/>
  <c r="L214" i="36"/>
  <c r="K214" i="36"/>
  <c r="J214" i="36"/>
  <c r="I214" i="36"/>
  <c r="H214" i="36"/>
  <c r="G214" i="36"/>
  <c r="F214" i="36"/>
  <c r="E214" i="36"/>
  <c r="D214" i="36"/>
  <c r="O211" i="36"/>
  <c r="N211" i="36"/>
  <c r="M211" i="36"/>
  <c r="L211" i="36"/>
  <c r="K211" i="36"/>
  <c r="J211" i="36"/>
  <c r="I211" i="36"/>
  <c r="H211" i="36"/>
  <c r="G211" i="36"/>
  <c r="F211" i="36"/>
  <c r="E211" i="36"/>
  <c r="D211" i="36"/>
  <c r="O208" i="36"/>
  <c r="N208" i="36"/>
  <c r="M208" i="36"/>
  <c r="L208" i="36"/>
  <c r="Q208" i="36" s="1"/>
  <c r="K208" i="36"/>
  <c r="J208" i="36"/>
  <c r="I208" i="36"/>
  <c r="H208" i="36"/>
  <c r="G208" i="36"/>
  <c r="F208" i="36"/>
  <c r="E208" i="36"/>
  <c r="D208" i="36"/>
  <c r="O205" i="36"/>
  <c r="N205" i="36"/>
  <c r="M205" i="36"/>
  <c r="L205" i="36"/>
  <c r="K205" i="36"/>
  <c r="J205" i="36"/>
  <c r="I205" i="36"/>
  <c r="H205" i="36"/>
  <c r="Q205" i="36" s="1"/>
  <c r="G205" i="36"/>
  <c r="F205" i="36"/>
  <c r="E205" i="36"/>
  <c r="D205" i="36"/>
  <c r="O200" i="36"/>
  <c r="N200" i="36"/>
  <c r="M200" i="36"/>
  <c r="L200" i="36"/>
  <c r="K200" i="36"/>
  <c r="J200" i="36"/>
  <c r="I200" i="36"/>
  <c r="H200" i="36"/>
  <c r="Q200" i="36" s="1"/>
  <c r="G200" i="36"/>
  <c r="F200" i="36"/>
  <c r="E200" i="36"/>
  <c r="D200" i="36"/>
  <c r="O194" i="36"/>
  <c r="N194" i="36"/>
  <c r="M194" i="36"/>
  <c r="L194" i="36"/>
  <c r="Q194" i="36" s="1"/>
  <c r="K194" i="36"/>
  <c r="J194" i="36"/>
  <c r="I194" i="36"/>
  <c r="H194" i="36"/>
  <c r="G194" i="36"/>
  <c r="F194" i="36"/>
  <c r="E194" i="36"/>
  <c r="D194" i="36"/>
  <c r="O189" i="36"/>
  <c r="N189" i="36"/>
  <c r="M189" i="36"/>
  <c r="L189" i="36"/>
  <c r="K189" i="36"/>
  <c r="J189" i="36"/>
  <c r="I189" i="36"/>
  <c r="H189" i="36"/>
  <c r="G189" i="36"/>
  <c r="F189" i="36"/>
  <c r="E189" i="36"/>
  <c r="D189" i="36"/>
  <c r="O184" i="36"/>
  <c r="N184" i="36"/>
  <c r="M184" i="36"/>
  <c r="L184" i="36"/>
  <c r="K184" i="36"/>
  <c r="J184" i="36"/>
  <c r="I184" i="36"/>
  <c r="H184" i="36"/>
  <c r="G184" i="36"/>
  <c r="F184" i="36"/>
  <c r="E184" i="36"/>
  <c r="D184" i="36"/>
  <c r="O178" i="36"/>
  <c r="N178" i="36"/>
  <c r="M178" i="36"/>
  <c r="L178" i="36"/>
  <c r="K178" i="36"/>
  <c r="J178" i="36"/>
  <c r="I178" i="36"/>
  <c r="H178" i="36"/>
  <c r="Q178" i="36" s="1"/>
  <c r="G178" i="36"/>
  <c r="F178" i="36"/>
  <c r="E178" i="36"/>
  <c r="D178" i="36"/>
  <c r="O174" i="36"/>
  <c r="N174" i="36"/>
  <c r="M174" i="36"/>
  <c r="L174" i="36"/>
  <c r="Q174" i="36" s="1"/>
  <c r="K174" i="36"/>
  <c r="J174" i="36"/>
  <c r="I174" i="36"/>
  <c r="H174" i="36"/>
  <c r="G174" i="36"/>
  <c r="F174" i="36"/>
  <c r="E174" i="36"/>
  <c r="D174" i="36"/>
  <c r="O172" i="36"/>
  <c r="N172" i="36"/>
  <c r="M172" i="36"/>
  <c r="L172" i="36"/>
  <c r="K172" i="36"/>
  <c r="J172" i="36"/>
  <c r="I172" i="36"/>
  <c r="H172" i="36"/>
  <c r="G172" i="36"/>
  <c r="F172" i="36"/>
  <c r="E172" i="36"/>
  <c r="D172" i="36"/>
  <c r="O170" i="36"/>
  <c r="N170" i="36"/>
  <c r="M170" i="36"/>
  <c r="L170" i="36"/>
  <c r="Q170" i="36" s="1"/>
  <c r="K170" i="36"/>
  <c r="J170" i="36"/>
  <c r="I170" i="36"/>
  <c r="H170" i="36"/>
  <c r="G170" i="36"/>
  <c r="F170" i="36"/>
  <c r="E170" i="36"/>
  <c r="D170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O161" i="36"/>
  <c r="N161" i="36"/>
  <c r="M161" i="36"/>
  <c r="L161" i="36"/>
  <c r="K161" i="36"/>
  <c r="J161" i="36"/>
  <c r="I161" i="36"/>
  <c r="H161" i="36"/>
  <c r="G161" i="36"/>
  <c r="F161" i="36"/>
  <c r="E161" i="36"/>
  <c r="D161" i="36"/>
  <c r="O158" i="36"/>
  <c r="N158" i="36"/>
  <c r="M158" i="36"/>
  <c r="L158" i="36"/>
  <c r="Q158" i="36" s="1"/>
  <c r="K158" i="36"/>
  <c r="J158" i="36"/>
  <c r="I158" i="36"/>
  <c r="H158" i="36"/>
  <c r="G158" i="36"/>
  <c r="F158" i="36"/>
  <c r="E158" i="36"/>
  <c r="D158" i="36"/>
  <c r="O152" i="36"/>
  <c r="N152" i="36"/>
  <c r="M152" i="36"/>
  <c r="L152" i="36"/>
  <c r="Q152" i="36" s="1"/>
  <c r="K152" i="36"/>
  <c r="J152" i="36"/>
  <c r="I152" i="36"/>
  <c r="H152" i="36"/>
  <c r="G152" i="36"/>
  <c r="F152" i="36"/>
  <c r="E152" i="36"/>
  <c r="D152" i="36"/>
  <c r="O146" i="36"/>
  <c r="N146" i="36"/>
  <c r="M146" i="36"/>
  <c r="L146" i="36"/>
  <c r="K146" i="36"/>
  <c r="J146" i="36"/>
  <c r="I146" i="36"/>
  <c r="H146" i="36"/>
  <c r="G146" i="36"/>
  <c r="F146" i="36"/>
  <c r="E146" i="36"/>
  <c r="D146" i="36"/>
  <c r="O140" i="36"/>
  <c r="N140" i="36"/>
  <c r="M140" i="36"/>
  <c r="L140" i="36"/>
  <c r="K140" i="36"/>
  <c r="J140" i="36"/>
  <c r="I140" i="36"/>
  <c r="H140" i="36"/>
  <c r="G140" i="36"/>
  <c r="F140" i="36"/>
  <c r="E140" i="36"/>
  <c r="D140" i="36"/>
  <c r="O135" i="36"/>
  <c r="N135" i="36"/>
  <c r="M135" i="36"/>
  <c r="L135" i="36"/>
  <c r="Q135" i="36" s="1"/>
  <c r="K135" i="36"/>
  <c r="J135" i="36"/>
  <c r="I135" i="36"/>
  <c r="H135" i="36"/>
  <c r="G135" i="36"/>
  <c r="F135" i="36"/>
  <c r="E135" i="36"/>
  <c r="D135" i="36"/>
  <c r="O130" i="36"/>
  <c r="N130" i="36"/>
  <c r="M130" i="36"/>
  <c r="L130" i="36"/>
  <c r="K130" i="36"/>
  <c r="J130" i="36"/>
  <c r="I130" i="36"/>
  <c r="H130" i="36"/>
  <c r="Q130" i="36" s="1"/>
  <c r="G130" i="36"/>
  <c r="F130" i="36"/>
  <c r="E130" i="36"/>
  <c r="D130" i="36"/>
  <c r="O124" i="36"/>
  <c r="N124" i="36"/>
  <c r="M124" i="36"/>
  <c r="L124" i="36"/>
  <c r="K124" i="36"/>
  <c r="J124" i="36"/>
  <c r="I124" i="36"/>
  <c r="H124" i="36"/>
  <c r="Q124" i="36" s="1"/>
  <c r="G124" i="36"/>
  <c r="F124" i="36"/>
  <c r="E124" i="36"/>
  <c r="D124" i="36"/>
  <c r="O119" i="36"/>
  <c r="N119" i="36"/>
  <c r="M119" i="36"/>
  <c r="L119" i="36"/>
  <c r="Q119" i="36" s="1"/>
  <c r="K119" i="36"/>
  <c r="J119" i="36"/>
  <c r="I119" i="36"/>
  <c r="H119" i="36"/>
  <c r="G119" i="36"/>
  <c r="F119" i="36"/>
  <c r="E119" i="36"/>
  <c r="D119" i="36"/>
  <c r="O113" i="36"/>
  <c r="N113" i="36"/>
  <c r="M113" i="36"/>
  <c r="L113" i="36"/>
  <c r="K113" i="36"/>
  <c r="J113" i="36"/>
  <c r="I113" i="36"/>
  <c r="H113" i="36"/>
  <c r="G113" i="36"/>
  <c r="F113" i="36"/>
  <c r="E113" i="36"/>
  <c r="D113" i="36"/>
  <c r="O107" i="36"/>
  <c r="N107" i="36"/>
  <c r="M107" i="36"/>
  <c r="L107" i="36"/>
  <c r="K107" i="36"/>
  <c r="J107" i="36"/>
  <c r="I107" i="36"/>
  <c r="H107" i="36"/>
  <c r="G107" i="36"/>
  <c r="F107" i="36"/>
  <c r="E107" i="36"/>
  <c r="D107" i="36"/>
  <c r="O101" i="36"/>
  <c r="N101" i="36"/>
  <c r="M101" i="36"/>
  <c r="L101" i="36"/>
  <c r="K101" i="36"/>
  <c r="J101" i="36"/>
  <c r="I101" i="36"/>
  <c r="H101" i="36"/>
  <c r="Q101" i="36" s="1"/>
  <c r="G101" i="36"/>
  <c r="F101" i="36"/>
  <c r="E101" i="36"/>
  <c r="D101" i="36"/>
  <c r="O95" i="36"/>
  <c r="N95" i="36"/>
  <c r="M95" i="36"/>
  <c r="L95" i="36"/>
  <c r="Q95" i="36" s="1"/>
  <c r="K95" i="36"/>
  <c r="J95" i="36"/>
  <c r="I95" i="36"/>
  <c r="H95" i="36"/>
  <c r="G95" i="36"/>
  <c r="F95" i="36"/>
  <c r="E95" i="36"/>
  <c r="D95" i="36"/>
  <c r="O89" i="36"/>
  <c r="N89" i="36"/>
  <c r="M89" i="36"/>
  <c r="L89" i="36"/>
  <c r="K89" i="36"/>
  <c r="J89" i="36"/>
  <c r="I89" i="36"/>
  <c r="H89" i="36"/>
  <c r="G89" i="36"/>
  <c r="F89" i="36"/>
  <c r="E89" i="36"/>
  <c r="D89" i="36"/>
  <c r="O83" i="36"/>
  <c r="N83" i="36"/>
  <c r="M83" i="36"/>
  <c r="L83" i="36"/>
  <c r="Q83" i="36" s="1"/>
  <c r="K83" i="36"/>
  <c r="J83" i="36"/>
  <c r="I83" i="36"/>
  <c r="H83" i="36"/>
  <c r="G83" i="36"/>
  <c r="F83" i="36"/>
  <c r="E83" i="36"/>
  <c r="D83" i="36"/>
  <c r="O77" i="36"/>
  <c r="N77" i="36"/>
  <c r="M77" i="36"/>
  <c r="L77" i="36"/>
  <c r="P77" i="36" s="1"/>
  <c r="K77" i="36"/>
  <c r="J77" i="36"/>
  <c r="I77" i="36"/>
  <c r="H77" i="36"/>
  <c r="G77" i="36"/>
  <c r="F77" i="36"/>
  <c r="E77" i="36"/>
  <c r="D77" i="36"/>
  <c r="O71" i="36"/>
  <c r="N71" i="36"/>
  <c r="M71" i="36"/>
  <c r="L71" i="36"/>
  <c r="K71" i="36"/>
  <c r="J71" i="36"/>
  <c r="I71" i="36"/>
  <c r="H71" i="36"/>
  <c r="G71" i="36"/>
  <c r="F71" i="36"/>
  <c r="E71" i="36"/>
  <c r="D71" i="36"/>
  <c r="O66" i="36"/>
  <c r="N66" i="36"/>
  <c r="M66" i="36"/>
  <c r="L66" i="36"/>
  <c r="Q66" i="36" s="1"/>
  <c r="K66" i="36"/>
  <c r="J66" i="36"/>
  <c r="I66" i="36"/>
  <c r="H66" i="36"/>
  <c r="G66" i="36"/>
  <c r="F66" i="36"/>
  <c r="E66" i="36"/>
  <c r="D66" i="36"/>
  <c r="O11" i="36"/>
  <c r="O275" i="36" s="1"/>
  <c r="N11" i="36"/>
  <c r="M11" i="36"/>
  <c r="L11" i="36"/>
  <c r="Q11" i="36" s="1"/>
  <c r="K11" i="36"/>
  <c r="J11" i="36"/>
  <c r="J275" i="36" s="1"/>
  <c r="I11" i="36"/>
  <c r="H11" i="36"/>
  <c r="G11" i="36"/>
  <c r="G275" i="36" s="1"/>
  <c r="F11" i="36"/>
  <c r="F275" i="36" s="1"/>
  <c r="E11" i="36"/>
  <c r="D11" i="36"/>
  <c r="P214" i="36" l="1"/>
  <c r="H275" i="36"/>
  <c r="P107" i="36"/>
  <c r="P184" i="36"/>
  <c r="P249" i="36"/>
  <c r="P146" i="36"/>
  <c r="P166" i="36"/>
  <c r="P130" i="36"/>
  <c r="P205" i="36"/>
  <c r="P267" i="36"/>
  <c r="I275" i="36"/>
  <c r="K275" i="36"/>
  <c r="Q89" i="36"/>
  <c r="P101" i="36"/>
  <c r="Q140" i="36"/>
  <c r="Q146" i="36"/>
  <c r="Q172" i="36"/>
  <c r="P178" i="36"/>
  <c r="Q211" i="36"/>
  <c r="Q214" i="36"/>
  <c r="Q241" i="36"/>
  <c r="P247" i="36"/>
  <c r="Q272" i="36"/>
  <c r="P234" i="36"/>
  <c r="D275" i="36"/>
  <c r="P11" i="36"/>
  <c r="Q107" i="36"/>
  <c r="P152" i="36"/>
  <c r="Q184" i="36"/>
  <c r="P220" i="36"/>
  <c r="E275" i="36"/>
  <c r="M275" i="36"/>
  <c r="Q71" i="36"/>
  <c r="Q77" i="36"/>
  <c r="Q113" i="36"/>
  <c r="P124" i="36"/>
  <c r="Q161" i="36"/>
  <c r="Q166" i="36"/>
  <c r="Q189" i="36"/>
  <c r="P200" i="36"/>
  <c r="Q231" i="36"/>
  <c r="Q234" i="36"/>
  <c r="Q254" i="36"/>
  <c r="P265" i="36"/>
  <c r="P18" i="37"/>
  <c r="N275" i="36"/>
  <c r="P83" i="36"/>
  <c r="P170" i="36"/>
  <c r="P237" i="36"/>
  <c r="P71" i="36"/>
  <c r="P95" i="36"/>
  <c r="P119" i="36"/>
  <c r="P140" i="36"/>
  <c r="P161" i="36"/>
  <c r="P174" i="36"/>
  <c r="P194" i="36"/>
  <c r="P211" i="36"/>
  <c r="P231" i="36"/>
  <c r="P244" i="36"/>
  <c r="P260" i="36"/>
  <c r="P272" i="36"/>
  <c r="P66" i="36"/>
  <c r="P89" i="36"/>
  <c r="P113" i="36"/>
  <c r="P135" i="36"/>
  <c r="P158" i="36"/>
  <c r="P172" i="36"/>
  <c r="P189" i="36"/>
  <c r="P208" i="36"/>
  <c r="P227" i="36"/>
  <c r="P241" i="36"/>
  <c r="P254" i="36"/>
  <c r="P270" i="36"/>
  <c r="L275" i="36"/>
  <c r="Q275" i="36" l="1"/>
  <c r="P275" i="36"/>
  <c r="F8" i="39" l="1"/>
  <c r="G30" i="14"/>
  <c r="G9" i="14"/>
  <c r="G37" i="14" s="1"/>
  <c r="E8" i="38"/>
  <c r="D8" i="38"/>
  <c r="G9" i="13" l="1"/>
  <c r="G8" i="13"/>
  <c r="M45" i="2" l="1"/>
  <c r="L45" i="2"/>
  <c r="K45" i="2"/>
  <c r="J45" i="2"/>
  <c r="I45" i="2"/>
  <c r="G45" i="2"/>
  <c r="M44" i="2"/>
  <c r="L44" i="2"/>
  <c r="K44" i="2"/>
  <c r="J44" i="2"/>
  <c r="E44" i="2"/>
  <c r="I44" i="2" s="1"/>
  <c r="M43" i="2"/>
  <c r="L43" i="2"/>
  <c r="K43" i="2"/>
  <c r="J43" i="2"/>
  <c r="I43" i="2"/>
  <c r="G43" i="2"/>
  <c r="M42" i="2"/>
  <c r="L42" i="2"/>
  <c r="K42" i="2"/>
  <c r="J42" i="2"/>
  <c r="I42" i="2"/>
  <c r="G42" i="2"/>
  <c r="M41" i="2"/>
  <c r="L41" i="2"/>
  <c r="J41" i="2"/>
  <c r="I41" i="2"/>
  <c r="G41" i="2"/>
  <c r="D41" i="2"/>
  <c r="K41" i="2" s="1"/>
  <c r="M40" i="2"/>
  <c r="L40" i="2"/>
  <c r="J40" i="2"/>
  <c r="I40" i="2"/>
  <c r="G40" i="2"/>
  <c r="D40" i="2"/>
  <c r="K40" i="2" s="1"/>
  <c r="H39" i="2"/>
  <c r="H38" i="2" s="1"/>
  <c r="F39" i="2"/>
  <c r="L39" i="2" s="1"/>
  <c r="E39" i="2"/>
  <c r="C39" i="2"/>
  <c r="J39" i="2" s="1"/>
  <c r="M36" i="2"/>
  <c r="L36" i="2"/>
  <c r="K36" i="2"/>
  <c r="J36" i="2"/>
  <c r="I36" i="2"/>
  <c r="G36" i="2"/>
  <c r="M35" i="2"/>
  <c r="L35" i="2"/>
  <c r="K35" i="2"/>
  <c r="J35" i="2"/>
  <c r="I35" i="2"/>
  <c r="G35" i="2"/>
  <c r="M34" i="2"/>
  <c r="L34" i="2"/>
  <c r="K34" i="2"/>
  <c r="J34" i="2"/>
  <c r="I34" i="2"/>
  <c r="G34" i="2"/>
  <c r="M33" i="2"/>
  <c r="L33" i="2"/>
  <c r="K33" i="2"/>
  <c r="J33" i="2"/>
  <c r="I33" i="2"/>
  <c r="G33" i="2"/>
  <c r="M32" i="2"/>
  <c r="L32" i="2"/>
  <c r="K32" i="2"/>
  <c r="J32" i="2"/>
  <c r="I32" i="2"/>
  <c r="G32" i="2"/>
  <c r="M31" i="2"/>
  <c r="L31" i="2"/>
  <c r="K31" i="2"/>
  <c r="J31" i="2"/>
  <c r="I31" i="2"/>
  <c r="G31" i="2"/>
  <c r="M30" i="2"/>
  <c r="L30" i="2"/>
  <c r="K30" i="2"/>
  <c r="J30" i="2"/>
  <c r="I30" i="2"/>
  <c r="G30" i="2"/>
  <c r="M29" i="2"/>
  <c r="L29" i="2"/>
  <c r="K29" i="2"/>
  <c r="J29" i="2"/>
  <c r="G29" i="2"/>
  <c r="M28" i="2"/>
  <c r="L28" i="2"/>
  <c r="K28" i="2"/>
  <c r="J28" i="2"/>
  <c r="I28" i="2"/>
  <c r="G28" i="2"/>
  <c r="M27" i="2"/>
  <c r="L27" i="2"/>
  <c r="K27" i="2"/>
  <c r="J27" i="2"/>
  <c r="I27" i="2"/>
  <c r="G27" i="2"/>
  <c r="M26" i="2"/>
  <c r="L26" i="2"/>
  <c r="K26" i="2"/>
  <c r="J26" i="2"/>
  <c r="I26" i="2"/>
  <c r="G26" i="2"/>
  <c r="H25" i="2"/>
  <c r="J25" i="2" s="1"/>
  <c r="F25" i="2"/>
  <c r="I25" i="2" s="1"/>
  <c r="E25" i="2"/>
  <c r="E24" i="2" s="1"/>
  <c r="D25" i="2"/>
  <c r="D24" i="2" s="1"/>
  <c r="C25" i="2"/>
  <c r="C24" i="2" s="1"/>
  <c r="F24" i="2"/>
  <c r="M23" i="2"/>
  <c r="L23" i="2"/>
  <c r="K23" i="2"/>
  <c r="J23" i="2"/>
  <c r="I23" i="2"/>
  <c r="G23" i="2"/>
  <c r="M22" i="2"/>
  <c r="L22" i="2"/>
  <c r="K22" i="2"/>
  <c r="J22" i="2"/>
  <c r="I22" i="2"/>
  <c r="G22" i="2"/>
  <c r="J21" i="2"/>
  <c r="F21" i="2"/>
  <c r="E21" i="2"/>
  <c r="E19" i="2" s="1"/>
  <c r="E15" i="2" s="1"/>
  <c r="E14" i="2" s="1"/>
  <c r="D21" i="2"/>
  <c r="D19" i="2" s="1"/>
  <c r="D15" i="2" s="1"/>
  <c r="D14" i="2" s="1"/>
  <c r="M20" i="2"/>
  <c r="L20" i="2"/>
  <c r="K20" i="2"/>
  <c r="J20" i="2"/>
  <c r="I20" i="2"/>
  <c r="G20" i="2"/>
  <c r="H19" i="2"/>
  <c r="J19" i="2" s="1"/>
  <c r="F19" i="2"/>
  <c r="L19" i="2" s="1"/>
  <c r="C19" i="2"/>
  <c r="M18" i="2"/>
  <c r="L18" i="2"/>
  <c r="K18" i="2"/>
  <c r="J18" i="2"/>
  <c r="I18" i="2"/>
  <c r="G18" i="2"/>
  <c r="L17" i="2"/>
  <c r="K17" i="2"/>
  <c r="J17" i="2"/>
  <c r="G17" i="2"/>
  <c r="M16" i="2"/>
  <c r="L16" i="2"/>
  <c r="K16" i="2"/>
  <c r="J16" i="2"/>
  <c r="I16" i="2"/>
  <c r="G16" i="2"/>
  <c r="C15" i="2"/>
  <c r="M13" i="2"/>
  <c r="L13" i="2"/>
  <c r="L12" i="2" s="1"/>
  <c r="J13" i="2"/>
  <c r="E13" i="2"/>
  <c r="I13" i="2" s="1"/>
  <c r="D13" i="2"/>
  <c r="D12" i="2" s="1"/>
  <c r="H12" i="2"/>
  <c r="J12" i="2" s="1"/>
  <c r="F12" i="2"/>
  <c r="C12" i="2"/>
  <c r="M11" i="2"/>
  <c r="L11" i="2"/>
  <c r="K11" i="2"/>
  <c r="J11" i="2"/>
  <c r="I11" i="2"/>
  <c r="G11" i="2"/>
  <c r="M10" i="2"/>
  <c r="L10" i="2"/>
  <c r="K10" i="2"/>
  <c r="J10" i="2"/>
  <c r="I10" i="2"/>
  <c r="G10" i="2"/>
  <c r="M9" i="2"/>
  <c r="L9" i="2"/>
  <c r="K9" i="2"/>
  <c r="J9" i="2"/>
  <c r="I9" i="2"/>
  <c r="G9" i="2"/>
  <c r="H8" i="2"/>
  <c r="F8" i="2"/>
  <c r="E8" i="2"/>
  <c r="D8" i="2"/>
  <c r="C8" i="2"/>
  <c r="M7" i="2"/>
  <c r="L7" i="2"/>
  <c r="K7" i="2"/>
  <c r="J7" i="2"/>
  <c r="I7" i="2"/>
  <c r="G7" i="2"/>
  <c r="H6" i="2" l="1"/>
  <c r="J6" i="2" s="1"/>
  <c r="G39" i="2"/>
  <c r="G8" i="2"/>
  <c r="M39" i="2"/>
  <c r="C6" i="2"/>
  <c r="E12" i="2"/>
  <c r="E6" i="2" s="1"/>
  <c r="E37" i="2" s="1"/>
  <c r="L8" i="2"/>
  <c r="M12" i="2"/>
  <c r="L25" i="2"/>
  <c r="D39" i="2"/>
  <c r="D38" i="2" s="1"/>
  <c r="J8" i="2"/>
  <c r="M19" i="2"/>
  <c r="L24" i="2"/>
  <c r="M25" i="2"/>
  <c r="K8" i="2"/>
  <c r="H15" i="2"/>
  <c r="J15" i="2" s="1"/>
  <c r="K21" i="2"/>
  <c r="H24" i="2"/>
  <c r="J24" i="2" s="1"/>
  <c r="M8" i="2"/>
  <c r="C14" i="2"/>
  <c r="C37" i="2" s="1"/>
  <c r="C46" i="2" s="1"/>
  <c r="G44" i="2"/>
  <c r="D6" i="2"/>
  <c r="D37" i="2" s="1"/>
  <c r="D46" i="2" s="1"/>
  <c r="M21" i="2"/>
  <c r="E38" i="2"/>
  <c r="I39" i="2"/>
  <c r="F38" i="2"/>
  <c r="K39" i="2"/>
  <c r="I19" i="2"/>
  <c r="K12" i="2"/>
  <c r="G12" i="2"/>
  <c r="G6" i="2" s="1"/>
  <c r="G13" i="2"/>
  <c r="G21" i="2"/>
  <c r="G19" i="2" s="1"/>
  <c r="G15" i="2" s="1"/>
  <c r="K13" i="2"/>
  <c r="I8" i="2"/>
  <c r="F15" i="2"/>
  <c r="K19" i="2"/>
  <c r="L21" i="2"/>
  <c r="M24" i="2"/>
  <c r="C38" i="2"/>
  <c r="J38" i="2" s="1"/>
  <c r="K25" i="2"/>
  <c r="G24" i="2"/>
  <c r="M38" i="2"/>
  <c r="I24" i="2"/>
  <c r="G38" i="2"/>
  <c r="I21" i="2"/>
  <c r="G25" i="2"/>
  <c r="K24" i="2"/>
  <c r="F6" i="2"/>
  <c r="I38" i="2" l="1"/>
  <c r="K38" i="2"/>
  <c r="I12" i="2"/>
  <c r="E46" i="2"/>
  <c r="L38" i="2"/>
  <c r="H14" i="2"/>
  <c r="I6" i="2"/>
  <c r="M6" i="2"/>
  <c r="L6" i="2"/>
  <c r="K6" i="2"/>
  <c r="L15" i="2"/>
  <c r="K15" i="2"/>
  <c r="F14" i="2"/>
  <c r="F37" i="2" s="1"/>
  <c r="M15" i="2"/>
  <c r="I15" i="2"/>
  <c r="J14" i="2" l="1"/>
  <c r="H37" i="2"/>
  <c r="M37" i="2"/>
  <c r="L37" i="2"/>
  <c r="K37" i="2"/>
  <c r="G37" i="2"/>
  <c r="F46" i="2"/>
  <c r="I37" i="2"/>
  <c r="G14" i="2"/>
  <c r="L14" i="2"/>
  <c r="K14" i="2"/>
  <c r="I14" i="2"/>
  <c r="M14" i="2"/>
  <c r="H46" i="2" l="1"/>
  <c r="J46" i="2" s="1"/>
  <c r="J37" i="2"/>
  <c r="M46" i="2"/>
  <c r="K46" i="2"/>
  <c r="I46" i="2"/>
  <c r="G46" i="2"/>
  <c r="L46" i="2" l="1"/>
  <c r="C20" i="13"/>
  <c r="D19" i="13" s="1"/>
  <c r="C30" i="39"/>
  <c r="H49" i="10"/>
  <c r="F49" i="10"/>
  <c r="I47" i="10"/>
  <c r="J47" i="10"/>
  <c r="I22" i="10"/>
  <c r="I25" i="40"/>
  <c r="J25" i="40"/>
  <c r="I16" i="40"/>
  <c r="J16" i="40"/>
  <c r="I49" i="10" l="1"/>
  <c r="G19" i="38"/>
  <c r="F19" i="38"/>
  <c r="G18" i="38"/>
  <c r="F18" i="38"/>
  <c r="G17" i="38"/>
  <c r="F17" i="38"/>
  <c r="G16" i="38"/>
  <c r="F16" i="38"/>
  <c r="G15" i="38"/>
  <c r="F15" i="38"/>
  <c r="G14" i="38"/>
  <c r="F14" i="38"/>
  <c r="G13" i="38"/>
  <c r="F13" i="38"/>
  <c r="G12" i="38"/>
  <c r="F12" i="38"/>
  <c r="G11" i="38"/>
  <c r="F11" i="38"/>
  <c r="G10" i="38"/>
  <c r="F10" i="38"/>
  <c r="G9" i="38"/>
  <c r="F9" i="38"/>
  <c r="E20" i="38"/>
  <c r="D20" i="38"/>
  <c r="E20" i="13"/>
  <c r="F14" i="13" s="1"/>
  <c r="D11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G20" i="13"/>
  <c r="F16" i="13" l="1"/>
  <c r="F10" i="13"/>
  <c r="F8" i="13"/>
  <c r="F11" i="13"/>
  <c r="F13" i="13"/>
  <c r="F9" i="13"/>
  <c r="F12" i="13"/>
  <c r="G20" i="38"/>
  <c r="F8" i="38"/>
  <c r="F20" i="38" s="1"/>
  <c r="G8" i="38"/>
  <c r="J20" i="13"/>
  <c r="H17" i="13"/>
  <c r="H15" i="13"/>
  <c r="I20" i="13"/>
  <c r="H12" i="13"/>
  <c r="H20" i="13"/>
  <c r="H18" i="13"/>
  <c r="H10" i="13"/>
  <c r="H13" i="13"/>
  <c r="H11" i="13"/>
  <c r="H16" i="13"/>
  <c r="H14" i="13"/>
  <c r="H9" i="13"/>
  <c r="D20" i="13"/>
  <c r="I8" i="13"/>
  <c r="D10" i="13"/>
  <c r="D18" i="13"/>
  <c r="D13" i="13"/>
  <c r="D15" i="13"/>
  <c r="F18" i="13"/>
  <c r="F20" i="13"/>
  <c r="H8" i="13"/>
  <c r="J8" i="13"/>
  <c r="D9" i="13"/>
  <c r="D12" i="13"/>
  <c r="F15" i="13"/>
  <c r="D16" i="13"/>
  <c r="D8" i="13"/>
  <c r="D14" i="13"/>
  <c r="F17" i="13"/>
  <c r="D17" i="13"/>
  <c r="G34" i="39" l="1"/>
  <c r="F34" i="39"/>
  <c r="G33" i="39"/>
  <c r="F33" i="39"/>
  <c r="G32" i="39"/>
  <c r="F32" i="39"/>
  <c r="G31" i="39"/>
  <c r="F31" i="39"/>
  <c r="E30" i="39"/>
  <c r="D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E9" i="39"/>
  <c r="D9" i="39"/>
  <c r="C9" i="39"/>
  <c r="C35" i="39" s="1"/>
  <c r="G8" i="39"/>
  <c r="J35" i="14"/>
  <c r="I35" i="14"/>
  <c r="J34" i="14"/>
  <c r="I34" i="14"/>
  <c r="J33" i="14"/>
  <c r="I33" i="14"/>
  <c r="J32" i="14"/>
  <c r="I32" i="14"/>
  <c r="I31" i="14"/>
  <c r="E30" i="14"/>
  <c r="C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E9" i="14"/>
  <c r="I9" i="14" s="1"/>
  <c r="C9" i="14"/>
  <c r="C37" i="14" s="1"/>
  <c r="J8" i="14"/>
  <c r="I8" i="14"/>
  <c r="D9" i="14" l="1"/>
  <c r="J30" i="14"/>
  <c r="D35" i="39"/>
  <c r="F30" i="39"/>
  <c r="E35" i="39"/>
  <c r="F9" i="39"/>
  <c r="I30" i="14"/>
  <c r="G30" i="39"/>
  <c r="G9" i="39"/>
  <c r="J9" i="14"/>
  <c r="E37" i="14"/>
  <c r="F8" i="14" s="1"/>
  <c r="H35" i="14" l="1"/>
  <c r="H8" i="14"/>
  <c r="D29" i="14"/>
  <c r="D37" i="14"/>
  <c r="D17" i="14"/>
  <c r="D21" i="14"/>
  <c r="D11" i="14"/>
  <c r="D16" i="14"/>
  <c r="D13" i="14"/>
  <c r="D35" i="14"/>
  <c r="D32" i="14"/>
  <c r="D15" i="14"/>
  <c r="D36" i="14"/>
  <c r="D8" i="14"/>
  <c r="D26" i="14"/>
  <c r="D31" i="14"/>
  <c r="D34" i="14"/>
  <c r="D23" i="14"/>
  <c r="D22" i="14"/>
  <c r="D20" i="14"/>
  <c r="D14" i="14"/>
  <c r="D12" i="14"/>
  <c r="D18" i="14"/>
  <c r="D30" i="14"/>
  <c r="D27" i="14"/>
  <c r="D19" i="14"/>
  <c r="D28" i="14"/>
  <c r="D33" i="14"/>
  <c r="D25" i="14"/>
  <c r="D10" i="14"/>
  <c r="H9" i="14"/>
  <c r="J37" i="14"/>
  <c r="F35" i="39"/>
  <c r="G35" i="39"/>
  <c r="H30" i="14"/>
  <c r="F30" i="14"/>
  <c r="F22" i="14"/>
  <c r="F14" i="14"/>
  <c r="F33" i="14"/>
  <c r="F27" i="14"/>
  <c r="F17" i="14"/>
  <c r="F31" i="14"/>
  <c r="F20" i="14"/>
  <c r="F12" i="14"/>
  <c r="F35" i="14"/>
  <c r="F19" i="14"/>
  <c r="F25" i="14"/>
  <c r="F23" i="14"/>
  <c r="F15" i="14"/>
  <c r="F37" i="14"/>
  <c r="F34" i="14"/>
  <c r="F28" i="14"/>
  <c r="F18" i="14"/>
  <c r="F10" i="14"/>
  <c r="F21" i="14"/>
  <c r="F13" i="14"/>
  <c r="F29" i="14"/>
  <c r="F11" i="14"/>
  <c r="F32" i="14"/>
  <c r="F26" i="14"/>
  <c r="F16" i="14"/>
  <c r="H33" i="14"/>
  <c r="H27" i="14"/>
  <c r="H17" i="14"/>
  <c r="I37" i="14"/>
  <c r="H31" i="14"/>
  <c r="H20" i="14"/>
  <c r="H12" i="14"/>
  <c r="H37" i="14"/>
  <c r="H25" i="14"/>
  <c r="H23" i="14"/>
  <c r="H15" i="14"/>
  <c r="H34" i="14"/>
  <c r="H28" i="14"/>
  <c r="H18" i="14"/>
  <c r="H10" i="14"/>
  <c r="H22" i="14"/>
  <c r="H21" i="14"/>
  <c r="H13" i="14"/>
  <c r="H32" i="14"/>
  <c r="H26" i="14"/>
  <c r="H16" i="14"/>
  <c r="H24" i="14"/>
  <c r="H14" i="14"/>
  <c r="H29" i="14"/>
  <c r="H19" i="14"/>
  <c r="H11" i="14"/>
  <c r="F9" i="14"/>
  <c r="H38" i="40" l="1"/>
  <c r="F38" i="40"/>
  <c r="J36" i="40"/>
  <c r="I36" i="40"/>
  <c r="J35" i="40"/>
  <c r="I35" i="40"/>
  <c r="J34" i="40"/>
  <c r="I34" i="40"/>
  <c r="J33" i="40"/>
  <c r="I33" i="40"/>
  <c r="J32" i="40"/>
  <c r="I32" i="40"/>
  <c r="J30" i="40"/>
  <c r="I30" i="40"/>
  <c r="J29" i="40"/>
  <c r="I29" i="40"/>
  <c r="J28" i="40"/>
  <c r="I28" i="40"/>
  <c r="I27" i="40"/>
  <c r="J26" i="40"/>
  <c r="I26" i="40"/>
  <c r="J24" i="40"/>
  <c r="I24" i="40"/>
  <c r="J23" i="40"/>
  <c r="I23" i="40"/>
  <c r="J22" i="40"/>
  <c r="I22" i="40"/>
  <c r="J21" i="40"/>
  <c r="I21" i="40"/>
  <c r="J20" i="40"/>
  <c r="I20" i="40"/>
  <c r="J19" i="40"/>
  <c r="I19" i="40"/>
  <c r="J18" i="40"/>
  <c r="I18" i="40"/>
  <c r="J17" i="40"/>
  <c r="I17" i="40"/>
  <c r="J15" i="40"/>
  <c r="I15" i="40"/>
  <c r="J14" i="40"/>
  <c r="I14" i="40"/>
  <c r="J13" i="40"/>
  <c r="I13" i="40"/>
  <c r="J12" i="40"/>
  <c r="I12" i="40"/>
  <c r="J11" i="40"/>
  <c r="I11" i="40"/>
  <c r="J10" i="40"/>
  <c r="I10" i="40"/>
  <c r="J9" i="40"/>
  <c r="I9" i="40"/>
  <c r="J48" i="10"/>
  <c r="I48" i="10"/>
  <c r="J46" i="10"/>
  <c r="I46" i="10"/>
  <c r="J45" i="10"/>
  <c r="I4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I30" i="10"/>
  <c r="J29" i="10"/>
  <c r="I29" i="10"/>
  <c r="J28" i="10"/>
  <c r="I28" i="10"/>
  <c r="J27" i="10"/>
  <c r="I27" i="10"/>
  <c r="J26" i="10"/>
  <c r="I26" i="10"/>
  <c r="I25" i="10"/>
  <c r="J24" i="10"/>
  <c r="I24" i="10"/>
  <c r="J23" i="10"/>
  <c r="I23" i="10"/>
  <c r="I21" i="10"/>
  <c r="J21" i="10"/>
  <c r="J20" i="10"/>
  <c r="I20" i="10"/>
  <c r="I19" i="10"/>
  <c r="J19" i="10"/>
  <c r="J18" i="10"/>
  <c r="I18" i="10"/>
  <c r="J17" i="10"/>
  <c r="I17" i="10"/>
  <c r="J16" i="10"/>
  <c r="I16" i="10"/>
  <c r="J15" i="10"/>
  <c r="I15" i="10"/>
  <c r="I14" i="10"/>
  <c r="J14" i="10"/>
  <c r="J13" i="10"/>
  <c r="I13" i="10"/>
  <c r="J12" i="10"/>
  <c r="I12" i="10"/>
  <c r="I11" i="10"/>
  <c r="J11" i="10"/>
  <c r="J10" i="10"/>
  <c r="I10" i="10"/>
  <c r="I9" i="10"/>
  <c r="J9" i="10"/>
  <c r="J8" i="10"/>
  <c r="I8" i="10"/>
  <c r="J38" i="40" l="1"/>
  <c r="I38" i="40"/>
  <c r="I37" i="40"/>
  <c r="J37" i="40"/>
  <c r="G49" i="10"/>
  <c r="J49" i="10" s="1"/>
</calcChain>
</file>

<file path=xl/sharedStrings.xml><?xml version="1.0" encoding="utf-8"?>
<sst xmlns="http://schemas.openxmlformats.org/spreadsheetml/2006/main" count="869" uniqueCount="362">
  <si>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</si>
  <si>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</si>
  <si>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</si>
  <si>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</si>
  <si>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</si>
  <si>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</si>
  <si>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</si>
  <si>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</si>
  <si>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</si>
  <si>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 xml:space="preserve"> tūkst. eurų</t>
  </si>
  <si>
    <t>Palūkanos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</si>
  <si>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</si>
  <si>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</si>
  <si>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</si>
  <si>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</si>
  <si>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</si>
  <si>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</si>
  <si>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</si>
  <si>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</si>
  <si>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</si>
  <si>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</si>
  <si>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</si>
  <si>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</si>
  <si>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</si>
  <si>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</si>
  <si>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</si>
  <si>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</si>
  <si>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</si>
  <si>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</si>
  <si>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</si>
  <si>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</si>
  <si>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</si>
  <si>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</si>
  <si>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</si>
  <si>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</si>
  <si>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</si>
  <si>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</si>
  <si>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</si>
  <si>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</si>
  <si>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</si>
  <si>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</si>
  <si>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</si>
  <si>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</si>
  <si>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</si>
  <si>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</si>
  <si>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</si>
  <si>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</si>
  <si>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</si>
  <si>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</si>
  <si>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</si>
  <si>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</si>
  <si>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</si>
  <si>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</si>
  <si>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</si>
  <si>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</si>
  <si>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</si>
  <si>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</si>
  <si>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</si>
  <si>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</si>
  <si>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Gargždų atviro jaunimo centras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</si>
  <si>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</si>
  <si>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</si>
  <si>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</si>
  <si>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</si>
  <si>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</si>
  <si>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</si>
  <si>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</si>
  <si>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</si>
  <si>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</si>
  <si>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</si>
  <si>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</si>
  <si>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</si>
  <si>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</si>
  <si>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Kretingalės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</si>
  <si>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</si>
  <si>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</si>
  <si>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</si>
  <si>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</si>
  <si>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</si>
  <si>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</si>
  <si>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</si>
  <si>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</si>
  <si>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</si>
  <si>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IŠ VISO: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</si>
  <si>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</si>
  <si>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</si>
  <si>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</si>
  <si>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</si>
  <si>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</si>
  <si>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</si>
  <si>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</si>
  <si>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</si>
  <si>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</si>
  <si>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</si>
  <si>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</si>
  <si>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</si>
  <si>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</si>
  <si>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</si>
  <si>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</si>
  <si>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</si>
  <si>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</si>
  <si>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</si>
  <si>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</si>
  <si>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</si>
  <si>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</si>
  <si>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</si>
  <si>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</si>
  <si>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</si>
  <si>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</si>
  <si>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</si>
  <si>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</si>
  <si>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</si>
  <si>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</si>
  <si>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Struktūra procentais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</si>
  <si>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</si>
  <si>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</si>
  <si>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</si>
  <si>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</si>
  <si>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</si>
  <si>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</si>
  <si>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</si>
  <si>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</si>
  <si>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</si>
  <si>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</si>
  <si>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</si>
  <si>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</si>
  <si>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</si>
  <si>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</si>
  <si>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</si>
  <si>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</si>
  <si>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</si>
  <si>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Gyventojų pajamų mokestis</t>
  </si>
  <si>
    <t>Žemės mokestis</t>
  </si>
  <si>
    <t>Nekilnojamojo turto mokestis</t>
  </si>
  <si>
    <t>Kiti mokesčiai už valstybinius gamtos išteklius</t>
  </si>
  <si>
    <t>Pajamos už prekes ir paslaugas</t>
  </si>
  <si>
    <t>Pajamos už ilgalaikio ir trumpalaikio materialiojo turto nuomą</t>
  </si>
  <si>
    <t>Ekonominė klasifikacija</t>
  </si>
  <si>
    <t>Pajamų pavadinimas</t>
  </si>
  <si>
    <t xml:space="preserve"> +/-</t>
  </si>
  <si>
    <t>%</t>
  </si>
  <si>
    <t>Paveldimo turto mokestis</t>
  </si>
  <si>
    <t>Mokesčiai už aplinkos teršimą</t>
  </si>
  <si>
    <t>Nuomos mokestis už valstybinę žemę</t>
  </si>
  <si>
    <t>Mokestis už medžiojamųjų gyvūnų išteklius</t>
  </si>
  <si>
    <t>Įmokos už išlaikymą švietimo, socialinės apsaugos ir kitose įstaigose</t>
  </si>
  <si>
    <t>Pajamos iš baudų, konfiskuoto turto ir kitų netesybų</t>
  </si>
  <si>
    <t>Kitos neišvardytos pajamos</t>
  </si>
  <si>
    <t>Eil.</t>
  </si>
  <si>
    <t>Nr.</t>
  </si>
  <si>
    <t>met.pl.</t>
  </si>
  <si>
    <t>Išlaidos pagal valstybės funkcijas</t>
  </si>
  <si>
    <t>tūkst. eurų</t>
  </si>
  <si>
    <t>Patikslintas metinis planas</t>
  </si>
  <si>
    <t>Finansinio turto įsigijimo išlaidos (akcijos)</t>
  </si>
  <si>
    <t>7 lentelė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</si>
  <si>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</si>
  <si>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</si>
  <si>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</si>
  <si>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</si>
  <si>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</si>
  <si>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</si>
  <si>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>Asignavimų pavadinimas</t>
  </si>
  <si>
    <t>8 lentelė</t>
  </si>
  <si>
    <t>Įvykdymo palyginimas (+,-)</t>
  </si>
  <si>
    <t>Angliavandenilių išteklių mokestis</t>
  </si>
  <si>
    <t>Pajamos už parduotą žemę</t>
  </si>
  <si>
    <t xml:space="preserve">    +;-</t>
  </si>
  <si>
    <t>proc.</t>
  </si>
  <si>
    <t>Struktūra proc.</t>
  </si>
  <si>
    <t>Ekspertų ir konsultantų paslaugos</t>
  </si>
  <si>
    <t>2.15.</t>
  </si>
  <si>
    <t>Dividendai</t>
  </si>
  <si>
    <t xml:space="preserve">  +;-</t>
  </si>
  <si>
    <t>Prekės ir paslaugos</t>
  </si>
  <si>
    <t>Infrastruktūros plėtros įmokų lėšos</t>
  </si>
  <si>
    <t>Veiviržėnų J.Šaulio gimnazija</t>
  </si>
  <si>
    <t>Gargždų "Kranto" progimnazija</t>
  </si>
  <si>
    <t>Agluonėnų mokykla-darželis</t>
  </si>
  <si>
    <t>Lopšelis-darželis "Ąžuoliukas"</t>
  </si>
  <si>
    <t>Lopšelis-darželis "Gintarėlis"</t>
  </si>
  <si>
    <t>Lopšelis-darželis "Naminukas"</t>
  </si>
  <si>
    <t>2023 m. įvykdyta</t>
  </si>
  <si>
    <t>Akcijos</t>
  </si>
  <si>
    <t>MOKESČIAI (2+3+7)</t>
  </si>
  <si>
    <t>Turto mokesčiai (4+5+6)</t>
  </si>
  <si>
    <t>Prekių ir paslaugų mokesčiai (8)</t>
  </si>
  <si>
    <t>KITOS PAJAMOS (10+15+19+20)</t>
  </si>
  <si>
    <t>Turto pajamos (11+12+13+14)</t>
  </si>
  <si>
    <t>Mokesčiai už valstybinius gamtos išteklius, iš jų:</t>
  </si>
  <si>
    <t>14.1.</t>
  </si>
  <si>
    <t>14.2</t>
  </si>
  <si>
    <t>14.3.</t>
  </si>
  <si>
    <t>Želdinių atkuriamosios vertės lėšos</t>
  </si>
  <si>
    <t>14.4.</t>
  </si>
  <si>
    <t>Pajamos už prekes ir paslaugas (16+17+18)</t>
  </si>
  <si>
    <t>Biudžetinių įstaigų pajamos už prekes ir paslaugas, iš jų:</t>
  </si>
  <si>
    <t>16.1.</t>
  </si>
  <si>
    <t>16.2.</t>
  </si>
  <si>
    <t>16.3.</t>
  </si>
  <si>
    <t>16.4.</t>
  </si>
  <si>
    <t>Valstybės rinkliava</t>
  </si>
  <si>
    <t>Vietinės rinkliavos, iš jų:</t>
  </si>
  <si>
    <t>18.1.</t>
  </si>
  <si>
    <t>Komunalinių atliekų surinkimą iš atliekų turėtojų ir atliekų tvarkymą</t>
  </si>
  <si>
    <t>MATERIALIOJO IR NEMATERIALIOJO TURTO REALIZAVIMO PAJAMOS, IŠ JŲ:</t>
  </si>
  <si>
    <t>IŠ VISO PAJAMŲ SAVARANKIŠKOSIOMS FUNKCIJOMS VYKDYTI (1+9+21)</t>
  </si>
  <si>
    <t>DOTACIJOS (24+30)</t>
  </si>
  <si>
    <t>VALSTYBĖS BIUDŽETO DOTACIJOS (25+26+27+28+29)</t>
  </si>
  <si>
    <t>Valstybinėms (valstybės perduotoms savivaldybėms) funkcijoms vykdyti</t>
  </si>
  <si>
    <t>Ugdymo reikmėms finansuoti</t>
  </si>
  <si>
    <t>Iš apskrities perduotai įstaigai finansuoti</t>
  </si>
  <si>
    <t>Klasių, skirtų mokiniams, turintiems specialiųjų ugdymosi poreikių, ūkio lėšoms finansuoti</t>
  </si>
  <si>
    <t xml:space="preserve">Kitos dotacijos </t>
  </si>
  <si>
    <t>DOTACIJA SAVIVALDYBĖMS IŠ EUROPOS SĄJUNGOS, KITOS TARPTAUTINĖS FINANSINĖS PARAMOS IR BENDROJO FINANSAVIMO LĖŠŲ</t>
  </si>
  <si>
    <t>IŠ VISO (22+23)</t>
  </si>
  <si>
    <t xml:space="preserve">TEIKIAMAS PASLAUGAS ĮMOKŲ Į SAVIVALDYBĖS BIUDŽETĄ PLANO ĮVYKDYMAS </t>
  </si>
  <si>
    <t>Eil. Nr.</t>
  </si>
  <si>
    <t>Dituvos A. T. Kuršaičio pagrindinė mokykla</t>
  </si>
  <si>
    <t>Klaipėdos rajono etninės kultūros centras</t>
  </si>
  <si>
    <t>Priekulės meno ir kultūros centras</t>
  </si>
  <si>
    <t>Asignavimų straipsniai</t>
  </si>
  <si>
    <t>2024 m. įvykdyta</t>
  </si>
  <si>
    <t xml:space="preserve"> +,-</t>
  </si>
  <si>
    <t>Materialiojo ir nemat. turto nuoma</t>
  </si>
  <si>
    <t xml:space="preserve">Ekspertų ir konsultantų paslaugų įsigijimo išlaidos </t>
  </si>
  <si>
    <t>Informacinių technologijų prekių ir paslaugų įsigijimas</t>
  </si>
  <si>
    <t>Viešinimo išlaidos</t>
  </si>
  <si>
    <t>2.16.</t>
  </si>
  <si>
    <t>Kitų prekių ir paslaugų įsigijimas</t>
  </si>
  <si>
    <t>Materialinio ir nematerialinio turto išlaidos</t>
  </si>
  <si>
    <t>7.1.</t>
  </si>
  <si>
    <t>7.2.</t>
  </si>
  <si>
    <t>Ilg. turto įsigijimas</t>
  </si>
  <si>
    <t>7.3.</t>
  </si>
  <si>
    <t>7.4.</t>
  </si>
  <si>
    <t>Ilgalaikių paskolų grąžinimas</t>
  </si>
  <si>
    <t xml:space="preserve"> Paskolų ir palūkanų grąžinimas</t>
  </si>
  <si>
    <t xml:space="preserve"> Viešoji tvarka ir visuomenės  apsauga</t>
  </si>
  <si>
    <t xml:space="preserve"> Sveikatos apsauga</t>
  </si>
  <si>
    <t xml:space="preserve"> Bendrosios valstybės paslaugos</t>
  </si>
  <si>
    <t xml:space="preserve"> Palūkanų grąžinimas</t>
  </si>
  <si>
    <t xml:space="preserve"> Paskolų grąžinimas</t>
  </si>
  <si>
    <t>Lopšelis-darželis "Saulutė"</t>
  </si>
  <si>
    <t>Klaipėdos r. Sendvario "Saulės" mokykla</t>
  </si>
  <si>
    <t>40.</t>
  </si>
  <si>
    <t>41.</t>
  </si>
  <si>
    <t>2025 metinis planas</t>
  </si>
  <si>
    <t xml:space="preserve">2025 m. </t>
  </si>
  <si>
    <t>21.1</t>
  </si>
  <si>
    <t>2025 m. įvykdyta</t>
  </si>
  <si>
    <t>2025 m. palyginimas su 2024 m.</t>
  </si>
  <si>
    <t>2025 m. palyginus su 2024 m.</t>
  </si>
  <si>
    <t>Nemat. turto įsigijimas</t>
  </si>
  <si>
    <t>1 lentelė</t>
  </si>
  <si>
    <t>Darbo užmokestis ir socialinio draudimo įmokos</t>
  </si>
  <si>
    <t xml:space="preserve">2023-2025 M. I PUSMEČIO SAVIVALDYBĖS BIUDŽETO IŠLAIDŲ STRUKTŪRA PAGAL VALSTYBĖS FUNKCIJAS </t>
  </si>
  <si>
    <t xml:space="preserve"> 2025 M. I PUSMEČIO SAVIVALDYBĖS  BIUDŽETO ASIGNAVIMAI PAGAL VALSTYBĖS FUNKCIJAS  </t>
  </si>
  <si>
    <t xml:space="preserve">  2023- 2025 M.  I PUSMEČIO SAVIVALDYBĖS BIUDŽETO ASIGNAVIMŲ STRUKTŪRA PAGAL EKONOMINĮ PASKIRSTYMĄ</t>
  </si>
  <si>
    <t xml:space="preserve">     2025 M. I PUSMEČIO SAVIVALDYBĖS BIUDŽETO ASIGNAVIMAI PAGAL EKONOMINĮ PASKIRSTYMĄ  </t>
  </si>
  <si>
    <t>SAVIVALDYBĖS  BIUDŽETO  PAJAMŲ  PLANO ĮVYKDYMAS 2025 M. BIRŽELIO 30 D.</t>
  </si>
  <si>
    <t>Įvykdyta 2024 06 30</t>
  </si>
  <si>
    <t>Įvykdymo palyginimas   2025 06 30 /2024 06 30</t>
  </si>
  <si>
    <t>I pusmečio planas</t>
  </si>
  <si>
    <t>Įvykdyta 2025 06 30</t>
  </si>
  <si>
    <t>2025 m. I pusmečio</t>
  </si>
  <si>
    <t>2024 06 30/ 2024 m. įvykdymu</t>
  </si>
  <si>
    <t>2025 06 30 / 2025 m. planu</t>
  </si>
  <si>
    <t>Biudžeto ir ekonomikos skyriaus patarėja</t>
  </si>
  <si>
    <t>Reda Balčytienė</t>
  </si>
  <si>
    <t>2025 M. I PUSMEČIO IŠ SAVIVALDYBĖS BIUDŽETO IŠLAIKOMŲ ĮSTAIGŲ PAJAMŲ</t>
  </si>
  <si>
    <t xml:space="preserve">2025 M. I PUSMEČIO IŠ SAVIVALDYBĖS BIUDŽETO IŠLAIKOMŲ ĮSTAIGŲ PAJAMŲ UŽ </t>
  </si>
  <si>
    <t>I pusm.pl.</t>
  </si>
  <si>
    <t>Materialiojo ir nemateriojo turto įsigijimo išlaidos</t>
  </si>
  <si>
    <t>Asignavimų valdytojas</t>
  </si>
  <si>
    <t>Programos kodas</t>
  </si>
  <si>
    <t>Finansavimo šaltinis</t>
  </si>
  <si>
    <t>Įvykdymas</t>
  </si>
  <si>
    <t>Įvykdymo proc.</t>
  </si>
  <si>
    <t>Iš viso</t>
  </si>
  <si>
    <t>Iš jų:</t>
  </si>
  <si>
    <t>nuo  metinio plano</t>
  </si>
  <si>
    <t>nuo ataskaitinio laikotarpio plano</t>
  </si>
  <si>
    <t>Paprastosios išlaidos</t>
  </si>
  <si>
    <t>Turtui įsigyti</t>
  </si>
  <si>
    <t>Iš jų darbo užmokesčiui</t>
  </si>
  <si>
    <t>Klaipėdos rajono savivaldybės administracija</t>
  </si>
  <si>
    <t>1-Žinių visuomenės plėtros programa</t>
  </si>
  <si>
    <t>ES</t>
  </si>
  <si>
    <t>ML</t>
  </si>
  <si>
    <t>ML(UK)</t>
  </si>
  <si>
    <t>SB</t>
  </si>
  <si>
    <t>SL(ES)</t>
  </si>
  <si>
    <t>VBD</t>
  </si>
  <si>
    <t>VBES</t>
  </si>
  <si>
    <t>2-Ekonominio konkurencingumo didinimo programa</t>
  </si>
  <si>
    <t>Ž</t>
  </si>
  <si>
    <t>3-Aplinkos apsaugos programa</t>
  </si>
  <si>
    <t>AA</t>
  </si>
  <si>
    <t>GŠV</t>
  </si>
  <si>
    <t>LA</t>
  </si>
  <si>
    <t>LGŠV</t>
  </si>
  <si>
    <t>LS</t>
  </si>
  <si>
    <t>S</t>
  </si>
  <si>
    <t>4-Sveikatos apsaugos programa</t>
  </si>
  <si>
    <t>5-Socialinės paramos programa</t>
  </si>
  <si>
    <t>VBD(UK)</t>
  </si>
  <si>
    <t>6-Susisiekimo ir inžinerinės infrastruktūros plėtros programa</t>
  </si>
  <si>
    <t>KPPP</t>
  </si>
  <si>
    <t>VLK</t>
  </si>
  <si>
    <t>8-Kūno kultūros ir sporto plėtros programa</t>
  </si>
  <si>
    <t>LK</t>
  </si>
  <si>
    <t>SL</t>
  </si>
  <si>
    <t>LŽ</t>
  </si>
  <si>
    <t>J.Lankučio viešoji biblioteka</t>
  </si>
  <si>
    <t>Gargždų " Vaivorykštės" gimnazija</t>
  </si>
  <si>
    <t>Priekulės Ievos Simonaitytės gimnazija</t>
  </si>
  <si>
    <t>KKP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</si>
  <si>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</si>
  <si>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</si>
  <si>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</si>
  <si>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</si>
  <si>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</si>
  <si>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</si>
  <si>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Dituvos Aleksandro Teodoro Kuršaičio pagrindinė mokykla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</si>
  <si>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</si>
  <si>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</si>
  <si>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</si>
  <si>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</si>
  <si>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</si>
  <si>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</si>
  <si>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</si>
  <si>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Programa</t>
  </si>
  <si>
    <t>Pavadinimas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</si>
  <si>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</si>
  <si>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</si>
  <si>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</si>
  <si>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</si>
  <si>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</si>
  <si>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</si>
  <si>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</si>
  <si>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</si>
  <si>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</si>
  <si>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</si>
  <si>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</si>
  <si>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</si>
  <si>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</si>
  <si>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</si>
  <si>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</si>
  <si>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</si>
  <si>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4 lentelė</t>
  </si>
  <si>
    <t>5 lentelė</t>
  </si>
  <si>
    <t>9-Savivaldybės valdymo ir pagrindinių funkcijų vykdymo programa</t>
  </si>
  <si>
    <t>7-Kultūros paveldo puoselėjimo ir kultūros paslaugų plėtros programa</t>
  </si>
  <si>
    <t>7-Kultūros paveldo puoselėjimo ir kultūros paslaugų plėtros prpgrama</t>
  </si>
  <si>
    <t>Kultūros paveldo puoselėjimo ir kultūros paslaugų plėtros programa</t>
  </si>
  <si>
    <t>Savivaldybės valdymo ir pagrindinių funkcijų vykdymo programa</t>
  </si>
  <si>
    <t>2025 M. I PUSMEČIO SAVIVALDYBĖS BIUDŽETO ASIGNAVIMAI  PAGAL ASIGNAVIMŲ VALDYTOJUS</t>
  </si>
  <si>
    <t xml:space="preserve"> I pusmečio planas</t>
  </si>
  <si>
    <t xml:space="preserve"> I pusmečio  planas</t>
  </si>
  <si>
    <t>2025 M. I PUSMEČIO SAVIVALDYBĖS BIUDŽETO ASIGNAVIMAI  PAGAL PROGRAMAS</t>
  </si>
  <si>
    <t>I pusmečio plano įvykdymas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</si>
</sst>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#####0.0"/>
    <numFmt numFmtId="167" formatCode="0.000"/>
  </numFmts>
  <fonts count="2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2" fillId="0" borderId="0"/>
    <xf numFmtId="0" fontId="13" fillId="0" borderId="0"/>
    <xf numFmtId="0" fontId="15" fillId="0" borderId="0"/>
    <xf numFmtId="0" fontId="16" fillId="0" borderId="0"/>
    <xf numFmtId="0" fontId="5" fillId="0" borderId="0"/>
    <xf numFmtId="0" fontId="13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4" fillId="2" borderId="1" applyNumberFormat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250">
    <xf numFmtId="0" fontId="0" fillId="0" borderId="0" xfId="0"/>
    <xf numFmtId="0" fontId="0" fillId="0" borderId="2" xfId="0" applyBorder="1"/>
    <xf numFmtId="0" fontId="0" fillId="0" borderId="9" xfId="0" applyBorder="1"/>
    <xf numFmtId="0" fontId="3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167" fontId="0" fillId="0" borderId="4" xfId="0" applyNumberFormat="1" applyBorder="1"/>
    <xf numFmtId="167" fontId="1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/>
    <xf numFmtId="0" fontId="17" fillId="0" borderId="9" xfId="0" applyFont="1" applyBorder="1"/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7" xfId="0" applyFont="1" applyBorder="1" applyAlignment="1">
      <alignment horizontal="left"/>
    </xf>
    <xf numFmtId="1" fontId="17" fillId="0" borderId="2" xfId="0" applyNumberFormat="1" applyFont="1" applyBorder="1"/>
    <xf numFmtId="0" fontId="17" fillId="0" borderId="4" xfId="0" applyFont="1" applyBorder="1"/>
    <xf numFmtId="0" fontId="17" fillId="0" borderId="16" xfId="0" applyFont="1" applyBorder="1"/>
    <xf numFmtId="1" fontId="17" fillId="0" borderId="2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5" xfId="0" applyFont="1" applyBorder="1"/>
    <xf numFmtId="0" fontId="17" fillId="0" borderId="3" xfId="0" applyFont="1" applyBorder="1"/>
    <xf numFmtId="164" fontId="17" fillId="0" borderId="2" xfId="0" applyNumberFormat="1" applyFont="1" applyBorder="1"/>
    <xf numFmtId="0" fontId="17" fillId="0" borderId="1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15" xfId="0" applyFont="1" applyBorder="1" applyAlignment="1">
      <alignment horizontal="left" vertical="center" wrapText="1"/>
    </xf>
    <xf numFmtId="164" fontId="17" fillId="0" borderId="10" xfId="0" applyNumberFormat="1" applyFont="1" applyBorder="1" applyAlignment="1">
      <alignment horizontal="right" wrapText="1" shrinkToFit="1"/>
    </xf>
    <xf numFmtId="164" fontId="17" fillId="0" borderId="10" xfId="0" applyNumberFormat="1" applyFont="1" applyBorder="1"/>
    <xf numFmtId="164" fontId="17" fillId="0" borderId="6" xfId="0" applyNumberFormat="1" applyFont="1" applyBorder="1"/>
    <xf numFmtId="0" fontId="17" fillId="0" borderId="10" xfId="0" applyFont="1" applyBorder="1"/>
    <xf numFmtId="164" fontId="17" fillId="0" borderId="14" xfId="0" applyNumberFormat="1" applyFont="1" applyBorder="1"/>
    <xf numFmtId="16" fontId="17" fillId="0" borderId="2" xfId="0" applyNumberFormat="1" applyFont="1" applyBorder="1"/>
    <xf numFmtId="164" fontId="17" fillId="0" borderId="2" xfId="0" applyNumberFormat="1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3" xfId="0" applyFont="1" applyBorder="1"/>
    <xf numFmtId="0" fontId="18" fillId="0" borderId="3" xfId="0" applyFont="1" applyBorder="1"/>
    <xf numFmtId="164" fontId="18" fillId="0" borderId="10" xfId="0" applyNumberFormat="1" applyFont="1" applyBorder="1"/>
    <xf numFmtId="164" fontId="18" fillId="0" borderId="2" xfId="0" applyNumberFormat="1" applyFont="1" applyBorder="1"/>
    <xf numFmtId="0" fontId="19" fillId="0" borderId="0" xfId="0" applyFont="1"/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7" fillId="0" borderId="15" xfId="0" applyFont="1" applyBorder="1"/>
    <xf numFmtId="0" fontId="19" fillId="0" borderId="2" xfId="0" applyFont="1" applyBorder="1"/>
    <xf numFmtId="0" fontId="19" fillId="0" borderId="3" xfId="0" applyFont="1" applyBorder="1"/>
    <xf numFmtId="164" fontId="19" fillId="0" borderId="10" xfId="0" applyNumberFormat="1" applyFont="1" applyBorder="1"/>
    <xf numFmtId="0" fontId="19" fillId="0" borderId="8" xfId="0" applyFont="1" applyBorder="1"/>
    <xf numFmtId="164" fontId="19" fillId="0" borderId="2" xfId="0" applyNumberFormat="1" applyFont="1" applyBorder="1"/>
    <xf numFmtId="0" fontId="19" fillId="0" borderId="8" xfId="0" applyFont="1" applyBorder="1" applyAlignment="1">
      <alignment vertical="top"/>
    </xf>
    <xf numFmtId="0" fontId="19" fillId="0" borderId="2" xfId="0" applyFont="1" applyBorder="1" applyAlignment="1">
      <alignment wrapText="1"/>
    </xf>
    <xf numFmtId="0" fontId="19" fillId="0" borderId="9" xfId="0" applyFont="1" applyBorder="1"/>
    <xf numFmtId="0" fontId="19" fillId="0" borderId="10" xfId="0" applyFont="1" applyBorder="1"/>
    <xf numFmtId="164" fontId="19" fillId="0" borderId="14" xfId="0" applyNumberFormat="1" applyFont="1" applyBorder="1"/>
    <xf numFmtId="1" fontId="19" fillId="0" borderId="14" xfId="0" applyNumberFormat="1" applyFont="1" applyBorder="1"/>
    <xf numFmtId="0" fontId="17" fillId="0" borderId="2" xfId="0" applyFont="1" applyBorder="1" applyAlignment="1">
      <alignment vertical="top"/>
    </xf>
    <xf numFmtId="0" fontId="17" fillId="0" borderId="8" xfId="0" applyFont="1" applyBorder="1"/>
    <xf numFmtId="164" fontId="17" fillId="0" borderId="4" xfId="0" applyNumberFormat="1" applyFont="1" applyBorder="1"/>
    <xf numFmtId="164" fontId="20" fillId="0" borderId="18" xfId="0" applyNumberFormat="1" applyFont="1" applyBorder="1"/>
    <xf numFmtId="0" fontId="17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7" fillId="0" borderId="2" xfId="0" applyFont="1" applyBorder="1" applyAlignment="1">
      <alignment horizontal="left" vertical="top"/>
    </xf>
    <xf numFmtId="164" fontId="17" fillId="0" borderId="8" xfId="0" applyNumberFormat="1" applyFont="1" applyBorder="1"/>
    <xf numFmtId="0" fontId="17" fillId="0" borderId="4" xfId="0" applyFont="1" applyBorder="1" applyAlignment="1">
      <alignment horizontal="left" vertical="top"/>
    </xf>
    <xf numFmtId="164" fontId="18" fillId="0" borderId="2" xfId="0" applyNumberFormat="1" applyFont="1" applyBorder="1" applyAlignment="1">
      <alignment horizontal="right"/>
    </xf>
    <xf numFmtId="0" fontId="17" fillId="3" borderId="2" xfId="0" applyFont="1" applyFill="1" applyBorder="1"/>
    <xf numFmtId="164" fontId="17" fillId="3" borderId="10" xfId="0" applyNumberFormat="1" applyFont="1" applyFill="1" applyBorder="1"/>
    <xf numFmtId="0" fontId="17" fillId="3" borderId="8" xfId="0" applyFont="1" applyFill="1" applyBorder="1"/>
    <xf numFmtId="164" fontId="17" fillId="3" borderId="2" xfId="0" applyNumberFormat="1" applyFont="1" applyFill="1" applyBorder="1"/>
    <xf numFmtId="0" fontId="17" fillId="3" borderId="21" xfId="0" applyFont="1" applyFill="1" applyBorder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center"/>
    </xf>
    <xf numFmtId="14" fontId="17" fillId="0" borderId="6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6" fontId="18" fillId="0" borderId="2" xfId="0" applyNumberFormat="1" applyFont="1" applyBorder="1" applyAlignment="1">
      <alignment horizontal="right"/>
    </xf>
    <xf numFmtId="166" fontId="21" fillId="3" borderId="2" xfId="0" applyNumberFormat="1" applyFont="1" applyFill="1" applyBorder="1" applyAlignment="1">
      <alignment horizontal="right"/>
    </xf>
    <xf numFmtId="166" fontId="18" fillId="3" borderId="2" xfId="0" applyNumberFormat="1" applyFont="1" applyFill="1" applyBorder="1" applyAlignment="1">
      <alignment horizontal="right"/>
    </xf>
    <xf numFmtId="166" fontId="18" fillId="0" borderId="2" xfId="0" applyNumberFormat="1" applyFont="1" applyBorder="1"/>
    <xf numFmtId="166" fontId="17" fillId="0" borderId="2" xfId="0" applyNumberFormat="1" applyFont="1" applyBorder="1" applyAlignment="1">
      <alignment horizontal="right"/>
    </xf>
    <xf numFmtId="166" fontId="17" fillId="3" borderId="2" xfId="0" applyNumberFormat="1" applyFont="1" applyFill="1" applyBorder="1" applyAlignment="1">
      <alignment horizontal="right"/>
    </xf>
    <xf numFmtId="166" fontId="22" fillId="3" borderId="2" xfId="0" applyNumberFormat="1" applyFont="1" applyFill="1" applyBorder="1" applyAlignment="1">
      <alignment horizontal="right"/>
    </xf>
    <xf numFmtId="166" fontId="17" fillId="0" borderId="2" xfId="0" applyNumberFormat="1" applyFont="1" applyBorder="1"/>
    <xf numFmtId="164" fontId="17" fillId="3" borderId="2" xfId="7" applyNumberFormat="1" applyFont="1" applyFill="1" applyBorder="1" applyAlignment="1" applyProtection="1">
      <alignment horizontal="right" vertical="center"/>
      <protection locked="0"/>
    </xf>
    <xf numFmtId="164" fontId="22" fillId="3" borderId="2" xfId="7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left" vertical="center"/>
    </xf>
    <xf numFmtId="164" fontId="17" fillId="3" borderId="2" xfId="7" applyNumberFormat="1" applyFont="1" applyFill="1" applyBorder="1" applyAlignment="1" applyProtection="1">
      <alignment horizontal="right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wrapText="1"/>
    </xf>
    <xf numFmtId="164" fontId="18" fillId="3" borderId="2" xfId="7" applyNumberFormat="1" applyFont="1" applyFill="1" applyBorder="1" applyAlignment="1" applyProtection="1">
      <alignment horizontal="right"/>
      <protection locked="0"/>
    </xf>
    <xf numFmtId="164" fontId="21" fillId="3" borderId="2" xfId="7" applyNumberFormat="1" applyFont="1" applyFill="1" applyBorder="1" applyAlignment="1">
      <alignment horizontal="right"/>
    </xf>
    <xf numFmtId="164" fontId="18" fillId="3" borderId="2" xfId="7" applyNumberFormat="1" applyFont="1" applyFill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166" fontId="21" fillId="3" borderId="8" xfId="0" applyNumberFormat="1" applyFont="1" applyFill="1" applyBorder="1" applyAlignment="1">
      <alignment horizontal="right"/>
    </xf>
    <xf numFmtId="166" fontId="18" fillId="3" borderId="8" xfId="0" applyNumberFormat="1" applyFont="1" applyFill="1" applyBorder="1" applyAlignment="1">
      <alignment horizontal="right"/>
    </xf>
    <xf numFmtId="0" fontId="18" fillId="0" borderId="2" xfId="0" applyFont="1" applyBorder="1" applyAlignment="1">
      <alignment wrapText="1"/>
    </xf>
    <xf numFmtId="0" fontId="22" fillId="0" borderId="20" xfId="0" applyFont="1" applyBorder="1" applyAlignment="1">
      <alignment horizontal="left" vertical="center" wrapText="1"/>
    </xf>
    <xf numFmtId="165" fontId="18" fillId="0" borderId="2" xfId="0" applyNumberFormat="1" applyFont="1" applyBorder="1"/>
    <xf numFmtId="165" fontId="18" fillId="3" borderId="2" xfId="0" applyNumberFormat="1" applyFont="1" applyFill="1" applyBorder="1"/>
    <xf numFmtId="165" fontId="21" fillId="3" borderId="2" xfId="0" applyNumberFormat="1" applyFont="1" applyFill="1" applyBorder="1"/>
    <xf numFmtId="0" fontId="17" fillId="3" borderId="0" xfId="0" applyFont="1" applyFill="1"/>
    <xf numFmtId="0" fontId="18" fillId="0" borderId="0" xfId="0" applyFont="1"/>
    <xf numFmtId="0" fontId="18" fillId="0" borderId="7" xfId="0" applyFont="1" applyBorder="1" applyAlignment="1">
      <alignment horizontal="left"/>
    </xf>
    <xf numFmtId="164" fontId="20" fillId="0" borderId="19" xfId="0" applyNumberFormat="1" applyFont="1" applyBorder="1"/>
    <xf numFmtId="0" fontId="17" fillId="3" borderId="10" xfId="0" applyFont="1" applyFill="1" applyBorder="1"/>
    <xf numFmtId="0" fontId="17" fillId="3" borderId="2" xfId="0" applyFont="1" applyFill="1" applyBorder="1" applyAlignment="1">
      <alignment wrapText="1"/>
    </xf>
    <xf numFmtId="0" fontId="17" fillId="3" borderId="5" xfId="0" applyFont="1" applyFill="1" applyBorder="1"/>
    <xf numFmtId="0" fontId="17" fillId="3" borderId="14" xfId="0" applyFont="1" applyFill="1" applyBorder="1"/>
    <xf numFmtId="0" fontId="17" fillId="3" borderId="4" xfId="0" applyFont="1" applyFill="1" applyBorder="1"/>
    <xf numFmtId="0" fontId="17" fillId="3" borderId="6" xfId="0" applyFont="1" applyFill="1" applyBorder="1"/>
    <xf numFmtId="0" fontId="17" fillId="3" borderId="3" xfId="0" applyFont="1" applyFill="1" applyBorder="1"/>
    <xf numFmtId="0" fontId="17" fillId="3" borderId="9" xfId="0" applyFont="1" applyFill="1" applyBorder="1"/>
    <xf numFmtId="164" fontId="18" fillId="3" borderId="2" xfId="0" applyNumberFormat="1" applyFont="1" applyFill="1" applyBorder="1"/>
    <xf numFmtId="164" fontId="18" fillId="3" borderId="10" xfId="0" applyNumberFormat="1" applyFont="1" applyFill="1" applyBorder="1"/>
    <xf numFmtId="1" fontId="18" fillId="3" borderId="2" xfId="0" applyNumberFormat="1" applyFont="1" applyFill="1" applyBorder="1"/>
    <xf numFmtId="164" fontId="20" fillId="3" borderId="18" xfId="0" applyNumberFormat="1" applyFont="1" applyFill="1" applyBorder="1"/>
    <xf numFmtId="0" fontId="17" fillId="3" borderId="15" xfId="0" applyFont="1" applyFill="1" applyBorder="1"/>
    <xf numFmtId="0" fontId="19" fillId="3" borderId="3" xfId="0" applyFont="1" applyFill="1" applyBorder="1"/>
    <xf numFmtId="0" fontId="19" fillId="3" borderId="2" xfId="0" applyFont="1" applyFill="1" applyBorder="1"/>
    <xf numFmtId="0" fontId="19" fillId="3" borderId="14" xfId="0" applyFont="1" applyFill="1" applyBorder="1"/>
    <xf numFmtId="0" fontId="19" fillId="0" borderId="4" xfId="0" applyFont="1" applyBorder="1"/>
    <xf numFmtId="165" fontId="17" fillId="0" borderId="2" xfId="21" applyNumberFormat="1" applyFont="1" applyBorder="1"/>
    <xf numFmtId="165" fontId="17" fillId="3" borderId="2" xfId="21" applyNumberFormat="1" applyFont="1" applyFill="1" applyBorder="1"/>
    <xf numFmtId="165" fontId="22" fillId="3" borderId="2" xfId="21" applyNumberFormat="1" applyFont="1" applyFill="1" applyBorder="1"/>
    <xf numFmtId="165" fontId="18" fillId="0" borderId="2" xfId="21" applyNumberFormat="1" applyFont="1" applyBorder="1"/>
    <xf numFmtId="165" fontId="18" fillId="3" borderId="2" xfId="21" applyNumberFormat="1" applyFont="1" applyFill="1" applyBorder="1"/>
    <xf numFmtId="165" fontId="21" fillId="3" borderId="2" xfId="21" applyNumberFormat="1" applyFont="1" applyFill="1" applyBorder="1"/>
    <xf numFmtId="164" fontId="17" fillId="0" borderId="2" xfId="21" applyNumberFormat="1" applyFont="1" applyBorder="1" applyAlignment="1">
      <alignment wrapText="1"/>
    </xf>
    <xf numFmtId="164" fontId="17" fillId="3" borderId="2" xfId="21" applyNumberFormat="1" applyFont="1" applyFill="1" applyBorder="1" applyAlignment="1">
      <alignment wrapText="1"/>
    </xf>
    <xf numFmtId="0" fontId="17" fillId="4" borderId="6" xfId="0" applyFont="1" applyFill="1" applyBorder="1" applyAlignment="1">
      <alignment horizontal="center" vertical="center" wrapText="1"/>
    </xf>
    <xf numFmtId="166" fontId="18" fillId="4" borderId="2" xfId="0" applyNumberFormat="1" applyFont="1" applyFill="1" applyBorder="1" applyAlignment="1">
      <alignment horizontal="right"/>
    </xf>
    <xf numFmtId="166" fontId="17" fillId="4" borderId="2" xfId="0" applyNumberFormat="1" applyFont="1" applyFill="1" applyBorder="1" applyAlignment="1">
      <alignment horizontal="right"/>
    </xf>
    <xf numFmtId="164" fontId="17" fillId="4" borderId="2" xfId="7" applyNumberFormat="1" applyFont="1" applyFill="1" applyBorder="1" applyAlignment="1" applyProtection="1">
      <alignment horizontal="right" vertical="center"/>
      <protection locked="0"/>
    </xf>
    <xf numFmtId="165" fontId="17" fillId="4" borderId="2" xfId="21" applyNumberFormat="1" applyFont="1" applyFill="1" applyBorder="1"/>
    <xf numFmtId="164" fontId="17" fillId="4" borderId="2" xfId="7" applyNumberFormat="1" applyFont="1" applyFill="1" applyBorder="1" applyAlignment="1" applyProtection="1">
      <alignment horizontal="right"/>
      <protection locked="0"/>
    </xf>
    <xf numFmtId="164" fontId="18" fillId="4" borderId="2" xfId="7" applyNumberFormat="1" applyFont="1" applyFill="1" applyBorder="1" applyAlignment="1" applyProtection="1">
      <alignment horizontal="right"/>
      <protection locked="0"/>
    </xf>
    <xf numFmtId="165" fontId="18" fillId="4" borderId="2" xfId="21" applyNumberFormat="1" applyFont="1" applyFill="1" applyBorder="1"/>
    <xf numFmtId="165" fontId="18" fillId="4" borderId="2" xfId="0" applyNumberFormat="1" applyFont="1" applyFill="1" applyBorder="1"/>
    <xf numFmtId="164" fontId="17" fillId="0" borderId="2" xfId="7" applyNumberFormat="1" applyFont="1" applyBorder="1" applyAlignment="1" applyProtection="1">
      <alignment horizontal="right"/>
      <protection locked="0"/>
    </xf>
    <xf numFmtId="164" fontId="22" fillId="3" borderId="2" xfId="7" applyNumberFormat="1" applyFont="1" applyFill="1" applyBorder="1" applyAlignment="1" applyProtection="1">
      <alignment horizontal="right"/>
      <protection locked="0"/>
    </xf>
    <xf numFmtId="165" fontId="17" fillId="0" borderId="2" xfId="21" applyNumberFormat="1" applyFont="1" applyBorder="1" applyAlignment="1">
      <alignment horizontal="center"/>
    </xf>
    <xf numFmtId="164" fontId="22" fillId="3" borderId="2" xfId="7" applyNumberFormat="1" applyFont="1" applyFill="1" applyBorder="1" applyAlignment="1">
      <alignment horizontal="center"/>
    </xf>
    <xf numFmtId="164" fontId="17" fillId="3" borderId="2" xfId="7" applyNumberFormat="1" applyFont="1" applyFill="1" applyBorder="1" applyAlignment="1" applyProtection="1">
      <alignment horizontal="center"/>
      <protection locked="0"/>
    </xf>
    <xf numFmtId="164" fontId="17" fillId="4" borderId="2" xfId="7" applyNumberFormat="1" applyFont="1" applyFill="1" applyBorder="1" applyProtection="1">
      <protection locked="0"/>
    </xf>
    <xf numFmtId="0" fontId="17" fillId="0" borderId="2" xfId="0" quotePrefix="1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/>
    </xf>
    <xf numFmtId="165" fontId="18" fillId="0" borderId="2" xfId="0" applyNumberFormat="1" applyFont="1" applyBorder="1" applyAlignment="1">
      <alignment horizontal="right"/>
    </xf>
    <xf numFmtId="165" fontId="17" fillId="0" borderId="0" xfId="0" applyNumberFormat="1" applyFont="1"/>
    <xf numFmtId="0" fontId="18" fillId="0" borderId="0" xfId="0" applyFont="1" applyAlignment="1">
      <alignment vertical="center"/>
    </xf>
    <xf numFmtId="165" fontId="17" fillId="3" borderId="2" xfId="0" applyNumberFormat="1" applyFont="1" applyFill="1" applyBorder="1" applyAlignment="1">
      <alignment horizontal="right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wrapText="1"/>
    </xf>
    <xf numFmtId="165" fontId="18" fillId="3" borderId="10" xfId="14" applyNumberFormat="1" applyFont="1" applyFill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3" borderId="2" xfId="14" applyFont="1" applyFill="1" applyBorder="1" applyAlignment="1" applyProtection="1">
      <alignment horizontal="left" vertical="center" wrapText="1"/>
    </xf>
    <xf numFmtId="0" fontId="18" fillId="3" borderId="2" xfId="14" applyFont="1" applyFill="1" applyBorder="1" applyAlignment="1" applyProtection="1">
      <alignment horizontal="center" vertical="center" wrapText="1"/>
    </xf>
    <xf numFmtId="165" fontId="18" fillId="3" borderId="2" xfId="14" applyNumberFormat="1" applyFont="1" applyFill="1" applyBorder="1" applyAlignment="1">
      <alignment horizontal="right"/>
    </xf>
    <xf numFmtId="0" fontId="17" fillId="3" borderId="2" xfId="0" quotePrefix="1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7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2" xfId="7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7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shrinkToFit="1"/>
    </xf>
    <xf numFmtId="0" fontId="17" fillId="0" borderId="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7" xfId="0" applyFont="1" applyBorder="1" applyAlignment="1">
      <alignment horizontal="center" wrapText="1" shrinkToFit="1"/>
    </xf>
    <xf numFmtId="0" fontId="17" fillId="0" borderId="3" xfId="0" applyFont="1" applyBorder="1" applyAlignment="1">
      <alignment horizontal="center" wrapText="1" shrinkToFit="1"/>
    </xf>
    <xf numFmtId="0" fontId="19" fillId="0" borderId="0" xfId="0" applyFont="1" applyAlignment="1">
      <alignment horizontal="right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9" xfId="0" applyFont="1" applyBorder="1" applyAlignment="1">
      <alignment horizontal="right"/>
    </xf>
  </cellXfs>
  <cellStyles count="28">
    <cellStyle name="Įprastas" xfId="0" builtinId="0"/>
    <cellStyle name="Įprastas 10" xfId="1" xr:uid="{00000000-0005-0000-0000-000001000000}"/>
    <cellStyle name="Įprastas 10 2" xfId="16" xr:uid="{C262B60A-9C55-4E24-AE56-6EA60A4E8143}"/>
    <cellStyle name="Įprastas 11" xfId="2" xr:uid="{00000000-0005-0000-0000-000002000000}"/>
    <cellStyle name="Įprastas 11 2" xfId="17" xr:uid="{695E989A-7759-4236-AE0C-2058254BB1AC}"/>
    <cellStyle name="Įprastas 12" xfId="3" xr:uid="{00000000-0005-0000-0000-000003000000}"/>
    <cellStyle name="Įprastas 12 2" xfId="18" xr:uid="{857A1D04-D5D8-4999-9B5E-F5CFD5765B5F}"/>
    <cellStyle name="Įprastas 13" xfId="4" xr:uid="{00000000-0005-0000-0000-000004000000}"/>
    <cellStyle name="Įprastas 13 2" xfId="19" xr:uid="{4F59331E-B64F-4949-B24E-0C51091C72CC}"/>
    <cellStyle name="Įprastas 2" xfId="5" xr:uid="{00000000-0005-0000-0000-000005000000}"/>
    <cellStyle name="Įprastas 2 2" xfId="6" xr:uid="{00000000-0005-0000-0000-000006000000}"/>
    <cellStyle name="Įprastas 2 2 2" xfId="21" xr:uid="{9C44E29A-0F66-4F32-9B02-FEA9984A0EBE}"/>
    <cellStyle name="Įprastas 2 3" xfId="20" xr:uid="{6040A0B9-F349-4BD3-848E-FA2CF094219D}"/>
    <cellStyle name="Įprastas 3" xfId="7" xr:uid="{00000000-0005-0000-0000-000007000000}"/>
    <cellStyle name="Įprastas 4" xfId="8" xr:uid="{00000000-0005-0000-0000-000008000000}"/>
    <cellStyle name="Įprastas 4 2" xfId="22" xr:uid="{ADCC27F4-9E06-4CBA-87EB-5EE99A6B501F}"/>
    <cellStyle name="Įprastas 5" xfId="9" xr:uid="{00000000-0005-0000-0000-000009000000}"/>
    <cellStyle name="Įprastas 5 2" xfId="23" xr:uid="{32B9890D-C0FE-467F-8C76-4AE9F2A5CDCD}"/>
    <cellStyle name="Įprastas 6" xfId="10" xr:uid="{00000000-0005-0000-0000-00000A000000}"/>
    <cellStyle name="Įprastas 6 2" xfId="24" xr:uid="{A42A7688-8D46-429C-9471-7A75089A53C9}"/>
    <cellStyle name="Įprastas 7" xfId="11" xr:uid="{00000000-0005-0000-0000-00000B000000}"/>
    <cellStyle name="Įprastas 7 2" xfId="25" xr:uid="{9386BEA6-3AAC-44B7-8514-794D419349F3}"/>
    <cellStyle name="Įprastas 8" xfId="12" xr:uid="{00000000-0005-0000-0000-00000C000000}"/>
    <cellStyle name="Įprastas 8 2" xfId="26" xr:uid="{E750DD54-7DEC-41D8-87BF-2B5738B2BD66}"/>
    <cellStyle name="Įprastas 9" xfId="13" xr:uid="{00000000-0005-0000-0000-00000D000000}"/>
    <cellStyle name="Įprastas 9 2" xfId="27" xr:uid="{C3608F94-A952-4A34-B2AA-920919C3E655}"/>
    <cellStyle name="Įvestis 2" xfId="14" xr:uid="{00000000-0005-0000-0000-00000E000000}"/>
    <cellStyle name="Paprastas 2" xfId="15" xr:uid="{00000000-0005-0000-0000-00000F000000}"/>
  </cellStyles>
  <dxfs count="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1"/>
  <sheetViews>
    <sheetView zoomScaleNormal="100" workbookViewId="0"/>
  </sheetViews>
  <sheetFormatPr defaultColWidth="9.109375" defaultRowHeight="15" x14ac:dyDescent="0.25"/>
  <cols>
    <col min="1" max="1" width="8.6640625" style="10" customWidth="1"/>
    <col min="2" max="2" width="35" style="10" customWidth="1"/>
    <col min="3" max="3" width="12.6640625" style="10" customWidth="1"/>
    <col min="4" max="4" width="11.44140625" style="10" customWidth="1"/>
    <col min="5" max="5" width="10.6640625" style="10" customWidth="1"/>
    <col min="6" max="6" width="12.33203125" style="10" customWidth="1"/>
    <col min="7" max="7" width="12.88671875" style="10" customWidth="1"/>
    <col min="8" max="8" width="12.33203125" style="121" customWidth="1"/>
    <col min="9" max="9" width="10.44140625" style="10" customWidth="1"/>
    <col min="10" max="10" width="12.6640625" style="10" customWidth="1"/>
    <col min="11" max="11" width="13.6640625" style="10" customWidth="1"/>
    <col min="12" max="12" width="10.109375" style="10" customWidth="1"/>
    <col min="13" max="13" width="7.33203125" style="10" customWidth="1"/>
    <col min="14" max="16384" width="9.109375" style="10"/>
  </cols>
  <sheetData>
    <row r="1" spans="1:16" x14ac:dyDescent="0.25">
      <c r="L1" s="181" t="s">
        <v>254</v>
      </c>
      <c r="M1" s="181"/>
    </row>
    <row r="2" spans="1:16" ht="15" customHeight="1" x14ac:dyDescent="0.3">
      <c r="A2" s="182" t="s">
        <v>260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6" ht="15" customHeight="1" x14ac:dyDescent="0.3">
      <c r="A3" s="88"/>
      <c r="B3" s="12"/>
      <c r="H3" s="10"/>
      <c r="I3" s="89"/>
      <c r="J3" s="89"/>
      <c r="K3" s="89"/>
      <c r="L3" s="183" t="s">
        <v>152</v>
      </c>
      <c r="M3" s="183"/>
    </row>
    <row r="4" spans="1:16" ht="44.4" customHeight="1" x14ac:dyDescent="0.25">
      <c r="A4" s="184" t="s">
        <v>137</v>
      </c>
      <c r="B4" s="186" t="s">
        <v>138</v>
      </c>
      <c r="C4" s="184" t="s">
        <v>222</v>
      </c>
      <c r="D4" s="184" t="s">
        <v>247</v>
      </c>
      <c r="E4" s="188" t="s">
        <v>248</v>
      </c>
      <c r="F4" s="190"/>
      <c r="G4" s="189"/>
      <c r="H4" s="191" t="s">
        <v>261</v>
      </c>
      <c r="I4" s="188" t="s">
        <v>8</v>
      </c>
      <c r="J4" s="190"/>
      <c r="K4" s="189"/>
      <c r="L4" s="188" t="s">
        <v>262</v>
      </c>
      <c r="M4" s="189"/>
    </row>
    <row r="5" spans="1:16" ht="58.95" customHeight="1" x14ac:dyDescent="0.25">
      <c r="A5" s="185"/>
      <c r="B5" s="187"/>
      <c r="C5" s="185"/>
      <c r="D5" s="185"/>
      <c r="E5" s="13" t="s">
        <v>263</v>
      </c>
      <c r="F5" s="150" t="s">
        <v>264</v>
      </c>
      <c r="G5" s="15" t="s">
        <v>164</v>
      </c>
      <c r="H5" s="192"/>
      <c r="I5" s="90" t="s">
        <v>265</v>
      </c>
      <c r="J5" s="90" t="s">
        <v>266</v>
      </c>
      <c r="K5" s="13" t="s">
        <v>267</v>
      </c>
      <c r="L5" s="91" t="s">
        <v>139</v>
      </c>
      <c r="M5" s="92" t="s">
        <v>140</v>
      </c>
    </row>
    <row r="6" spans="1:16" ht="15.6" x14ac:dyDescent="0.3">
      <c r="A6" s="93" t="s">
        <v>0</v>
      </c>
      <c r="B6" s="93" t="s">
        <v>184</v>
      </c>
      <c r="C6" s="94">
        <f>(C7+C8+C12)</f>
        <v>83449.899999999994</v>
      </c>
      <c r="D6" s="94">
        <f>(D7+D8+D12)</f>
        <v>91915</v>
      </c>
      <c r="E6" s="95">
        <f t="shared" ref="E6" si="0">(E7+E8+E12)</f>
        <v>42817</v>
      </c>
      <c r="F6" s="151">
        <f>(F7+F8+F12)</f>
        <v>43417.2</v>
      </c>
      <c r="G6" s="94">
        <f>(G7+G8+G12)</f>
        <v>600.19999999999857</v>
      </c>
      <c r="H6" s="96">
        <f>(H7+H8+H12)</f>
        <v>37969.799999999996</v>
      </c>
      <c r="I6" s="94">
        <f>SUM(F6/E6*100)</f>
        <v>101.40177966695472</v>
      </c>
      <c r="J6" s="94">
        <f>SUM(H6/C6*100)</f>
        <v>45.500114439921433</v>
      </c>
      <c r="K6" s="51">
        <f>SUM(F6/D6*100)</f>
        <v>47.236250883968886</v>
      </c>
      <c r="L6" s="97">
        <f>F6-H6</f>
        <v>5447.4000000000015</v>
      </c>
      <c r="M6" s="97">
        <f>(F6/H6*100)-100</f>
        <v>14.346664981116589</v>
      </c>
    </row>
    <row r="7" spans="1:16" x14ac:dyDescent="0.25">
      <c r="A7" s="16" t="s">
        <v>1</v>
      </c>
      <c r="B7" s="16" t="s">
        <v>131</v>
      </c>
      <c r="C7" s="98">
        <v>79898.5</v>
      </c>
      <c r="D7" s="99">
        <v>88305</v>
      </c>
      <c r="E7" s="100">
        <v>40857</v>
      </c>
      <c r="F7" s="152">
        <v>41141.599999999999</v>
      </c>
      <c r="G7" s="98">
        <f>SUM(F7-E7)</f>
        <v>284.59999999999854</v>
      </c>
      <c r="H7" s="99">
        <v>36061.199999999997</v>
      </c>
      <c r="I7" s="98">
        <f>SUM(F7/E7*100)</f>
        <v>100.69657586215337</v>
      </c>
      <c r="J7" s="98">
        <f>SUM(H7/C7*100)</f>
        <v>45.133763462392906</v>
      </c>
      <c r="K7" s="34">
        <f>SUM(F7/D7*100)</f>
        <v>46.590340297831375</v>
      </c>
      <c r="L7" s="101">
        <f>F7-H7</f>
        <v>5080.4000000000015</v>
      </c>
      <c r="M7" s="101">
        <f>(F7/H7*100)-100</f>
        <v>14.088272159550996</v>
      </c>
    </row>
    <row r="8" spans="1:16" ht="15.6" x14ac:dyDescent="0.3">
      <c r="A8" s="93" t="s">
        <v>2</v>
      </c>
      <c r="B8" s="93" t="s">
        <v>185</v>
      </c>
      <c r="C8" s="94">
        <f>SUM(C9+C10+C11)</f>
        <v>3305.8999999999996</v>
      </c>
      <c r="D8" s="96">
        <f>SUM(D9+D10+D11)</f>
        <v>3340</v>
      </c>
      <c r="E8" s="95">
        <f t="shared" ref="E8" si="1">SUM(E9+E10+E11)</f>
        <v>1690</v>
      </c>
      <c r="F8" s="151">
        <f>SUM(F9+F10+F11)</f>
        <v>2005.7</v>
      </c>
      <c r="G8" s="94">
        <f>SUM(F8-E8)</f>
        <v>315.70000000000005</v>
      </c>
      <c r="H8" s="96">
        <f>SUM(H9+H10+H11)</f>
        <v>1669.3999999999999</v>
      </c>
      <c r="I8" s="94">
        <f>SUM(F8/E8*100)</f>
        <v>118.68047337278107</v>
      </c>
      <c r="J8" s="94">
        <f>SUM(H8/C8*100)</f>
        <v>50.497595208566501</v>
      </c>
      <c r="K8" s="51">
        <f>SUM(F8/D8*100)</f>
        <v>60.050898203592816</v>
      </c>
      <c r="L8" s="96">
        <f>SUM(L9+L10+L11)</f>
        <v>336.30000000000018</v>
      </c>
      <c r="M8" s="97">
        <f>(F8/H8*100)-100</f>
        <v>20.144962261890512</v>
      </c>
    </row>
    <row r="9" spans="1:16" x14ac:dyDescent="0.25">
      <c r="A9" s="16" t="s">
        <v>3</v>
      </c>
      <c r="B9" s="16" t="s">
        <v>132</v>
      </c>
      <c r="C9" s="142">
        <v>1221.8</v>
      </c>
      <c r="D9" s="102">
        <v>1200</v>
      </c>
      <c r="E9" s="103">
        <v>70</v>
      </c>
      <c r="F9" s="153">
        <v>58.9</v>
      </c>
      <c r="G9" s="98">
        <f>SUM(F9-E9)</f>
        <v>-11.100000000000001</v>
      </c>
      <c r="H9" s="99">
        <v>47.6</v>
      </c>
      <c r="I9" s="98">
        <f>SUM(F9/E9*100)</f>
        <v>84.142857142857139</v>
      </c>
      <c r="J9" s="98">
        <f>SUM(H9/C9*100)</f>
        <v>3.8958913079063677</v>
      </c>
      <c r="K9" s="34">
        <f>SUM(F9/D9*100)</f>
        <v>4.9083333333333332</v>
      </c>
      <c r="L9" s="101">
        <f>F9-H9</f>
        <v>11.299999999999997</v>
      </c>
      <c r="M9" s="101">
        <f t="shared" ref="M9:M26" si="2">(F9/H9*100)-100</f>
        <v>23.739495798319311</v>
      </c>
    </row>
    <row r="10" spans="1:16" x14ac:dyDescent="0.25">
      <c r="A10" s="16" t="s">
        <v>4</v>
      </c>
      <c r="B10" s="16" t="s">
        <v>141</v>
      </c>
      <c r="C10" s="142">
        <v>51.5</v>
      </c>
      <c r="D10" s="102">
        <v>40</v>
      </c>
      <c r="E10" s="103">
        <v>20</v>
      </c>
      <c r="F10" s="153">
        <v>18.399999999999999</v>
      </c>
      <c r="G10" s="98">
        <f t="shared" ref="G10:G36" si="3">SUM(F10-E10)</f>
        <v>-1.6000000000000014</v>
      </c>
      <c r="H10" s="99">
        <v>31.2</v>
      </c>
      <c r="I10" s="98">
        <f t="shared" ref="I10:I13" si="4">SUM(F10/E10*100)</f>
        <v>92</v>
      </c>
      <c r="J10" s="98">
        <f t="shared" ref="J10" si="5">SUM(H10/C10*100)</f>
        <v>60.582524271844662</v>
      </c>
      <c r="K10" s="34">
        <f t="shared" ref="K10:K23" si="6">SUM(F10/D10*100)</f>
        <v>46</v>
      </c>
      <c r="L10" s="101">
        <f t="shared" ref="L10:L11" si="7">F10-H10</f>
        <v>-12.8</v>
      </c>
      <c r="M10" s="101">
        <f t="shared" si="2"/>
        <v>-41.025641025641022</v>
      </c>
    </row>
    <row r="11" spans="1:16" x14ac:dyDescent="0.25">
      <c r="A11" s="16" t="s">
        <v>5</v>
      </c>
      <c r="B11" s="16" t="s">
        <v>133</v>
      </c>
      <c r="C11" s="142">
        <v>2032.6</v>
      </c>
      <c r="D11" s="102">
        <v>2100</v>
      </c>
      <c r="E11" s="103">
        <v>1600</v>
      </c>
      <c r="F11" s="153">
        <v>1928.4</v>
      </c>
      <c r="G11" s="98">
        <f>SUM(F11-E11)</f>
        <v>328.40000000000009</v>
      </c>
      <c r="H11" s="99">
        <v>1590.6</v>
      </c>
      <c r="I11" s="98">
        <f>SUM(F11/E11*100)</f>
        <v>120.52500000000002</v>
      </c>
      <c r="J11" s="98">
        <f>SUM(H11/C11*100)</f>
        <v>78.254452425464919</v>
      </c>
      <c r="K11" s="34">
        <f t="shared" si="6"/>
        <v>91.828571428571436</v>
      </c>
      <c r="L11" s="101">
        <f t="shared" si="7"/>
        <v>337.80000000000018</v>
      </c>
      <c r="M11" s="101">
        <f t="shared" si="2"/>
        <v>21.23726895511129</v>
      </c>
    </row>
    <row r="12" spans="1:16" ht="15.6" x14ac:dyDescent="0.3">
      <c r="A12" s="93" t="s">
        <v>6</v>
      </c>
      <c r="B12" s="93" t="s">
        <v>186</v>
      </c>
      <c r="C12" s="94">
        <f>(C13)</f>
        <v>245.5</v>
      </c>
      <c r="D12" s="96">
        <f>(D13)</f>
        <v>270</v>
      </c>
      <c r="E12" s="96">
        <f t="shared" ref="E12" si="8">(E13)</f>
        <v>270</v>
      </c>
      <c r="F12" s="151">
        <f>(F13)</f>
        <v>269.89999999999998</v>
      </c>
      <c r="G12" s="94">
        <f>SUM(F12-E12)</f>
        <v>-0.10000000000002274</v>
      </c>
      <c r="H12" s="96">
        <f>(H13)</f>
        <v>239.2</v>
      </c>
      <c r="I12" s="94">
        <f>SUM(F12/E12*100)</f>
        <v>99.962962962962948</v>
      </c>
      <c r="J12" s="94">
        <f>SUM(H12/C12*100)</f>
        <v>97.433808553971474</v>
      </c>
      <c r="K12" s="51">
        <f t="shared" si="6"/>
        <v>99.962962962962948</v>
      </c>
      <c r="L12" s="94">
        <f t="shared" ref="L12" si="9">(L13)</f>
        <v>30.699999999999989</v>
      </c>
      <c r="M12" s="97">
        <f>(F12/H12*100)-100</f>
        <v>12.834448160535118</v>
      </c>
    </row>
    <row r="13" spans="1:16" x14ac:dyDescent="0.25">
      <c r="A13" s="16" t="s">
        <v>7</v>
      </c>
      <c r="B13" s="16" t="s">
        <v>142</v>
      </c>
      <c r="C13" s="98">
        <v>245.5</v>
      </c>
      <c r="D13" s="99">
        <f>240+30</f>
        <v>270</v>
      </c>
      <c r="E13" s="100">
        <f>240+30</f>
        <v>270</v>
      </c>
      <c r="F13" s="152">
        <v>269.89999999999998</v>
      </c>
      <c r="G13" s="98">
        <f>SUM(F13-E13)</f>
        <v>-0.10000000000002274</v>
      </c>
      <c r="H13" s="99">
        <v>239.2</v>
      </c>
      <c r="I13" s="98">
        <f t="shared" si="4"/>
        <v>99.962962962962948</v>
      </c>
      <c r="J13" s="98">
        <f t="shared" ref="J13" si="10">SUM(H13/C13*100)</f>
        <v>97.433808553971474</v>
      </c>
      <c r="K13" s="34">
        <f t="shared" si="6"/>
        <v>99.962962962962948</v>
      </c>
      <c r="L13" s="101">
        <f>F13-H13</f>
        <v>30.699999999999989</v>
      </c>
      <c r="M13" s="101">
        <f>(F13/H13*100)-100</f>
        <v>12.834448160535118</v>
      </c>
    </row>
    <row r="14" spans="1:16" ht="16.5" customHeight="1" x14ac:dyDescent="0.3">
      <c r="A14" s="93" t="s">
        <v>18</v>
      </c>
      <c r="B14" s="93" t="s">
        <v>187</v>
      </c>
      <c r="C14" s="94">
        <f>SUM(C15+C24+C33+C34)</f>
        <v>11342</v>
      </c>
      <c r="D14" s="96">
        <f t="shared" ref="D14" si="11">SUM(D15+D24+D33+D34)</f>
        <v>11011.8</v>
      </c>
      <c r="E14" s="95">
        <f>SUM(E15+E24+E33+E34)</f>
        <v>5945</v>
      </c>
      <c r="F14" s="151">
        <f>SUM(F15+F24+F33+F34)</f>
        <v>5979</v>
      </c>
      <c r="G14" s="94">
        <f t="shared" si="3"/>
        <v>34</v>
      </c>
      <c r="H14" s="96">
        <f>SUM(H15+H24+H33+H34)</f>
        <v>6036.7</v>
      </c>
      <c r="I14" s="94">
        <f>SUM(F14/E14*100)</f>
        <v>100.57190916736754</v>
      </c>
      <c r="J14" s="94">
        <f>SUM(H14/C14*100)</f>
        <v>53.224299065420553</v>
      </c>
      <c r="K14" s="51">
        <f t="shared" si="6"/>
        <v>54.296300332370727</v>
      </c>
      <c r="L14" s="97">
        <f>F14-H14</f>
        <v>-57.699999999999818</v>
      </c>
      <c r="M14" s="97">
        <f>(F14/H14*100)-100</f>
        <v>-0.95582023290870666</v>
      </c>
      <c r="P14" s="104"/>
    </row>
    <row r="15" spans="1:16" ht="16.5" customHeight="1" x14ac:dyDescent="0.3">
      <c r="A15" s="93" t="s">
        <v>20</v>
      </c>
      <c r="B15" s="93" t="s">
        <v>188</v>
      </c>
      <c r="C15" s="94">
        <f>SUM(C16+C17+C18+C19)</f>
        <v>950.3</v>
      </c>
      <c r="D15" s="96">
        <f t="shared" ref="D15" si="12">SUM(D16+D17+D18+D19)</f>
        <v>800</v>
      </c>
      <c r="E15" s="95">
        <f>SUM(E16+E17+E18+E19)</f>
        <v>400</v>
      </c>
      <c r="F15" s="151">
        <f>SUM(F16+F17+F18+F19)</f>
        <v>580.5</v>
      </c>
      <c r="G15" s="95">
        <f>SUM(G16+G17+G18+G19)</f>
        <v>180.50000000000006</v>
      </c>
      <c r="H15" s="96">
        <f>SUM(H16+H17+H18+H19)</f>
        <v>438.7</v>
      </c>
      <c r="I15" s="94">
        <f>SUM(F15/E15*100)</f>
        <v>145.125</v>
      </c>
      <c r="J15" s="94">
        <f>SUM(H15/C15*100)</f>
        <v>46.164369146585287</v>
      </c>
      <c r="K15" s="51">
        <f t="shared" si="6"/>
        <v>72.5625</v>
      </c>
      <c r="L15" s="97">
        <f>F15-H15</f>
        <v>141.80000000000001</v>
      </c>
      <c r="M15" s="97">
        <f>(F15/H15*100)-100</f>
        <v>32.322771825849117</v>
      </c>
    </row>
    <row r="16" spans="1:16" ht="16.5" customHeight="1" x14ac:dyDescent="0.25">
      <c r="A16" s="16" t="s">
        <v>21</v>
      </c>
      <c r="B16" s="16" t="s">
        <v>10</v>
      </c>
      <c r="C16" s="142">
        <v>217.7</v>
      </c>
      <c r="D16" s="99">
        <v>60</v>
      </c>
      <c r="E16" s="103">
        <v>30</v>
      </c>
      <c r="F16" s="153">
        <v>82.7</v>
      </c>
      <c r="G16" s="98">
        <f t="shared" si="3"/>
        <v>52.7</v>
      </c>
      <c r="H16" s="99">
        <v>116.3</v>
      </c>
      <c r="I16" s="98">
        <f t="shared" ref="I16:I36" si="13">SUM(F16/E16*100)</f>
        <v>275.66666666666669</v>
      </c>
      <c r="J16" s="98">
        <f>SUM(H16/C16*100)</f>
        <v>53.42214056040423</v>
      </c>
      <c r="K16" s="34">
        <f t="shared" si="6"/>
        <v>137.83333333333334</v>
      </c>
      <c r="L16" s="101">
        <f>F16-H16</f>
        <v>-33.599999999999994</v>
      </c>
      <c r="M16" s="101">
        <f>(F16/H16*100)-100</f>
        <v>-28.890799656061901</v>
      </c>
    </row>
    <row r="17" spans="1:13" ht="15" customHeight="1" x14ac:dyDescent="0.25">
      <c r="A17" s="16" t="s">
        <v>23</v>
      </c>
      <c r="B17" s="16" t="s">
        <v>172</v>
      </c>
      <c r="C17" s="142">
        <v>148.69999999999999</v>
      </c>
      <c r="D17" s="99">
        <v>100</v>
      </c>
      <c r="E17" s="100">
        <v>100</v>
      </c>
      <c r="F17" s="152">
        <v>148</v>
      </c>
      <c r="G17" s="98">
        <f t="shared" si="3"/>
        <v>48</v>
      </c>
      <c r="H17" s="99">
        <v>148.69999999999999</v>
      </c>
      <c r="I17" s="98">
        <v>0</v>
      </c>
      <c r="J17" s="98">
        <f t="shared" ref="J17:J23" si="14">SUM(H17/C17*100)</f>
        <v>100</v>
      </c>
      <c r="K17" s="34">
        <f t="shared" si="6"/>
        <v>148</v>
      </c>
      <c r="L17" s="101">
        <f t="shared" ref="L17:L23" si="15">F17-H17</f>
        <v>-0.69999999999998863</v>
      </c>
      <c r="M17" s="101">
        <v>0</v>
      </c>
    </row>
    <row r="18" spans="1:13" ht="28.95" customHeight="1" x14ac:dyDescent="0.25">
      <c r="A18" s="16" t="s">
        <v>25</v>
      </c>
      <c r="B18" s="17" t="s">
        <v>143</v>
      </c>
      <c r="C18" s="142">
        <v>303.2</v>
      </c>
      <c r="D18" s="102">
        <v>280</v>
      </c>
      <c r="E18" s="103">
        <v>20</v>
      </c>
      <c r="F18" s="153">
        <v>15.8</v>
      </c>
      <c r="G18" s="98">
        <f t="shared" si="3"/>
        <v>-4.1999999999999993</v>
      </c>
      <c r="H18" s="99">
        <v>7.5</v>
      </c>
      <c r="I18" s="98">
        <f t="shared" si="13"/>
        <v>79</v>
      </c>
      <c r="J18" s="98">
        <f t="shared" si="14"/>
        <v>2.473614775725594</v>
      </c>
      <c r="K18" s="34">
        <f>SUM(F18/D18*100)</f>
        <v>5.6428571428571432</v>
      </c>
      <c r="L18" s="101">
        <f t="shared" si="15"/>
        <v>8.3000000000000007</v>
      </c>
      <c r="M18" s="101">
        <f>(F18/H18*100)-100</f>
        <v>110.66666666666669</v>
      </c>
    </row>
    <row r="19" spans="1:13" ht="30.6" customHeight="1" x14ac:dyDescent="0.25">
      <c r="A19" s="16" t="s">
        <v>26</v>
      </c>
      <c r="B19" s="17" t="s">
        <v>189</v>
      </c>
      <c r="C19" s="142">
        <f>SUM(C20:C23)</f>
        <v>280.7</v>
      </c>
      <c r="D19" s="143">
        <f>SUM(D20:D23)</f>
        <v>360</v>
      </c>
      <c r="E19" s="144">
        <f t="shared" ref="E19" si="16">SUM(E20:E23)</f>
        <v>250</v>
      </c>
      <c r="F19" s="154">
        <f>SUM(F20:F23)</f>
        <v>334</v>
      </c>
      <c r="G19" s="142">
        <f>SUM(G20:G23)</f>
        <v>84.000000000000043</v>
      </c>
      <c r="H19" s="143">
        <f>SUM(H20:H23)</f>
        <v>166.2</v>
      </c>
      <c r="I19" s="98">
        <f t="shared" si="13"/>
        <v>133.6</v>
      </c>
      <c r="J19" s="98">
        <f t="shared" si="14"/>
        <v>59.209120057000355</v>
      </c>
      <c r="K19" s="34">
        <f t="shared" si="6"/>
        <v>92.777777777777786</v>
      </c>
      <c r="L19" s="101">
        <f t="shared" si="15"/>
        <v>167.8</v>
      </c>
      <c r="M19" s="101">
        <f t="shared" si="2"/>
        <v>100.96269554753312</v>
      </c>
    </row>
    <row r="20" spans="1:13" ht="28.95" customHeight="1" x14ac:dyDescent="0.25">
      <c r="A20" s="16" t="s">
        <v>190</v>
      </c>
      <c r="B20" s="17" t="s">
        <v>144</v>
      </c>
      <c r="C20" s="142">
        <v>36.6</v>
      </c>
      <c r="D20" s="102">
        <v>40</v>
      </c>
      <c r="E20" s="103">
        <v>40</v>
      </c>
      <c r="F20" s="153">
        <v>38.200000000000003</v>
      </c>
      <c r="G20" s="98">
        <f t="shared" si="3"/>
        <v>-1.7999999999999972</v>
      </c>
      <c r="H20" s="99">
        <v>36.5</v>
      </c>
      <c r="I20" s="98">
        <f t="shared" si="13"/>
        <v>95.5</v>
      </c>
      <c r="J20" s="98">
        <f t="shared" si="14"/>
        <v>99.726775956284158</v>
      </c>
      <c r="K20" s="34">
        <f t="shared" si="6"/>
        <v>95.5</v>
      </c>
      <c r="L20" s="101">
        <f t="shared" si="15"/>
        <v>1.7000000000000028</v>
      </c>
      <c r="M20" s="101">
        <f t="shared" si="2"/>
        <v>4.6575342465753522</v>
      </c>
    </row>
    <row r="21" spans="1:13" ht="31.2" customHeight="1" x14ac:dyDescent="0.25">
      <c r="A21" s="16" t="s">
        <v>191</v>
      </c>
      <c r="B21" s="17" t="s">
        <v>134</v>
      </c>
      <c r="C21" s="142">
        <v>113.3</v>
      </c>
      <c r="D21" s="102">
        <f>230+30</f>
        <v>260</v>
      </c>
      <c r="E21" s="103">
        <f>150+30</f>
        <v>180</v>
      </c>
      <c r="F21" s="153">
        <f>257.1+1.8</f>
        <v>258.90000000000003</v>
      </c>
      <c r="G21" s="98">
        <f t="shared" si="3"/>
        <v>78.900000000000034</v>
      </c>
      <c r="H21" s="99">
        <v>97.6</v>
      </c>
      <c r="I21" s="98">
        <f t="shared" si="13"/>
        <v>143.83333333333334</v>
      </c>
      <c r="J21" s="98">
        <f t="shared" si="14"/>
        <v>86.142983230361864</v>
      </c>
      <c r="K21" s="34">
        <f t="shared" si="6"/>
        <v>99.57692307692308</v>
      </c>
      <c r="L21" s="101">
        <f t="shared" si="15"/>
        <v>161.30000000000004</v>
      </c>
      <c r="M21" s="101">
        <f t="shared" si="2"/>
        <v>165.26639344262304</v>
      </c>
    </row>
    <row r="22" spans="1:13" ht="15.6" customHeight="1" x14ac:dyDescent="0.25">
      <c r="A22" s="16" t="s">
        <v>192</v>
      </c>
      <c r="B22" s="16" t="s">
        <v>193</v>
      </c>
      <c r="C22" s="142">
        <v>86</v>
      </c>
      <c r="D22" s="99">
        <v>20</v>
      </c>
      <c r="E22" s="100">
        <v>10</v>
      </c>
      <c r="F22" s="152">
        <v>19.2</v>
      </c>
      <c r="G22" s="98">
        <f>SUM(F22-E22)</f>
        <v>9.1999999999999993</v>
      </c>
      <c r="H22" s="99">
        <v>9.4</v>
      </c>
      <c r="I22" s="98">
        <f t="shared" si="13"/>
        <v>192</v>
      </c>
      <c r="J22" s="98">
        <f t="shared" si="14"/>
        <v>10.930232558139535</v>
      </c>
      <c r="K22" s="34">
        <f t="shared" si="6"/>
        <v>96</v>
      </c>
      <c r="L22" s="101">
        <f>F22-H22</f>
        <v>9.7999999999999989</v>
      </c>
      <c r="M22" s="101">
        <f>(F22/H22*100)-100</f>
        <v>104.25531914893617</v>
      </c>
    </row>
    <row r="23" spans="1:13" ht="15" customHeight="1" x14ac:dyDescent="0.25">
      <c r="A23" s="16" t="s">
        <v>194</v>
      </c>
      <c r="B23" s="16" t="s">
        <v>165</v>
      </c>
      <c r="C23" s="142">
        <v>44.8</v>
      </c>
      <c r="D23" s="102">
        <v>40</v>
      </c>
      <c r="E23" s="103">
        <v>20</v>
      </c>
      <c r="F23" s="153">
        <v>17.7</v>
      </c>
      <c r="G23" s="98">
        <f>SUM(F23-E23)</f>
        <v>-2.3000000000000007</v>
      </c>
      <c r="H23" s="99">
        <v>22.7</v>
      </c>
      <c r="I23" s="98">
        <f t="shared" si="13"/>
        <v>88.5</v>
      </c>
      <c r="J23" s="98">
        <f t="shared" si="14"/>
        <v>50.669642857142861</v>
      </c>
      <c r="K23" s="34">
        <f t="shared" si="6"/>
        <v>44.25</v>
      </c>
      <c r="L23" s="101">
        <f t="shared" si="15"/>
        <v>-5</v>
      </c>
      <c r="M23" s="101">
        <f t="shared" si="2"/>
        <v>-22.026431718061673</v>
      </c>
    </row>
    <row r="24" spans="1:13" ht="15.6" x14ac:dyDescent="0.3">
      <c r="A24" s="93" t="s">
        <v>28</v>
      </c>
      <c r="B24" s="93" t="s">
        <v>195</v>
      </c>
      <c r="C24" s="94">
        <f>C25+C30+C31</f>
        <v>9039.8000000000011</v>
      </c>
      <c r="D24" s="96">
        <f t="shared" ref="D24" si="17">D25+D30+D31</f>
        <v>9434.7999999999993</v>
      </c>
      <c r="E24" s="95">
        <f>E25+E30+E31</f>
        <v>5165</v>
      </c>
      <c r="F24" s="151">
        <f>F25+F30+F31</f>
        <v>5154.8999999999996</v>
      </c>
      <c r="G24" s="94">
        <f>SUM(F24-E24)</f>
        <v>-10.100000000000364</v>
      </c>
      <c r="H24" s="96">
        <f>H25+H30+H31</f>
        <v>4790</v>
      </c>
      <c r="I24" s="94">
        <f>SUM(F24/E24*100)</f>
        <v>99.80445304937075</v>
      </c>
      <c r="J24" s="94">
        <f>SUM(H24/C24*100)</f>
        <v>52.987897962344292</v>
      </c>
      <c r="K24" s="51">
        <f>SUM(F24/D24*100)</f>
        <v>54.637088226565481</v>
      </c>
      <c r="L24" s="97">
        <f>F24-H24</f>
        <v>364.89999999999964</v>
      </c>
      <c r="M24" s="97">
        <f>(F24/H24*100)-100</f>
        <v>7.6179540709811988</v>
      </c>
    </row>
    <row r="25" spans="1:13" ht="30" x14ac:dyDescent="0.25">
      <c r="A25" s="16" t="s">
        <v>29</v>
      </c>
      <c r="B25" s="17" t="s">
        <v>196</v>
      </c>
      <c r="C25" s="159">
        <f>SUM(C26:C29)</f>
        <v>5768.1</v>
      </c>
      <c r="D25" s="106">
        <f>SUM(D26:D29)</f>
        <v>6094.8</v>
      </c>
      <c r="E25" s="160">
        <f>SUM(E26:E29)</f>
        <v>3105</v>
      </c>
      <c r="F25" s="155">
        <f>SUM(F26:F29)</f>
        <v>2943.3</v>
      </c>
      <c r="G25" s="98">
        <f>SUM(F25-E25)</f>
        <v>-161.69999999999982</v>
      </c>
      <c r="H25" s="106">
        <f>SUM(H26:H29)</f>
        <v>2854.1</v>
      </c>
      <c r="I25" s="98">
        <f>SUM(F25/E25*100)</f>
        <v>94.792270531400973</v>
      </c>
      <c r="J25" s="98">
        <f t="shared" ref="J25:J29" si="18">SUM(H25/C25*100)</f>
        <v>49.480764896586393</v>
      </c>
      <c r="K25" s="34">
        <f>SUM(F25/D25*100)</f>
        <v>48.291986611537709</v>
      </c>
      <c r="L25" s="101">
        <f>F25-H25</f>
        <v>89.200000000000273</v>
      </c>
      <c r="M25" s="101">
        <f t="shared" si="2"/>
        <v>3.1253284748256931</v>
      </c>
    </row>
    <row r="26" spans="1:13" ht="46.2" customHeight="1" x14ac:dyDescent="0.25">
      <c r="A26" s="105" t="s">
        <v>197</v>
      </c>
      <c r="B26" s="17" t="s">
        <v>136</v>
      </c>
      <c r="C26" s="142">
        <v>243.8</v>
      </c>
      <c r="D26" s="106">
        <v>294.3</v>
      </c>
      <c r="E26" s="103">
        <v>130</v>
      </c>
      <c r="F26" s="155">
        <v>131</v>
      </c>
      <c r="G26" s="98">
        <f t="shared" si="3"/>
        <v>1</v>
      </c>
      <c r="H26" s="99">
        <v>117.3</v>
      </c>
      <c r="I26" s="98">
        <f>SUM(F26/E26*100)</f>
        <v>100.76923076923077</v>
      </c>
      <c r="J26" s="98">
        <f t="shared" si="18"/>
        <v>48.113207547169807</v>
      </c>
      <c r="K26" s="34">
        <f t="shared" ref="K26:K32" si="19">SUM(F26/D26*100)</f>
        <v>44.512402310567445</v>
      </c>
      <c r="L26" s="101">
        <f>F26-H26</f>
        <v>13.700000000000003</v>
      </c>
      <c r="M26" s="101">
        <f t="shared" si="2"/>
        <v>11.679454390451838</v>
      </c>
    </row>
    <row r="27" spans="1:13" ht="15" customHeight="1" x14ac:dyDescent="0.25">
      <c r="A27" s="105" t="s">
        <v>198</v>
      </c>
      <c r="B27" s="16" t="s">
        <v>135</v>
      </c>
      <c r="C27" s="142">
        <v>1545.9</v>
      </c>
      <c r="D27" s="106">
        <v>1983.6</v>
      </c>
      <c r="E27" s="103">
        <v>1025</v>
      </c>
      <c r="F27" s="155">
        <v>974.9</v>
      </c>
      <c r="G27" s="98">
        <f t="shared" si="3"/>
        <v>-50.100000000000023</v>
      </c>
      <c r="H27" s="99">
        <v>834.1</v>
      </c>
      <c r="I27" s="98">
        <f t="shared" si="13"/>
        <v>95.112195121951217</v>
      </c>
      <c r="J27" s="98">
        <f t="shared" si="18"/>
        <v>53.955624555275236</v>
      </c>
      <c r="K27" s="34">
        <f t="shared" si="19"/>
        <v>49.148013712442022</v>
      </c>
      <c r="L27" s="101">
        <f>F27-H27</f>
        <v>140.79999999999995</v>
      </c>
      <c r="M27" s="101">
        <f>(F27/H27*100)-100</f>
        <v>16.880469967629779</v>
      </c>
    </row>
    <row r="28" spans="1:13" ht="45" customHeight="1" x14ac:dyDescent="0.25">
      <c r="A28" s="105" t="s">
        <v>199</v>
      </c>
      <c r="B28" s="17" t="s">
        <v>145</v>
      </c>
      <c r="C28" s="142">
        <v>2815.5</v>
      </c>
      <c r="D28" s="106">
        <v>2966.9</v>
      </c>
      <c r="E28" s="103">
        <v>1600</v>
      </c>
      <c r="F28" s="155">
        <v>1572</v>
      </c>
      <c r="G28" s="98">
        <f t="shared" si="3"/>
        <v>-28</v>
      </c>
      <c r="H28" s="99">
        <v>1425.5</v>
      </c>
      <c r="I28" s="98">
        <f>SUM(F28/E28*100)</f>
        <v>98.25</v>
      </c>
      <c r="J28" s="98">
        <f t="shared" si="18"/>
        <v>50.630438643225006</v>
      </c>
      <c r="K28" s="34">
        <f t="shared" si="19"/>
        <v>52.984596717112133</v>
      </c>
      <c r="L28" s="101">
        <f t="shared" ref="L28:L32" si="20">F28-H28</f>
        <v>146.5</v>
      </c>
      <c r="M28" s="101">
        <f>(F28/H28*100)-100</f>
        <v>10.277095755875123</v>
      </c>
    </row>
    <row r="29" spans="1:13" ht="17.399999999999999" customHeight="1" x14ac:dyDescent="0.25">
      <c r="A29" s="16" t="s">
        <v>200</v>
      </c>
      <c r="B29" s="17" t="s">
        <v>175</v>
      </c>
      <c r="C29" s="142">
        <v>1162.9000000000001</v>
      </c>
      <c r="D29" s="99">
        <v>850</v>
      </c>
      <c r="E29" s="100">
        <v>350</v>
      </c>
      <c r="F29" s="152">
        <v>265.39999999999998</v>
      </c>
      <c r="G29" s="98">
        <f t="shared" si="3"/>
        <v>-84.600000000000023</v>
      </c>
      <c r="H29" s="99">
        <v>477.2</v>
      </c>
      <c r="I29" s="98">
        <v>0</v>
      </c>
      <c r="J29" s="98">
        <f t="shared" si="18"/>
        <v>41.035342677788286</v>
      </c>
      <c r="K29" s="34">
        <f>SUM(F29/D29*100)</f>
        <v>31.223529411764705</v>
      </c>
      <c r="L29" s="101">
        <f t="shared" si="20"/>
        <v>-211.8</v>
      </c>
      <c r="M29" s="101">
        <f>(F29/H29*100)-100</f>
        <v>-44.383906119027664</v>
      </c>
    </row>
    <row r="30" spans="1:13" ht="16.95" customHeight="1" x14ac:dyDescent="0.25">
      <c r="A30" s="16" t="s">
        <v>31</v>
      </c>
      <c r="B30" s="16" t="s">
        <v>201</v>
      </c>
      <c r="C30" s="142">
        <v>132.30000000000001</v>
      </c>
      <c r="D30" s="102">
        <v>150</v>
      </c>
      <c r="E30" s="103">
        <v>70</v>
      </c>
      <c r="F30" s="153">
        <v>74.900000000000006</v>
      </c>
      <c r="G30" s="98">
        <f t="shared" si="3"/>
        <v>4.9000000000000057</v>
      </c>
      <c r="H30" s="99">
        <v>67.599999999999994</v>
      </c>
      <c r="I30" s="98">
        <f t="shared" si="13"/>
        <v>107</v>
      </c>
      <c r="J30" s="98">
        <f t="shared" ref="J30:J36" si="21">SUM(H30/C30*100)</f>
        <v>51.095993953136798</v>
      </c>
      <c r="K30" s="34">
        <f t="shared" si="19"/>
        <v>49.933333333333337</v>
      </c>
      <c r="L30" s="101">
        <f t="shared" si="20"/>
        <v>7.3000000000000114</v>
      </c>
      <c r="M30" s="101">
        <f t="shared" ref="M30:M32" si="22">(F30/H30*100)-100</f>
        <v>10.798816568047357</v>
      </c>
    </row>
    <row r="31" spans="1:13" ht="14.4" customHeight="1" x14ac:dyDescent="0.25">
      <c r="A31" s="16" t="s">
        <v>33</v>
      </c>
      <c r="B31" s="16" t="s">
        <v>202</v>
      </c>
      <c r="C31" s="142">
        <v>3139.4</v>
      </c>
      <c r="D31" s="102">
        <v>3190</v>
      </c>
      <c r="E31" s="103">
        <v>1990</v>
      </c>
      <c r="F31" s="153">
        <v>2136.6999999999998</v>
      </c>
      <c r="G31" s="98">
        <f>SUM(F31-E31)</f>
        <v>146.69999999999982</v>
      </c>
      <c r="H31" s="99">
        <v>1868.3</v>
      </c>
      <c r="I31" s="98">
        <f t="shared" si="13"/>
        <v>107.37185929648241</v>
      </c>
      <c r="J31" s="98">
        <f t="shared" si="21"/>
        <v>59.511371599668728</v>
      </c>
      <c r="K31" s="34">
        <f t="shared" si="19"/>
        <v>66.98119122257053</v>
      </c>
      <c r="L31" s="101">
        <f t="shared" si="20"/>
        <v>268.39999999999986</v>
      </c>
      <c r="M31" s="101">
        <f>(F31/H31*100)-100</f>
        <v>14.366001177541079</v>
      </c>
    </row>
    <row r="32" spans="1:13" ht="31.95" customHeight="1" x14ac:dyDescent="0.25">
      <c r="A32" s="16" t="s">
        <v>203</v>
      </c>
      <c r="B32" s="17" t="s">
        <v>204</v>
      </c>
      <c r="C32" s="161">
        <v>3040</v>
      </c>
      <c r="D32" s="163">
        <v>3100</v>
      </c>
      <c r="E32" s="162">
        <v>1950</v>
      </c>
      <c r="F32" s="164">
        <v>2119.6</v>
      </c>
      <c r="G32" s="98">
        <f t="shared" si="3"/>
        <v>169.59999999999991</v>
      </c>
      <c r="H32" s="99">
        <v>1847.3</v>
      </c>
      <c r="I32" s="98">
        <f t="shared" si="13"/>
        <v>108.69743589743589</v>
      </c>
      <c r="J32" s="98">
        <f t="shared" si="21"/>
        <v>60.766447368421048</v>
      </c>
      <c r="K32" s="34">
        <f t="shared" si="19"/>
        <v>68.374193548387098</v>
      </c>
      <c r="L32" s="101">
        <f t="shared" si="20"/>
        <v>272.29999999999995</v>
      </c>
      <c r="M32" s="101">
        <f t="shared" si="22"/>
        <v>14.740431981811298</v>
      </c>
    </row>
    <row r="33" spans="1:13" ht="34.200000000000003" customHeight="1" x14ac:dyDescent="0.3">
      <c r="A33" s="107" t="s">
        <v>34</v>
      </c>
      <c r="B33" s="108" t="s">
        <v>146</v>
      </c>
      <c r="C33" s="145">
        <v>186.9</v>
      </c>
      <c r="D33" s="109">
        <v>200</v>
      </c>
      <c r="E33" s="110">
        <v>100</v>
      </c>
      <c r="F33" s="156">
        <v>132.6</v>
      </c>
      <c r="G33" s="94">
        <f t="shared" si="3"/>
        <v>32.599999999999994</v>
      </c>
      <c r="H33" s="96">
        <v>92.4</v>
      </c>
      <c r="I33" s="94">
        <f t="shared" si="13"/>
        <v>132.6</v>
      </c>
      <c r="J33" s="94">
        <f>SUM(H33/C33*100)</f>
        <v>49.438202247191015</v>
      </c>
      <c r="K33" s="51">
        <f>SUM(F33/D33*100)</f>
        <v>66.3</v>
      </c>
      <c r="L33" s="97">
        <f>F33-H33</f>
        <v>40.199999999999989</v>
      </c>
      <c r="M33" s="97">
        <f>(F33/H33*100)-100</f>
        <v>43.506493506493484</v>
      </c>
    </row>
    <row r="34" spans="1:13" ht="15" customHeight="1" x14ac:dyDescent="0.3">
      <c r="A34" s="93" t="s">
        <v>36</v>
      </c>
      <c r="B34" s="93" t="s">
        <v>147</v>
      </c>
      <c r="C34" s="145">
        <v>1165</v>
      </c>
      <c r="D34" s="111">
        <v>577</v>
      </c>
      <c r="E34" s="110">
        <v>280</v>
      </c>
      <c r="F34" s="156">
        <v>111</v>
      </c>
      <c r="G34" s="94">
        <f t="shared" si="3"/>
        <v>-169</v>
      </c>
      <c r="H34" s="96">
        <v>715.6</v>
      </c>
      <c r="I34" s="94">
        <f t="shared" si="13"/>
        <v>39.642857142857139</v>
      </c>
      <c r="J34" s="94">
        <f t="shared" si="21"/>
        <v>61.424892703862668</v>
      </c>
      <c r="K34" s="51">
        <f>SUM(F34/D34*100)</f>
        <v>19.237435008665511</v>
      </c>
      <c r="L34" s="97">
        <f>F34-H34</f>
        <v>-604.6</v>
      </c>
      <c r="M34" s="97">
        <f>(F34/H34*100)-100</f>
        <v>-84.488541084404687</v>
      </c>
    </row>
    <row r="35" spans="1:13" ht="51.6" customHeight="1" x14ac:dyDescent="0.3">
      <c r="A35" s="112" t="s">
        <v>38</v>
      </c>
      <c r="B35" s="113" t="s">
        <v>205</v>
      </c>
      <c r="C35" s="145">
        <v>321.3</v>
      </c>
      <c r="D35" s="109">
        <v>300</v>
      </c>
      <c r="E35" s="114">
        <v>150</v>
      </c>
      <c r="F35" s="156">
        <v>407.8</v>
      </c>
      <c r="G35" s="94">
        <f t="shared" si="3"/>
        <v>257.8</v>
      </c>
      <c r="H35" s="115">
        <v>222.5</v>
      </c>
      <c r="I35" s="94">
        <f t="shared" si="13"/>
        <v>271.86666666666667</v>
      </c>
      <c r="J35" s="94">
        <f t="shared" si="21"/>
        <v>69.249922191098662</v>
      </c>
      <c r="K35" s="51">
        <f>SUM(F35/D35*100)</f>
        <v>135.93333333333334</v>
      </c>
      <c r="L35" s="97">
        <f>F35-H35</f>
        <v>185.3</v>
      </c>
      <c r="M35" s="97">
        <f t="shared" ref="M35:M37" si="23">(F35/H35*100)-100</f>
        <v>83.280898876404507</v>
      </c>
    </row>
    <row r="36" spans="1:13" ht="13.5" customHeight="1" x14ac:dyDescent="0.25">
      <c r="A36" s="16" t="s">
        <v>249</v>
      </c>
      <c r="B36" s="18" t="s">
        <v>166</v>
      </c>
      <c r="C36" s="142">
        <v>119.3</v>
      </c>
      <c r="D36" s="106">
        <v>200</v>
      </c>
      <c r="E36" s="103">
        <v>100</v>
      </c>
      <c r="F36" s="153">
        <v>251</v>
      </c>
      <c r="G36" s="98">
        <f t="shared" si="3"/>
        <v>151</v>
      </c>
      <c r="H36" s="99">
        <v>56.9</v>
      </c>
      <c r="I36" s="98">
        <f t="shared" si="13"/>
        <v>250.99999999999997</v>
      </c>
      <c r="J36" s="98">
        <f t="shared" si="21"/>
        <v>47.694886839899411</v>
      </c>
      <c r="K36" s="34">
        <f>SUM(F36/D36*100)</f>
        <v>125.49999999999999</v>
      </c>
      <c r="L36" s="101">
        <f>F36-H36</f>
        <v>194.1</v>
      </c>
      <c r="M36" s="101">
        <f>(F36/H36*100)-100</f>
        <v>341.12478031634447</v>
      </c>
    </row>
    <row r="37" spans="1:13" ht="67.95" customHeight="1" x14ac:dyDescent="0.3">
      <c r="A37" s="107" t="s">
        <v>40</v>
      </c>
      <c r="B37" s="116" t="s">
        <v>206</v>
      </c>
      <c r="C37" s="145">
        <f>C6+C14+C35</f>
        <v>95113.2</v>
      </c>
      <c r="D37" s="146">
        <f t="shared" ref="D37" si="24">D6+D14+D35</f>
        <v>103226.8</v>
      </c>
      <c r="E37" s="147">
        <f>E6+E14+E35</f>
        <v>48912</v>
      </c>
      <c r="F37" s="157">
        <f>F6+F14+F35</f>
        <v>49804</v>
      </c>
      <c r="G37" s="94">
        <f t="shared" ref="G37" si="25">SUM(F37-E37)</f>
        <v>892</v>
      </c>
      <c r="H37" s="146">
        <f>H6+H14+H35</f>
        <v>44228.999999999993</v>
      </c>
      <c r="I37" s="94">
        <f t="shared" ref="I37" si="26">SUM(F37/E37*100)</f>
        <v>101.82368334968923</v>
      </c>
      <c r="J37" s="94">
        <f t="shared" ref="J37" si="27">SUM(H37/C37*100)</f>
        <v>46.501431977895805</v>
      </c>
      <c r="K37" s="51">
        <f>SUM(F37/D37*100)</f>
        <v>48.247160621079018</v>
      </c>
      <c r="L37" s="97">
        <f>F37-H37</f>
        <v>5575.0000000000073</v>
      </c>
      <c r="M37" s="97">
        <f t="shared" si="23"/>
        <v>12.604852020167783</v>
      </c>
    </row>
    <row r="38" spans="1:13" ht="15.6" x14ac:dyDescent="0.3">
      <c r="A38" s="93" t="s">
        <v>41</v>
      </c>
      <c r="B38" s="93" t="s">
        <v>207</v>
      </c>
      <c r="C38" s="94">
        <f>C39+C45</f>
        <v>43006.5</v>
      </c>
      <c r="D38" s="96">
        <f>D39+D45</f>
        <v>60221.599999999991</v>
      </c>
      <c r="E38" s="95">
        <f>E39+E45</f>
        <v>34550.9</v>
      </c>
      <c r="F38" s="151">
        <f>F39+F45</f>
        <v>28345.5</v>
      </c>
      <c r="G38" s="94">
        <f>SUM(F38-E38)</f>
        <v>-6205.4000000000015</v>
      </c>
      <c r="H38" s="96">
        <f>H39+H45</f>
        <v>24952.300000000003</v>
      </c>
      <c r="I38" s="94">
        <f>SUM(F38/E38*100)</f>
        <v>82.039831089783476</v>
      </c>
      <c r="J38" s="94">
        <f>SUM(H38/C38*100)</f>
        <v>58.019834211107636</v>
      </c>
      <c r="K38" s="51">
        <f t="shared" ref="K38" si="28">SUM(F38/D38*100)</f>
        <v>47.068659749990047</v>
      </c>
      <c r="L38" s="97">
        <f t="shared" ref="L38" si="29">F38-H38</f>
        <v>3393.1999999999971</v>
      </c>
      <c r="M38" s="97">
        <f>(F38/H38*100)-100</f>
        <v>13.598746408146738</v>
      </c>
    </row>
    <row r="39" spans="1:13" ht="32.4" customHeight="1" x14ac:dyDescent="0.3">
      <c r="A39" s="107" t="s">
        <v>42</v>
      </c>
      <c r="B39" s="108" t="s">
        <v>208</v>
      </c>
      <c r="C39" s="94">
        <f>C40+C41+C42+C43+C44</f>
        <v>40891.4</v>
      </c>
      <c r="D39" s="96">
        <f>D40+D41+D42+D43+D44</f>
        <v>49370.899999999994</v>
      </c>
      <c r="E39" s="95">
        <f t="shared" ref="E39" si="30">E40+E41+E42+E43+E44</f>
        <v>30249.8</v>
      </c>
      <c r="F39" s="151">
        <f>F40+F41+F42+F43+F44</f>
        <v>28022.400000000001</v>
      </c>
      <c r="G39" s="94">
        <f>SUM(F39-E39)</f>
        <v>-2227.3999999999978</v>
      </c>
      <c r="H39" s="96">
        <f>H40+H41+H42+H43+H44</f>
        <v>23377.100000000002</v>
      </c>
      <c r="I39" s="94">
        <f>SUM(F39/E39*100)</f>
        <v>92.636645531540708</v>
      </c>
      <c r="J39" s="94">
        <f>SUM(H39/C39*100)</f>
        <v>57.168744528189308</v>
      </c>
      <c r="K39" s="51">
        <f>SUM(F39/D39*100)</f>
        <v>56.758940995606736</v>
      </c>
      <c r="L39" s="97">
        <f>F39-H39</f>
        <v>4645.2999999999993</v>
      </c>
      <c r="M39" s="97">
        <f>(F39/H39*100)-100</f>
        <v>19.871155960320138</v>
      </c>
    </row>
    <row r="40" spans="1:13" ht="46.95" customHeight="1" x14ac:dyDescent="0.25">
      <c r="A40" s="16" t="s">
        <v>43</v>
      </c>
      <c r="B40" s="117" t="s">
        <v>209</v>
      </c>
      <c r="C40" s="142">
        <v>7134.9</v>
      </c>
      <c r="D40" s="106">
        <f>8008.8-35</f>
        <v>7973.8</v>
      </c>
      <c r="E40" s="103">
        <v>4568.8</v>
      </c>
      <c r="F40" s="155">
        <v>4569.5</v>
      </c>
      <c r="G40" s="98">
        <f t="shared" ref="G40:G43" si="31">SUM(F40-E40)</f>
        <v>0.6999999999998181</v>
      </c>
      <c r="H40" s="99">
        <v>3720.9</v>
      </c>
      <c r="I40" s="98">
        <f t="shared" ref="I40:I42" si="32">SUM(F40/E40*100)</f>
        <v>100.01532130975311</v>
      </c>
      <c r="J40" s="98">
        <f t="shared" ref="J40:J44" si="33">SUM(H40/C40*100)</f>
        <v>52.150695875204974</v>
      </c>
      <c r="K40" s="34">
        <f t="shared" ref="K40:K44" si="34">SUM(F40/D40*100)</f>
        <v>57.30642855351276</v>
      </c>
      <c r="L40" s="101">
        <f>F40-H40</f>
        <v>848.59999999999991</v>
      </c>
      <c r="M40" s="101">
        <f t="shared" ref="M40:M44" si="35">(F40/H40*100)-100</f>
        <v>22.806310301271211</v>
      </c>
    </row>
    <row r="41" spans="1:13" ht="16.5" customHeight="1" x14ac:dyDescent="0.25">
      <c r="A41" s="16" t="s">
        <v>44</v>
      </c>
      <c r="B41" s="16" t="s">
        <v>210</v>
      </c>
      <c r="C41" s="142">
        <v>26898.3</v>
      </c>
      <c r="D41" s="102">
        <f>30866.2+105.5</f>
        <v>30971.7</v>
      </c>
      <c r="E41" s="103">
        <v>20649.2</v>
      </c>
      <c r="F41" s="153">
        <v>20649.2</v>
      </c>
      <c r="G41" s="98">
        <f t="shared" si="31"/>
        <v>0</v>
      </c>
      <c r="H41" s="99">
        <v>16634.2</v>
      </c>
      <c r="I41" s="98">
        <f t="shared" si="32"/>
        <v>100</v>
      </c>
      <c r="J41" s="98">
        <f t="shared" si="33"/>
        <v>61.841082893714471</v>
      </c>
      <c r="K41" s="34">
        <f t="shared" si="34"/>
        <v>66.671186922254833</v>
      </c>
      <c r="L41" s="101">
        <f>F41-H41</f>
        <v>4015</v>
      </c>
      <c r="M41" s="101">
        <f t="shared" si="35"/>
        <v>24.137018912842208</v>
      </c>
    </row>
    <row r="42" spans="1:13" ht="30.6" customHeight="1" x14ac:dyDescent="0.25">
      <c r="A42" s="105" t="s">
        <v>46</v>
      </c>
      <c r="B42" s="17" t="s">
        <v>211</v>
      </c>
      <c r="C42" s="142">
        <v>367.8</v>
      </c>
      <c r="D42" s="143">
        <v>360.2</v>
      </c>
      <c r="E42" s="103">
        <v>180</v>
      </c>
      <c r="F42" s="155">
        <v>180</v>
      </c>
      <c r="G42" s="98">
        <f>SUM(F42-E42)</f>
        <v>0</v>
      </c>
      <c r="H42" s="99">
        <v>183.8</v>
      </c>
      <c r="I42" s="98">
        <f t="shared" si="32"/>
        <v>100</v>
      </c>
      <c r="J42" s="98">
        <f>SUM(H42/C42*100)</f>
        <v>49.972811310494833</v>
      </c>
      <c r="K42" s="34">
        <f>SUM(F42/D42*100)</f>
        <v>49.972237645752358</v>
      </c>
      <c r="L42" s="101">
        <f>F42-H42</f>
        <v>-3.8000000000000114</v>
      </c>
      <c r="M42" s="101">
        <f>(F42/H42*100)-100</f>
        <v>-2.0674646354733426</v>
      </c>
    </row>
    <row r="43" spans="1:13" ht="46.95" customHeight="1" x14ac:dyDescent="0.25">
      <c r="A43" s="16" t="s">
        <v>47</v>
      </c>
      <c r="B43" s="117" t="s">
        <v>212</v>
      </c>
      <c r="C43" s="148">
        <v>112.5</v>
      </c>
      <c r="D43" s="149">
        <v>127.4</v>
      </c>
      <c r="E43" s="103">
        <v>64</v>
      </c>
      <c r="F43" s="155">
        <v>64</v>
      </c>
      <c r="G43" s="98">
        <f t="shared" si="31"/>
        <v>0</v>
      </c>
      <c r="H43" s="99">
        <v>56</v>
      </c>
      <c r="I43" s="98">
        <f>SUM(F43/E43*100)</f>
        <v>100</v>
      </c>
      <c r="J43" s="98">
        <f t="shared" si="33"/>
        <v>49.777777777777779</v>
      </c>
      <c r="K43" s="34">
        <f t="shared" si="34"/>
        <v>50.235478806907373</v>
      </c>
      <c r="L43" s="101">
        <f t="shared" ref="L43" si="36">F43-H43</f>
        <v>8</v>
      </c>
      <c r="M43" s="101">
        <f t="shared" si="35"/>
        <v>14.285714285714278</v>
      </c>
    </row>
    <row r="44" spans="1:13" ht="16.5" customHeight="1" x14ac:dyDescent="0.25">
      <c r="A44" s="16" t="s">
        <v>49</v>
      </c>
      <c r="B44" s="16" t="s">
        <v>213</v>
      </c>
      <c r="C44" s="148">
        <v>6377.9</v>
      </c>
      <c r="D44" s="102">
        <v>9937.7999999999993</v>
      </c>
      <c r="E44" s="103">
        <f>4787.8</f>
        <v>4787.8</v>
      </c>
      <c r="F44" s="153">
        <v>2559.6999999999998</v>
      </c>
      <c r="G44" s="98">
        <f>SUM(F44-E44)</f>
        <v>-2228.1000000000004</v>
      </c>
      <c r="H44" s="99">
        <v>2782.2</v>
      </c>
      <c r="I44" s="98">
        <f>SUM(F44/E44*100)</f>
        <v>53.462968377960642</v>
      </c>
      <c r="J44" s="98">
        <f t="shared" si="33"/>
        <v>43.622508976308815</v>
      </c>
      <c r="K44" s="34">
        <f t="shared" si="34"/>
        <v>25.757209845237377</v>
      </c>
      <c r="L44" s="101">
        <f>F44-H44</f>
        <v>-222.5</v>
      </c>
      <c r="M44" s="101">
        <f t="shared" si="35"/>
        <v>-7.9972683487887366</v>
      </c>
    </row>
    <row r="45" spans="1:13" ht="64.95" customHeight="1" x14ac:dyDescent="0.3">
      <c r="A45" s="107" t="s">
        <v>50</v>
      </c>
      <c r="B45" s="108" t="s">
        <v>214</v>
      </c>
      <c r="C45" s="94">
        <v>2115.1</v>
      </c>
      <c r="D45" s="96">
        <v>10850.7</v>
      </c>
      <c r="E45" s="95">
        <v>4301.1000000000004</v>
      </c>
      <c r="F45" s="151">
        <v>323.10000000000002</v>
      </c>
      <c r="G45" s="94">
        <f t="shared" ref="G45:G46" si="37">SUM(F45-E45)</f>
        <v>-3978.0000000000005</v>
      </c>
      <c r="H45" s="96">
        <v>1575.2</v>
      </c>
      <c r="I45" s="94">
        <f>SUM(F45/E45*100)</f>
        <v>7.5120318058171165</v>
      </c>
      <c r="J45" s="94">
        <f>SUM(H45/C45*100)</f>
        <v>74.474020140891682</v>
      </c>
      <c r="K45" s="51">
        <f>SUM(F45/D45*100)</f>
        <v>2.9776880754237052</v>
      </c>
      <c r="L45" s="97">
        <f>F45-H45</f>
        <v>-1252.0999999999999</v>
      </c>
      <c r="M45" s="97">
        <f>(F45/H45*100)-100</f>
        <v>-79.488318943626211</v>
      </c>
    </row>
    <row r="46" spans="1:13" ht="15.6" x14ac:dyDescent="0.3">
      <c r="A46" s="19" t="s">
        <v>52</v>
      </c>
      <c r="B46" s="19" t="s">
        <v>215</v>
      </c>
      <c r="C46" s="118">
        <f>C37+C38</f>
        <v>138119.70000000001</v>
      </c>
      <c r="D46" s="119">
        <f t="shared" ref="D46:H46" si="38">D37+D38</f>
        <v>163448.4</v>
      </c>
      <c r="E46" s="120">
        <f t="shared" si="38"/>
        <v>83462.899999999994</v>
      </c>
      <c r="F46" s="158">
        <f>F37+F38</f>
        <v>78149.5</v>
      </c>
      <c r="G46" s="96">
        <f t="shared" si="37"/>
        <v>-5313.3999999999942</v>
      </c>
      <c r="H46" s="119">
        <f t="shared" si="38"/>
        <v>69181.299999999988</v>
      </c>
      <c r="I46" s="94">
        <f>SUM(F46/E46*100)</f>
        <v>93.633818139556624</v>
      </c>
      <c r="J46" s="94">
        <f t="shared" ref="J46" si="39">SUM(H46/C46*100)</f>
        <v>50.087930975813002</v>
      </c>
      <c r="K46" s="51">
        <f t="shared" ref="K46" si="40">SUM(F46/D46*100)</f>
        <v>47.812948918435424</v>
      </c>
      <c r="L46" s="97">
        <f>F46-H46</f>
        <v>8968.2000000000116</v>
      </c>
      <c r="M46" s="97">
        <f>(F46/H46*100)-100</f>
        <v>12.963329685912257</v>
      </c>
    </row>
    <row r="47" spans="1:13" x14ac:dyDescent="0.25">
      <c r="H47" s="10"/>
    </row>
    <row r="48" spans="1:13" x14ac:dyDescent="0.25">
      <c r="A48" s="10" t="s">
        <v>268</v>
      </c>
      <c r="H48" s="10"/>
      <c r="K48" s="181" t="s">
        <v>269</v>
      </c>
      <c r="L48" s="181"/>
      <c r="M48" s="181"/>
    </row>
    <row r="49" spans="8:8" x14ac:dyDescent="0.25">
      <c r="H49" s="10"/>
    </row>
    <row r="50" spans="8:8" x14ac:dyDescent="0.25">
      <c r="H50" s="10"/>
    </row>
    <row r="51" spans="8:8" x14ac:dyDescent="0.25">
      <c r="H51" s="10"/>
    </row>
    <row r="52" spans="8:8" x14ac:dyDescent="0.25">
      <c r="H52" s="10"/>
    </row>
    <row r="53" spans="8:8" x14ac:dyDescent="0.25">
      <c r="H53" s="10"/>
    </row>
    <row r="54" spans="8:8" x14ac:dyDescent="0.25">
      <c r="H54" s="10"/>
    </row>
    <row r="55" spans="8:8" x14ac:dyDescent="0.25">
      <c r="H55" s="10"/>
    </row>
    <row r="56" spans="8:8" x14ac:dyDescent="0.25">
      <c r="H56" s="10"/>
    </row>
    <row r="57" spans="8:8" x14ac:dyDescent="0.25">
      <c r="H57" s="10"/>
    </row>
    <row r="58" spans="8:8" x14ac:dyDescent="0.25">
      <c r="H58" s="10"/>
    </row>
    <row r="59" spans="8:8" x14ac:dyDescent="0.25">
      <c r="H59" s="10"/>
    </row>
    <row r="60" spans="8:8" x14ac:dyDescent="0.25">
      <c r="H60" s="10"/>
    </row>
    <row r="61" spans="8:8" x14ac:dyDescent="0.25">
      <c r="H61" s="10"/>
    </row>
    <row r="62" spans="8:8" x14ac:dyDescent="0.25">
      <c r="H62" s="10"/>
    </row>
    <row r="63" spans="8:8" x14ac:dyDescent="0.25">
      <c r="H63" s="10"/>
    </row>
    <row r="64" spans="8:8" x14ac:dyDescent="0.25">
      <c r="H64" s="10"/>
    </row>
    <row r="65" spans="8:8" x14ac:dyDescent="0.25">
      <c r="H65" s="10"/>
    </row>
    <row r="66" spans="8:8" x14ac:dyDescent="0.25">
      <c r="H66" s="10"/>
    </row>
    <row r="67" spans="8:8" x14ac:dyDescent="0.25">
      <c r="H67" s="10"/>
    </row>
    <row r="68" spans="8:8" x14ac:dyDescent="0.25">
      <c r="H68" s="10"/>
    </row>
    <row r="69" spans="8:8" x14ac:dyDescent="0.25">
      <c r="H69" s="10"/>
    </row>
    <row r="70" spans="8:8" x14ac:dyDescent="0.25">
      <c r="H70" s="10"/>
    </row>
    <row r="71" spans="8:8" x14ac:dyDescent="0.25">
      <c r="H71" s="10"/>
    </row>
    <row r="72" spans="8:8" x14ac:dyDescent="0.25">
      <c r="H72" s="10"/>
    </row>
    <row r="73" spans="8:8" x14ac:dyDescent="0.25">
      <c r="H73" s="10"/>
    </row>
    <row r="74" spans="8:8" x14ac:dyDescent="0.25">
      <c r="H74" s="10"/>
    </row>
    <row r="75" spans="8:8" x14ac:dyDescent="0.25">
      <c r="H75" s="10"/>
    </row>
    <row r="76" spans="8:8" x14ac:dyDescent="0.25">
      <c r="H76" s="10"/>
    </row>
    <row r="77" spans="8:8" x14ac:dyDescent="0.25">
      <c r="H77" s="10"/>
    </row>
    <row r="78" spans="8:8" x14ac:dyDescent="0.25">
      <c r="H78" s="10"/>
    </row>
    <row r="79" spans="8:8" x14ac:dyDescent="0.25">
      <c r="H79" s="10"/>
    </row>
    <row r="80" spans="8:8" x14ac:dyDescent="0.25">
      <c r="H80" s="10"/>
    </row>
    <row r="81" spans="8:8" x14ac:dyDescent="0.25">
      <c r="H81" s="10"/>
    </row>
    <row r="82" spans="8:8" x14ac:dyDescent="0.25">
      <c r="H82" s="10"/>
    </row>
    <row r="83" spans="8:8" x14ac:dyDescent="0.25">
      <c r="H83" s="10"/>
    </row>
    <row r="84" spans="8:8" x14ac:dyDescent="0.25">
      <c r="H84" s="10"/>
    </row>
    <row r="85" spans="8:8" x14ac:dyDescent="0.25">
      <c r="H85" s="10"/>
    </row>
    <row r="86" spans="8:8" x14ac:dyDescent="0.25">
      <c r="H86" s="10"/>
    </row>
    <row r="87" spans="8:8" x14ac:dyDescent="0.25">
      <c r="H87" s="10"/>
    </row>
    <row r="88" spans="8:8" x14ac:dyDescent="0.25">
      <c r="H88" s="10"/>
    </row>
    <row r="89" spans="8:8" x14ac:dyDescent="0.25">
      <c r="H89" s="10"/>
    </row>
    <row r="90" spans="8:8" x14ac:dyDescent="0.25">
      <c r="H90" s="10"/>
    </row>
    <row r="91" spans="8:8" x14ac:dyDescent="0.25">
      <c r="H91" s="10"/>
    </row>
    <row r="92" spans="8:8" x14ac:dyDescent="0.25">
      <c r="H92" s="10"/>
    </row>
    <row r="93" spans="8:8" x14ac:dyDescent="0.25">
      <c r="H93" s="10"/>
    </row>
    <row r="94" spans="8:8" x14ac:dyDescent="0.25">
      <c r="H94" s="10"/>
    </row>
    <row r="95" spans="8:8" x14ac:dyDescent="0.25">
      <c r="H95" s="10"/>
    </row>
    <row r="96" spans="8:8" x14ac:dyDescent="0.25">
      <c r="H96" s="10"/>
    </row>
    <row r="97" spans="8:8" x14ac:dyDescent="0.25">
      <c r="H97" s="10"/>
    </row>
    <row r="98" spans="8:8" x14ac:dyDescent="0.25">
      <c r="H98" s="10"/>
    </row>
    <row r="99" spans="8:8" x14ac:dyDescent="0.25">
      <c r="H99" s="10"/>
    </row>
    <row r="100" spans="8:8" x14ac:dyDescent="0.25">
      <c r="H100" s="10"/>
    </row>
    <row r="101" spans="8:8" x14ac:dyDescent="0.25">
      <c r="H101" s="10"/>
    </row>
    <row r="102" spans="8:8" x14ac:dyDescent="0.25">
      <c r="H102" s="10"/>
    </row>
    <row r="103" spans="8:8" x14ac:dyDescent="0.25">
      <c r="H103" s="10"/>
    </row>
    <row r="104" spans="8:8" x14ac:dyDescent="0.25">
      <c r="H104" s="10"/>
    </row>
    <row r="105" spans="8:8" x14ac:dyDescent="0.25">
      <c r="H105" s="10"/>
    </row>
    <row r="106" spans="8:8" x14ac:dyDescent="0.25">
      <c r="H106" s="10"/>
    </row>
    <row r="107" spans="8:8" x14ac:dyDescent="0.25">
      <c r="H107" s="10"/>
    </row>
    <row r="108" spans="8:8" x14ac:dyDescent="0.25">
      <c r="H108" s="10"/>
    </row>
    <row r="109" spans="8:8" x14ac:dyDescent="0.25">
      <c r="H109" s="10"/>
    </row>
    <row r="110" spans="8:8" x14ac:dyDescent="0.25">
      <c r="H110" s="10"/>
    </row>
    <row r="111" spans="8:8" x14ac:dyDescent="0.25">
      <c r="H111" s="10"/>
    </row>
    <row r="112" spans="8:8" x14ac:dyDescent="0.25">
      <c r="H112" s="10"/>
    </row>
    <row r="113" spans="8:8" x14ac:dyDescent="0.25">
      <c r="H113" s="10"/>
    </row>
    <row r="114" spans="8:8" x14ac:dyDescent="0.25">
      <c r="H114" s="10"/>
    </row>
    <row r="115" spans="8:8" x14ac:dyDescent="0.25">
      <c r="H115" s="10"/>
    </row>
    <row r="116" spans="8:8" x14ac:dyDescent="0.25">
      <c r="H116" s="10"/>
    </row>
    <row r="117" spans="8:8" x14ac:dyDescent="0.25">
      <c r="H117" s="10"/>
    </row>
    <row r="118" spans="8:8" x14ac:dyDescent="0.25">
      <c r="H118" s="10"/>
    </row>
    <row r="119" spans="8:8" x14ac:dyDescent="0.25">
      <c r="H119" s="10"/>
    </row>
    <row r="120" spans="8:8" x14ac:dyDescent="0.25">
      <c r="H120" s="10"/>
    </row>
    <row r="121" spans="8:8" x14ac:dyDescent="0.25">
      <c r="H121" s="10"/>
    </row>
    <row r="122" spans="8:8" x14ac:dyDescent="0.25">
      <c r="H122" s="10"/>
    </row>
    <row r="123" spans="8:8" x14ac:dyDescent="0.25">
      <c r="H123" s="10"/>
    </row>
    <row r="124" spans="8:8" x14ac:dyDescent="0.25">
      <c r="H124" s="10"/>
    </row>
    <row r="125" spans="8:8" x14ac:dyDescent="0.25">
      <c r="H125" s="10"/>
    </row>
    <row r="126" spans="8:8" x14ac:dyDescent="0.25">
      <c r="H126" s="10"/>
    </row>
    <row r="127" spans="8:8" x14ac:dyDescent="0.25">
      <c r="H127" s="10"/>
    </row>
    <row r="128" spans="8:8" x14ac:dyDescent="0.25">
      <c r="H128" s="10"/>
    </row>
    <row r="129" spans="8:8" x14ac:dyDescent="0.25">
      <c r="H129" s="10"/>
    </row>
    <row r="130" spans="8:8" x14ac:dyDescent="0.25">
      <c r="H130" s="10"/>
    </row>
    <row r="131" spans="8:8" x14ac:dyDescent="0.25">
      <c r="H131" s="10"/>
    </row>
    <row r="132" spans="8:8" x14ac:dyDescent="0.25">
      <c r="H132" s="10"/>
    </row>
    <row r="133" spans="8:8" x14ac:dyDescent="0.25">
      <c r="H133" s="10"/>
    </row>
    <row r="134" spans="8:8" x14ac:dyDescent="0.25">
      <c r="H134" s="10"/>
    </row>
    <row r="135" spans="8:8" x14ac:dyDescent="0.25">
      <c r="H135" s="10"/>
    </row>
    <row r="136" spans="8:8" x14ac:dyDescent="0.25">
      <c r="H136" s="10"/>
    </row>
    <row r="137" spans="8:8" x14ac:dyDescent="0.25">
      <c r="H137" s="10"/>
    </row>
    <row r="138" spans="8:8" x14ac:dyDescent="0.25">
      <c r="H138" s="10"/>
    </row>
    <row r="139" spans="8:8" x14ac:dyDescent="0.25">
      <c r="H139" s="10"/>
    </row>
    <row r="140" spans="8:8" x14ac:dyDescent="0.25">
      <c r="H140" s="10"/>
    </row>
    <row r="141" spans="8:8" x14ac:dyDescent="0.25">
      <c r="H141" s="10"/>
    </row>
    <row r="142" spans="8:8" x14ac:dyDescent="0.25">
      <c r="H142" s="10"/>
    </row>
    <row r="143" spans="8:8" x14ac:dyDescent="0.25">
      <c r="H143" s="10"/>
    </row>
    <row r="144" spans="8:8" x14ac:dyDescent="0.25">
      <c r="H144" s="10"/>
    </row>
    <row r="145" spans="8:8" x14ac:dyDescent="0.25">
      <c r="H145" s="10"/>
    </row>
    <row r="146" spans="8:8" x14ac:dyDescent="0.25">
      <c r="H146" s="10"/>
    </row>
    <row r="147" spans="8:8" x14ac:dyDescent="0.25">
      <c r="H147" s="10"/>
    </row>
    <row r="148" spans="8:8" x14ac:dyDescent="0.25">
      <c r="H148" s="10"/>
    </row>
    <row r="149" spans="8:8" x14ac:dyDescent="0.25">
      <c r="H149" s="10"/>
    </row>
    <row r="150" spans="8:8" x14ac:dyDescent="0.25">
      <c r="H150" s="10"/>
    </row>
    <row r="151" spans="8:8" x14ac:dyDescent="0.25">
      <c r="H151" s="10"/>
    </row>
    <row r="152" spans="8:8" x14ac:dyDescent="0.25">
      <c r="H152" s="10"/>
    </row>
    <row r="153" spans="8:8" x14ac:dyDescent="0.25">
      <c r="H153" s="10"/>
    </row>
    <row r="154" spans="8:8" x14ac:dyDescent="0.25">
      <c r="H154" s="10"/>
    </row>
    <row r="155" spans="8:8" x14ac:dyDescent="0.25">
      <c r="H155" s="10"/>
    </row>
    <row r="156" spans="8:8" x14ac:dyDescent="0.25">
      <c r="H156" s="10"/>
    </row>
    <row r="157" spans="8:8" x14ac:dyDescent="0.25">
      <c r="H157" s="10"/>
    </row>
    <row r="158" spans="8:8" x14ac:dyDescent="0.25">
      <c r="H158" s="10"/>
    </row>
    <row r="159" spans="8:8" x14ac:dyDescent="0.25">
      <c r="H159" s="10"/>
    </row>
    <row r="160" spans="8:8" x14ac:dyDescent="0.25">
      <c r="H160" s="10"/>
    </row>
    <row r="161" spans="8:8" x14ac:dyDescent="0.25">
      <c r="H161" s="10"/>
    </row>
  </sheetData>
  <mergeCells count="12">
    <mergeCell ref="K48:M48"/>
    <mergeCell ref="L1:M1"/>
    <mergeCell ref="A2:M2"/>
    <mergeCell ref="L3:M3"/>
    <mergeCell ref="A4:A5"/>
    <mergeCell ref="B4:B5"/>
    <mergeCell ref="L4:M4"/>
    <mergeCell ref="C4:C5"/>
    <mergeCell ref="D4:D5"/>
    <mergeCell ref="E4:G4"/>
    <mergeCell ref="H4:H5"/>
    <mergeCell ref="I4:K4"/>
  </mergeCells>
  <phoneticPr fontId="0" type="noConversion"/>
  <pageMargins left="0" right="0" top="0.27559055118110237" bottom="0" header="0.51181102362204722" footer="0"/>
  <pageSetup paperSize="9" orientation="landscape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zoomScaleNormal="100" workbookViewId="0"/>
  </sheetViews>
  <sheetFormatPr defaultRowHeight="13.2" x14ac:dyDescent="0.25"/>
  <cols>
    <col min="1" max="1" width="5.109375" customWidth="1"/>
    <col min="4" max="4" width="7.44140625" customWidth="1"/>
    <col min="5" max="5" width="19.44140625" customWidth="1"/>
    <col min="6" max="6" width="12.6640625" customWidth="1"/>
    <col min="7" max="7" width="12.44140625" customWidth="1"/>
    <col min="8" max="8" width="9.5546875" customWidth="1"/>
    <col min="9" max="9" width="8.6640625" customWidth="1"/>
    <col min="10" max="10" width="10.6640625" customWidth="1"/>
  </cols>
  <sheetData>
    <row r="1" spans="1:1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1" t="s">
        <v>101</v>
      </c>
    </row>
    <row r="2" spans="1:1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5.6" x14ac:dyDescent="0.3">
      <c r="A3" s="182" t="s">
        <v>271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1" ht="15.6" x14ac:dyDescent="0.3">
      <c r="A4" s="182" t="s">
        <v>216</v>
      </c>
      <c r="B4" s="182"/>
      <c r="C4" s="182"/>
      <c r="D4" s="182"/>
      <c r="E4" s="182"/>
      <c r="F4" s="182"/>
      <c r="G4" s="182"/>
      <c r="H4" s="182"/>
      <c r="I4" s="182"/>
      <c r="J4" s="182"/>
    </row>
    <row r="5" spans="1:11" ht="15" x14ac:dyDescent="0.25">
      <c r="A5" s="10"/>
      <c r="B5" s="10"/>
      <c r="C5" s="10"/>
      <c r="D5" s="10"/>
      <c r="E5" s="10"/>
      <c r="F5" s="10"/>
      <c r="G5" s="10"/>
      <c r="H5" s="10"/>
      <c r="I5" s="183" t="s">
        <v>9</v>
      </c>
      <c r="J5" s="183"/>
    </row>
    <row r="6" spans="1:11" ht="15.75" customHeight="1" x14ac:dyDescent="0.25">
      <c r="A6" s="208" t="s">
        <v>217</v>
      </c>
      <c r="B6" s="202" t="s">
        <v>11</v>
      </c>
      <c r="C6" s="203"/>
      <c r="D6" s="203"/>
      <c r="E6" s="204"/>
      <c r="F6" s="208" t="s">
        <v>12</v>
      </c>
      <c r="G6" s="208" t="s">
        <v>263</v>
      </c>
      <c r="H6" s="210" t="s">
        <v>13</v>
      </c>
      <c r="I6" s="212" t="s">
        <v>8</v>
      </c>
      <c r="J6" s="213"/>
    </row>
    <row r="7" spans="1:11" ht="30.75" customHeight="1" x14ac:dyDescent="0.25">
      <c r="A7" s="209"/>
      <c r="B7" s="205"/>
      <c r="C7" s="206"/>
      <c r="D7" s="206"/>
      <c r="E7" s="207"/>
      <c r="F7" s="209"/>
      <c r="G7" s="209"/>
      <c r="H7" s="211"/>
      <c r="I7" s="24" t="s">
        <v>150</v>
      </c>
      <c r="J7" s="14" t="s">
        <v>272</v>
      </c>
    </row>
    <row r="8" spans="1:11" ht="15" x14ac:dyDescent="0.25">
      <c r="A8" s="25" t="s">
        <v>0</v>
      </c>
      <c r="B8" s="193" t="s">
        <v>14</v>
      </c>
      <c r="C8" s="194"/>
      <c r="D8" s="194"/>
      <c r="E8" s="195"/>
      <c r="F8" s="25">
        <f>140</f>
        <v>140</v>
      </c>
      <c r="G8" s="25">
        <f>42.4+38</f>
        <v>80.400000000000006</v>
      </c>
      <c r="H8" s="83">
        <v>77.2</v>
      </c>
      <c r="I8" s="27">
        <f t="shared" ref="I8:I48" si="0">SUM(H8/F8*100)</f>
        <v>55.142857142857146</v>
      </c>
      <c r="J8" s="27">
        <f t="shared" ref="J8:J49" si="1">SUM(H8/G8*100)</f>
        <v>96.019900497512438</v>
      </c>
    </row>
    <row r="9" spans="1:11" ht="15" x14ac:dyDescent="0.25">
      <c r="A9" s="25" t="s">
        <v>1</v>
      </c>
      <c r="B9" s="193" t="s">
        <v>15</v>
      </c>
      <c r="C9" s="194"/>
      <c r="D9" s="194"/>
      <c r="E9" s="195"/>
      <c r="F9" s="25">
        <v>98.6</v>
      </c>
      <c r="G9" s="25">
        <f>25+2+25+2</f>
        <v>54</v>
      </c>
      <c r="H9" s="83">
        <v>52</v>
      </c>
      <c r="I9" s="27">
        <f t="shared" si="0"/>
        <v>52.738336713995949</v>
      </c>
      <c r="J9" s="27">
        <f t="shared" si="1"/>
        <v>96.296296296296291</v>
      </c>
    </row>
    <row r="10" spans="1:11" ht="15" x14ac:dyDescent="0.25">
      <c r="A10" s="25" t="s">
        <v>2</v>
      </c>
      <c r="B10" s="193" t="s">
        <v>176</v>
      </c>
      <c r="C10" s="194"/>
      <c r="D10" s="194"/>
      <c r="E10" s="195"/>
      <c r="F10" s="25">
        <v>95.4</v>
      </c>
      <c r="G10" s="25">
        <f>25+25</f>
        <v>50</v>
      </c>
      <c r="H10" s="83">
        <v>46.3</v>
      </c>
      <c r="I10" s="27">
        <f t="shared" si="0"/>
        <v>48.532494758909849</v>
      </c>
      <c r="J10" s="27">
        <f t="shared" si="1"/>
        <v>92.6</v>
      </c>
    </row>
    <row r="11" spans="1:11" ht="15" x14ac:dyDescent="0.25">
      <c r="A11" s="25" t="s">
        <v>3</v>
      </c>
      <c r="B11" s="193" t="s">
        <v>16</v>
      </c>
      <c r="C11" s="194"/>
      <c r="D11" s="194"/>
      <c r="E11" s="195"/>
      <c r="F11" s="25">
        <v>46.9</v>
      </c>
      <c r="G11" s="25">
        <f>13+8+4.6</f>
        <v>25.6</v>
      </c>
      <c r="H11" s="83">
        <v>22.8</v>
      </c>
      <c r="I11" s="27">
        <f t="shared" si="0"/>
        <v>48.614072494669514</v>
      </c>
      <c r="J11" s="27">
        <f t="shared" si="1"/>
        <v>89.0625</v>
      </c>
    </row>
    <row r="12" spans="1:11" ht="15" x14ac:dyDescent="0.25">
      <c r="A12" s="25" t="s">
        <v>4</v>
      </c>
      <c r="B12" s="193" t="s">
        <v>177</v>
      </c>
      <c r="C12" s="194"/>
      <c r="D12" s="194"/>
      <c r="E12" s="195"/>
      <c r="F12" s="25">
        <v>123.1</v>
      </c>
      <c r="G12" s="25">
        <f>35+35</f>
        <v>70</v>
      </c>
      <c r="H12" s="83">
        <v>96.8</v>
      </c>
      <c r="I12" s="27">
        <f t="shared" si="0"/>
        <v>78.635255889520721</v>
      </c>
      <c r="J12" s="27">
        <f t="shared" si="1"/>
        <v>138.28571428571428</v>
      </c>
    </row>
    <row r="13" spans="1:11" ht="15" x14ac:dyDescent="0.25">
      <c r="A13" s="25" t="s">
        <v>5</v>
      </c>
      <c r="B13" s="28" t="s">
        <v>17</v>
      </c>
      <c r="C13" s="10"/>
      <c r="D13" s="10"/>
      <c r="E13" s="29"/>
      <c r="F13" s="25">
        <v>168</v>
      </c>
      <c r="G13" s="25">
        <f>46+46</f>
        <v>92</v>
      </c>
      <c r="H13" s="83">
        <v>100.3</v>
      </c>
      <c r="I13" s="27">
        <f t="shared" si="0"/>
        <v>59.702380952380949</v>
      </c>
      <c r="J13" s="27">
        <f t="shared" si="1"/>
        <v>109.02173913043478</v>
      </c>
      <c r="K13" s="3"/>
    </row>
    <row r="14" spans="1:11" ht="15" x14ac:dyDescent="0.25">
      <c r="A14" s="25" t="s">
        <v>6</v>
      </c>
      <c r="B14" s="193" t="s">
        <v>178</v>
      </c>
      <c r="C14" s="194"/>
      <c r="D14" s="194"/>
      <c r="E14" s="195"/>
      <c r="F14" s="25">
        <v>52.2</v>
      </c>
      <c r="G14" s="25">
        <f>14.5+3.4+11</f>
        <v>28.9</v>
      </c>
      <c r="H14" s="83">
        <v>24.7</v>
      </c>
      <c r="I14" s="27">
        <f t="shared" si="0"/>
        <v>47.318007662835242</v>
      </c>
      <c r="J14" s="27">
        <f t="shared" si="1"/>
        <v>85.467128027681667</v>
      </c>
    </row>
    <row r="15" spans="1:11" ht="15" x14ac:dyDescent="0.25">
      <c r="A15" s="25" t="s">
        <v>7</v>
      </c>
      <c r="B15" s="193" t="s">
        <v>218</v>
      </c>
      <c r="C15" s="194"/>
      <c r="D15" s="194"/>
      <c r="E15" s="195"/>
      <c r="F15" s="25">
        <v>13.8</v>
      </c>
      <c r="G15" s="25">
        <f>4+4</f>
        <v>8</v>
      </c>
      <c r="H15" s="83">
        <v>4.7</v>
      </c>
      <c r="I15" s="27">
        <f t="shared" si="0"/>
        <v>34.057971014492757</v>
      </c>
      <c r="J15" s="27">
        <f t="shared" si="1"/>
        <v>58.75</v>
      </c>
    </row>
    <row r="16" spans="1:11" ht="15" x14ac:dyDescent="0.25">
      <c r="A16" s="25" t="s">
        <v>18</v>
      </c>
      <c r="B16" s="193" t="s">
        <v>19</v>
      </c>
      <c r="C16" s="194"/>
      <c r="D16" s="194"/>
      <c r="E16" s="195"/>
      <c r="F16" s="25">
        <v>117.8</v>
      </c>
      <c r="G16" s="25">
        <f>32+32</f>
        <v>64</v>
      </c>
      <c r="H16" s="83">
        <v>56.9</v>
      </c>
      <c r="I16" s="27">
        <f t="shared" si="0"/>
        <v>48.302207130730054</v>
      </c>
      <c r="J16" s="27">
        <f t="shared" si="1"/>
        <v>88.90625</v>
      </c>
    </row>
    <row r="17" spans="1:11" ht="15" x14ac:dyDescent="0.25">
      <c r="A17" s="25" t="s">
        <v>20</v>
      </c>
      <c r="B17" s="193" t="s">
        <v>22</v>
      </c>
      <c r="C17" s="194"/>
      <c r="D17" s="194"/>
      <c r="E17" s="195"/>
      <c r="F17" s="25">
        <v>63</v>
      </c>
      <c r="G17" s="25">
        <f>16.2+16.1</f>
        <v>32.299999999999997</v>
      </c>
      <c r="H17" s="83">
        <v>33.799999999999997</v>
      </c>
      <c r="I17" s="27">
        <f t="shared" si="0"/>
        <v>53.650793650793652</v>
      </c>
      <c r="J17" s="27">
        <f t="shared" si="1"/>
        <v>104.64396284829722</v>
      </c>
    </row>
    <row r="18" spans="1:11" ht="15" x14ac:dyDescent="0.25">
      <c r="A18" s="25" t="s">
        <v>21</v>
      </c>
      <c r="B18" s="193" t="s">
        <v>24</v>
      </c>
      <c r="C18" s="194"/>
      <c r="D18" s="194"/>
      <c r="E18" s="195"/>
      <c r="F18" s="25">
        <v>128.5</v>
      </c>
      <c r="G18" s="25">
        <f>34.4+34.4</f>
        <v>68.8</v>
      </c>
      <c r="H18" s="83">
        <v>68.099999999999994</v>
      </c>
      <c r="I18" s="27">
        <f t="shared" si="0"/>
        <v>52.996108949416346</v>
      </c>
      <c r="J18" s="27">
        <f t="shared" si="1"/>
        <v>98.982558139534888</v>
      </c>
    </row>
    <row r="19" spans="1:11" ht="15" x14ac:dyDescent="0.25">
      <c r="A19" s="25" t="s">
        <v>23</v>
      </c>
      <c r="B19" s="193" t="s">
        <v>27</v>
      </c>
      <c r="C19" s="194"/>
      <c r="D19" s="194"/>
      <c r="E19" s="195"/>
      <c r="F19" s="25">
        <v>123.1</v>
      </c>
      <c r="G19" s="25">
        <f>33+33</f>
        <v>66</v>
      </c>
      <c r="H19" s="83">
        <v>63.7</v>
      </c>
      <c r="I19" s="27">
        <f t="shared" si="0"/>
        <v>51.746547522339569</v>
      </c>
      <c r="J19" s="27">
        <f t="shared" si="1"/>
        <v>96.515151515151516</v>
      </c>
    </row>
    <row r="20" spans="1:11" ht="15" x14ac:dyDescent="0.25">
      <c r="A20" s="25" t="s">
        <v>25</v>
      </c>
      <c r="B20" s="193" t="s">
        <v>30</v>
      </c>
      <c r="C20" s="194"/>
      <c r="D20" s="194"/>
      <c r="E20" s="195"/>
      <c r="F20" s="25">
        <v>126</v>
      </c>
      <c r="G20" s="25">
        <f>33+13+21</f>
        <v>67</v>
      </c>
      <c r="H20" s="83">
        <v>69.900000000000006</v>
      </c>
      <c r="I20" s="27">
        <f t="shared" si="0"/>
        <v>55.476190476190482</v>
      </c>
      <c r="J20" s="27">
        <f t="shared" si="1"/>
        <v>104.32835820895522</v>
      </c>
    </row>
    <row r="21" spans="1:11" ht="15" x14ac:dyDescent="0.25">
      <c r="A21" s="25" t="s">
        <v>26</v>
      </c>
      <c r="B21" s="193" t="s">
        <v>32</v>
      </c>
      <c r="C21" s="194"/>
      <c r="D21" s="194"/>
      <c r="E21" s="195"/>
      <c r="F21" s="25">
        <v>131.19999999999999</v>
      </c>
      <c r="G21" s="25">
        <f>35+35</f>
        <v>70</v>
      </c>
      <c r="H21" s="83">
        <v>73.5</v>
      </c>
      <c r="I21" s="27">
        <f t="shared" si="0"/>
        <v>56.021341463414643</v>
      </c>
      <c r="J21" s="27">
        <f t="shared" si="1"/>
        <v>105</v>
      </c>
    </row>
    <row r="22" spans="1:11" ht="15" x14ac:dyDescent="0.25">
      <c r="A22" s="25" t="s">
        <v>28</v>
      </c>
      <c r="B22" s="193" t="s">
        <v>244</v>
      </c>
      <c r="C22" s="194"/>
      <c r="D22" s="194"/>
      <c r="E22" s="195"/>
      <c r="F22" s="25">
        <v>80.7</v>
      </c>
      <c r="G22" s="25">
        <v>0</v>
      </c>
      <c r="H22" s="83">
        <v>0</v>
      </c>
      <c r="I22" s="27">
        <f t="shared" ref="I22" si="2">SUM(H22/F22*100)</f>
        <v>0</v>
      </c>
      <c r="J22" s="27">
        <v>0</v>
      </c>
    </row>
    <row r="23" spans="1:11" ht="15" x14ac:dyDescent="0.25">
      <c r="A23" s="25" t="s">
        <v>29</v>
      </c>
      <c r="B23" s="193" t="s">
        <v>35</v>
      </c>
      <c r="C23" s="194"/>
      <c r="D23" s="194"/>
      <c r="E23" s="195"/>
      <c r="F23" s="25">
        <v>125.8</v>
      </c>
      <c r="G23" s="25">
        <f>35+35</f>
        <v>70</v>
      </c>
      <c r="H23" s="83">
        <v>57.9</v>
      </c>
      <c r="I23" s="27">
        <f t="shared" si="0"/>
        <v>46.025437201907785</v>
      </c>
      <c r="J23" s="27">
        <f t="shared" si="1"/>
        <v>82.714285714285708</v>
      </c>
    </row>
    <row r="24" spans="1:11" ht="15" x14ac:dyDescent="0.25">
      <c r="A24" s="25" t="s">
        <v>31</v>
      </c>
      <c r="B24" s="193" t="s">
        <v>37</v>
      </c>
      <c r="C24" s="194"/>
      <c r="D24" s="194"/>
      <c r="E24" s="195"/>
      <c r="F24" s="25">
        <v>144.69999999999999</v>
      </c>
      <c r="G24" s="25">
        <f>40+40</f>
        <v>80</v>
      </c>
      <c r="H24" s="83">
        <v>56.9</v>
      </c>
      <c r="I24" s="27">
        <f t="shared" si="0"/>
        <v>39.322736696613688</v>
      </c>
      <c r="J24" s="27">
        <f t="shared" si="1"/>
        <v>71.125</v>
      </c>
    </row>
    <row r="25" spans="1:11" ht="15" x14ac:dyDescent="0.25">
      <c r="A25" s="25" t="s">
        <v>33</v>
      </c>
      <c r="B25" s="193" t="s">
        <v>39</v>
      </c>
      <c r="C25" s="194"/>
      <c r="D25" s="194"/>
      <c r="E25" s="195"/>
      <c r="F25" s="25">
        <v>114.2</v>
      </c>
      <c r="G25" s="25">
        <f>31+31</f>
        <v>62</v>
      </c>
      <c r="H25" s="83">
        <v>53.2</v>
      </c>
      <c r="I25" s="27">
        <f t="shared" si="0"/>
        <v>46.584938704028019</v>
      </c>
      <c r="J25" s="27">
        <f t="shared" si="1"/>
        <v>85.806451612903231</v>
      </c>
    </row>
    <row r="26" spans="1:11" ht="15" x14ac:dyDescent="0.25">
      <c r="A26" s="25" t="s">
        <v>34</v>
      </c>
      <c r="B26" s="193" t="s">
        <v>45</v>
      </c>
      <c r="C26" s="194"/>
      <c r="D26" s="194"/>
      <c r="E26" s="195"/>
      <c r="F26" s="25">
        <v>113.8</v>
      </c>
      <c r="G26" s="25">
        <f>31+31</f>
        <v>62</v>
      </c>
      <c r="H26" s="83">
        <v>52.4</v>
      </c>
      <c r="I26" s="27">
        <f t="shared" si="0"/>
        <v>46.045694200351491</v>
      </c>
      <c r="J26" s="27">
        <f t="shared" si="1"/>
        <v>84.516129032258064</v>
      </c>
    </row>
    <row r="27" spans="1:11" ht="15" x14ac:dyDescent="0.25">
      <c r="A27" s="25" t="s">
        <v>36</v>
      </c>
      <c r="B27" s="193" t="s">
        <v>48</v>
      </c>
      <c r="C27" s="194"/>
      <c r="D27" s="194"/>
      <c r="E27" s="195"/>
      <c r="F27" s="25">
        <v>151</v>
      </c>
      <c r="G27" s="25">
        <f>43+43</f>
        <v>86</v>
      </c>
      <c r="H27" s="83">
        <v>60.9</v>
      </c>
      <c r="I27" s="27">
        <f t="shared" si="0"/>
        <v>40.331125827814567</v>
      </c>
      <c r="J27" s="27">
        <f t="shared" si="1"/>
        <v>70.813953488372093</v>
      </c>
      <c r="K27" s="3"/>
    </row>
    <row r="28" spans="1:11" ht="15" x14ac:dyDescent="0.25">
      <c r="A28" s="25" t="s">
        <v>38</v>
      </c>
      <c r="B28" s="193" t="s">
        <v>51</v>
      </c>
      <c r="C28" s="194"/>
      <c r="D28" s="194"/>
      <c r="E28" s="195"/>
      <c r="F28" s="25">
        <v>100.8</v>
      </c>
      <c r="G28" s="25">
        <f>28+31</f>
        <v>59</v>
      </c>
      <c r="H28" s="83">
        <v>56.5</v>
      </c>
      <c r="I28" s="27">
        <f t="shared" si="0"/>
        <v>56.051587301587304</v>
      </c>
      <c r="J28" s="27">
        <f t="shared" si="1"/>
        <v>95.762711864406782</v>
      </c>
    </row>
    <row r="29" spans="1:11" ht="15" x14ac:dyDescent="0.25">
      <c r="A29" s="25" t="s">
        <v>40</v>
      </c>
      <c r="B29" s="193" t="s">
        <v>55</v>
      </c>
      <c r="C29" s="194"/>
      <c r="D29" s="194"/>
      <c r="E29" s="195"/>
      <c r="F29" s="25">
        <v>26</v>
      </c>
      <c r="G29" s="25">
        <f>9+8</f>
        <v>17</v>
      </c>
      <c r="H29" s="83">
        <v>17</v>
      </c>
      <c r="I29" s="27">
        <f t="shared" si="0"/>
        <v>65.384615384615387</v>
      </c>
      <c r="J29" s="27">
        <f t="shared" si="1"/>
        <v>100</v>
      </c>
    </row>
    <row r="30" spans="1:11" ht="15" x14ac:dyDescent="0.25">
      <c r="A30" s="25" t="s">
        <v>41</v>
      </c>
      <c r="B30" s="193" t="s">
        <v>57</v>
      </c>
      <c r="C30" s="194"/>
      <c r="D30" s="194"/>
      <c r="E30" s="195"/>
      <c r="F30" s="25">
        <v>77.7</v>
      </c>
      <c r="G30" s="25">
        <f>10+23</f>
        <v>33</v>
      </c>
      <c r="H30" s="83">
        <v>38</v>
      </c>
      <c r="I30" s="27">
        <f t="shared" si="0"/>
        <v>48.906048906048902</v>
      </c>
      <c r="J30" s="27">
        <f>SUM(H30/G30*100)</f>
        <v>115.15151515151516</v>
      </c>
    </row>
    <row r="31" spans="1:11" ht="15" x14ac:dyDescent="0.25">
      <c r="A31" s="25" t="s">
        <v>42</v>
      </c>
      <c r="B31" s="193" t="s">
        <v>59</v>
      </c>
      <c r="C31" s="194"/>
      <c r="D31" s="194"/>
      <c r="E31" s="195"/>
      <c r="F31" s="25">
        <v>1</v>
      </c>
      <c r="G31" s="25">
        <f>0.2+0.4</f>
        <v>0.60000000000000009</v>
      </c>
      <c r="H31" s="83">
        <v>0</v>
      </c>
      <c r="I31" s="27">
        <f t="shared" si="0"/>
        <v>0</v>
      </c>
      <c r="J31" s="27">
        <f t="shared" si="1"/>
        <v>0</v>
      </c>
    </row>
    <row r="32" spans="1:11" ht="15" x14ac:dyDescent="0.25">
      <c r="A32" s="25" t="s">
        <v>43</v>
      </c>
      <c r="B32" s="196" t="s">
        <v>61</v>
      </c>
      <c r="C32" s="197"/>
      <c r="D32" s="197"/>
      <c r="E32" s="198"/>
      <c r="F32" s="25">
        <f>160+40</f>
        <v>200</v>
      </c>
      <c r="G32" s="25">
        <f>19+47+15</f>
        <v>81</v>
      </c>
      <c r="H32" s="83">
        <v>63.1</v>
      </c>
      <c r="I32" s="27">
        <f t="shared" si="0"/>
        <v>31.55</v>
      </c>
      <c r="J32" s="27">
        <f t="shared" si="1"/>
        <v>77.901234567901241</v>
      </c>
    </row>
    <row r="33" spans="1:10" ht="15" customHeight="1" x14ac:dyDescent="0.25">
      <c r="A33" s="25" t="s">
        <v>44</v>
      </c>
      <c r="B33" s="199" t="s">
        <v>63</v>
      </c>
      <c r="C33" s="200"/>
      <c r="D33" s="200"/>
      <c r="E33" s="201"/>
      <c r="F33" s="25">
        <v>4</v>
      </c>
      <c r="G33" s="25">
        <f>1+1</f>
        <v>2</v>
      </c>
      <c r="H33" s="83">
        <v>1.6</v>
      </c>
      <c r="I33" s="27">
        <f t="shared" si="0"/>
        <v>40</v>
      </c>
      <c r="J33" s="27">
        <f t="shared" si="1"/>
        <v>80</v>
      </c>
    </row>
    <row r="34" spans="1:10" ht="14.4" customHeight="1" x14ac:dyDescent="0.25">
      <c r="A34" s="25" t="s">
        <v>46</v>
      </c>
      <c r="B34" s="193" t="s">
        <v>65</v>
      </c>
      <c r="C34" s="194"/>
      <c r="D34" s="194"/>
      <c r="E34" s="195"/>
      <c r="F34" s="25">
        <v>59.4</v>
      </c>
      <c r="G34" s="25">
        <f>14+14</f>
        <v>28</v>
      </c>
      <c r="H34" s="83">
        <v>28.4</v>
      </c>
      <c r="I34" s="27">
        <f t="shared" si="0"/>
        <v>47.811447811447813</v>
      </c>
      <c r="J34" s="27">
        <f t="shared" si="1"/>
        <v>101.42857142857142</v>
      </c>
    </row>
    <row r="35" spans="1:10" ht="13.5" customHeight="1" x14ac:dyDescent="0.25">
      <c r="A35" s="25" t="s">
        <v>47</v>
      </c>
      <c r="B35" s="193" t="s">
        <v>67</v>
      </c>
      <c r="C35" s="194"/>
      <c r="D35" s="194"/>
      <c r="E35" s="195"/>
      <c r="F35" s="25">
        <v>82.6</v>
      </c>
      <c r="G35" s="25">
        <f>18+21</f>
        <v>39</v>
      </c>
      <c r="H35" s="83">
        <v>36.299999999999997</v>
      </c>
      <c r="I35" s="27">
        <f t="shared" si="0"/>
        <v>43.946731234866824</v>
      </c>
      <c r="J35" s="27">
        <f t="shared" si="1"/>
        <v>93.076923076923066</v>
      </c>
    </row>
    <row r="36" spans="1:10" ht="13.5" customHeight="1" x14ac:dyDescent="0.25">
      <c r="A36" s="25" t="s">
        <v>49</v>
      </c>
      <c r="B36" s="193" t="s">
        <v>68</v>
      </c>
      <c r="C36" s="194"/>
      <c r="D36" s="194"/>
      <c r="E36" s="195"/>
      <c r="F36" s="25">
        <v>60</v>
      </c>
      <c r="G36" s="25">
        <f>15+15</f>
        <v>30</v>
      </c>
      <c r="H36" s="83">
        <v>28.9</v>
      </c>
      <c r="I36" s="27">
        <f t="shared" si="0"/>
        <v>48.166666666666664</v>
      </c>
      <c r="J36" s="27">
        <f t="shared" si="1"/>
        <v>96.333333333333329</v>
      </c>
    </row>
    <row r="37" spans="1:10" ht="13.5" customHeight="1" x14ac:dyDescent="0.25">
      <c r="A37" s="25" t="s">
        <v>50</v>
      </c>
      <c r="B37" s="193" t="s">
        <v>69</v>
      </c>
      <c r="C37" s="194"/>
      <c r="D37" s="194"/>
      <c r="E37" s="195"/>
      <c r="F37" s="25">
        <v>1623</v>
      </c>
      <c r="G37" s="25">
        <f>444.4+438.9</f>
        <v>883.3</v>
      </c>
      <c r="H37" s="83">
        <v>967.9</v>
      </c>
      <c r="I37" s="27">
        <f t="shared" si="0"/>
        <v>59.636475662353661</v>
      </c>
      <c r="J37" s="27">
        <f t="shared" si="1"/>
        <v>109.57771991395902</v>
      </c>
    </row>
    <row r="38" spans="1:10" ht="13.5" customHeight="1" x14ac:dyDescent="0.25">
      <c r="A38" s="25" t="s">
        <v>52</v>
      </c>
      <c r="B38" s="193" t="s">
        <v>70</v>
      </c>
      <c r="C38" s="194"/>
      <c r="D38" s="194"/>
      <c r="E38" s="195"/>
      <c r="F38" s="25">
        <v>8</v>
      </c>
      <c r="G38" s="25">
        <f>2+2</f>
        <v>4</v>
      </c>
      <c r="H38" s="83">
        <v>3.8</v>
      </c>
      <c r="I38" s="27">
        <f t="shared" si="0"/>
        <v>47.5</v>
      </c>
      <c r="J38" s="27">
        <f t="shared" si="1"/>
        <v>95</v>
      </c>
    </row>
    <row r="39" spans="1:10" ht="15" x14ac:dyDescent="0.25">
      <c r="A39" s="25" t="s">
        <v>53</v>
      </c>
      <c r="B39" s="193" t="s">
        <v>71</v>
      </c>
      <c r="C39" s="194"/>
      <c r="D39" s="194"/>
      <c r="E39" s="195"/>
      <c r="F39" s="25">
        <v>15</v>
      </c>
      <c r="G39" s="25">
        <f>4+4</f>
        <v>8</v>
      </c>
      <c r="H39" s="83">
        <v>5.0999999999999996</v>
      </c>
      <c r="I39" s="27">
        <f t="shared" si="0"/>
        <v>34</v>
      </c>
      <c r="J39" s="27">
        <f t="shared" si="1"/>
        <v>63.749999999999993</v>
      </c>
    </row>
    <row r="40" spans="1:10" ht="15" x14ac:dyDescent="0.25">
      <c r="A40" s="25" t="s">
        <v>54</v>
      </c>
      <c r="B40" s="193" t="s">
        <v>72</v>
      </c>
      <c r="C40" s="194"/>
      <c r="D40" s="194"/>
      <c r="E40" s="195"/>
      <c r="F40" s="25">
        <v>344.8</v>
      </c>
      <c r="G40" s="25">
        <f>90+85</f>
        <v>175</v>
      </c>
      <c r="H40" s="83">
        <v>138.9</v>
      </c>
      <c r="I40" s="27">
        <f t="shared" si="0"/>
        <v>40.284222737819029</v>
      </c>
      <c r="J40" s="27">
        <f t="shared" si="1"/>
        <v>79.371428571428567</v>
      </c>
    </row>
    <row r="41" spans="1:10" ht="15" x14ac:dyDescent="0.25">
      <c r="A41" s="25" t="s">
        <v>56</v>
      </c>
      <c r="B41" s="193" t="s">
        <v>219</v>
      </c>
      <c r="C41" s="194"/>
      <c r="D41" s="194"/>
      <c r="E41" s="195"/>
      <c r="F41" s="25">
        <v>3.2</v>
      </c>
      <c r="G41" s="25">
        <f>0.8+0.8</f>
        <v>1.6</v>
      </c>
      <c r="H41" s="83">
        <v>0.3</v>
      </c>
      <c r="I41" s="27">
        <f t="shared" si="0"/>
        <v>9.3749999999999982</v>
      </c>
      <c r="J41" s="27">
        <f t="shared" si="1"/>
        <v>18.749999999999996</v>
      </c>
    </row>
    <row r="42" spans="1:10" ht="15" x14ac:dyDescent="0.25">
      <c r="A42" s="25" t="s">
        <v>58</v>
      </c>
      <c r="B42" s="193" t="s">
        <v>73</v>
      </c>
      <c r="C42" s="194"/>
      <c r="D42" s="194"/>
      <c r="E42" s="195"/>
      <c r="F42" s="25">
        <v>3</v>
      </c>
      <c r="G42" s="25">
        <f>1+1</f>
        <v>2</v>
      </c>
      <c r="H42" s="83">
        <v>0.3</v>
      </c>
      <c r="I42" s="27">
        <f t="shared" si="0"/>
        <v>10</v>
      </c>
      <c r="J42" s="27">
        <f t="shared" si="1"/>
        <v>15</v>
      </c>
    </row>
    <row r="43" spans="1:10" ht="15" x14ac:dyDescent="0.25">
      <c r="A43" s="25" t="s">
        <v>60</v>
      </c>
      <c r="B43" s="193" t="s">
        <v>220</v>
      </c>
      <c r="C43" s="194"/>
      <c r="D43" s="194"/>
      <c r="E43" s="195"/>
      <c r="F43" s="25">
        <f>13+8.2</f>
        <v>21.2</v>
      </c>
      <c r="G43" s="25">
        <f>4+3+1.7</f>
        <v>8.6999999999999993</v>
      </c>
      <c r="H43" s="83">
        <v>8.3000000000000007</v>
      </c>
      <c r="I43" s="27">
        <f t="shared" si="0"/>
        <v>39.150943396226417</v>
      </c>
      <c r="J43" s="27">
        <f t="shared" si="1"/>
        <v>95.402298850574724</v>
      </c>
    </row>
    <row r="44" spans="1:10" ht="15" x14ac:dyDescent="0.25">
      <c r="A44" s="25" t="s">
        <v>62</v>
      </c>
      <c r="B44" s="193" t="s">
        <v>74</v>
      </c>
      <c r="C44" s="194"/>
      <c r="D44" s="194"/>
      <c r="E44" s="195"/>
      <c r="F44" s="25">
        <v>7</v>
      </c>
      <c r="G44" s="25">
        <f>1+2</f>
        <v>3</v>
      </c>
      <c r="H44" s="83">
        <v>0.2</v>
      </c>
      <c r="I44" s="27">
        <f t="shared" si="0"/>
        <v>2.8571428571428572</v>
      </c>
      <c r="J44" s="27">
        <f t="shared" si="1"/>
        <v>6.666666666666667</v>
      </c>
    </row>
    <row r="45" spans="1:10" ht="15" x14ac:dyDescent="0.25">
      <c r="A45" s="25" t="s">
        <v>64</v>
      </c>
      <c r="B45" s="193" t="s">
        <v>75</v>
      </c>
      <c r="C45" s="194"/>
      <c r="D45" s="194"/>
      <c r="E45" s="195"/>
      <c r="F45" s="25">
        <f>5.7+8.8</f>
        <v>14.5</v>
      </c>
      <c r="G45" s="25">
        <f>1+1.6+0.8</f>
        <v>3.4000000000000004</v>
      </c>
      <c r="H45" s="83">
        <v>4.4000000000000004</v>
      </c>
      <c r="I45" s="27">
        <f t="shared" si="0"/>
        <v>30.3448275862069</v>
      </c>
      <c r="J45" s="30">
        <f t="shared" si="1"/>
        <v>129.41176470588235</v>
      </c>
    </row>
    <row r="46" spans="1:10" ht="15" x14ac:dyDescent="0.25">
      <c r="A46" s="25" t="s">
        <v>66</v>
      </c>
      <c r="B46" s="193" t="s">
        <v>76</v>
      </c>
      <c r="C46" s="194"/>
      <c r="D46" s="194"/>
      <c r="E46" s="195"/>
      <c r="F46" s="25">
        <f>116.3+15</f>
        <v>131.30000000000001</v>
      </c>
      <c r="G46" s="25">
        <f>35+15+12+7.5</f>
        <v>69.5</v>
      </c>
      <c r="H46" s="83">
        <v>73.8</v>
      </c>
      <c r="I46" s="27">
        <f t="shared" si="0"/>
        <v>56.207159177456198</v>
      </c>
      <c r="J46" s="30">
        <f t="shared" si="1"/>
        <v>106.18705035971223</v>
      </c>
    </row>
    <row r="47" spans="1:10" ht="15" x14ac:dyDescent="0.25">
      <c r="A47" s="83" t="s">
        <v>245</v>
      </c>
      <c r="B47" s="193" t="s">
        <v>77</v>
      </c>
      <c r="C47" s="194"/>
      <c r="D47" s="194"/>
      <c r="E47" s="195"/>
      <c r="F47" s="25">
        <v>1</v>
      </c>
      <c r="G47" s="25">
        <v>0.5</v>
      </c>
      <c r="H47" s="83">
        <v>0</v>
      </c>
      <c r="I47" s="27">
        <f t="shared" ref="I47" si="3">SUM(H47/F47*100)</f>
        <v>0</v>
      </c>
      <c r="J47" s="30">
        <f t="shared" ref="J47" si="4">SUM(H47/G47*100)</f>
        <v>0</v>
      </c>
    </row>
    <row r="48" spans="1:10" ht="15" x14ac:dyDescent="0.25">
      <c r="A48" s="25" t="s">
        <v>246</v>
      </c>
      <c r="B48" s="193" t="s">
        <v>78</v>
      </c>
      <c r="C48" s="194"/>
      <c r="D48" s="194"/>
      <c r="E48" s="195"/>
      <c r="F48" s="25">
        <v>859.2</v>
      </c>
      <c r="G48" s="25">
        <f>181.6+207.8</f>
        <v>389.4</v>
      </c>
      <c r="H48" s="83">
        <v>267.5</v>
      </c>
      <c r="I48" s="27">
        <f t="shared" si="0"/>
        <v>31.133612662942273</v>
      </c>
      <c r="J48" s="30">
        <f t="shared" si="1"/>
        <v>68.695428864920387</v>
      </c>
    </row>
    <row r="49" spans="1:10" ht="15.6" x14ac:dyDescent="0.3">
      <c r="A49" s="31"/>
      <c r="B49" s="214" t="s">
        <v>79</v>
      </c>
      <c r="C49" s="214"/>
      <c r="D49" s="214"/>
      <c r="E49" s="215"/>
      <c r="F49" s="86">
        <f>SUM(F8:F48)</f>
        <v>5800.5</v>
      </c>
      <c r="G49" s="86">
        <f>SUM(G8:G48)</f>
        <v>2974.9999999999995</v>
      </c>
      <c r="H49" s="86">
        <f>SUM(H8:H48)</f>
        <v>2812.3000000000006</v>
      </c>
      <c r="I49" s="27">
        <f>SUM(H49/F49*100)</f>
        <v>48.483751400741326</v>
      </c>
      <c r="J49" s="27">
        <f t="shared" si="1"/>
        <v>94.531092436974831</v>
      </c>
    </row>
    <row r="52" spans="1:10" x14ac:dyDescent="0.25">
      <c r="F52" s="2"/>
      <c r="G52" s="2"/>
    </row>
  </sheetData>
  <mergeCells count="50">
    <mergeCell ref="B49:E49"/>
    <mergeCell ref="B45:E45"/>
    <mergeCell ref="B46:E46"/>
    <mergeCell ref="B48:E48"/>
    <mergeCell ref="B40:E40"/>
    <mergeCell ref="B41:E41"/>
    <mergeCell ref="B42:E42"/>
    <mergeCell ref="B43:E43"/>
    <mergeCell ref="B44:E44"/>
    <mergeCell ref="B47:E47"/>
    <mergeCell ref="B35:E35"/>
    <mergeCell ref="B36:E36"/>
    <mergeCell ref="B37:E37"/>
    <mergeCell ref="B38:E38"/>
    <mergeCell ref="B39:E39"/>
    <mergeCell ref="B14:E14"/>
    <mergeCell ref="B15:E15"/>
    <mergeCell ref="B18:E18"/>
    <mergeCell ref="B23:E23"/>
    <mergeCell ref="B24:E24"/>
    <mergeCell ref="B22:E22"/>
    <mergeCell ref="B8:E8"/>
    <mergeCell ref="B9:E9"/>
    <mergeCell ref="B10:E10"/>
    <mergeCell ref="B11:E11"/>
    <mergeCell ref="B12:E12"/>
    <mergeCell ref="A3:J3"/>
    <mergeCell ref="A4:J4"/>
    <mergeCell ref="B6:E7"/>
    <mergeCell ref="F6:F7"/>
    <mergeCell ref="G6:G7"/>
    <mergeCell ref="H6:H7"/>
    <mergeCell ref="I6:J6"/>
    <mergeCell ref="I5:J5"/>
    <mergeCell ref="A6:A7"/>
    <mergeCell ref="B29:E29"/>
    <mergeCell ref="B34:E34"/>
    <mergeCell ref="B20:E20"/>
    <mergeCell ref="B21:E21"/>
    <mergeCell ref="B16:E16"/>
    <mergeCell ref="B17:E17"/>
    <mergeCell ref="B19:E19"/>
    <mergeCell ref="B25:E25"/>
    <mergeCell ref="B26:E26"/>
    <mergeCell ref="B27:E27"/>
    <mergeCell ref="B28:E28"/>
    <mergeCell ref="B30:E30"/>
    <mergeCell ref="B31:E31"/>
    <mergeCell ref="B32:E32"/>
    <mergeCell ref="B33:E33"/>
  </mergeCells>
  <phoneticPr fontId="2" type="noConversion"/>
  <pageMargins left="1.1023622047244095" right="0.55118110236220474" top="0.6692913385826772" bottom="0.15748031496062992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40"/>
  <sheetViews>
    <sheetView zoomScaleNormal="100" workbookViewId="0"/>
  </sheetViews>
  <sheetFormatPr defaultRowHeight="13.2" x14ac:dyDescent="0.25"/>
  <cols>
    <col min="1" max="1" width="5.109375" customWidth="1"/>
    <col min="4" max="4" width="7.44140625" customWidth="1"/>
    <col min="5" max="5" width="17.88671875" customWidth="1"/>
    <col min="6" max="6" width="13" customWidth="1"/>
    <col min="7" max="7" width="11.88671875" customWidth="1"/>
    <col min="8" max="8" width="9.88671875" customWidth="1"/>
    <col min="9" max="9" width="9.33203125" customWidth="1"/>
    <col min="10" max="10" width="10.33203125" customWidth="1"/>
  </cols>
  <sheetData>
    <row r="1" spans="1:1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 t="s">
        <v>102</v>
      </c>
    </row>
    <row r="2" spans="1:1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6" x14ac:dyDescent="0.3">
      <c r="A3" s="182" t="s">
        <v>270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15.6" x14ac:dyDescent="0.3">
      <c r="A4" s="182" t="s">
        <v>80</v>
      </c>
      <c r="B4" s="182"/>
      <c r="C4" s="182"/>
      <c r="D4" s="182"/>
      <c r="E4" s="182"/>
      <c r="F4" s="182"/>
      <c r="G4" s="182"/>
      <c r="H4" s="182"/>
      <c r="I4" s="182"/>
      <c r="J4" s="182"/>
    </row>
    <row r="5" spans="1:10" ht="15.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" x14ac:dyDescent="0.25">
      <c r="A6" s="10"/>
      <c r="B6" s="10"/>
      <c r="C6" s="10"/>
      <c r="D6" s="10"/>
      <c r="E6" s="10"/>
      <c r="F6" s="10"/>
      <c r="G6" s="10"/>
      <c r="H6" s="10"/>
      <c r="I6" s="183" t="s">
        <v>81</v>
      </c>
      <c r="J6" s="183"/>
    </row>
    <row r="7" spans="1:10" ht="23.25" customHeight="1" x14ac:dyDescent="0.25">
      <c r="A7" s="22" t="s">
        <v>148</v>
      </c>
      <c r="B7" s="202" t="s">
        <v>11</v>
      </c>
      <c r="C7" s="203"/>
      <c r="D7" s="203"/>
      <c r="E7" s="204"/>
      <c r="F7" s="208" t="s">
        <v>12</v>
      </c>
      <c r="G7" s="208" t="s">
        <v>263</v>
      </c>
      <c r="H7" s="210" t="s">
        <v>13</v>
      </c>
      <c r="I7" s="212" t="s">
        <v>8</v>
      </c>
      <c r="J7" s="213"/>
    </row>
    <row r="8" spans="1:10" ht="22.2" customHeight="1" x14ac:dyDescent="0.25">
      <c r="A8" s="23" t="s">
        <v>149</v>
      </c>
      <c r="B8" s="205"/>
      <c r="C8" s="206"/>
      <c r="D8" s="206"/>
      <c r="E8" s="207"/>
      <c r="F8" s="209"/>
      <c r="G8" s="209"/>
      <c r="H8" s="211"/>
      <c r="I8" s="24" t="s">
        <v>150</v>
      </c>
      <c r="J8" s="14" t="s">
        <v>272</v>
      </c>
    </row>
    <row r="9" spans="1:10" ht="15" x14ac:dyDescent="0.25">
      <c r="A9" s="25" t="s">
        <v>0</v>
      </c>
      <c r="B9" s="31" t="s">
        <v>14</v>
      </c>
      <c r="C9" s="32"/>
      <c r="D9" s="32"/>
      <c r="E9" s="33"/>
      <c r="F9" s="25">
        <v>4.5</v>
      </c>
      <c r="G9" s="25">
        <v>2.5</v>
      </c>
      <c r="H9" s="25">
        <v>2.5</v>
      </c>
      <c r="I9" s="27">
        <f t="shared" ref="I9:I37" si="0">SUM(H9/F9*100)</f>
        <v>55.555555555555557</v>
      </c>
      <c r="J9" s="27">
        <f t="shared" ref="J9:J37" si="1">SUM(H9/G9*100)</f>
        <v>100</v>
      </c>
    </row>
    <row r="10" spans="1:10" ht="15" x14ac:dyDescent="0.25">
      <c r="A10" s="25" t="s">
        <v>1</v>
      </c>
      <c r="B10" s="31" t="s">
        <v>15</v>
      </c>
      <c r="C10" s="32"/>
      <c r="D10" s="32"/>
      <c r="E10" s="33"/>
      <c r="F10" s="25">
        <v>5.4</v>
      </c>
      <c r="G10" s="25">
        <v>2.7</v>
      </c>
      <c r="H10" s="25">
        <v>5</v>
      </c>
      <c r="I10" s="27">
        <f t="shared" si="0"/>
        <v>92.592592592592581</v>
      </c>
      <c r="J10" s="27">
        <f t="shared" si="1"/>
        <v>185.18518518518516</v>
      </c>
    </row>
    <row r="11" spans="1:10" ht="15" x14ac:dyDescent="0.25">
      <c r="A11" s="25" t="s">
        <v>2</v>
      </c>
      <c r="B11" s="31" t="s">
        <v>82</v>
      </c>
      <c r="C11" s="32"/>
      <c r="D11" s="32"/>
      <c r="E11" s="33"/>
      <c r="F11" s="25">
        <v>2.2000000000000002</v>
      </c>
      <c r="G11" s="25">
        <v>1.1000000000000001</v>
      </c>
      <c r="H11" s="25">
        <v>1.5</v>
      </c>
      <c r="I11" s="27">
        <f t="shared" si="0"/>
        <v>68.181818181818173</v>
      </c>
      <c r="J11" s="27">
        <f t="shared" si="1"/>
        <v>136.36363636363635</v>
      </c>
    </row>
    <row r="12" spans="1:10" ht="15" x14ac:dyDescent="0.25">
      <c r="A12" s="25" t="s">
        <v>3</v>
      </c>
      <c r="B12" s="193" t="s">
        <v>16</v>
      </c>
      <c r="C12" s="194"/>
      <c r="D12" s="194"/>
      <c r="E12" s="195"/>
      <c r="F12" s="25">
        <v>0.6</v>
      </c>
      <c r="G12" s="25">
        <v>0.4</v>
      </c>
      <c r="H12" s="25">
        <v>0</v>
      </c>
      <c r="I12" s="27">
        <f t="shared" si="0"/>
        <v>0</v>
      </c>
      <c r="J12" s="27">
        <f t="shared" si="1"/>
        <v>0</v>
      </c>
    </row>
    <row r="13" spans="1:10" ht="15" x14ac:dyDescent="0.25">
      <c r="A13" s="25" t="s">
        <v>4</v>
      </c>
      <c r="B13" s="193" t="s">
        <v>17</v>
      </c>
      <c r="C13" s="194"/>
      <c r="D13" s="194"/>
      <c r="E13" s="195"/>
      <c r="F13" s="25">
        <v>15</v>
      </c>
      <c r="G13" s="25">
        <v>7.4</v>
      </c>
      <c r="H13" s="25">
        <v>5.8</v>
      </c>
      <c r="I13" s="27">
        <f t="shared" si="0"/>
        <v>38.666666666666664</v>
      </c>
      <c r="J13" s="27">
        <f t="shared" si="1"/>
        <v>78.378378378378372</v>
      </c>
    </row>
    <row r="14" spans="1:10" ht="15" x14ac:dyDescent="0.25">
      <c r="A14" s="25" t="s">
        <v>5</v>
      </c>
      <c r="B14" s="193" t="s">
        <v>177</v>
      </c>
      <c r="C14" s="194"/>
      <c r="D14" s="194"/>
      <c r="E14" s="195"/>
      <c r="F14" s="25">
        <v>11</v>
      </c>
      <c r="G14" s="25">
        <v>5.5</v>
      </c>
      <c r="H14" s="25">
        <v>5.4</v>
      </c>
      <c r="I14" s="27">
        <f t="shared" si="0"/>
        <v>49.090909090909093</v>
      </c>
      <c r="J14" s="27">
        <f t="shared" si="1"/>
        <v>98.181818181818187</v>
      </c>
    </row>
    <row r="15" spans="1:10" ht="15" x14ac:dyDescent="0.25">
      <c r="A15" s="25" t="s">
        <v>6</v>
      </c>
      <c r="B15" s="193" t="s">
        <v>178</v>
      </c>
      <c r="C15" s="194"/>
      <c r="D15" s="194"/>
      <c r="E15" s="195"/>
      <c r="F15" s="25">
        <v>2.5</v>
      </c>
      <c r="G15" s="25">
        <v>1.3</v>
      </c>
      <c r="H15" s="25">
        <v>0.4</v>
      </c>
      <c r="I15" s="27">
        <f>SUM(H15/F15*100)</f>
        <v>16</v>
      </c>
      <c r="J15" s="27">
        <f t="shared" si="1"/>
        <v>30.76923076923077</v>
      </c>
    </row>
    <row r="16" spans="1:10" ht="15" x14ac:dyDescent="0.25">
      <c r="A16" s="25" t="s">
        <v>7</v>
      </c>
      <c r="B16" s="193" t="s">
        <v>218</v>
      </c>
      <c r="C16" s="194"/>
      <c r="D16" s="194"/>
      <c r="E16" s="195"/>
      <c r="F16" s="25">
        <v>3.5</v>
      </c>
      <c r="G16" s="25">
        <v>1.7</v>
      </c>
      <c r="H16" s="25">
        <v>1</v>
      </c>
      <c r="I16" s="27">
        <f>SUM(H16/F16*100)</f>
        <v>28.571428571428569</v>
      </c>
      <c r="J16" s="27">
        <f t="shared" ref="J16" si="2">SUM(H16/G16*100)</f>
        <v>58.82352941176471</v>
      </c>
    </row>
    <row r="17" spans="1:10" ht="15" x14ac:dyDescent="0.25">
      <c r="A17" s="25" t="s">
        <v>18</v>
      </c>
      <c r="B17" s="193" t="s">
        <v>19</v>
      </c>
      <c r="C17" s="194"/>
      <c r="D17" s="194"/>
      <c r="E17" s="195"/>
      <c r="F17" s="25">
        <v>4</v>
      </c>
      <c r="G17" s="25">
        <v>2</v>
      </c>
      <c r="H17" s="25">
        <v>3.2</v>
      </c>
      <c r="I17" s="27">
        <f t="shared" si="0"/>
        <v>80</v>
      </c>
      <c r="J17" s="27">
        <f t="shared" si="1"/>
        <v>160</v>
      </c>
    </row>
    <row r="18" spans="1:10" ht="15" x14ac:dyDescent="0.25">
      <c r="A18" s="25" t="s">
        <v>20</v>
      </c>
      <c r="B18" s="193" t="s">
        <v>22</v>
      </c>
      <c r="C18" s="194"/>
      <c r="D18" s="194"/>
      <c r="E18" s="195"/>
      <c r="F18" s="25">
        <v>8.1999999999999993</v>
      </c>
      <c r="G18" s="25">
        <v>4</v>
      </c>
      <c r="H18" s="25">
        <v>3.8</v>
      </c>
      <c r="I18" s="27">
        <f t="shared" si="0"/>
        <v>46.341463414634148</v>
      </c>
      <c r="J18" s="27">
        <f t="shared" si="1"/>
        <v>95</v>
      </c>
    </row>
    <row r="19" spans="1:10" ht="15" x14ac:dyDescent="0.25">
      <c r="A19" s="25" t="s">
        <v>21</v>
      </c>
      <c r="B19" s="193" t="s">
        <v>24</v>
      </c>
      <c r="C19" s="194"/>
      <c r="D19" s="194"/>
      <c r="E19" s="195"/>
      <c r="F19" s="25">
        <f>3+3</f>
        <v>6</v>
      </c>
      <c r="G19" s="25">
        <v>1.4</v>
      </c>
      <c r="H19" s="25">
        <v>3.2</v>
      </c>
      <c r="I19" s="27">
        <f t="shared" si="0"/>
        <v>53.333333333333336</v>
      </c>
      <c r="J19" s="27">
        <f t="shared" si="1"/>
        <v>228.57142857142861</v>
      </c>
    </row>
    <row r="20" spans="1:10" ht="15" x14ac:dyDescent="0.25">
      <c r="A20" s="25" t="s">
        <v>23</v>
      </c>
      <c r="B20" s="193" t="s">
        <v>27</v>
      </c>
      <c r="C20" s="194"/>
      <c r="D20" s="194"/>
      <c r="E20" s="195"/>
      <c r="F20" s="25">
        <v>0.7</v>
      </c>
      <c r="G20" s="25">
        <v>0.3</v>
      </c>
      <c r="H20" s="25">
        <v>0.6</v>
      </c>
      <c r="I20" s="27">
        <f t="shared" si="0"/>
        <v>85.714285714285722</v>
      </c>
      <c r="J20" s="27">
        <f t="shared" si="1"/>
        <v>200</v>
      </c>
    </row>
    <row r="21" spans="1:10" ht="15" x14ac:dyDescent="0.25">
      <c r="A21" s="25" t="s">
        <v>25</v>
      </c>
      <c r="B21" s="193" t="s">
        <v>30</v>
      </c>
      <c r="C21" s="194"/>
      <c r="D21" s="194"/>
      <c r="E21" s="195"/>
      <c r="F21" s="25">
        <v>7.5</v>
      </c>
      <c r="G21" s="25">
        <v>3.7</v>
      </c>
      <c r="H21" s="25">
        <v>4.0999999999999996</v>
      </c>
      <c r="I21" s="27">
        <f t="shared" si="0"/>
        <v>54.666666666666664</v>
      </c>
      <c r="J21" s="27">
        <f t="shared" si="1"/>
        <v>110.81081081081079</v>
      </c>
    </row>
    <row r="22" spans="1:10" ht="15" x14ac:dyDescent="0.25">
      <c r="A22" s="25" t="s">
        <v>26</v>
      </c>
      <c r="B22" s="193" t="s">
        <v>32</v>
      </c>
      <c r="C22" s="194"/>
      <c r="D22" s="194"/>
      <c r="E22" s="195"/>
      <c r="F22" s="25">
        <v>3.5</v>
      </c>
      <c r="G22" s="25">
        <v>1.7</v>
      </c>
      <c r="H22" s="25">
        <v>1.8</v>
      </c>
      <c r="I22" s="27">
        <f t="shared" si="0"/>
        <v>51.428571428571438</v>
      </c>
      <c r="J22" s="27">
        <f t="shared" si="1"/>
        <v>105.88235294117648</v>
      </c>
    </row>
    <row r="23" spans="1:10" ht="15" x14ac:dyDescent="0.25">
      <c r="A23" s="25" t="s">
        <v>28</v>
      </c>
      <c r="B23" s="193" t="s">
        <v>179</v>
      </c>
      <c r="C23" s="194"/>
      <c r="D23" s="194"/>
      <c r="E23" s="195"/>
      <c r="F23" s="25">
        <v>1.5</v>
      </c>
      <c r="G23" s="25">
        <v>0.8</v>
      </c>
      <c r="H23" s="25">
        <v>0.9</v>
      </c>
      <c r="I23" s="27">
        <f>SUM(H23/F23*100)</f>
        <v>60</v>
      </c>
      <c r="J23" s="27">
        <f>SUM(H23/G23*100)</f>
        <v>112.5</v>
      </c>
    </row>
    <row r="24" spans="1:10" ht="15" x14ac:dyDescent="0.25">
      <c r="A24" s="25" t="s">
        <v>29</v>
      </c>
      <c r="B24" s="193" t="s">
        <v>180</v>
      </c>
      <c r="C24" s="194"/>
      <c r="D24" s="194"/>
      <c r="E24" s="195"/>
      <c r="F24" s="25">
        <v>0.9</v>
      </c>
      <c r="G24" s="25">
        <v>0.4</v>
      </c>
      <c r="H24" s="25">
        <v>0.1</v>
      </c>
      <c r="I24" s="27">
        <f>SUM(H24/F24*100)</f>
        <v>11.111111111111112</v>
      </c>
      <c r="J24" s="27">
        <f>SUM(H24/G24*100)</f>
        <v>25</v>
      </c>
    </row>
    <row r="25" spans="1:10" ht="15" x14ac:dyDescent="0.25">
      <c r="A25" s="25" t="s">
        <v>31</v>
      </c>
      <c r="B25" s="193" t="s">
        <v>243</v>
      </c>
      <c r="C25" s="194"/>
      <c r="D25" s="194"/>
      <c r="E25" s="195"/>
      <c r="F25" s="25">
        <v>0.7</v>
      </c>
      <c r="G25" s="25">
        <v>0.3</v>
      </c>
      <c r="H25" s="25">
        <v>0.3</v>
      </c>
      <c r="I25" s="27">
        <f>SUM(H25/F25*100)</f>
        <v>42.857142857142861</v>
      </c>
      <c r="J25" s="27">
        <f>SUM(H25/G25*100)</f>
        <v>100</v>
      </c>
    </row>
    <row r="26" spans="1:10" ht="15" x14ac:dyDescent="0.25">
      <c r="A26" s="25" t="s">
        <v>33</v>
      </c>
      <c r="B26" s="193" t="s">
        <v>181</v>
      </c>
      <c r="C26" s="194"/>
      <c r="D26" s="194"/>
      <c r="E26" s="195"/>
      <c r="F26" s="25">
        <v>1.8</v>
      </c>
      <c r="G26" s="25">
        <v>0.9</v>
      </c>
      <c r="H26" s="25">
        <v>1.3</v>
      </c>
      <c r="I26" s="27">
        <f t="shared" ref="I26:I27" si="3">SUM(H26/F26*100)</f>
        <v>72.222222222222214</v>
      </c>
      <c r="J26" s="27">
        <f t="shared" ref="J26" si="4">SUM(H26/G26*100)</f>
        <v>144.44444444444443</v>
      </c>
    </row>
    <row r="27" spans="1:10" ht="15" x14ac:dyDescent="0.25">
      <c r="A27" s="25" t="s">
        <v>34</v>
      </c>
      <c r="B27" s="193" t="s">
        <v>48</v>
      </c>
      <c r="C27" s="194"/>
      <c r="D27" s="194"/>
      <c r="E27" s="195"/>
      <c r="F27" s="25">
        <v>1.2</v>
      </c>
      <c r="G27" s="25">
        <v>0.6</v>
      </c>
      <c r="H27" s="25">
        <v>0.7</v>
      </c>
      <c r="I27" s="27">
        <f t="shared" si="3"/>
        <v>58.333333333333336</v>
      </c>
      <c r="J27" s="27">
        <f>SUM(H27/G27*100)</f>
        <v>116.66666666666667</v>
      </c>
    </row>
    <row r="28" spans="1:10" ht="15" customHeight="1" x14ac:dyDescent="0.25">
      <c r="A28" s="25" t="s">
        <v>36</v>
      </c>
      <c r="B28" s="193" t="s">
        <v>55</v>
      </c>
      <c r="C28" s="194"/>
      <c r="D28" s="194"/>
      <c r="E28" s="195"/>
      <c r="F28" s="25">
        <v>0.8</v>
      </c>
      <c r="G28" s="25">
        <v>0.4</v>
      </c>
      <c r="H28" s="25">
        <v>0</v>
      </c>
      <c r="I28" s="27">
        <f t="shared" si="0"/>
        <v>0</v>
      </c>
      <c r="J28" s="27">
        <f t="shared" si="1"/>
        <v>0</v>
      </c>
    </row>
    <row r="29" spans="1:10" ht="15" x14ac:dyDescent="0.25">
      <c r="A29" s="25" t="s">
        <v>38</v>
      </c>
      <c r="B29" s="193" t="s">
        <v>70</v>
      </c>
      <c r="C29" s="194"/>
      <c r="D29" s="194"/>
      <c r="E29" s="195"/>
      <c r="F29" s="25">
        <v>7</v>
      </c>
      <c r="G29" s="25">
        <v>3.3</v>
      </c>
      <c r="H29" s="25">
        <v>2.2999999999999998</v>
      </c>
      <c r="I29" s="27">
        <f t="shared" si="0"/>
        <v>32.857142857142854</v>
      </c>
      <c r="J29" s="27">
        <f t="shared" si="1"/>
        <v>69.696969696969688</v>
      </c>
    </row>
    <row r="30" spans="1:10" ht="15" x14ac:dyDescent="0.25">
      <c r="A30" s="25" t="s">
        <v>40</v>
      </c>
      <c r="B30" s="193" t="s">
        <v>72</v>
      </c>
      <c r="C30" s="194"/>
      <c r="D30" s="194"/>
      <c r="E30" s="195"/>
      <c r="F30" s="25">
        <f>9+10</f>
        <v>19</v>
      </c>
      <c r="G30" s="25">
        <f>4</f>
        <v>4</v>
      </c>
      <c r="H30" s="25">
        <v>2.6</v>
      </c>
      <c r="I30" s="27">
        <f t="shared" si="0"/>
        <v>13.684210526315791</v>
      </c>
      <c r="J30" s="27">
        <f t="shared" si="1"/>
        <v>65</v>
      </c>
    </row>
    <row r="31" spans="1:10" ht="15" x14ac:dyDescent="0.25">
      <c r="A31" s="25" t="s">
        <v>41</v>
      </c>
      <c r="B31" s="193" t="s">
        <v>219</v>
      </c>
      <c r="C31" s="194"/>
      <c r="D31" s="194"/>
      <c r="E31" s="195"/>
      <c r="F31" s="25">
        <v>0.5</v>
      </c>
      <c r="G31" s="25">
        <v>0</v>
      </c>
      <c r="H31" s="83">
        <v>0.3</v>
      </c>
      <c r="I31" s="27">
        <f t="shared" si="0"/>
        <v>60</v>
      </c>
      <c r="J31" s="27">
        <v>0</v>
      </c>
    </row>
    <row r="32" spans="1:10" ht="15" x14ac:dyDescent="0.25">
      <c r="A32" s="25" t="s">
        <v>42</v>
      </c>
      <c r="B32" s="193" t="s">
        <v>73</v>
      </c>
      <c r="C32" s="194"/>
      <c r="D32" s="194"/>
      <c r="E32" s="195"/>
      <c r="F32" s="25">
        <v>4</v>
      </c>
      <c r="G32" s="25">
        <v>2</v>
      </c>
      <c r="H32" s="25">
        <v>1.8</v>
      </c>
      <c r="I32" s="27">
        <f t="shared" si="0"/>
        <v>45</v>
      </c>
      <c r="J32" s="27">
        <f t="shared" si="1"/>
        <v>90</v>
      </c>
    </row>
    <row r="33" spans="1:10" ht="15" x14ac:dyDescent="0.25">
      <c r="A33" s="25" t="s">
        <v>43</v>
      </c>
      <c r="B33" s="193" t="s">
        <v>220</v>
      </c>
      <c r="C33" s="194"/>
      <c r="D33" s="194"/>
      <c r="E33" s="195"/>
      <c r="F33" s="25">
        <v>3</v>
      </c>
      <c r="G33" s="25">
        <v>1.5</v>
      </c>
      <c r="H33" s="25">
        <v>1</v>
      </c>
      <c r="I33" s="27">
        <f t="shared" si="0"/>
        <v>33.333333333333329</v>
      </c>
      <c r="J33" s="27">
        <f t="shared" si="1"/>
        <v>66.666666666666657</v>
      </c>
    </row>
    <row r="34" spans="1:10" ht="15" x14ac:dyDescent="0.25">
      <c r="A34" s="25" t="s">
        <v>44</v>
      </c>
      <c r="B34" s="193" t="s">
        <v>74</v>
      </c>
      <c r="C34" s="194"/>
      <c r="D34" s="194"/>
      <c r="E34" s="195"/>
      <c r="F34" s="25">
        <v>1</v>
      </c>
      <c r="G34" s="25">
        <v>0.5</v>
      </c>
      <c r="H34" s="25">
        <v>0.3</v>
      </c>
      <c r="I34" s="27">
        <f t="shared" si="0"/>
        <v>30</v>
      </c>
      <c r="J34" s="27">
        <f t="shared" si="1"/>
        <v>60</v>
      </c>
    </row>
    <row r="35" spans="1:10" ht="15" x14ac:dyDescent="0.25">
      <c r="A35" s="25" t="s">
        <v>46</v>
      </c>
      <c r="B35" s="193" t="s">
        <v>75</v>
      </c>
      <c r="C35" s="194"/>
      <c r="D35" s="194"/>
      <c r="E35" s="195"/>
      <c r="F35" s="25">
        <v>4</v>
      </c>
      <c r="G35" s="25">
        <v>2</v>
      </c>
      <c r="H35" s="25">
        <v>1.2</v>
      </c>
      <c r="I35" s="27">
        <f t="shared" si="0"/>
        <v>30</v>
      </c>
      <c r="J35" s="27">
        <f t="shared" si="1"/>
        <v>60</v>
      </c>
    </row>
    <row r="36" spans="1:10" ht="15" x14ac:dyDescent="0.25">
      <c r="A36" s="25" t="s">
        <v>47</v>
      </c>
      <c r="B36" s="193" t="s">
        <v>76</v>
      </c>
      <c r="C36" s="194"/>
      <c r="D36" s="194"/>
      <c r="E36" s="195"/>
      <c r="F36" s="25">
        <v>43.7</v>
      </c>
      <c r="G36" s="25">
        <v>20</v>
      </c>
      <c r="H36" s="25">
        <v>17.5</v>
      </c>
      <c r="I36" s="27">
        <f t="shared" si="0"/>
        <v>40.045766590389015</v>
      </c>
      <c r="J36" s="27">
        <f t="shared" si="1"/>
        <v>87.5</v>
      </c>
    </row>
    <row r="37" spans="1:10" ht="15" x14ac:dyDescent="0.25">
      <c r="A37" s="25" t="s">
        <v>49</v>
      </c>
      <c r="B37" s="193" t="s">
        <v>78</v>
      </c>
      <c r="C37" s="194"/>
      <c r="D37" s="194"/>
      <c r="E37" s="195"/>
      <c r="F37" s="25">
        <v>130.6</v>
      </c>
      <c r="G37" s="25">
        <v>57.6</v>
      </c>
      <c r="H37" s="25">
        <v>62.4</v>
      </c>
      <c r="I37" s="27">
        <f t="shared" si="0"/>
        <v>47.779479326186831</v>
      </c>
      <c r="J37" s="27">
        <f t="shared" si="1"/>
        <v>108.33333333333333</v>
      </c>
    </row>
    <row r="38" spans="1:10" ht="15.6" x14ac:dyDescent="0.3">
      <c r="A38" s="31"/>
      <c r="B38" s="214" t="s">
        <v>79</v>
      </c>
      <c r="C38" s="214"/>
      <c r="D38" s="214"/>
      <c r="E38" s="215"/>
      <c r="F38" s="86">
        <f>SUM(F9:F37)</f>
        <v>294.3</v>
      </c>
      <c r="G38" s="86">
        <f>SUM(G9:G37)</f>
        <v>130</v>
      </c>
      <c r="H38" s="86">
        <f>SUM(H9:H37)</f>
        <v>131</v>
      </c>
      <c r="I38" s="27">
        <f>SUM(H38/F38*100)</f>
        <v>44.512402310567445</v>
      </c>
      <c r="J38" s="27">
        <f>SUM(H38/G38*100)</f>
        <v>100.76923076923077</v>
      </c>
    </row>
    <row r="40" spans="1:10" x14ac:dyDescent="0.25">
      <c r="F40" s="2"/>
      <c r="G40" s="2"/>
    </row>
  </sheetData>
  <mergeCells count="35">
    <mergeCell ref="B31:E31"/>
    <mergeCell ref="B30:E30"/>
    <mergeCell ref="B20:E20"/>
    <mergeCell ref="B18:E18"/>
    <mergeCell ref="B19:E19"/>
    <mergeCell ref="A3:J3"/>
    <mergeCell ref="A4:J4"/>
    <mergeCell ref="F7:F8"/>
    <mergeCell ref="G7:G8"/>
    <mergeCell ref="H7:H8"/>
    <mergeCell ref="I6:J6"/>
    <mergeCell ref="B12:E12"/>
    <mergeCell ref="B15:E15"/>
    <mergeCell ref="I7:J7"/>
    <mergeCell ref="B7:E8"/>
    <mergeCell ref="B17:E17"/>
    <mergeCell ref="B14:E14"/>
    <mergeCell ref="B16:E16"/>
    <mergeCell ref="B13:E13"/>
    <mergeCell ref="B36:E36"/>
    <mergeCell ref="B37:E37"/>
    <mergeCell ref="B38:E38"/>
    <mergeCell ref="B21:E21"/>
    <mergeCell ref="B22:E22"/>
    <mergeCell ref="B23:E23"/>
    <mergeCell ref="B24:E24"/>
    <mergeCell ref="B35:E35"/>
    <mergeCell ref="B32:E32"/>
    <mergeCell ref="B33:E33"/>
    <mergeCell ref="B34:E34"/>
    <mergeCell ref="B26:E26"/>
    <mergeCell ref="B27:E27"/>
    <mergeCell ref="B28:E28"/>
    <mergeCell ref="B29:E29"/>
    <mergeCell ref="B25:E25"/>
  </mergeCells>
  <pageMargins left="0.9055118110236221" right="0.55118110236220474" top="0.47244094488188981" bottom="0" header="0.31496062992125984" footer="0.19685039370078741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9"/>
  <sheetViews>
    <sheetView showZeros="0" zoomScaleNormal="100" workbookViewId="0"/>
  </sheetViews>
  <sheetFormatPr defaultColWidth="8.88671875" defaultRowHeight="15" x14ac:dyDescent="0.25"/>
  <cols>
    <col min="1" max="1" width="25.77734375" style="10" customWidth="1"/>
    <col min="2" max="2" width="20" style="10" customWidth="1"/>
    <col min="3" max="3" width="9.21875" style="10" customWidth="1"/>
    <col min="4" max="4" width="11.109375" style="10" customWidth="1"/>
    <col min="5" max="5" width="11.21875" style="10" customWidth="1"/>
    <col min="6" max="6" width="13.33203125" style="10" customWidth="1"/>
    <col min="7" max="7" width="9.6640625" style="10" bestFit="1" customWidth="1"/>
    <col min="8" max="8" width="11.77734375" style="10" customWidth="1"/>
    <col min="9" max="9" width="12.109375" style="10" customWidth="1"/>
    <col min="10" max="10" width="14.109375" style="10" customWidth="1"/>
    <col min="11" max="11" width="11.21875" style="10" customWidth="1"/>
    <col min="12" max="12" width="11.6640625" style="10" customWidth="1"/>
    <col min="13" max="13" width="10" style="10" customWidth="1"/>
    <col min="14" max="14" width="13.109375" style="10" customWidth="1"/>
    <col min="15" max="15" width="9.6640625" style="10" bestFit="1" customWidth="1"/>
    <col min="16" max="16" width="8.109375" style="10" customWidth="1"/>
    <col min="17" max="17" width="12.88671875" style="10" customWidth="1"/>
    <col min="18" max="16384" width="8.88671875" style="10"/>
  </cols>
  <sheetData>
    <row r="1" spans="1:17" x14ac:dyDescent="0.25">
      <c r="Q1" s="11" t="s">
        <v>350</v>
      </c>
    </row>
    <row r="2" spans="1:17" ht="15.6" x14ac:dyDescent="0.3">
      <c r="A2" s="230"/>
      <c r="B2" s="230"/>
      <c r="C2" s="230"/>
      <c r="D2" s="230"/>
      <c r="E2" s="230"/>
      <c r="F2" s="230"/>
      <c r="G2" s="230"/>
      <c r="H2" s="230"/>
      <c r="I2" s="230"/>
      <c r="J2" s="122"/>
      <c r="K2" s="122"/>
      <c r="L2" s="169"/>
      <c r="M2" s="169"/>
      <c r="N2" s="169"/>
      <c r="O2" s="169"/>
    </row>
    <row r="3" spans="1:17" ht="15.6" x14ac:dyDescent="0.3">
      <c r="A3" s="88"/>
      <c r="B3" s="88"/>
      <c r="C3" s="88"/>
      <c r="D3" s="88"/>
      <c r="E3" s="88"/>
      <c r="F3" s="88"/>
      <c r="G3" s="88"/>
      <c r="H3" s="88"/>
      <c r="I3" s="88"/>
      <c r="J3" s="122"/>
      <c r="K3" s="122"/>
      <c r="L3" s="169"/>
      <c r="M3" s="169"/>
      <c r="N3" s="169"/>
      <c r="O3" s="169"/>
    </row>
    <row r="4" spans="1:17" ht="15.6" x14ac:dyDescent="0.3">
      <c r="A4" s="182" t="s">
        <v>357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7" ht="14.25" customHeight="1" x14ac:dyDescent="0.3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122"/>
      <c r="Q5" s="11" t="s">
        <v>152</v>
      </c>
    </row>
    <row r="6" spans="1:17" ht="15" customHeight="1" x14ac:dyDescent="0.25">
      <c r="A6" s="228" t="s">
        <v>274</v>
      </c>
      <c r="B6" s="228" t="s">
        <v>275</v>
      </c>
      <c r="C6" s="228" t="s">
        <v>276</v>
      </c>
      <c r="D6" s="228" t="s">
        <v>12</v>
      </c>
      <c r="E6" s="228"/>
      <c r="F6" s="228"/>
      <c r="G6" s="228"/>
      <c r="H6" s="228" t="s">
        <v>263</v>
      </c>
      <c r="I6" s="228"/>
      <c r="J6" s="228"/>
      <c r="K6" s="228"/>
      <c r="L6" s="228" t="s">
        <v>277</v>
      </c>
      <c r="M6" s="228"/>
      <c r="N6" s="228"/>
      <c r="O6" s="228"/>
      <c r="P6" s="227" t="s">
        <v>278</v>
      </c>
      <c r="Q6" s="227"/>
    </row>
    <row r="7" spans="1:17" ht="15" customHeight="1" x14ac:dyDescent="0.25">
      <c r="A7" s="228"/>
      <c r="B7" s="228"/>
      <c r="C7" s="228"/>
      <c r="D7" s="228" t="s">
        <v>279</v>
      </c>
      <c r="E7" s="228" t="s">
        <v>280</v>
      </c>
      <c r="F7" s="228"/>
      <c r="G7" s="228"/>
      <c r="H7" s="228" t="s">
        <v>279</v>
      </c>
      <c r="I7" s="228" t="s">
        <v>280</v>
      </c>
      <c r="J7" s="228"/>
      <c r="K7" s="228"/>
      <c r="L7" s="228" t="s">
        <v>279</v>
      </c>
      <c r="M7" s="228" t="s">
        <v>280</v>
      </c>
      <c r="N7" s="228"/>
      <c r="O7" s="228"/>
      <c r="P7" s="229" t="s">
        <v>281</v>
      </c>
      <c r="Q7" s="229" t="s">
        <v>282</v>
      </c>
    </row>
    <row r="8" spans="1:17" ht="14.25" customHeight="1" x14ac:dyDescent="0.25">
      <c r="A8" s="228"/>
      <c r="B8" s="228"/>
      <c r="C8" s="228"/>
      <c r="D8" s="228"/>
      <c r="E8" s="228" t="s">
        <v>283</v>
      </c>
      <c r="F8" s="228"/>
      <c r="G8" s="228" t="s">
        <v>284</v>
      </c>
      <c r="H8" s="228"/>
      <c r="I8" s="228" t="s">
        <v>283</v>
      </c>
      <c r="J8" s="228"/>
      <c r="K8" s="228" t="s">
        <v>284</v>
      </c>
      <c r="L8" s="228"/>
      <c r="M8" s="228" t="s">
        <v>283</v>
      </c>
      <c r="N8" s="228"/>
      <c r="O8" s="228" t="s">
        <v>284</v>
      </c>
      <c r="P8" s="229"/>
      <c r="Q8" s="229"/>
    </row>
    <row r="9" spans="1:17" ht="40.200000000000003" customHeight="1" x14ac:dyDescent="0.25">
      <c r="A9" s="228"/>
      <c r="B9" s="228"/>
      <c r="C9" s="228"/>
      <c r="D9" s="228"/>
      <c r="E9" s="15" t="s">
        <v>279</v>
      </c>
      <c r="F9" s="15" t="s">
        <v>285</v>
      </c>
      <c r="G9" s="228"/>
      <c r="H9" s="228"/>
      <c r="I9" s="15" t="s">
        <v>279</v>
      </c>
      <c r="J9" s="15" t="s">
        <v>285</v>
      </c>
      <c r="K9" s="228"/>
      <c r="L9" s="228"/>
      <c r="M9" s="15" t="s">
        <v>279</v>
      </c>
      <c r="N9" s="15" t="s">
        <v>285</v>
      </c>
      <c r="O9" s="228"/>
      <c r="P9" s="229"/>
      <c r="Q9" s="229"/>
    </row>
    <row r="10" spans="1:17" ht="17.399999999999999" customHeight="1" x14ac:dyDescent="0.25">
      <c r="A10" s="171">
        <v>1</v>
      </c>
      <c r="B10" s="171">
        <v>2</v>
      </c>
      <c r="C10" s="171">
        <v>3</v>
      </c>
      <c r="D10" s="171">
        <v>4</v>
      </c>
      <c r="E10" s="172">
        <v>5</v>
      </c>
      <c r="F10" s="172">
        <v>6</v>
      </c>
      <c r="G10" s="172">
        <v>7</v>
      </c>
      <c r="H10" s="172">
        <v>8</v>
      </c>
      <c r="I10" s="172">
        <v>9</v>
      </c>
      <c r="J10" s="172">
        <v>10</v>
      </c>
      <c r="K10" s="172">
        <v>11</v>
      </c>
      <c r="L10" s="172">
        <v>12</v>
      </c>
      <c r="M10" s="172">
        <v>13</v>
      </c>
      <c r="N10" s="172">
        <v>14</v>
      </c>
      <c r="O10" s="172">
        <v>15</v>
      </c>
      <c r="P10" s="172">
        <v>16</v>
      </c>
      <c r="Q10" s="172">
        <v>17</v>
      </c>
    </row>
    <row r="11" spans="1:17" ht="30.6" customHeight="1" x14ac:dyDescent="0.3">
      <c r="A11" s="175" t="s">
        <v>286</v>
      </c>
      <c r="B11" s="175"/>
      <c r="C11" s="176"/>
      <c r="D11" s="177">
        <f t="shared" ref="D11:O11" si="0">SUBTOTAL(9,D12:D65)</f>
        <v>93597.499999999985</v>
      </c>
      <c r="E11" s="177">
        <f t="shared" si="0"/>
        <v>52836.4</v>
      </c>
      <c r="F11" s="177">
        <f t="shared" si="0"/>
        <v>12165.300000000001</v>
      </c>
      <c r="G11" s="177">
        <f t="shared" si="0"/>
        <v>40761.099999999991</v>
      </c>
      <c r="H11" s="177">
        <f t="shared" si="0"/>
        <v>56802</v>
      </c>
      <c r="I11" s="177">
        <f t="shared" si="0"/>
        <v>30736.900000000009</v>
      </c>
      <c r="J11" s="177">
        <f t="shared" si="0"/>
        <v>6193.9</v>
      </c>
      <c r="K11" s="177">
        <f t="shared" si="0"/>
        <v>26065.1</v>
      </c>
      <c r="L11" s="177">
        <f t="shared" si="0"/>
        <v>37671.9</v>
      </c>
      <c r="M11" s="177">
        <f t="shared" si="0"/>
        <v>22849.5</v>
      </c>
      <c r="N11" s="177">
        <f t="shared" si="0"/>
        <v>5298.6</v>
      </c>
      <c r="O11" s="177">
        <f t="shared" si="0"/>
        <v>14822.400000000001</v>
      </c>
      <c r="P11" s="173">
        <f>SUM(L11/D11*100)</f>
        <v>40.248831432463483</v>
      </c>
      <c r="Q11" s="173">
        <f>SUM(L11/H11*100)</f>
        <v>66.321432343931548</v>
      </c>
    </row>
    <row r="12" spans="1:17" x14ac:dyDescent="0.25">
      <c r="A12" s="191"/>
      <c r="B12" s="220" t="s">
        <v>287</v>
      </c>
      <c r="C12" s="178" t="s">
        <v>288</v>
      </c>
      <c r="D12" s="170">
        <v>3448.7</v>
      </c>
      <c r="E12" s="170">
        <v>669.3</v>
      </c>
      <c r="F12" s="170">
        <v>153.19999999999999</v>
      </c>
      <c r="G12" s="170">
        <v>2779.4</v>
      </c>
      <c r="H12" s="170">
        <v>727.4</v>
      </c>
      <c r="I12" s="170">
        <v>617.9</v>
      </c>
      <c r="J12" s="170">
        <v>150.9</v>
      </c>
      <c r="K12" s="170">
        <v>109.5</v>
      </c>
      <c r="L12" s="170">
        <v>253.3</v>
      </c>
      <c r="M12" s="170">
        <v>186.6</v>
      </c>
      <c r="N12" s="170">
        <v>53.2</v>
      </c>
      <c r="O12" s="170">
        <v>66.7</v>
      </c>
      <c r="P12" s="170"/>
      <c r="Q12" s="83"/>
    </row>
    <row r="13" spans="1:17" x14ac:dyDescent="0.25">
      <c r="A13" s="219"/>
      <c r="B13" s="221"/>
      <c r="C13" s="178" t="s">
        <v>289</v>
      </c>
      <c r="D13" s="170">
        <v>3313.1</v>
      </c>
      <c r="E13" s="170">
        <v>3313.1</v>
      </c>
      <c r="F13" s="170">
        <v>0</v>
      </c>
      <c r="G13" s="170">
        <v>0</v>
      </c>
      <c r="H13" s="170">
        <v>1660.7</v>
      </c>
      <c r="I13" s="170">
        <v>1660.7</v>
      </c>
      <c r="J13" s="170">
        <v>0</v>
      </c>
      <c r="K13" s="170">
        <v>0</v>
      </c>
      <c r="L13" s="170">
        <v>1651.5</v>
      </c>
      <c r="M13" s="170">
        <v>1651.5</v>
      </c>
      <c r="N13" s="170">
        <v>0</v>
      </c>
      <c r="O13" s="170">
        <v>0</v>
      </c>
      <c r="P13" s="170"/>
      <c r="Q13" s="83"/>
    </row>
    <row r="14" spans="1:17" x14ac:dyDescent="0.25">
      <c r="A14" s="219"/>
      <c r="B14" s="221"/>
      <c r="C14" s="178" t="s">
        <v>290</v>
      </c>
      <c r="D14" s="170">
        <v>9.1999999999999993</v>
      </c>
      <c r="E14" s="170">
        <v>9.1999999999999993</v>
      </c>
      <c r="F14" s="170">
        <v>0</v>
      </c>
      <c r="G14" s="170">
        <v>0</v>
      </c>
      <c r="H14" s="170">
        <v>9.1999999999999993</v>
      </c>
      <c r="I14" s="170">
        <v>9.1999999999999993</v>
      </c>
      <c r="J14" s="170">
        <v>0</v>
      </c>
      <c r="K14" s="170">
        <v>0</v>
      </c>
      <c r="L14" s="170">
        <v>9.1999999999999993</v>
      </c>
      <c r="M14" s="170">
        <v>9.1999999999999993</v>
      </c>
      <c r="N14" s="170">
        <v>0</v>
      </c>
      <c r="O14" s="170">
        <v>0</v>
      </c>
      <c r="P14" s="170"/>
      <c r="Q14" s="83"/>
    </row>
    <row r="15" spans="1:17" x14ac:dyDescent="0.25">
      <c r="A15" s="219"/>
      <c r="B15" s="221"/>
      <c r="C15" s="178" t="s">
        <v>291</v>
      </c>
      <c r="D15" s="170">
        <v>8267.7000000000007</v>
      </c>
      <c r="E15" s="170">
        <v>6195.2</v>
      </c>
      <c r="F15" s="170">
        <v>10</v>
      </c>
      <c r="G15" s="170">
        <v>2072.5</v>
      </c>
      <c r="H15" s="170">
        <v>5296.1</v>
      </c>
      <c r="I15" s="170">
        <v>3996.9</v>
      </c>
      <c r="J15" s="170">
        <v>10</v>
      </c>
      <c r="K15" s="170">
        <v>1299.2</v>
      </c>
      <c r="L15" s="170">
        <v>3822.6</v>
      </c>
      <c r="M15" s="170">
        <v>3267.4</v>
      </c>
      <c r="N15" s="170">
        <v>9.4</v>
      </c>
      <c r="O15" s="170">
        <v>555.20000000000005</v>
      </c>
      <c r="P15" s="170"/>
      <c r="Q15" s="83"/>
    </row>
    <row r="16" spans="1:17" x14ac:dyDescent="0.25">
      <c r="A16" s="219"/>
      <c r="B16" s="221"/>
      <c r="C16" s="178" t="s">
        <v>292</v>
      </c>
      <c r="D16" s="170">
        <v>642.6</v>
      </c>
      <c r="E16" s="170">
        <v>0</v>
      </c>
      <c r="F16" s="170">
        <v>0</v>
      </c>
      <c r="G16" s="170">
        <v>642.6</v>
      </c>
      <c r="H16" s="170">
        <v>171</v>
      </c>
      <c r="I16" s="170">
        <v>0</v>
      </c>
      <c r="J16" s="170">
        <v>0</v>
      </c>
      <c r="K16" s="170">
        <v>171</v>
      </c>
      <c r="L16" s="170">
        <v>0</v>
      </c>
      <c r="M16" s="170">
        <v>0</v>
      </c>
      <c r="N16" s="170">
        <v>0</v>
      </c>
      <c r="O16" s="170">
        <v>0</v>
      </c>
      <c r="P16" s="170"/>
      <c r="Q16" s="83"/>
    </row>
    <row r="17" spans="1:17" x14ac:dyDescent="0.25">
      <c r="A17" s="219"/>
      <c r="B17" s="221"/>
      <c r="C17" s="178" t="s">
        <v>293</v>
      </c>
      <c r="D17" s="170">
        <v>520.1</v>
      </c>
      <c r="E17" s="170">
        <v>452.1</v>
      </c>
      <c r="F17" s="170">
        <v>14.6</v>
      </c>
      <c r="G17" s="170">
        <v>68</v>
      </c>
      <c r="H17" s="170">
        <v>236.1</v>
      </c>
      <c r="I17" s="170">
        <v>236.1</v>
      </c>
      <c r="J17" s="170">
        <v>8.4</v>
      </c>
      <c r="K17" s="170">
        <v>0</v>
      </c>
      <c r="L17" s="170">
        <v>174.5</v>
      </c>
      <c r="M17" s="170">
        <v>174.5</v>
      </c>
      <c r="N17" s="170">
        <v>2.2000000000000002</v>
      </c>
      <c r="O17" s="170">
        <v>0</v>
      </c>
      <c r="P17" s="170"/>
      <c r="Q17" s="83"/>
    </row>
    <row r="18" spans="1:17" x14ac:dyDescent="0.25">
      <c r="A18" s="219"/>
      <c r="B18" s="222"/>
      <c r="C18" s="178" t="s">
        <v>294</v>
      </c>
      <c r="D18" s="170">
        <v>308.8</v>
      </c>
      <c r="E18" s="170">
        <v>301.3</v>
      </c>
      <c r="F18" s="170">
        <v>21.3</v>
      </c>
      <c r="G18" s="170">
        <v>7.5</v>
      </c>
      <c r="H18" s="170">
        <v>285.60000000000002</v>
      </c>
      <c r="I18" s="170">
        <v>278.10000000000002</v>
      </c>
      <c r="J18" s="170">
        <v>20.8</v>
      </c>
      <c r="K18" s="170">
        <v>7.5</v>
      </c>
      <c r="L18" s="170">
        <v>5.0999999999999996</v>
      </c>
      <c r="M18" s="170">
        <v>5.0999999999999996</v>
      </c>
      <c r="N18" s="170">
        <v>1.9</v>
      </c>
      <c r="O18" s="170">
        <v>0</v>
      </c>
      <c r="P18" s="170"/>
      <c r="Q18" s="83"/>
    </row>
    <row r="19" spans="1:17" x14ac:dyDescent="0.25">
      <c r="A19" s="219"/>
      <c r="B19" s="220" t="s">
        <v>295</v>
      </c>
      <c r="C19" s="178" t="s">
        <v>288</v>
      </c>
      <c r="D19" s="170">
        <v>1264.3</v>
      </c>
      <c r="E19" s="170">
        <v>198.5</v>
      </c>
      <c r="F19" s="170">
        <v>0</v>
      </c>
      <c r="G19" s="170">
        <v>1065.8</v>
      </c>
      <c r="H19" s="170">
        <v>764.3</v>
      </c>
      <c r="I19" s="170">
        <v>98.5</v>
      </c>
      <c r="J19" s="170">
        <v>0</v>
      </c>
      <c r="K19" s="170">
        <v>665.8</v>
      </c>
      <c r="L19" s="170">
        <v>0</v>
      </c>
      <c r="M19" s="170">
        <v>0</v>
      </c>
      <c r="N19" s="170">
        <v>0</v>
      </c>
      <c r="O19" s="170">
        <v>0</v>
      </c>
      <c r="P19" s="170"/>
      <c r="Q19" s="83"/>
    </row>
    <row r="20" spans="1:17" x14ac:dyDescent="0.25">
      <c r="A20" s="219"/>
      <c r="B20" s="221"/>
      <c r="C20" s="178" t="s">
        <v>291</v>
      </c>
      <c r="D20" s="170">
        <v>2148.4</v>
      </c>
      <c r="E20" s="170">
        <v>497.7</v>
      </c>
      <c r="F20" s="170">
        <v>0</v>
      </c>
      <c r="G20" s="170">
        <v>1650.7</v>
      </c>
      <c r="H20" s="170">
        <v>1531.4</v>
      </c>
      <c r="I20" s="170">
        <v>371.2</v>
      </c>
      <c r="J20" s="170">
        <v>0</v>
      </c>
      <c r="K20" s="170">
        <v>1160.2</v>
      </c>
      <c r="L20" s="170">
        <v>288.3</v>
      </c>
      <c r="M20" s="170">
        <v>121.9</v>
      </c>
      <c r="N20" s="170">
        <v>0</v>
      </c>
      <c r="O20" s="170">
        <v>166.4</v>
      </c>
      <c r="P20" s="170"/>
      <c r="Q20" s="83"/>
    </row>
    <row r="21" spans="1:17" x14ac:dyDescent="0.25">
      <c r="A21" s="219"/>
      <c r="B21" s="221"/>
      <c r="C21" s="178" t="s">
        <v>292</v>
      </c>
      <c r="D21" s="170">
        <v>200</v>
      </c>
      <c r="E21" s="170">
        <v>0</v>
      </c>
      <c r="F21" s="170">
        <v>0</v>
      </c>
      <c r="G21" s="170">
        <v>200</v>
      </c>
      <c r="H21" s="170">
        <v>100</v>
      </c>
      <c r="I21" s="170">
        <v>0</v>
      </c>
      <c r="J21" s="170">
        <v>0</v>
      </c>
      <c r="K21" s="170">
        <v>100</v>
      </c>
      <c r="L21" s="170">
        <v>0</v>
      </c>
      <c r="M21" s="170">
        <v>0</v>
      </c>
      <c r="N21" s="170">
        <v>0</v>
      </c>
      <c r="O21" s="170">
        <v>0</v>
      </c>
      <c r="P21" s="170"/>
      <c r="Q21" s="83"/>
    </row>
    <row r="22" spans="1:17" x14ac:dyDescent="0.25">
      <c r="A22" s="219"/>
      <c r="B22" s="221"/>
      <c r="C22" s="178" t="s">
        <v>293</v>
      </c>
      <c r="D22" s="170">
        <v>458.8</v>
      </c>
      <c r="E22" s="170">
        <v>458.8</v>
      </c>
      <c r="F22" s="170">
        <v>0</v>
      </c>
      <c r="G22" s="170">
        <v>0</v>
      </c>
      <c r="H22" s="170">
        <v>260.39999999999998</v>
      </c>
      <c r="I22" s="170">
        <v>260.39999999999998</v>
      </c>
      <c r="J22" s="170">
        <v>0</v>
      </c>
      <c r="K22" s="170">
        <v>0</v>
      </c>
      <c r="L22" s="170">
        <v>221.7</v>
      </c>
      <c r="M22" s="170">
        <v>221.7</v>
      </c>
      <c r="N22" s="170">
        <v>0</v>
      </c>
      <c r="O22" s="170">
        <v>0</v>
      </c>
      <c r="P22" s="170"/>
      <c r="Q22" s="83"/>
    </row>
    <row r="23" spans="1:17" x14ac:dyDescent="0.25">
      <c r="A23" s="219"/>
      <c r="B23" s="221"/>
      <c r="C23" s="178" t="s">
        <v>294</v>
      </c>
      <c r="D23" s="170">
        <v>46</v>
      </c>
      <c r="E23" s="170">
        <v>4.7</v>
      </c>
      <c r="F23" s="170">
        <v>0</v>
      </c>
      <c r="G23" s="170">
        <v>41.3</v>
      </c>
      <c r="H23" s="170">
        <v>46</v>
      </c>
      <c r="I23" s="170">
        <v>4.7</v>
      </c>
      <c r="J23" s="170">
        <v>0</v>
      </c>
      <c r="K23" s="170">
        <v>41.3</v>
      </c>
      <c r="L23" s="170">
        <v>2.5</v>
      </c>
      <c r="M23" s="170">
        <v>1.1000000000000001</v>
      </c>
      <c r="N23" s="170">
        <v>0</v>
      </c>
      <c r="O23" s="170">
        <v>1.4</v>
      </c>
      <c r="P23" s="170"/>
      <c r="Q23" s="83"/>
    </row>
    <row r="24" spans="1:17" x14ac:dyDescent="0.25">
      <c r="A24" s="219"/>
      <c r="B24" s="222"/>
      <c r="C24" s="178" t="s">
        <v>296</v>
      </c>
      <c r="D24" s="170">
        <v>200</v>
      </c>
      <c r="E24" s="170">
        <v>0</v>
      </c>
      <c r="F24" s="170">
        <v>0</v>
      </c>
      <c r="G24" s="170">
        <v>200</v>
      </c>
      <c r="H24" s="170">
        <v>100</v>
      </c>
      <c r="I24" s="170">
        <v>0</v>
      </c>
      <c r="J24" s="170">
        <v>0</v>
      </c>
      <c r="K24" s="170">
        <v>100</v>
      </c>
      <c r="L24" s="170">
        <v>17.8</v>
      </c>
      <c r="M24" s="170">
        <v>0</v>
      </c>
      <c r="N24" s="170">
        <v>0</v>
      </c>
      <c r="O24" s="170">
        <v>17.8</v>
      </c>
      <c r="P24" s="170"/>
      <c r="Q24" s="83"/>
    </row>
    <row r="25" spans="1:17" x14ac:dyDescent="0.25">
      <c r="A25" s="219"/>
      <c r="B25" s="220" t="s">
        <v>297</v>
      </c>
      <c r="C25" s="178" t="s">
        <v>298</v>
      </c>
      <c r="D25" s="170">
        <v>496</v>
      </c>
      <c r="E25" s="170">
        <v>448</v>
      </c>
      <c r="F25" s="170">
        <v>0</v>
      </c>
      <c r="G25" s="170">
        <v>48</v>
      </c>
      <c r="H25" s="170">
        <v>308</v>
      </c>
      <c r="I25" s="170">
        <v>278</v>
      </c>
      <c r="J25" s="170">
        <v>0</v>
      </c>
      <c r="K25" s="170">
        <v>30</v>
      </c>
      <c r="L25" s="170">
        <v>42.3</v>
      </c>
      <c r="M25" s="170">
        <v>42.3</v>
      </c>
      <c r="N25" s="170">
        <v>0</v>
      </c>
      <c r="O25" s="170">
        <v>0</v>
      </c>
      <c r="P25" s="170"/>
      <c r="Q25" s="83"/>
    </row>
    <row r="26" spans="1:17" x14ac:dyDescent="0.25">
      <c r="A26" s="219"/>
      <c r="B26" s="221"/>
      <c r="C26" s="178" t="s">
        <v>288</v>
      </c>
      <c r="D26" s="170">
        <v>210</v>
      </c>
      <c r="E26" s="170">
        <v>0</v>
      </c>
      <c r="F26" s="170">
        <v>0</v>
      </c>
      <c r="G26" s="170">
        <v>210</v>
      </c>
      <c r="H26" s="170">
        <v>100</v>
      </c>
      <c r="I26" s="170">
        <v>0</v>
      </c>
      <c r="J26" s="170">
        <v>0</v>
      </c>
      <c r="K26" s="170">
        <v>100</v>
      </c>
      <c r="L26" s="170">
        <v>0</v>
      </c>
      <c r="M26" s="170">
        <v>0</v>
      </c>
      <c r="N26" s="170">
        <v>0</v>
      </c>
      <c r="O26" s="170">
        <v>0</v>
      </c>
      <c r="P26" s="170"/>
      <c r="Q26" s="83"/>
    </row>
    <row r="27" spans="1:17" x14ac:dyDescent="0.25">
      <c r="A27" s="219"/>
      <c r="B27" s="221"/>
      <c r="C27" s="178" t="s">
        <v>299</v>
      </c>
      <c r="D27" s="170">
        <v>3100</v>
      </c>
      <c r="E27" s="170">
        <v>3100</v>
      </c>
      <c r="F27" s="170">
        <v>0</v>
      </c>
      <c r="G27" s="170">
        <v>0</v>
      </c>
      <c r="H27" s="170">
        <v>1500</v>
      </c>
      <c r="I27" s="170">
        <v>1500</v>
      </c>
      <c r="J27" s="170">
        <v>0</v>
      </c>
      <c r="K27" s="170">
        <v>0</v>
      </c>
      <c r="L27" s="170">
        <v>1500</v>
      </c>
      <c r="M27" s="170">
        <v>1500</v>
      </c>
      <c r="N27" s="170">
        <v>0</v>
      </c>
      <c r="O27" s="170">
        <v>0</v>
      </c>
      <c r="P27" s="170"/>
      <c r="Q27" s="83"/>
    </row>
    <row r="28" spans="1:17" x14ac:dyDescent="0.25">
      <c r="A28" s="219"/>
      <c r="B28" s="221"/>
      <c r="C28" s="178" t="s">
        <v>300</v>
      </c>
      <c r="D28" s="170">
        <v>39.200000000000003</v>
      </c>
      <c r="E28" s="170">
        <v>39.200000000000003</v>
      </c>
      <c r="F28" s="170">
        <v>0</v>
      </c>
      <c r="G28" s="170">
        <v>0</v>
      </c>
      <c r="H28" s="170">
        <v>39.200000000000003</v>
      </c>
      <c r="I28" s="170">
        <v>39.200000000000003</v>
      </c>
      <c r="J28" s="170">
        <v>0</v>
      </c>
      <c r="K28" s="170">
        <v>0</v>
      </c>
      <c r="L28" s="170">
        <v>39.200000000000003</v>
      </c>
      <c r="M28" s="170">
        <v>39.200000000000003</v>
      </c>
      <c r="N28" s="170">
        <v>0</v>
      </c>
      <c r="O28" s="170">
        <v>0</v>
      </c>
      <c r="P28" s="170"/>
      <c r="Q28" s="83"/>
    </row>
    <row r="29" spans="1:17" x14ac:dyDescent="0.25">
      <c r="A29" s="219"/>
      <c r="B29" s="221"/>
      <c r="C29" s="178" t="s">
        <v>301</v>
      </c>
      <c r="D29" s="170">
        <v>29</v>
      </c>
      <c r="E29" s="170">
        <v>29</v>
      </c>
      <c r="F29" s="170">
        <v>0</v>
      </c>
      <c r="G29" s="170">
        <v>0</v>
      </c>
      <c r="H29" s="170">
        <v>29</v>
      </c>
      <c r="I29" s="170">
        <v>29</v>
      </c>
      <c r="J29" s="170">
        <v>0</v>
      </c>
      <c r="K29" s="170">
        <v>0</v>
      </c>
      <c r="L29" s="170">
        <v>29</v>
      </c>
      <c r="M29" s="170">
        <v>29</v>
      </c>
      <c r="N29" s="170">
        <v>0</v>
      </c>
      <c r="O29" s="170">
        <v>0</v>
      </c>
      <c r="P29" s="170"/>
      <c r="Q29" s="83"/>
    </row>
    <row r="30" spans="1:17" x14ac:dyDescent="0.25">
      <c r="A30" s="219"/>
      <c r="B30" s="221"/>
      <c r="C30" s="178" t="s">
        <v>302</v>
      </c>
      <c r="D30" s="170">
        <v>0.7</v>
      </c>
      <c r="E30" s="170">
        <v>0.7</v>
      </c>
      <c r="F30" s="170">
        <v>0</v>
      </c>
      <c r="G30" s="170">
        <v>0</v>
      </c>
      <c r="H30" s="170">
        <v>0.7</v>
      </c>
      <c r="I30" s="170">
        <v>0.7</v>
      </c>
      <c r="J30" s="170">
        <v>0</v>
      </c>
      <c r="K30" s="170">
        <v>0</v>
      </c>
      <c r="L30" s="170">
        <v>0</v>
      </c>
      <c r="M30" s="170">
        <v>0</v>
      </c>
      <c r="N30" s="170">
        <v>0</v>
      </c>
      <c r="O30" s="170">
        <v>0</v>
      </c>
      <c r="P30" s="170"/>
      <c r="Q30" s="83"/>
    </row>
    <row r="31" spans="1:17" x14ac:dyDescent="0.25">
      <c r="A31" s="219"/>
      <c r="B31" s="221"/>
      <c r="C31" s="178" t="s">
        <v>303</v>
      </c>
      <c r="D31" s="170">
        <v>9.1999999999999993</v>
      </c>
      <c r="E31" s="170">
        <v>9.1999999999999993</v>
      </c>
      <c r="F31" s="170">
        <v>0</v>
      </c>
      <c r="G31" s="170">
        <v>0</v>
      </c>
      <c r="H31" s="170">
        <v>5</v>
      </c>
      <c r="I31" s="170">
        <v>5</v>
      </c>
      <c r="J31" s="170">
        <v>0</v>
      </c>
      <c r="K31" s="170">
        <v>0</v>
      </c>
      <c r="L31" s="170">
        <v>2.5</v>
      </c>
      <c r="M31" s="170">
        <v>2.5</v>
      </c>
      <c r="N31" s="170">
        <v>0</v>
      </c>
      <c r="O31" s="170">
        <v>0</v>
      </c>
      <c r="P31" s="170"/>
      <c r="Q31" s="83"/>
    </row>
    <row r="32" spans="1:17" x14ac:dyDescent="0.25">
      <c r="A32" s="219"/>
      <c r="B32" s="221"/>
      <c r="C32" s="178" t="s">
        <v>291</v>
      </c>
      <c r="D32" s="170">
        <v>2816.8</v>
      </c>
      <c r="E32" s="170">
        <v>2415.1</v>
      </c>
      <c r="F32" s="170">
        <v>1186.2</v>
      </c>
      <c r="G32" s="170">
        <v>401.7</v>
      </c>
      <c r="H32" s="170">
        <v>1746.2</v>
      </c>
      <c r="I32" s="170">
        <v>1383.5</v>
      </c>
      <c r="J32" s="170">
        <v>591.20000000000005</v>
      </c>
      <c r="K32" s="170">
        <v>362.7</v>
      </c>
      <c r="L32" s="170">
        <v>1069.0999999999999</v>
      </c>
      <c r="M32" s="170">
        <v>910.4</v>
      </c>
      <c r="N32" s="170">
        <v>456.2</v>
      </c>
      <c r="O32" s="170">
        <v>158.69999999999999</v>
      </c>
      <c r="P32" s="170"/>
      <c r="Q32" s="83"/>
    </row>
    <row r="33" spans="1:17" x14ac:dyDescent="0.25">
      <c r="A33" s="219"/>
      <c r="B33" s="221"/>
      <c r="C33" s="178" t="s">
        <v>293</v>
      </c>
      <c r="D33" s="170">
        <v>57.9</v>
      </c>
      <c r="E33" s="170">
        <v>57.9</v>
      </c>
      <c r="F33" s="170">
        <v>0</v>
      </c>
      <c r="G33" s="170">
        <v>0</v>
      </c>
      <c r="H33" s="170">
        <v>57.9</v>
      </c>
      <c r="I33" s="170">
        <v>57.9</v>
      </c>
      <c r="J33" s="170">
        <v>0</v>
      </c>
      <c r="K33" s="170">
        <v>0</v>
      </c>
      <c r="L33" s="170">
        <v>0</v>
      </c>
      <c r="M33" s="170">
        <v>0</v>
      </c>
      <c r="N33" s="170">
        <v>0</v>
      </c>
      <c r="O33" s="170">
        <v>0</v>
      </c>
      <c r="P33" s="170"/>
      <c r="Q33" s="83"/>
    </row>
    <row r="34" spans="1:17" x14ac:dyDescent="0.25">
      <c r="A34" s="219"/>
      <c r="B34" s="222"/>
      <c r="C34" s="178" t="s">
        <v>294</v>
      </c>
      <c r="D34" s="170">
        <v>28</v>
      </c>
      <c r="E34" s="170">
        <v>0</v>
      </c>
      <c r="F34" s="170">
        <v>0</v>
      </c>
      <c r="G34" s="170">
        <v>28</v>
      </c>
      <c r="H34" s="170">
        <v>28</v>
      </c>
      <c r="I34" s="170">
        <v>0</v>
      </c>
      <c r="J34" s="170">
        <v>0</v>
      </c>
      <c r="K34" s="170">
        <v>28</v>
      </c>
      <c r="L34" s="170">
        <v>0</v>
      </c>
      <c r="M34" s="170">
        <v>0</v>
      </c>
      <c r="N34" s="170">
        <v>0</v>
      </c>
      <c r="O34" s="170">
        <v>0</v>
      </c>
      <c r="P34" s="170"/>
      <c r="Q34" s="83"/>
    </row>
    <row r="35" spans="1:17" x14ac:dyDescent="0.25">
      <c r="A35" s="219"/>
      <c r="B35" s="220" t="s">
        <v>304</v>
      </c>
      <c r="C35" s="178" t="s">
        <v>298</v>
      </c>
      <c r="D35" s="170">
        <v>63.1</v>
      </c>
      <c r="E35" s="170">
        <v>63.1</v>
      </c>
      <c r="F35" s="170">
        <v>0</v>
      </c>
      <c r="G35" s="170">
        <v>0</v>
      </c>
      <c r="H35" s="170">
        <v>35</v>
      </c>
      <c r="I35" s="170">
        <v>35</v>
      </c>
      <c r="J35" s="170">
        <v>0</v>
      </c>
      <c r="K35" s="170">
        <v>0</v>
      </c>
      <c r="L35" s="170">
        <v>0</v>
      </c>
      <c r="M35" s="170">
        <v>0</v>
      </c>
      <c r="N35" s="170">
        <v>0</v>
      </c>
      <c r="O35" s="170">
        <v>0</v>
      </c>
      <c r="P35" s="170"/>
      <c r="Q35" s="83"/>
    </row>
    <row r="36" spans="1:17" x14ac:dyDescent="0.25">
      <c r="A36" s="219"/>
      <c r="B36" s="221"/>
      <c r="C36" s="178" t="s">
        <v>288</v>
      </c>
      <c r="D36" s="170">
        <v>1956.2</v>
      </c>
      <c r="E36" s="170">
        <v>512.20000000000005</v>
      </c>
      <c r="F36" s="170">
        <v>0</v>
      </c>
      <c r="G36" s="170">
        <v>1444</v>
      </c>
      <c r="H36" s="170">
        <v>1061.5</v>
      </c>
      <c r="I36" s="170">
        <v>245</v>
      </c>
      <c r="J36" s="170">
        <v>0</v>
      </c>
      <c r="K36" s="170">
        <v>816.5</v>
      </c>
      <c r="L36" s="170">
        <v>0</v>
      </c>
      <c r="M36" s="170">
        <v>0</v>
      </c>
      <c r="N36" s="170">
        <v>0</v>
      </c>
      <c r="O36" s="170">
        <v>0</v>
      </c>
      <c r="P36" s="170"/>
      <c r="Q36" s="83"/>
    </row>
    <row r="37" spans="1:17" x14ac:dyDescent="0.25">
      <c r="A37" s="219"/>
      <c r="B37" s="221"/>
      <c r="C37" s="178" t="s">
        <v>291</v>
      </c>
      <c r="D37" s="170">
        <v>622.6</v>
      </c>
      <c r="E37" s="170">
        <v>550.20000000000005</v>
      </c>
      <c r="F37" s="170">
        <v>142.6</v>
      </c>
      <c r="G37" s="170">
        <v>72.400000000000006</v>
      </c>
      <c r="H37" s="170">
        <v>376.1</v>
      </c>
      <c r="I37" s="170">
        <v>303.7</v>
      </c>
      <c r="J37" s="170">
        <v>71.3</v>
      </c>
      <c r="K37" s="170">
        <v>72.400000000000006</v>
      </c>
      <c r="L37" s="170">
        <v>260.39999999999998</v>
      </c>
      <c r="M37" s="170">
        <v>236.9</v>
      </c>
      <c r="N37" s="170">
        <v>65.7</v>
      </c>
      <c r="O37" s="170">
        <v>23.5</v>
      </c>
      <c r="P37" s="170"/>
      <c r="Q37" s="83"/>
    </row>
    <row r="38" spans="1:17" x14ac:dyDescent="0.25">
      <c r="A38" s="219"/>
      <c r="B38" s="222"/>
      <c r="C38" s="178" t="s">
        <v>294</v>
      </c>
      <c r="D38" s="170">
        <v>91</v>
      </c>
      <c r="E38" s="170">
        <v>91</v>
      </c>
      <c r="F38" s="170">
        <v>0</v>
      </c>
      <c r="G38" s="170">
        <v>0</v>
      </c>
      <c r="H38" s="170">
        <v>62.6</v>
      </c>
      <c r="I38" s="170">
        <v>62.6</v>
      </c>
      <c r="J38" s="170">
        <v>0</v>
      </c>
      <c r="K38" s="170">
        <v>0</v>
      </c>
      <c r="L38" s="170">
        <v>0</v>
      </c>
      <c r="M38" s="170">
        <v>0</v>
      </c>
      <c r="N38" s="170">
        <v>0</v>
      </c>
      <c r="O38" s="170">
        <v>0</v>
      </c>
      <c r="P38" s="170"/>
      <c r="Q38" s="83"/>
    </row>
    <row r="39" spans="1:17" x14ac:dyDescent="0.25">
      <c r="A39" s="219"/>
      <c r="B39" s="220" t="s">
        <v>305</v>
      </c>
      <c r="C39" s="178" t="s">
        <v>288</v>
      </c>
      <c r="D39" s="170">
        <v>1128.3</v>
      </c>
      <c r="E39" s="170">
        <v>50</v>
      </c>
      <c r="F39" s="170">
        <v>0</v>
      </c>
      <c r="G39" s="170">
        <v>1078.3</v>
      </c>
      <c r="H39" s="170">
        <v>430</v>
      </c>
      <c r="I39" s="170">
        <v>30</v>
      </c>
      <c r="J39" s="170">
        <v>0</v>
      </c>
      <c r="K39" s="170">
        <v>400</v>
      </c>
      <c r="L39" s="170">
        <v>0</v>
      </c>
      <c r="M39" s="170">
        <v>0</v>
      </c>
      <c r="N39" s="170">
        <v>0</v>
      </c>
      <c r="O39" s="170">
        <v>0</v>
      </c>
      <c r="P39" s="170"/>
      <c r="Q39" s="83"/>
    </row>
    <row r="40" spans="1:17" x14ac:dyDescent="0.25">
      <c r="A40" s="219"/>
      <c r="B40" s="221"/>
      <c r="C40" s="178" t="s">
        <v>302</v>
      </c>
      <c r="D40" s="170">
        <v>7.3</v>
      </c>
      <c r="E40" s="170">
        <v>7.3</v>
      </c>
      <c r="F40" s="170">
        <v>0</v>
      </c>
      <c r="G40" s="170">
        <v>0</v>
      </c>
      <c r="H40" s="170">
        <v>7.3</v>
      </c>
      <c r="I40" s="170">
        <v>7.3</v>
      </c>
      <c r="J40" s="170">
        <v>0</v>
      </c>
      <c r="K40" s="170">
        <v>0</v>
      </c>
      <c r="L40" s="170">
        <v>7.3</v>
      </c>
      <c r="M40" s="170">
        <v>7.3</v>
      </c>
      <c r="N40" s="170">
        <v>0</v>
      </c>
      <c r="O40" s="170">
        <v>0</v>
      </c>
      <c r="P40" s="170"/>
      <c r="Q40" s="83"/>
    </row>
    <row r="41" spans="1:17" x14ac:dyDescent="0.25">
      <c r="A41" s="219"/>
      <c r="B41" s="221"/>
      <c r="C41" s="178" t="s">
        <v>303</v>
      </c>
      <c r="D41" s="170">
        <v>26</v>
      </c>
      <c r="E41" s="170">
        <v>26</v>
      </c>
      <c r="F41" s="170">
        <v>0</v>
      </c>
      <c r="G41" s="170">
        <v>0</v>
      </c>
      <c r="H41" s="170">
        <v>14</v>
      </c>
      <c r="I41" s="170">
        <v>14</v>
      </c>
      <c r="J41" s="170">
        <v>0</v>
      </c>
      <c r="K41" s="170">
        <v>0</v>
      </c>
      <c r="L41" s="170">
        <v>0.7</v>
      </c>
      <c r="M41" s="170">
        <v>0.7</v>
      </c>
      <c r="N41" s="170">
        <v>0</v>
      </c>
      <c r="O41" s="170">
        <v>0</v>
      </c>
      <c r="P41" s="170"/>
      <c r="Q41" s="83"/>
    </row>
    <row r="42" spans="1:17" x14ac:dyDescent="0.25">
      <c r="A42" s="219"/>
      <c r="B42" s="221"/>
      <c r="C42" s="178" t="s">
        <v>291</v>
      </c>
      <c r="D42" s="170">
        <v>5630.1</v>
      </c>
      <c r="E42" s="170">
        <v>5567.1</v>
      </c>
      <c r="F42" s="170">
        <v>0</v>
      </c>
      <c r="G42" s="170">
        <v>63</v>
      </c>
      <c r="H42" s="170">
        <v>3531.2</v>
      </c>
      <c r="I42" s="170">
        <v>3486.2</v>
      </c>
      <c r="J42" s="170">
        <v>0</v>
      </c>
      <c r="K42" s="170">
        <v>45</v>
      </c>
      <c r="L42" s="170">
        <v>2658.9</v>
      </c>
      <c r="M42" s="170">
        <v>2618.3000000000002</v>
      </c>
      <c r="N42" s="170">
        <v>0</v>
      </c>
      <c r="O42" s="170">
        <v>40.6</v>
      </c>
      <c r="P42" s="170"/>
      <c r="Q42" s="83"/>
    </row>
    <row r="43" spans="1:17" x14ac:dyDescent="0.25">
      <c r="A43" s="219"/>
      <c r="B43" s="221"/>
      <c r="C43" s="178" t="s">
        <v>292</v>
      </c>
      <c r="D43" s="170">
        <v>190.6</v>
      </c>
      <c r="E43" s="170">
        <v>0</v>
      </c>
      <c r="F43" s="170">
        <v>0</v>
      </c>
      <c r="G43" s="170">
        <v>190.6</v>
      </c>
      <c r="H43" s="170">
        <v>0</v>
      </c>
      <c r="I43" s="170">
        <v>0</v>
      </c>
      <c r="J43" s="170">
        <v>0</v>
      </c>
      <c r="K43" s="170">
        <v>0</v>
      </c>
      <c r="L43" s="170">
        <v>0</v>
      </c>
      <c r="M43" s="170">
        <v>0</v>
      </c>
      <c r="N43" s="170">
        <v>0</v>
      </c>
      <c r="O43" s="170">
        <v>0</v>
      </c>
      <c r="P43" s="170"/>
      <c r="Q43" s="83"/>
    </row>
    <row r="44" spans="1:17" x14ac:dyDescent="0.25">
      <c r="A44" s="219"/>
      <c r="B44" s="221"/>
      <c r="C44" s="178" t="s">
        <v>293</v>
      </c>
      <c r="D44" s="170">
        <v>4733.3</v>
      </c>
      <c r="E44" s="170">
        <v>4733.3</v>
      </c>
      <c r="F44" s="170">
        <v>38.700000000000003</v>
      </c>
      <c r="G44" s="170">
        <v>0</v>
      </c>
      <c r="H44" s="170">
        <v>2959.9</v>
      </c>
      <c r="I44" s="170">
        <v>2959.9</v>
      </c>
      <c r="J44" s="170">
        <v>19.100000000000001</v>
      </c>
      <c r="K44" s="170">
        <v>0</v>
      </c>
      <c r="L44" s="170">
        <v>2270.6</v>
      </c>
      <c r="M44" s="170">
        <v>2270.6</v>
      </c>
      <c r="N44" s="170">
        <v>16.2</v>
      </c>
      <c r="O44" s="170">
        <v>0</v>
      </c>
      <c r="P44" s="170"/>
      <c r="Q44" s="83"/>
    </row>
    <row r="45" spans="1:17" ht="30" x14ac:dyDescent="0.25">
      <c r="A45" s="219"/>
      <c r="B45" s="222"/>
      <c r="C45" s="178" t="s">
        <v>306</v>
      </c>
      <c r="D45" s="170">
        <v>22.3</v>
      </c>
      <c r="E45" s="170">
        <v>22.3</v>
      </c>
      <c r="F45" s="170">
        <v>0</v>
      </c>
      <c r="G45" s="170">
        <v>0</v>
      </c>
      <c r="H45" s="170">
        <v>22.3</v>
      </c>
      <c r="I45" s="170">
        <v>22.3</v>
      </c>
      <c r="J45" s="170">
        <v>0</v>
      </c>
      <c r="K45" s="170">
        <v>0</v>
      </c>
      <c r="L45" s="170">
        <v>22.1</v>
      </c>
      <c r="M45" s="170">
        <v>22.1</v>
      </c>
      <c r="N45" s="170">
        <v>0</v>
      </c>
      <c r="O45" s="170">
        <v>0</v>
      </c>
      <c r="P45" s="170"/>
      <c r="Q45" s="83"/>
    </row>
    <row r="46" spans="1:17" x14ac:dyDescent="0.25">
      <c r="A46" s="219"/>
      <c r="B46" s="220" t="s">
        <v>307</v>
      </c>
      <c r="C46" s="178" t="s">
        <v>288</v>
      </c>
      <c r="D46" s="170">
        <v>953.6</v>
      </c>
      <c r="E46" s="170">
        <v>0</v>
      </c>
      <c r="F46" s="170">
        <v>0</v>
      </c>
      <c r="G46" s="170">
        <v>953.6</v>
      </c>
      <c r="H46" s="170">
        <v>283.3</v>
      </c>
      <c r="I46" s="170">
        <v>0</v>
      </c>
      <c r="J46" s="170">
        <v>0</v>
      </c>
      <c r="K46" s="170">
        <v>283.3</v>
      </c>
      <c r="L46" s="170">
        <v>0</v>
      </c>
      <c r="M46" s="170">
        <v>0</v>
      </c>
      <c r="N46" s="170">
        <v>0</v>
      </c>
      <c r="O46" s="170">
        <v>0</v>
      </c>
      <c r="P46" s="170"/>
      <c r="Q46" s="83"/>
    </row>
    <row r="47" spans="1:17" x14ac:dyDescent="0.25">
      <c r="A47" s="219"/>
      <c r="B47" s="221"/>
      <c r="C47" s="178" t="s">
        <v>308</v>
      </c>
      <c r="D47" s="170">
        <v>3852.9</v>
      </c>
      <c r="E47" s="170">
        <v>0</v>
      </c>
      <c r="F47" s="170">
        <v>0</v>
      </c>
      <c r="G47" s="170">
        <v>3852.9</v>
      </c>
      <c r="H47" s="170">
        <v>1700</v>
      </c>
      <c r="I47" s="170">
        <v>0</v>
      </c>
      <c r="J47" s="170">
        <v>0</v>
      </c>
      <c r="K47" s="170">
        <v>1700</v>
      </c>
      <c r="L47" s="170">
        <v>824.6</v>
      </c>
      <c r="M47" s="170">
        <v>0</v>
      </c>
      <c r="N47" s="170">
        <v>0</v>
      </c>
      <c r="O47" s="170">
        <v>824.6</v>
      </c>
      <c r="P47" s="170"/>
      <c r="Q47" s="83"/>
    </row>
    <row r="48" spans="1:17" x14ac:dyDescent="0.25">
      <c r="A48" s="219"/>
      <c r="B48" s="221"/>
      <c r="C48" s="178" t="s">
        <v>302</v>
      </c>
      <c r="D48" s="170">
        <v>137.1</v>
      </c>
      <c r="E48" s="170">
        <v>0</v>
      </c>
      <c r="F48" s="170">
        <v>0</v>
      </c>
      <c r="G48" s="170">
        <v>137.1</v>
      </c>
      <c r="H48" s="170">
        <v>137.1</v>
      </c>
      <c r="I48" s="170">
        <v>0</v>
      </c>
      <c r="J48" s="170">
        <v>0</v>
      </c>
      <c r="K48" s="170">
        <v>137.1</v>
      </c>
      <c r="L48" s="170">
        <v>29.7</v>
      </c>
      <c r="M48" s="170">
        <v>0</v>
      </c>
      <c r="N48" s="170">
        <v>0</v>
      </c>
      <c r="O48" s="170">
        <v>29.7</v>
      </c>
      <c r="P48" s="170"/>
      <c r="Q48" s="83"/>
    </row>
    <row r="49" spans="1:17" x14ac:dyDescent="0.25">
      <c r="A49" s="219"/>
      <c r="B49" s="221"/>
      <c r="C49" s="178" t="s">
        <v>303</v>
      </c>
      <c r="D49" s="170">
        <v>857.2</v>
      </c>
      <c r="E49" s="170">
        <v>7.2</v>
      </c>
      <c r="F49" s="170">
        <v>0</v>
      </c>
      <c r="G49" s="170">
        <v>850</v>
      </c>
      <c r="H49" s="170">
        <v>320.60000000000002</v>
      </c>
      <c r="I49" s="170">
        <v>3.6</v>
      </c>
      <c r="J49" s="170">
        <v>0</v>
      </c>
      <c r="K49" s="170">
        <v>317</v>
      </c>
      <c r="L49" s="170">
        <v>164.8</v>
      </c>
      <c r="M49" s="170">
        <v>1.8</v>
      </c>
      <c r="N49" s="170">
        <v>0</v>
      </c>
      <c r="O49" s="170">
        <v>163</v>
      </c>
      <c r="P49" s="170"/>
      <c r="Q49" s="83"/>
    </row>
    <row r="50" spans="1:17" x14ac:dyDescent="0.25">
      <c r="A50" s="219"/>
      <c r="B50" s="221"/>
      <c r="C50" s="178" t="s">
        <v>291</v>
      </c>
      <c r="D50" s="170">
        <v>8408.2999999999993</v>
      </c>
      <c r="E50" s="170">
        <v>3094.1</v>
      </c>
      <c r="F50" s="170">
        <v>0</v>
      </c>
      <c r="G50" s="170">
        <v>5314.2</v>
      </c>
      <c r="H50" s="170">
        <v>5902.4</v>
      </c>
      <c r="I50" s="170">
        <v>1843.5</v>
      </c>
      <c r="J50" s="170">
        <v>0</v>
      </c>
      <c r="K50" s="170">
        <v>4058.9</v>
      </c>
      <c r="L50" s="170">
        <v>4412.8999999999996</v>
      </c>
      <c r="M50" s="170">
        <v>1553.4</v>
      </c>
      <c r="N50" s="170">
        <v>0</v>
      </c>
      <c r="O50" s="170">
        <v>2859.5</v>
      </c>
      <c r="P50" s="170"/>
      <c r="Q50" s="83"/>
    </row>
    <row r="51" spans="1:17" x14ac:dyDescent="0.25">
      <c r="A51" s="219"/>
      <c r="B51" s="221"/>
      <c r="C51" s="178" t="s">
        <v>292</v>
      </c>
      <c r="D51" s="170">
        <v>85</v>
      </c>
      <c r="E51" s="170">
        <v>0</v>
      </c>
      <c r="F51" s="170">
        <v>0</v>
      </c>
      <c r="G51" s="170">
        <v>85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/>
      <c r="Q51" s="83"/>
    </row>
    <row r="52" spans="1:17" x14ac:dyDescent="0.25">
      <c r="A52" s="219"/>
      <c r="B52" s="221"/>
      <c r="C52" s="178" t="s">
        <v>293</v>
      </c>
      <c r="D52" s="170">
        <v>2560</v>
      </c>
      <c r="E52" s="170">
        <v>1060</v>
      </c>
      <c r="F52" s="170">
        <v>0</v>
      </c>
      <c r="G52" s="170">
        <v>1500</v>
      </c>
      <c r="H52" s="170">
        <v>1030</v>
      </c>
      <c r="I52" s="170">
        <v>530</v>
      </c>
      <c r="J52" s="170">
        <v>0</v>
      </c>
      <c r="K52" s="170">
        <v>500</v>
      </c>
      <c r="L52" s="170">
        <v>198.2</v>
      </c>
      <c r="M52" s="170">
        <v>198.2</v>
      </c>
      <c r="N52" s="170">
        <v>0</v>
      </c>
      <c r="O52" s="170">
        <v>0</v>
      </c>
      <c r="P52" s="170"/>
      <c r="Q52" s="83"/>
    </row>
    <row r="53" spans="1:17" x14ac:dyDescent="0.25">
      <c r="A53" s="219"/>
      <c r="B53" s="222"/>
      <c r="C53" s="178" t="s">
        <v>309</v>
      </c>
      <c r="D53" s="170">
        <v>2161.6999999999998</v>
      </c>
      <c r="E53" s="170">
        <v>2061.6999999999998</v>
      </c>
      <c r="F53" s="170">
        <v>0</v>
      </c>
      <c r="G53" s="170">
        <v>100</v>
      </c>
      <c r="H53" s="170">
        <v>1573.7</v>
      </c>
      <c r="I53" s="170">
        <v>1473.7</v>
      </c>
      <c r="J53" s="170">
        <v>0</v>
      </c>
      <c r="K53" s="170">
        <v>100</v>
      </c>
      <c r="L53" s="170">
        <v>1020.5</v>
      </c>
      <c r="M53" s="170">
        <v>1017.9</v>
      </c>
      <c r="N53" s="170">
        <v>0</v>
      </c>
      <c r="O53" s="170">
        <v>2.6</v>
      </c>
      <c r="P53" s="170"/>
      <c r="Q53" s="83"/>
    </row>
    <row r="54" spans="1:17" ht="60" x14ac:dyDescent="0.25">
      <c r="A54" s="219"/>
      <c r="B54" s="179" t="s">
        <v>353</v>
      </c>
      <c r="C54" s="178" t="s">
        <v>291</v>
      </c>
      <c r="D54" s="170">
        <v>3711.3</v>
      </c>
      <c r="E54" s="170">
        <v>972.6</v>
      </c>
      <c r="F54" s="170">
        <v>0</v>
      </c>
      <c r="G54" s="170">
        <v>2738.7</v>
      </c>
      <c r="H54" s="170">
        <v>3121.6</v>
      </c>
      <c r="I54" s="170">
        <v>577.9</v>
      </c>
      <c r="J54" s="170">
        <v>0</v>
      </c>
      <c r="K54" s="170">
        <v>2543.6999999999998</v>
      </c>
      <c r="L54" s="170">
        <v>2503.4</v>
      </c>
      <c r="M54" s="170">
        <v>350.9</v>
      </c>
      <c r="N54" s="170">
        <v>0</v>
      </c>
      <c r="O54" s="170">
        <v>2152.5</v>
      </c>
      <c r="P54" s="170"/>
      <c r="Q54" s="83"/>
    </row>
    <row r="55" spans="1:17" x14ac:dyDescent="0.25">
      <c r="A55" s="219"/>
      <c r="B55" s="220" t="s">
        <v>310</v>
      </c>
      <c r="C55" s="178" t="s">
        <v>311</v>
      </c>
      <c r="D55" s="170">
        <v>2069</v>
      </c>
      <c r="E55" s="170">
        <v>0</v>
      </c>
      <c r="F55" s="170">
        <v>0</v>
      </c>
      <c r="G55" s="170">
        <v>2069</v>
      </c>
      <c r="H55" s="170">
        <v>2069</v>
      </c>
      <c r="I55" s="170">
        <v>0</v>
      </c>
      <c r="J55" s="170">
        <v>0</v>
      </c>
      <c r="K55" s="170">
        <v>2069</v>
      </c>
      <c r="L55" s="170">
        <v>2069</v>
      </c>
      <c r="M55" s="170">
        <v>0</v>
      </c>
      <c r="N55" s="170">
        <v>0</v>
      </c>
      <c r="O55" s="170">
        <v>2069</v>
      </c>
      <c r="P55" s="170"/>
      <c r="Q55" s="83"/>
    </row>
    <row r="56" spans="1:17" x14ac:dyDescent="0.25">
      <c r="A56" s="219"/>
      <c r="B56" s="221"/>
      <c r="C56" s="178" t="s">
        <v>291</v>
      </c>
      <c r="D56" s="170">
        <v>3751.6</v>
      </c>
      <c r="E56" s="170">
        <v>1224.5</v>
      </c>
      <c r="F56" s="170">
        <v>368.8</v>
      </c>
      <c r="G56" s="170">
        <v>2527.1</v>
      </c>
      <c r="H56" s="170">
        <v>3216.9</v>
      </c>
      <c r="I56" s="170">
        <v>689.8</v>
      </c>
      <c r="J56" s="170">
        <v>185.4</v>
      </c>
      <c r="K56" s="170">
        <v>2527.1</v>
      </c>
      <c r="L56" s="170">
        <v>1988.7</v>
      </c>
      <c r="M56" s="170">
        <v>639.5</v>
      </c>
      <c r="N56" s="170">
        <v>175.4</v>
      </c>
      <c r="O56" s="170">
        <v>1349.2</v>
      </c>
      <c r="P56" s="170"/>
      <c r="Q56" s="83"/>
    </row>
    <row r="57" spans="1:17" x14ac:dyDescent="0.25">
      <c r="A57" s="219"/>
      <c r="B57" s="222"/>
      <c r="C57" s="178" t="s">
        <v>312</v>
      </c>
      <c r="D57" s="170">
        <v>4000</v>
      </c>
      <c r="E57" s="170">
        <v>0</v>
      </c>
      <c r="F57" s="170">
        <v>0</v>
      </c>
      <c r="G57" s="170">
        <v>4000</v>
      </c>
      <c r="H57" s="170">
        <v>4000</v>
      </c>
      <c r="I57" s="170">
        <v>0</v>
      </c>
      <c r="J57" s="170">
        <v>0</v>
      </c>
      <c r="K57" s="170">
        <v>4000</v>
      </c>
      <c r="L57" s="170">
        <v>4000</v>
      </c>
      <c r="M57" s="170">
        <v>0</v>
      </c>
      <c r="N57" s="170">
        <v>0</v>
      </c>
      <c r="O57" s="170">
        <v>4000</v>
      </c>
      <c r="P57" s="170"/>
      <c r="Q57" s="83"/>
    </row>
    <row r="58" spans="1:17" x14ac:dyDescent="0.25">
      <c r="A58" s="219"/>
      <c r="B58" s="220" t="s">
        <v>352</v>
      </c>
      <c r="C58" s="178" t="s">
        <v>288</v>
      </c>
      <c r="D58" s="170">
        <v>1029.7</v>
      </c>
      <c r="E58" s="170">
        <v>99</v>
      </c>
      <c r="F58" s="170">
        <v>66.599999999999994</v>
      </c>
      <c r="G58" s="170">
        <v>930.7</v>
      </c>
      <c r="H58" s="170">
        <v>396.9</v>
      </c>
      <c r="I58" s="170">
        <v>66.2</v>
      </c>
      <c r="J58" s="170">
        <v>34.200000000000003</v>
      </c>
      <c r="K58" s="170">
        <v>330.7</v>
      </c>
      <c r="L58" s="170">
        <v>27.9</v>
      </c>
      <c r="M58" s="170">
        <v>27.9</v>
      </c>
      <c r="N58" s="170">
        <v>27.5</v>
      </c>
      <c r="O58" s="170">
        <v>0</v>
      </c>
      <c r="P58" s="170"/>
      <c r="Q58" s="83"/>
    </row>
    <row r="59" spans="1:17" x14ac:dyDescent="0.25">
      <c r="A59" s="219"/>
      <c r="B59" s="221"/>
      <c r="C59" s="178" t="s">
        <v>311</v>
      </c>
      <c r="D59" s="170">
        <v>209.8</v>
      </c>
      <c r="E59" s="170">
        <v>0</v>
      </c>
      <c r="F59" s="170">
        <v>0</v>
      </c>
      <c r="G59" s="170">
        <v>209.8</v>
      </c>
      <c r="H59" s="170">
        <v>209.8</v>
      </c>
      <c r="I59" s="170">
        <v>0</v>
      </c>
      <c r="J59" s="170">
        <v>0</v>
      </c>
      <c r="K59" s="170">
        <v>209.8</v>
      </c>
      <c r="L59" s="170">
        <v>20.3</v>
      </c>
      <c r="M59" s="170">
        <v>0</v>
      </c>
      <c r="N59" s="170">
        <v>0</v>
      </c>
      <c r="O59" s="170">
        <v>20.3</v>
      </c>
      <c r="P59" s="170"/>
      <c r="Q59" s="83"/>
    </row>
    <row r="60" spans="1:17" x14ac:dyDescent="0.25">
      <c r="A60" s="219"/>
      <c r="B60" s="221"/>
      <c r="C60" s="178" t="s">
        <v>313</v>
      </c>
      <c r="D60" s="170">
        <v>24</v>
      </c>
      <c r="E60" s="170">
        <v>24</v>
      </c>
      <c r="F60" s="170">
        <v>0</v>
      </c>
      <c r="G60" s="170">
        <v>0</v>
      </c>
      <c r="H60" s="170">
        <v>24</v>
      </c>
      <c r="I60" s="170">
        <v>24</v>
      </c>
      <c r="J60" s="170">
        <v>0</v>
      </c>
      <c r="K60" s="170">
        <v>0</v>
      </c>
      <c r="L60" s="170">
        <v>24</v>
      </c>
      <c r="M60" s="170">
        <v>24</v>
      </c>
      <c r="N60" s="170">
        <v>0</v>
      </c>
      <c r="O60" s="170">
        <v>0</v>
      </c>
      <c r="P60" s="170"/>
      <c r="Q60" s="83"/>
    </row>
    <row r="61" spans="1:17" x14ac:dyDescent="0.25">
      <c r="A61" s="219"/>
      <c r="B61" s="221"/>
      <c r="C61" s="178" t="s">
        <v>303</v>
      </c>
      <c r="D61" s="170">
        <v>97.4</v>
      </c>
      <c r="E61" s="170">
        <v>97.4</v>
      </c>
      <c r="F61" s="170">
        <v>0</v>
      </c>
      <c r="G61" s="170">
        <v>0</v>
      </c>
      <c r="H61" s="170">
        <v>48.4</v>
      </c>
      <c r="I61" s="170">
        <v>48.4</v>
      </c>
      <c r="J61" s="170">
        <v>0</v>
      </c>
      <c r="K61" s="170">
        <v>0</v>
      </c>
      <c r="L61" s="170">
        <v>24.2</v>
      </c>
      <c r="M61" s="170">
        <v>24.2</v>
      </c>
      <c r="N61" s="170">
        <v>0</v>
      </c>
      <c r="O61" s="170">
        <v>0</v>
      </c>
      <c r="P61" s="170"/>
      <c r="Q61" s="83"/>
    </row>
    <row r="62" spans="1:17" x14ac:dyDescent="0.25">
      <c r="A62" s="219"/>
      <c r="B62" s="221"/>
      <c r="C62" s="178" t="s">
        <v>291</v>
      </c>
      <c r="D62" s="170">
        <v>15567.6</v>
      </c>
      <c r="E62" s="170">
        <v>13538.4</v>
      </c>
      <c r="F62" s="170">
        <v>9384.7999999999993</v>
      </c>
      <c r="G62" s="170">
        <v>2029.2</v>
      </c>
      <c r="H62" s="170">
        <v>8253.7000000000007</v>
      </c>
      <c r="I62" s="170">
        <v>7074.3</v>
      </c>
      <c r="J62" s="170">
        <v>4713.8999999999996</v>
      </c>
      <c r="K62" s="170">
        <v>1179.4000000000001</v>
      </c>
      <c r="L62" s="170">
        <v>5692.1</v>
      </c>
      <c r="M62" s="170">
        <v>5370.4</v>
      </c>
      <c r="N62" s="170">
        <v>4178</v>
      </c>
      <c r="O62" s="170">
        <v>321.7</v>
      </c>
      <c r="P62" s="170"/>
      <c r="Q62" s="83"/>
    </row>
    <row r="63" spans="1:17" ht="15.6" x14ac:dyDescent="0.3">
      <c r="A63" s="219"/>
      <c r="B63" s="221"/>
      <c r="C63" s="178" t="s">
        <v>293</v>
      </c>
      <c r="D63" s="170">
        <v>2021.4</v>
      </c>
      <c r="E63" s="170">
        <v>821.4</v>
      </c>
      <c r="F63" s="170">
        <v>764.2</v>
      </c>
      <c r="G63" s="170">
        <v>1200</v>
      </c>
      <c r="H63" s="170">
        <v>1004.4</v>
      </c>
      <c r="I63" s="170">
        <v>404.4</v>
      </c>
      <c r="J63" s="170">
        <v>380.9</v>
      </c>
      <c r="K63" s="170">
        <v>600</v>
      </c>
      <c r="L63" s="170">
        <v>316.10000000000002</v>
      </c>
      <c r="M63" s="170">
        <v>316.10000000000002</v>
      </c>
      <c r="N63" s="170">
        <v>306.10000000000002</v>
      </c>
      <c r="O63" s="170">
        <v>0</v>
      </c>
      <c r="P63" s="173"/>
      <c r="Q63" s="173"/>
    </row>
    <row r="64" spans="1:17" ht="30" x14ac:dyDescent="0.25">
      <c r="A64" s="219"/>
      <c r="B64" s="221"/>
      <c r="C64" s="178" t="s">
        <v>306</v>
      </c>
      <c r="D64" s="170">
        <v>0.2</v>
      </c>
      <c r="E64" s="170">
        <v>0.2</v>
      </c>
      <c r="F64" s="170">
        <v>0.2</v>
      </c>
      <c r="G64" s="170">
        <v>0</v>
      </c>
      <c r="H64" s="170">
        <v>0.2</v>
      </c>
      <c r="I64" s="170">
        <v>0.2</v>
      </c>
      <c r="J64" s="170">
        <v>0.2</v>
      </c>
      <c r="K64" s="170">
        <v>0</v>
      </c>
      <c r="L64" s="170">
        <v>0</v>
      </c>
      <c r="M64" s="170">
        <v>0</v>
      </c>
      <c r="N64" s="170">
        <v>0</v>
      </c>
      <c r="O64" s="170">
        <v>0</v>
      </c>
      <c r="P64" s="170"/>
      <c r="Q64" s="83"/>
    </row>
    <row r="65" spans="1:17" x14ac:dyDescent="0.25">
      <c r="A65" s="192"/>
      <c r="B65" s="222"/>
      <c r="C65" s="178" t="s">
        <v>294</v>
      </c>
      <c r="D65" s="170">
        <v>14.4</v>
      </c>
      <c r="E65" s="170">
        <v>14.4</v>
      </c>
      <c r="F65" s="170">
        <v>14.1</v>
      </c>
      <c r="G65" s="170">
        <v>0</v>
      </c>
      <c r="H65" s="170">
        <v>7.9</v>
      </c>
      <c r="I65" s="170">
        <v>7.9</v>
      </c>
      <c r="J65" s="170">
        <v>7.6</v>
      </c>
      <c r="K65" s="170">
        <v>0</v>
      </c>
      <c r="L65" s="170">
        <v>6.9</v>
      </c>
      <c r="M65" s="170">
        <v>6.9</v>
      </c>
      <c r="N65" s="170">
        <v>6.8</v>
      </c>
      <c r="O65" s="170">
        <v>0</v>
      </c>
      <c r="P65" s="170"/>
      <c r="Q65" s="83"/>
    </row>
    <row r="66" spans="1:17" ht="31.2" x14ac:dyDescent="0.3">
      <c r="A66" s="175" t="s">
        <v>314</v>
      </c>
      <c r="B66" s="175"/>
      <c r="C66" s="176"/>
      <c r="D66" s="177">
        <f t="shared" ref="D66:O66" si="1">SUBTOTAL(9,D67:D70)</f>
        <v>1829</v>
      </c>
      <c r="E66" s="177">
        <f t="shared" si="1"/>
        <v>1658</v>
      </c>
      <c r="F66" s="177">
        <f t="shared" si="1"/>
        <v>1432.8</v>
      </c>
      <c r="G66" s="177">
        <f t="shared" si="1"/>
        <v>171</v>
      </c>
      <c r="H66" s="177">
        <f t="shared" si="1"/>
        <v>987.2</v>
      </c>
      <c r="I66" s="177">
        <f t="shared" si="1"/>
        <v>859.6</v>
      </c>
      <c r="J66" s="177">
        <f t="shared" si="1"/>
        <v>720</v>
      </c>
      <c r="K66" s="177">
        <f t="shared" si="1"/>
        <v>127.6</v>
      </c>
      <c r="L66" s="177">
        <f t="shared" si="1"/>
        <v>860</v>
      </c>
      <c r="M66" s="177">
        <f t="shared" si="1"/>
        <v>777.7</v>
      </c>
      <c r="N66" s="177">
        <f t="shared" si="1"/>
        <v>671.8</v>
      </c>
      <c r="O66" s="177">
        <f t="shared" si="1"/>
        <v>82.3</v>
      </c>
      <c r="P66" s="173">
        <f>SUM(L66/D66*100)</f>
        <v>47.020229633679605</v>
      </c>
      <c r="Q66" s="173">
        <f>SUM(L66/H66*100)</f>
        <v>87.115072933549428</v>
      </c>
    </row>
    <row r="67" spans="1:17" ht="15.6" x14ac:dyDescent="0.3">
      <c r="A67" s="191"/>
      <c r="B67" s="220" t="s">
        <v>353</v>
      </c>
      <c r="C67" s="178" t="s">
        <v>303</v>
      </c>
      <c r="D67" s="170">
        <v>15</v>
      </c>
      <c r="E67" s="170">
        <v>15</v>
      </c>
      <c r="F67" s="170">
        <v>0</v>
      </c>
      <c r="G67" s="170">
        <v>0</v>
      </c>
      <c r="H67" s="170">
        <v>9.1</v>
      </c>
      <c r="I67" s="170">
        <v>9.1</v>
      </c>
      <c r="J67" s="170">
        <v>0</v>
      </c>
      <c r="K67" s="170">
        <v>0</v>
      </c>
      <c r="L67" s="170">
        <v>4</v>
      </c>
      <c r="M67" s="170">
        <v>4</v>
      </c>
      <c r="N67" s="170">
        <v>0</v>
      </c>
      <c r="O67" s="170">
        <v>0</v>
      </c>
      <c r="P67" s="173"/>
      <c r="Q67" s="173"/>
    </row>
    <row r="68" spans="1:17" ht="15.6" x14ac:dyDescent="0.3">
      <c r="A68" s="219"/>
      <c r="B68" s="221"/>
      <c r="C68" s="178" t="s">
        <v>291</v>
      </c>
      <c r="D68" s="170">
        <v>1697.2</v>
      </c>
      <c r="E68" s="170">
        <v>1643</v>
      </c>
      <c r="F68" s="170">
        <v>1432.8</v>
      </c>
      <c r="G68" s="170">
        <v>54.2</v>
      </c>
      <c r="H68" s="170">
        <v>904.7</v>
      </c>
      <c r="I68" s="170">
        <v>850.5</v>
      </c>
      <c r="J68" s="170">
        <v>720</v>
      </c>
      <c r="K68" s="170">
        <v>54.2</v>
      </c>
      <c r="L68" s="170">
        <v>782.9</v>
      </c>
      <c r="M68" s="170">
        <v>773.7</v>
      </c>
      <c r="N68" s="170">
        <v>671.8</v>
      </c>
      <c r="O68" s="170">
        <v>9.1999999999999993</v>
      </c>
      <c r="P68" s="173"/>
      <c r="Q68" s="173"/>
    </row>
    <row r="69" spans="1:17" ht="30" customHeight="1" x14ac:dyDescent="0.25">
      <c r="A69" s="219"/>
      <c r="B69" s="222"/>
      <c r="C69" s="178" t="s">
        <v>293</v>
      </c>
      <c r="D69" s="170">
        <v>86.8</v>
      </c>
      <c r="E69" s="170">
        <v>0</v>
      </c>
      <c r="F69" s="170">
        <v>0</v>
      </c>
      <c r="G69" s="170">
        <v>86.8</v>
      </c>
      <c r="H69" s="170">
        <v>43.4</v>
      </c>
      <c r="I69" s="170">
        <v>0</v>
      </c>
      <c r="J69" s="170">
        <v>0</v>
      </c>
      <c r="K69" s="170">
        <v>43.4</v>
      </c>
      <c r="L69" s="170">
        <v>43.1</v>
      </c>
      <c r="M69" s="170">
        <v>0</v>
      </c>
      <c r="N69" s="170">
        <v>0</v>
      </c>
      <c r="O69" s="170">
        <v>43.1</v>
      </c>
      <c r="P69" s="170"/>
      <c r="Q69" s="83"/>
    </row>
    <row r="70" spans="1:17" ht="50.4" customHeight="1" x14ac:dyDescent="0.25">
      <c r="A70" s="192"/>
      <c r="B70" s="179" t="s">
        <v>352</v>
      </c>
      <c r="C70" s="178" t="s">
        <v>291</v>
      </c>
      <c r="D70" s="170">
        <v>30</v>
      </c>
      <c r="E70" s="170">
        <v>0</v>
      </c>
      <c r="F70" s="170">
        <v>0</v>
      </c>
      <c r="G70" s="170">
        <v>30</v>
      </c>
      <c r="H70" s="170">
        <v>30</v>
      </c>
      <c r="I70" s="170">
        <v>0</v>
      </c>
      <c r="J70" s="170">
        <v>0</v>
      </c>
      <c r="K70" s="170">
        <v>30</v>
      </c>
      <c r="L70" s="170">
        <v>30</v>
      </c>
      <c r="M70" s="170">
        <v>0</v>
      </c>
      <c r="N70" s="170">
        <v>0</v>
      </c>
      <c r="O70" s="170">
        <v>30</v>
      </c>
      <c r="P70" s="170"/>
      <c r="Q70" s="83"/>
    </row>
    <row r="71" spans="1:17" ht="48" customHeight="1" x14ac:dyDescent="0.3">
      <c r="A71" s="175" t="s">
        <v>315</v>
      </c>
      <c r="B71" s="175"/>
      <c r="C71" s="176"/>
      <c r="D71" s="177">
        <f t="shared" ref="D71:O71" si="2">SUBTOTAL(9,D72:D76)</f>
        <v>3382.3</v>
      </c>
      <c r="E71" s="177">
        <f t="shared" si="2"/>
        <v>3370.4</v>
      </c>
      <c r="F71" s="177">
        <f t="shared" si="2"/>
        <v>2934.2999999999997</v>
      </c>
      <c r="G71" s="177">
        <f t="shared" si="2"/>
        <v>11.9</v>
      </c>
      <c r="H71" s="177">
        <f t="shared" si="2"/>
        <v>2071.4</v>
      </c>
      <c r="I71" s="177">
        <f t="shared" si="2"/>
        <v>2059.5</v>
      </c>
      <c r="J71" s="177">
        <f t="shared" si="2"/>
        <v>1817.4</v>
      </c>
      <c r="K71" s="177">
        <f t="shared" si="2"/>
        <v>11.9</v>
      </c>
      <c r="L71" s="177">
        <f t="shared" si="2"/>
        <v>1314.6000000000001</v>
      </c>
      <c r="M71" s="177">
        <f t="shared" si="2"/>
        <v>1312.5</v>
      </c>
      <c r="N71" s="177">
        <f t="shared" si="2"/>
        <v>1164.5999999999999</v>
      </c>
      <c r="O71" s="177">
        <f t="shared" si="2"/>
        <v>2.1</v>
      </c>
      <c r="P71" s="173">
        <f>SUM(L71/D71*100)</f>
        <v>38.867043136327354</v>
      </c>
      <c r="Q71" s="173">
        <f>SUM(L71/H71*100)</f>
        <v>63.464323645843393</v>
      </c>
    </row>
    <row r="72" spans="1:17" ht="15.6" x14ac:dyDescent="0.3">
      <c r="A72" s="191"/>
      <c r="B72" s="220" t="s">
        <v>287</v>
      </c>
      <c r="C72" s="178" t="s">
        <v>289</v>
      </c>
      <c r="D72" s="170">
        <v>2597.6999999999998</v>
      </c>
      <c r="E72" s="170">
        <v>2597.6999999999998</v>
      </c>
      <c r="F72" s="170">
        <v>2433.8000000000002</v>
      </c>
      <c r="G72" s="170">
        <v>0</v>
      </c>
      <c r="H72" s="170">
        <v>1588</v>
      </c>
      <c r="I72" s="170">
        <v>1588</v>
      </c>
      <c r="J72" s="170">
        <v>1521.6</v>
      </c>
      <c r="K72" s="170">
        <v>0</v>
      </c>
      <c r="L72" s="170">
        <v>974</v>
      </c>
      <c r="M72" s="170">
        <v>974</v>
      </c>
      <c r="N72" s="170">
        <v>946.6</v>
      </c>
      <c r="O72" s="170">
        <v>0</v>
      </c>
      <c r="P72" s="173"/>
      <c r="Q72" s="173"/>
    </row>
    <row r="73" spans="1:17" ht="15.6" x14ac:dyDescent="0.3">
      <c r="A73" s="219"/>
      <c r="B73" s="221"/>
      <c r="C73" s="178" t="s">
        <v>290</v>
      </c>
      <c r="D73" s="170">
        <v>2.4</v>
      </c>
      <c r="E73" s="170">
        <v>2.4</v>
      </c>
      <c r="F73" s="170">
        <v>2.4</v>
      </c>
      <c r="G73" s="170">
        <v>0</v>
      </c>
      <c r="H73" s="170">
        <v>2.4</v>
      </c>
      <c r="I73" s="170">
        <v>2.4</v>
      </c>
      <c r="J73" s="170">
        <v>2.4</v>
      </c>
      <c r="K73" s="170">
        <v>0</v>
      </c>
      <c r="L73" s="170">
        <v>2.4</v>
      </c>
      <c r="M73" s="170">
        <v>2.4</v>
      </c>
      <c r="N73" s="170">
        <v>2.4</v>
      </c>
      <c r="O73" s="170">
        <v>0</v>
      </c>
      <c r="P73" s="173"/>
      <c r="Q73" s="173"/>
    </row>
    <row r="74" spans="1:17" x14ac:dyDescent="0.25">
      <c r="A74" s="219"/>
      <c r="B74" s="221"/>
      <c r="C74" s="178" t="s">
        <v>303</v>
      </c>
      <c r="D74" s="170">
        <v>144.5</v>
      </c>
      <c r="E74" s="170">
        <v>144.5</v>
      </c>
      <c r="F74" s="170">
        <v>18.7</v>
      </c>
      <c r="G74" s="170">
        <v>0</v>
      </c>
      <c r="H74" s="170">
        <v>95.3</v>
      </c>
      <c r="I74" s="170">
        <v>95.3</v>
      </c>
      <c r="J74" s="170">
        <v>10.4</v>
      </c>
      <c r="K74" s="170">
        <v>0</v>
      </c>
      <c r="L74" s="170">
        <v>72.599999999999994</v>
      </c>
      <c r="M74" s="170">
        <v>72.599999999999994</v>
      </c>
      <c r="N74" s="170">
        <v>7.8</v>
      </c>
      <c r="O74" s="170">
        <v>0</v>
      </c>
      <c r="P74" s="170"/>
      <c r="Q74" s="83"/>
    </row>
    <row r="75" spans="1:17" ht="15.6" x14ac:dyDescent="0.3">
      <c r="A75" s="219"/>
      <c r="B75" s="221"/>
      <c r="C75" s="178" t="s">
        <v>291</v>
      </c>
      <c r="D75" s="170">
        <v>605.9</v>
      </c>
      <c r="E75" s="170">
        <v>594</v>
      </c>
      <c r="F75" s="170">
        <v>448.2</v>
      </c>
      <c r="G75" s="170">
        <v>11.9</v>
      </c>
      <c r="H75" s="170">
        <v>364.3</v>
      </c>
      <c r="I75" s="170">
        <v>352.4</v>
      </c>
      <c r="J75" s="170">
        <v>262</v>
      </c>
      <c r="K75" s="170">
        <v>11.9</v>
      </c>
      <c r="L75" s="170">
        <v>254.4</v>
      </c>
      <c r="M75" s="170">
        <v>252.3</v>
      </c>
      <c r="N75" s="170">
        <v>196.8</v>
      </c>
      <c r="O75" s="170">
        <v>2.1</v>
      </c>
      <c r="P75" s="173"/>
      <c r="Q75" s="173"/>
    </row>
    <row r="76" spans="1:17" ht="15.6" x14ac:dyDescent="0.3">
      <c r="A76" s="192"/>
      <c r="B76" s="222"/>
      <c r="C76" s="178" t="s">
        <v>293</v>
      </c>
      <c r="D76" s="170">
        <v>31.8</v>
      </c>
      <c r="E76" s="170">
        <v>31.8</v>
      </c>
      <c r="F76" s="170">
        <v>31.2</v>
      </c>
      <c r="G76" s="170">
        <v>0</v>
      </c>
      <c r="H76" s="170">
        <v>21.4</v>
      </c>
      <c r="I76" s="170">
        <v>21.4</v>
      </c>
      <c r="J76" s="170">
        <v>21</v>
      </c>
      <c r="K76" s="170">
        <v>0</v>
      </c>
      <c r="L76" s="170">
        <v>11.2</v>
      </c>
      <c r="M76" s="170">
        <v>11.2</v>
      </c>
      <c r="N76" s="170">
        <v>11</v>
      </c>
      <c r="O76" s="170">
        <v>0</v>
      </c>
      <c r="P76" s="173"/>
      <c r="Q76" s="173"/>
    </row>
    <row r="77" spans="1:17" ht="31.2" x14ac:dyDescent="0.3">
      <c r="A77" s="175" t="s">
        <v>17</v>
      </c>
      <c r="B77" s="175"/>
      <c r="C77" s="176"/>
      <c r="D77" s="177">
        <f t="shared" ref="D77:O77" si="3">SUBTOTAL(9,D78:D82)</f>
        <v>4354.3</v>
      </c>
      <c r="E77" s="177">
        <f t="shared" si="3"/>
        <v>4328</v>
      </c>
      <c r="F77" s="177">
        <f t="shared" si="3"/>
        <v>3804.8</v>
      </c>
      <c r="G77" s="177">
        <f t="shared" si="3"/>
        <v>26.3</v>
      </c>
      <c r="H77" s="177">
        <f t="shared" si="3"/>
        <v>2733.9</v>
      </c>
      <c r="I77" s="177">
        <f t="shared" si="3"/>
        <v>2711.8</v>
      </c>
      <c r="J77" s="177">
        <f t="shared" si="3"/>
        <v>2405.9</v>
      </c>
      <c r="K77" s="177">
        <f t="shared" si="3"/>
        <v>22.1</v>
      </c>
      <c r="L77" s="177">
        <f t="shared" si="3"/>
        <v>1974.2</v>
      </c>
      <c r="M77" s="177">
        <f t="shared" si="3"/>
        <v>1959.2</v>
      </c>
      <c r="N77" s="177">
        <f t="shared" si="3"/>
        <v>1726.1999999999998</v>
      </c>
      <c r="O77" s="177">
        <f t="shared" si="3"/>
        <v>15</v>
      </c>
      <c r="P77" s="173">
        <f>SUM(L77/D77*100)</f>
        <v>45.339090094848771</v>
      </c>
      <c r="Q77" s="173">
        <f>SUM(L77/H77*100)</f>
        <v>72.21185851713669</v>
      </c>
    </row>
    <row r="78" spans="1:17" x14ac:dyDescent="0.25">
      <c r="A78" s="191"/>
      <c r="B78" s="220" t="s">
        <v>287</v>
      </c>
      <c r="C78" s="178" t="s">
        <v>289</v>
      </c>
      <c r="D78" s="170">
        <v>2962.6</v>
      </c>
      <c r="E78" s="170">
        <v>2958.4</v>
      </c>
      <c r="F78" s="170">
        <v>2820.3</v>
      </c>
      <c r="G78" s="170">
        <v>4.2</v>
      </c>
      <c r="H78" s="170">
        <v>1847.3</v>
      </c>
      <c r="I78" s="170">
        <v>1847.3</v>
      </c>
      <c r="J78" s="170">
        <v>1763.7</v>
      </c>
      <c r="K78" s="170">
        <v>0</v>
      </c>
      <c r="L78" s="170">
        <v>1314.2</v>
      </c>
      <c r="M78" s="170">
        <v>1314.2</v>
      </c>
      <c r="N78" s="170">
        <v>1270.0999999999999</v>
      </c>
      <c r="O78" s="170">
        <v>0</v>
      </c>
      <c r="P78" s="170"/>
      <c r="Q78" s="83"/>
    </row>
    <row r="79" spans="1:17" ht="15.6" x14ac:dyDescent="0.3">
      <c r="A79" s="219"/>
      <c r="B79" s="221"/>
      <c r="C79" s="178" t="s">
        <v>290</v>
      </c>
      <c r="D79" s="170">
        <v>12.2</v>
      </c>
      <c r="E79" s="170">
        <v>12.2</v>
      </c>
      <c r="F79" s="170">
        <v>12</v>
      </c>
      <c r="G79" s="170">
        <v>0</v>
      </c>
      <c r="H79" s="170">
        <v>12.2</v>
      </c>
      <c r="I79" s="170">
        <v>12.2</v>
      </c>
      <c r="J79" s="170">
        <v>12</v>
      </c>
      <c r="K79" s="170">
        <v>0</v>
      </c>
      <c r="L79" s="170">
        <v>12.2</v>
      </c>
      <c r="M79" s="170">
        <v>12.2</v>
      </c>
      <c r="N79" s="170">
        <v>12</v>
      </c>
      <c r="O79" s="170">
        <v>0</v>
      </c>
      <c r="P79" s="173"/>
      <c r="Q79" s="173"/>
    </row>
    <row r="80" spans="1:17" ht="15.6" x14ac:dyDescent="0.3">
      <c r="A80" s="219"/>
      <c r="B80" s="221"/>
      <c r="C80" s="178" t="s">
        <v>303</v>
      </c>
      <c r="D80" s="170">
        <v>183</v>
      </c>
      <c r="E80" s="170">
        <v>183</v>
      </c>
      <c r="F80" s="170">
        <v>16.7</v>
      </c>
      <c r="G80" s="170">
        <v>0</v>
      </c>
      <c r="H80" s="170">
        <v>107.9</v>
      </c>
      <c r="I80" s="170">
        <v>107.9</v>
      </c>
      <c r="J80" s="170">
        <v>11.1</v>
      </c>
      <c r="K80" s="170">
        <v>0</v>
      </c>
      <c r="L80" s="170">
        <v>98.9</v>
      </c>
      <c r="M80" s="170">
        <v>98.9</v>
      </c>
      <c r="N80" s="170">
        <v>9.1999999999999993</v>
      </c>
      <c r="O80" s="170">
        <v>0</v>
      </c>
      <c r="P80" s="173"/>
      <c r="Q80" s="173"/>
    </row>
    <row r="81" spans="1:17" ht="15.6" x14ac:dyDescent="0.3">
      <c r="A81" s="219"/>
      <c r="B81" s="221"/>
      <c r="C81" s="178" t="s">
        <v>291</v>
      </c>
      <c r="D81" s="170">
        <v>1094.2</v>
      </c>
      <c r="E81" s="170">
        <v>1072.0999999999999</v>
      </c>
      <c r="F81" s="170">
        <v>855</v>
      </c>
      <c r="G81" s="170">
        <v>22.1</v>
      </c>
      <c r="H81" s="170">
        <v>673.6</v>
      </c>
      <c r="I81" s="170">
        <v>651.5</v>
      </c>
      <c r="J81" s="170">
        <v>527.5</v>
      </c>
      <c r="K81" s="170">
        <v>22.1</v>
      </c>
      <c r="L81" s="170">
        <v>496.1</v>
      </c>
      <c r="M81" s="170">
        <v>481.1</v>
      </c>
      <c r="N81" s="170">
        <v>382.9</v>
      </c>
      <c r="O81" s="170">
        <v>15</v>
      </c>
      <c r="P81" s="173"/>
      <c r="Q81" s="173"/>
    </row>
    <row r="82" spans="1:17" x14ac:dyDescent="0.25">
      <c r="A82" s="192"/>
      <c r="B82" s="222"/>
      <c r="C82" s="178" t="s">
        <v>293</v>
      </c>
      <c r="D82" s="170">
        <v>102.3</v>
      </c>
      <c r="E82" s="170">
        <v>102.3</v>
      </c>
      <c r="F82" s="170">
        <v>100.8</v>
      </c>
      <c r="G82" s="170">
        <v>0</v>
      </c>
      <c r="H82" s="170">
        <v>92.9</v>
      </c>
      <c r="I82" s="170">
        <v>92.9</v>
      </c>
      <c r="J82" s="170">
        <v>91.6</v>
      </c>
      <c r="K82" s="170">
        <v>0</v>
      </c>
      <c r="L82" s="170">
        <v>52.8</v>
      </c>
      <c r="M82" s="170">
        <v>52.8</v>
      </c>
      <c r="N82" s="170">
        <v>52</v>
      </c>
      <c r="O82" s="170">
        <v>0</v>
      </c>
      <c r="P82" s="170"/>
      <c r="Q82" s="83"/>
    </row>
    <row r="83" spans="1:17" ht="31.2" x14ac:dyDescent="0.3">
      <c r="A83" s="175" t="s">
        <v>177</v>
      </c>
      <c r="B83" s="175"/>
      <c r="C83" s="176"/>
      <c r="D83" s="177">
        <f t="shared" ref="D83:O83" si="4">SUBTOTAL(9,D84:D88)</f>
        <v>3697.5999999999995</v>
      </c>
      <c r="E83" s="177">
        <f t="shared" si="4"/>
        <v>3667.7999999999997</v>
      </c>
      <c r="F83" s="177">
        <f t="shared" si="4"/>
        <v>3249.6</v>
      </c>
      <c r="G83" s="177">
        <f t="shared" si="4"/>
        <v>29.8</v>
      </c>
      <c r="H83" s="177">
        <f t="shared" si="4"/>
        <v>2267.1999999999998</v>
      </c>
      <c r="I83" s="177">
        <f t="shared" si="4"/>
        <v>2257.2999999999997</v>
      </c>
      <c r="J83" s="177">
        <f t="shared" si="4"/>
        <v>1995.8999999999999</v>
      </c>
      <c r="K83" s="177">
        <f t="shared" si="4"/>
        <v>9.9</v>
      </c>
      <c r="L83" s="177">
        <f t="shared" si="4"/>
        <v>1738.1999999999998</v>
      </c>
      <c r="M83" s="177">
        <f t="shared" si="4"/>
        <v>1728.3</v>
      </c>
      <c r="N83" s="177">
        <f t="shared" si="4"/>
        <v>1527.8000000000002</v>
      </c>
      <c r="O83" s="177">
        <f t="shared" si="4"/>
        <v>9.9</v>
      </c>
      <c r="P83" s="173">
        <f>SUM(L83/D83*100)</f>
        <v>47.008870618779753</v>
      </c>
      <c r="Q83" s="173">
        <f>SUM(L83/H83*100)</f>
        <v>76.667254763585035</v>
      </c>
    </row>
    <row r="84" spans="1:17" ht="15.6" x14ac:dyDescent="0.3">
      <c r="A84" s="191"/>
      <c r="B84" s="220" t="s">
        <v>287</v>
      </c>
      <c r="C84" s="178" t="s">
        <v>289</v>
      </c>
      <c r="D84" s="170">
        <v>2492.6999999999998</v>
      </c>
      <c r="E84" s="170">
        <v>2486.6999999999998</v>
      </c>
      <c r="F84" s="170">
        <v>2379.3000000000002</v>
      </c>
      <c r="G84" s="170">
        <v>6</v>
      </c>
      <c r="H84" s="170">
        <v>1543</v>
      </c>
      <c r="I84" s="170">
        <v>1543</v>
      </c>
      <c r="J84" s="170">
        <v>1483.3</v>
      </c>
      <c r="K84" s="170">
        <v>0</v>
      </c>
      <c r="L84" s="170">
        <v>1186.8</v>
      </c>
      <c r="M84" s="170">
        <v>1186.8</v>
      </c>
      <c r="N84" s="170">
        <v>1156.2</v>
      </c>
      <c r="O84" s="170">
        <v>0</v>
      </c>
      <c r="P84" s="173"/>
      <c r="Q84" s="173"/>
    </row>
    <row r="85" spans="1:17" ht="15.6" x14ac:dyDescent="0.3">
      <c r="A85" s="219"/>
      <c r="B85" s="221"/>
      <c r="C85" s="178" t="s">
        <v>290</v>
      </c>
      <c r="D85" s="170">
        <v>9.8000000000000007</v>
      </c>
      <c r="E85" s="170">
        <v>9.8000000000000007</v>
      </c>
      <c r="F85" s="170">
        <v>9.6999999999999993</v>
      </c>
      <c r="G85" s="170">
        <v>0</v>
      </c>
      <c r="H85" s="170">
        <v>9.8000000000000007</v>
      </c>
      <c r="I85" s="170">
        <v>9.8000000000000007</v>
      </c>
      <c r="J85" s="170">
        <v>9.6999999999999993</v>
      </c>
      <c r="K85" s="170">
        <v>0</v>
      </c>
      <c r="L85" s="170">
        <v>9.8000000000000007</v>
      </c>
      <c r="M85" s="170">
        <v>9.8000000000000007</v>
      </c>
      <c r="N85" s="170">
        <v>9.6999999999999993</v>
      </c>
      <c r="O85" s="170">
        <v>0</v>
      </c>
      <c r="P85" s="173"/>
      <c r="Q85" s="173"/>
    </row>
    <row r="86" spans="1:17" x14ac:dyDescent="0.25">
      <c r="A86" s="219"/>
      <c r="B86" s="221"/>
      <c r="C86" s="178" t="s">
        <v>303</v>
      </c>
      <c r="D86" s="170">
        <v>134.1</v>
      </c>
      <c r="E86" s="170">
        <v>134.1</v>
      </c>
      <c r="F86" s="170">
        <v>16.399999999999999</v>
      </c>
      <c r="G86" s="170">
        <v>0</v>
      </c>
      <c r="H86" s="170">
        <v>97</v>
      </c>
      <c r="I86" s="170">
        <v>97</v>
      </c>
      <c r="J86" s="170">
        <v>8.1999999999999993</v>
      </c>
      <c r="K86" s="170">
        <v>0</v>
      </c>
      <c r="L86" s="170">
        <v>93.9</v>
      </c>
      <c r="M86" s="170">
        <v>93.9</v>
      </c>
      <c r="N86" s="170">
        <v>7.4</v>
      </c>
      <c r="O86" s="170">
        <v>0</v>
      </c>
      <c r="P86" s="170"/>
      <c r="Q86" s="83"/>
    </row>
    <row r="87" spans="1:17" ht="15.6" x14ac:dyDescent="0.3">
      <c r="A87" s="219"/>
      <c r="B87" s="221"/>
      <c r="C87" s="178" t="s">
        <v>291</v>
      </c>
      <c r="D87" s="170">
        <v>1041.8</v>
      </c>
      <c r="E87" s="170">
        <v>1018</v>
      </c>
      <c r="F87" s="170">
        <v>825.3</v>
      </c>
      <c r="G87" s="170">
        <v>23.8</v>
      </c>
      <c r="H87" s="170">
        <v>604.29999999999995</v>
      </c>
      <c r="I87" s="170">
        <v>594.4</v>
      </c>
      <c r="J87" s="170">
        <v>481.9</v>
      </c>
      <c r="K87" s="170">
        <v>9.9</v>
      </c>
      <c r="L87" s="170">
        <v>438.6</v>
      </c>
      <c r="M87" s="170">
        <v>428.7</v>
      </c>
      <c r="N87" s="170">
        <v>345.6</v>
      </c>
      <c r="O87" s="170">
        <v>9.9</v>
      </c>
      <c r="P87" s="173"/>
      <c r="Q87" s="173"/>
    </row>
    <row r="88" spans="1:17" ht="15.6" x14ac:dyDescent="0.3">
      <c r="A88" s="192"/>
      <c r="B88" s="222"/>
      <c r="C88" s="178" t="s">
        <v>293</v>
      </c>
      <c r="D88" s="170">
        <v>19.2</v>
      </c>
      <c r="E88" s="170">
        <v>19.2</v>
      </c>
      <c r="F88" s="170">
        <v>18.899999999999999</v>
      </c>
      <c r="G88" s="170">
        <v>0</v>
      </c>
      <c r="H88" s="170">
        <v>13.1</v>
      </c>
      <c r="I88" s="170">
        <v>13.1</v>
      </c>
      <c r="J88" s="170">
        <v>12.8</v>
      </c>
      <c r="K88" s="170">
        <v>0</v>
      </c>
      <c r="L88" s="170">
        <v>9.1</v>
      </c>
      <c r="M88" s="170">
        <v>9.1</v>
      </c>
      <c r="N88" s="170">
        <v>8.9</v>
      </c>
      <c r="O88" s="170">
        <v>0</v>
      </c>
      <c r="P88" s="173"/>
      <c r="Q88" s="173"/>
    </row>
    <row r="89" spans="1:17" ht="31.2" x14ac:dyDescent="0.3">
      <c r="A89" s="175" t="s">
        <v>316</v>
      </c>
      <c r="B89" s="175"/>
      <c r="C89" s="176"/>
      <c r="D89" s="177">
        <f t="shared" ref="D89:O89" si="5">SUBTOTAL(9,D90:D94)</f>
        <v>4655.0999999999995</v>
      </c>
      <c r="E89" s="177">
        <f t="shared" si="5"/>
        <v>4610.8</v>
      </c>
      <c r="F89" s="177">
        <f t="shared" si="5"/>
        <v>4110</v>
      </c>
      <c r="G89" s="177">
        <f t="shared" si="5"/>
        <v>44.300000000000004</v>
      </c>
      <c r="H89" s="177">
        <f t="shared" si="5"/>
        <v>2782.7000000000003</v>
      </c>
      <c r="I89" s="177">
        <f t="shared" si="5"/>
        <v>2782.3</v>
      </c>
      <c r="J89" s="177">
        <f t="shared" si="5"/>
        <v>2508.5</v>
      </c>
      <c r="K89" s="177">
        <f t="shared" si="5"/>
        <v>0.4</v>
      </c>
      <c r="L89" s="177">
        <f t="shared" si="5"/>
        <v>2093.8000000000002</v>
      </c>
      <c r="M89" s="177">
        <f t="shared" si="5"/>
        <v>2093.4</v>
      </c>
      <c r="N89" s="177">
        <f t="shared" si="5"/>
        <v>1903.1000000000001</v>
      </c>
      <c r="O89" s="177">
        <f t="shared" si="5"/>
        <v>0.4</v>
      </c>
      <c r="P89" s="173">
        <f>SUM(L89/D89*100)</f>
        <v>44.978625593435169</v>
      </c>
      <c r="Q89" s="173">
        <f>SUM(L89/H89*100)</f>
        <v>75.243468573687423</v>
      </c>
    </row>
    <row r="90" spans="1:17" x14ac:dyDescent="0.25">
      <c r="A90" s="191"/>
      <c r="B90" s="220" t="s">
        <v>287</v>
      </c>
      <c r="C90" s="178" t="s">
        <v>289</v>
      </c>
      <c r="D90" s="170">
        <v>3101.2</v>
      </c>
      <c r="E90" s="170">
        <v>3092.9</v>
      </c>
      <c r="F90" s="170">
        <v>2942.4</v>
      </c>
      <c r="G90" s="170">
        <v>8.3000000000000007</v>
      </c>
      <c r="H90" s="170">
        <v>1904.3</v>
      </c>
      <c r="I90" s="170">
        <v>1904.3</v>
      </c>
      <c r="J90" s="170">
        <v>1839.4</v>
      </c>
      <c r="K90" s="170">
        <v>0</v>
      </c>
      <c r="L90" s="170">
        <v>1446.3</v>
      </c>
      <c r="M90" s="170">
        <v>1446.3</v>
      </c>
      <c r="N90" s="170">
        <v>1407</v>
      </c>
      <c r="O90" s="170">
        <v>0</v>
      </c>
      <c r="P90" s="170"/>
      <c r="Q90" s="83"/>
    </row>
    <row r="91" spans="1:17" ht="15.6" x14ac:dyDescent="0.3">
      <c r="A91" s="219"/>
      <c r="B91" s="221"/>
      <c r="C91" s="178" t="s">
        <v>303</v>
      </c>
      <c r="D91" s="170">
        <v>104</v>
      </c>
      <c r="E91" s="170">
        <v>104</v>
      </c>
      <c r="F91" s="170">
        <v>0</v>
      </c>
      <c r="G91" s="170">
        <v>0</v>
      </c>
      <c r="H91" s="170">
        <v>74.400000000000006</v>
      </c>
      <c r="I91" s="170">
        <v>74.400000000000006</v>
      </c>
      <c r="J91" s="170">
        <v>0</v>
      </c>
      <c r="K91" s="170">
        <v>0</v>
      </c>
      <c r="L91" s="170">
        <v>47.6</v>
      </c>
      <c r="M91" s="170">
        <v>47.6</v>
      </c>
      <c r="N91" s="170">
        <v>0</v>
      </c>
      <c r="O91" s="170">
        <v>0</v>
      </c>
      <c r="P91" s="173"/>
      <c r="Q91" s="173"/>
    </row>
    <row r="92" spans="1:17" ht="15.6" x14ac:dyDescent="0.3">
      <c r="A92" s="219"/>
      <c r="B92" s="221"/>
      <c r="C92" s="178" t="s">
        <v>291</v>
      </c>
      <c r="D92" s="170">
        <v>1286.2</v>
      </c>
      <c r="E92" s="170">
        <v>1250.5999999999999</v>
      </c>
      <c r="F92" s="170">
        <v>1007.1</v>
      </c>
      <c r="G92" s="170">
        <v>35.6</v>
      </c>
      <c r="H92" s="170">
        <v>719.7</v>
      </c>
      <c r="I92" s="170">
        <v>719.7</v>
      </c>
      <c r="J92" s="170">
        <v>587</v>
      </c>
      <c r="K92" s="170">
        <v>0</v>
      </c>
      <c r="L92" s="170">
        <v>528.20000000000005</v>
      </c>
      <c r="M92" s="170">
        <v>528.20000000000005</v>
      </c>
      <c r="N92" s="170">
        <v>426.2</v>
      </c>
      <c r="O92" s="170">
        <v>0</v>
      </c>
      <c r="P92" s="173"/>
      <c r="Q92" s="173"/>
    </row>
    <row r="93" spans="1:17" x14ac:dyDescent="0.25">
      <c r="A93" s="219"/>
      <c r="B93" s="222"/>
      <c r="C93" s="178" t="s">
        <v>293</v>
      </c>
      <c r="D93" s="170">
        <v>163.30000000000001</v>
      </c>
      <c r="E93" s="170">
        <v>163.30000000000001</v>
      </c>
      <c r="F93" s="170">
        <v>160.5</v>
      </c>
      <c r="G93" s="170">
        <v>0</v>
      </c>
      <c r="H93" s="170">
        <v>83.9</v>
      </c>
      <c r="I93" s="170">
        <v>83.9</v>
      </c>
      <c r="J93" s="170">
        <v>82.1</v>
      </c>
      <c r="K93" s="170">
        <v>0</v>
      </c>
      <c r="L93" s="170">
        <v>71.3</v>
      </c>
      <c r="M93" s="170">
        <v>71.3</v>
      </c>
      <c r="N93" s="170">
        <v>69.900000000000006</v>
      </c>
      <c r="O93" s="170">
        <v>0</v>
      </c>
      <c r="P93" s="170"/>
      <c r="Q93" s="83"/>
    </row>
    <row r="94" spans="1:17" ht="60" x14ac:dyDescent="0.25">
      <c r="A94" s="192"/>
      <c r="B94" s="179" t="s">
        <v>307</v>
      </c>
      <c r="C94" s="178" t="s">
        <v>317</v>
      </c>
      <c r="D94" s="170">
        <v>0.4</v>
      </c>
      <c r="E94" s="170">
        <v>0</v>
      </c>
      <c r="F94" s="170">
        <v>0</v>
      </c>
      <c r="G94" s="170">
        <v>0.4</v>
      </c>
      <c r="H94" s="170">
        <v>0.4</v>
      </c>
      <c r="I94" s="170">
        <v>0</v>
      </c>
      <c r="J94" s="170">
        <v>0</v>
      </c>
      <c r="K94" s="170">
        <v>0.4</v>
      </c>
      <c r="L94" s="170">
        <v>0.4</v>
      </c>
      <c r="M94" s="170">
        <v>0</v>
      </c>
      <c r="N94" s="170">
        <v>0</v>
      </c>
      <c r="O94" s="170">
        <v>0.4</v>
      </c>
      <c r="P94" s="170"/>
      <c r="Q94" s="83"/>
    </row>
    <row r="95" spans="1:17" ht="31.2" x14ac:dyDescent="0.3">
      <c r="A95" s="175" t="s">
        <v>82</v>
      </c>
      <c r="B95" s="175"/>
      <c r="C95" s="176"/>
      <c r="D95" s="177">
        <f t="shared" ref="D95:O95" si="6">SUBTOTAL(9,D96:D100)</f>
        <v>3404.5</v>
      </c>
      <c r="E95" s="177">
        <f t="shared" si="6"/>
        <v>3358.3</v>
      </c>
      <c r="F95" s="177">
        <f t="shared" si="6"/>
        <v>2984.2999999999997</v>
      </c>
      <c r="G95" s="177">
        <f t="shared" si="6"/>
        <v>46.2</v>
      </c>
      <c r="H95" s="177">
        <f t="shared" si="6"/>
        <v>2162.6000000000004</v>
      </c>
      <c r="I95" s="177">
        <f t="shared" si="6"/>
        <v>2116.4</v>
      </c>
      <c r="J95" s="177">
        <f t="shared" si="6"/>
        <v>1866.9999999999998</v>
      </c>
      <c r="K95" s="177">
        <f t="shared" si="6"/>
        <v>46.2</v>
      </c>
      <c r="L95" s="177">
        <f t="shared" si="6"/>
        <v>1603</v>
      </c>
      <c r="M95" s="177">
        <f t="shared" si="6"/>
        <v>1556.8</v>
      </c>
      <c r="N95" s="177">
        <f t="shared" si="6"/>
        <v>1392.1000000000001</v>
      </c>
      <c r="O95" s="177">
        <f t="shared" si="6"/>
        <v>46.2</v>
      </c>
      <c r="P95" s="173">
        <f>SUM(L95/D95*100)</f>
        <v>47.084740784256127</v>
      </c>
      <c r="Q95" s="173">
        <f>SUM(L95/H95*100)</f>
        <v>74.123739942661601</v>
      </c>
    </row>
    <row r="96" spans="1:17" ht="15.6" x14ac:dyDescent="0.3">
      <c r="A96" s="191"/>
      <c r="B96" s="220" t="s">
        <v>287</v>
      </c>
      <c r="C96" s="178" t="s">
        <v>289</v>
      </c>
      <c r="D96" s="170">
        <v>1863.7</v>
      </c>
      <c r="E96" s="170">
        <v>1863.7</v>
      </c>
      <c r="F96" s="170">
        <v>1787.1</v>
      </c>
      <c r="G96" s="170">
        <v>0</v>
      </c>
      <c r="H96" s="170">
        <v>1156.7</v>
      </c>
      <c r="I96" s="170">
        <v>1156.7</v>
      </c>
      <c r="J96" s="170">
        <v>1112.5999999999999</v>
      </c>
      <c r="K96" s="170">
        <v>0</v>
      </c>
      <c r="L96" s="170">
        <v>877.8</v>
      </c>
      <c r="M96" s="170">
        <v>877.8</v>
      </c>
      <c r="N96" s="170">
        <v>853.2</v>
      </c>
      <c r="O96" s="170">
        <v>0</v>
      </c>
      <c r="P96" s="173"/>
      <c r="Q96" s="173"/>
    </row>
    <row r="97" spans="1:17" x14ac:dyDescent="0.25">
      <c r="A97" s="219"/>
      <c r="B97" s="221"/>
      <c r="C97" s="178" t="s">
        <v>290</v>
      </c>
      <c r="D97" s="170">
        <v>14.2</v>
      </c>
      <c r="E97" s="170">
        <v>14.2</v>
      </c>
      <c r="F97" s="170">
        <v>14</v>
      </c>
      <c r="G97" s="170">
        <v>0</v>
      </c>
      <c r="H97" s="170">
        <v>14.2</v>
      </c>
      <c r="I97" s="170">
        <v>14.2</v>
      </c>
      <c r="J97" s="170">
        <v>14</v>
      </c>
      <c r="K97" s="170">
        <v>0</v>
      </c>
      <c r="L97" s="170">
        <v>14.2</v>
      </c>
      <c r="M97" s="170">
        <v>14.2</v>
      </c>
      <c r="N97" s="170">
        <v>14</v>
      </c>
      <c r="O97" s="170">
        <v>0</v>
      </c>
      <c r="P97" s="170"/>
      <c r="Q97" s="83"/>
    </row>
    <row r="98" spans="1:17" x14ac:dyDescent="0.25">
      <c r="A98" s="219"/>
      <c r="B98" s="221"/>
      <c r="C98" s="178" t="s">
        <v>303</v>
      </c>
      <c r="D98" s="170">
        <v>97.6</v>
      </c>
      <c r="E98" s="170">
        <v>97.6</v>
      </c>
      <c r="F98" s="170">
        <v>9.8000000000000007</v>
      </c>
      <c r="G98" s="170">
        <v>0</v>
      </c>
      <c r="H98" s="170">
        <v>66.099999999999994</v>
      </c>
      <c r="I98" s="170">
        <v>66.099999999999994</v>
      </c>
      <c r="J98" s="170">
        <v>6.8</v>
      </c>
      <c r="K98" s="170">
        <v>0</v>
      </c>
      <c r="L98" s="170">
        <v>39.5</v>
      </c>
      <c r="M98" s="170">
        <v>39.5</v>
      </c>
      <c r="N98" s="170">
        <v>3.8</v>
      </c>
      <c r="O98" s="170">
        <v>0</v>
      </c>
      <c r="P98" s="170"/>
      <c r="Q98" s="83"/>
    </row>
    <row r="99" spans="1:17" ht="15.6" x14ac:dyDescent="0.3">
      <c r="A99" s="219"/>
      <c r="B99" s="221"/>
      <c r="C99" s="178" t="s">
        <v>291</v>
      </c>
      <c r="D99" s="170">
        <v>1397.1</v>
      </c>
      <c r="E99" s="170">
        <v>1350.9</v>
      </c>
      <c r="F99" s="170">
        <v>1142</v>
      </c>
      <c r="G99" s="170">
        <v>46.2</v>
      </c>
      <c r="H99" s="170">
        <v>906.8</v>
      </c>
      <c r="I99" s="170">
        <v>860.6</v>
      </c>
      <c r="J99" s="170">
        <v>715</v>
      </c>
      <c r="K99" s="170">
        <v>46.2</v>
      </c>
      <c r="L99" s="170">
        <v>657.9</v>
      </c>
      <c r="M99" s="170">
        <v>611.70000000000005</v>
      </c>
      <c r="N99" s="170">
        <v>507.7</v>
      </c>
      <c r="O99" s="170">
        <v>46.2</v>
      </c>
      <c r="P99" s="173"/>
      <c r="Q99" s="173"/>
    </row>
    <row r="100" spans="1:17" ht="15.6" x14ac:dyDescent="0.3">
      <c r="A100" s="192"/>
      <c r="B100" s="222"/>
      <c r="C100" s="178" t="s">
        <v>293</v>
      </c>
      <c r="D100" s="170">
        <v>31.9</v>
      </c>
      <c r="E100" s="170">
        <v>31.9</v>
      </c>
      <c r="F100" s="170">
        <v>31.4</v>
      </c>
      <c r="G100" s="170">
        <v>0</v>
      </c>
      <c r="H100" s="170">
        <v>18.8</v>
      </c>
      <c r="I100" s="170">
        <v>18.8</v>
      </c>
      <c r="J100" s="170">
        <v>18.600000000000001</v>
      </c>
      <c r="K100" s="170">
        <v>0</v>
      </c>
      <c r="L100" s="170">
        <v>13.6</v>
      </c>
      <c r="M100" s="170">
        <v>13.6</v>
      </c>
      <c r="N100" s="170">
        <v>13.4</v>
      </c>
      <c r="O100" s="170">
        <v>0</v>
      </c>
      <c r="P100" s="173"/>
      <c r="Q100" s="173"/>
    </row>
    <row r="101" spans="1:17" ht="31.2" x14ac:dyDescent="0.3">
      <c r="A101" s="175" t="s">
        <v>178</v>
      </c>
      <c r="B101" s="175"/>
      <c r="C101" s="176"/>
      <c r="D101" s="177">
        <f t="shared" ref="D101:O101" si="7">SUBTOTAL(9,D102:D106)</f>
        <v>1130.2</v>
      </c>
      <c r="E101" s="177">
        <f t="shared" si="7"/>
        <v>1130.2</v>
      </c>
      <c r="F101" s="177">
        <f t="shared" si="7"/>
        <v>942.19999999999993</v>
      </c>
      <c r="G101" s="177">
        <f t="shared" si="7"/>
        <v>0</v>
      </c>
      <c r="H101" s="177">
        <f t="shared" si="7"/>
        <v>746.69999999999993</v>
      </c>
      <c r="I101" s="177">
        <f t="shared" si="7"/>
        <v>746.69999999999993</v>
      </c>
      <c r="J101" s="177">
        <f t="shared" si="7"/>
        <v>630.19999999999993</v>
      </c>
      <c r="K101" s="177">
        <f t="shared" si="7"/>
        <v>0</v>
      </c>
      <c r="L101" s="177">
        <f t="shared" si="7"/>
        <v>625.1</v>
      </c>
      <c r="M101" s="177">
        <f t="shared" si="7"/>
        <v>625.1</v>
      </c>
      <c r="N101" s="177">
        <f t="shared" si="7"/>
        <v>539.70000000000005</v>
      </c>
      <c r="O101" s="177">
        <f t="shared" si="7"/>
        <v>0</v>
      </c>
      <c r="P101" s="173">
        <f>SUM(L101/D101*100)</f>
        <v>55.308794903556887</v>
      </c>
      <c r="Q101" s="173">
        <f>SUM(L101/H101*100)</f>
        <v>83.715012722646321</v>
      </c>
    </row>
    <row r="102" spans="1:17" x14ac:dyDescent="0.25">
      <c r="A102" s="191"/>
      <c r="B102" s="220" t="s">
        <v>287</v>
      </c>
      <c r="C102" s="178" t="s">
        <v>289</v>
      </c>
      <c r="D102" s="170">
        <v>443.1</v>
      </c>
      <c r="E102" s="170">
        <v>443.1</v>
      </c>
      <c r="F102" s="170">
        <v>430</v>
      </c>
      <c r="G102" s="170">
        <v>0</v>
      </c>
      <c r="H102" s="170">
        <v>288</v>
      </c>
      <c r="I102" s="170">
        <v>288</v>
      </c>
      <c r="J102" s="170">
        <v>279.89999999999998</v>
      </c>
      <c r="K102" s="170">
        <v>0</v>
      </c>
      <c r="L102" s="170">
        <v>260.5</v>
      </c>
      <c r="M102" s="170">
        <v>260.5</v>
      </c>
      <c r="N102" s="170">
        <v>255.7</v>
      </c>
      <c r="O102" s="170">
        <v>0</v>
      </c>
      <c r="P102" s="170"/>
      <c r="Q102" s="83"/>
    </row>
    <row r="103" spans="1:17" x14ac:dyDescent="0.25">
      <c r="A103" s="219"/>
      <c r="B103" s="221"/>
      <c r="C103" s="178" t="s">
        <v>290</v>
      </c>
      <c r="D103" s="170">
        <v>2.4</v>
      </c>
      <c r="E103" s="170">
        <v>2.4</v>
      </c>
      <c r="F103" s="170">
        <v>2.4</v>
      </c>
      <c r="G103" s="170">
        <v>0</v>
      </c>
      <c r="H103" s="170">
        <v>2.4</v>
      </c>
      <c r="I103" s="170">
        <v>2.4</v>
      </c>
      <c r="J103" s="170">
        <v>2.4</v>
      </c>
      <c r="K103" s="170">
        <v>0</v>
      </c>
      <c r="L103" s="170">
        <v>2.4</v>
      </c>
      <c r="M103" s="170">
        <v>2.4</v>
      </c>
      <c r="N103" s="170">
        <v>2.4</v>
      </c>
      <c r="O103" s="170">
        <v>0</v>
      </c>
      <c r="P103" s="170"/>
      <c r="Q103" s="83"/>
    </row>
    <row r="104" spans="1:17" ht="15.6" x14ac:dyDescent="0.3">
      <c r="A104" s="219"/>
      <c r="B104" s="221"/>
      <c r="C104" s="178" t="s">
        <v>303</v>
      </c>
      <c r="D104" s="170">
        <v>54.7</v>
      </c>
      <c r="E104" s="170">
        <v>54.7</v>
      </c>
      <c r="F104" s="170">
        <v>6.3</v>
      </c>
      <c r="G104" s="170">
        <v>0</v>
      </c>
      <c r="H104" s="170">
        <v>33.5</v>
      </c>
      <c r="I104" s="170">
        <v>33.5</v>
      </c>
      <c r="J104" s="170">
        <v>4</v>
      </c>
      <c r="K104" s="170">
        <v>0</v>
      </c>
      <c r="L104" s="170">
        <v>21.5</v>
      </c>
      <c r="M104" s="170">
        <v>21.5</v>
      </c>
      <c r="N104" s="170">
        <v>3.1</v>
      </c>
      <c r="O104" s="170">
        <v>0</v>
      </c>
      <c r="P104" s="173"/>
      <c r="Q104" s="173"/>
    </row>
    <row r="105" spans="1:17" ht="15.6" x14ac:dyDescent="0.3">
      <c r="A105" s="219"/>
      <c r="B105" s="221"/>
      <c r="C105" s="178" t="s">
        <v>291</v>
      </c>
      <c r="D105" s="170">
        <v>620</v>
      </c>
      <c r="E105" s="170">
        <v>620</v>
      </c>
      <c r="F105" s="170">
        <v>493.6</v>
      </c>
      <c r="G105" s="170">
        <v>0</v>
      </c>
      <c r="H105" s="170">
        <v>417.2</v>
      </c>
      <c r="I105" s="170">
        <v>417.2</v>
      </c>
      <c r="J105" s="170">
        <v>338.4</v>
      </c>
      <c r="K105" s="170">
        <v>0</v>
      </c>
      <c r="L105" s="170">
        <v>335.1</v>
      </c>
      <c r="M105" s="170">
        <v>335.1</v>
      </c>
      <c r="N105" s="170">
        <v>273</v>
      </c>
      <c r="O105" s="170">
        <v>0</v>
      </c>
      <c r="P105" s="173"/>
      <c r="Q105" s="173"/>
    </row>
    <row r="106" spans="1:17" x14ac:dyDescent="0.25">
      <c r="A106" s="192"/>
      <c r="B106" s="222"/>
      <c r="C106" s="178" t="s">
        <v>293</v>
      </c>
      <c r="D106" s="170">
        <v>10</v>
      </c>
      <c r="E106" s="170">
        <v>10</v>
      </c>
      <c r="F106" s="170">
        <v>9.9</v>
      </c>
      <c r="G106" s="170">
        <v>0</v>
      </c>
      <c r="H106" s="170">
        <v>5.6</v>
      </c>
      <c r="I106" s="170">
        <v>5.6</v>
      </c>
      <c r="J106" s="170">
        <v>5.5</v>
      </c>
      <c r="K106" s="170">
        <v>0</v>
      </c>
      <c r="L106" s="170">
        <v>5.6</v>
      </c>
      <c r="M106" s="170">
        <v>5.6</v>
      </c>
      <c r="N106" s="170">
        <v>5.5</v>
      </c>
      <c r="O106" s="170">
        <v>0</v>
      </c>
      <c r="P106" s="170"/>
      <c r="Q106" s="83"/>
    </row>
    <row r="107" spans="1:17" ht="33.6" customHeight="1" x14ac:dyDescent="0.3">
      <c r="A107" s="175" t="s">
        <v>19</v>
      </c>
      <c r="B107" s="175"/>
      <c r="C107" s="176"/>
      <c r="D107" s="177">
        <f t="shared" ref="D107:O107" si="8">SUBTOTAL(9,D108:D112)</f>
        <v>3598.7999999999997</v>
      </c>
      <c r="E107" s="177">
        <f t="shared" si="8"/>
        <v>3509.4</v>
      </c>
      <c r="F107" s="177">
        <f t="shared" si="8"/>
        <v>3179.5</v>
      </c>
      <c r="G107" s="177">
        <f t="shared" si="8"/>
        <v>89.399999999999991</v>
      </c>
      <c r="H107" s="177">
        <f t="shared" si="8"/>
        <v>2213.6999999999998</v>
      </c>
      <c r="I107" s="177">
        <f t="shared" si="8"/>
        <v>2135.5</v>
      </c>
      <c r="J107" s="177">
        <f t="shared" si="8"/>
        <v>1937.8</v>
      </c>
      <c r="K107" s="177">
        <f t="shared" si="8"/>
        <v>78.2</v>
      </c>
      <c r="L107" s="177">
        <f t="shared" si="8"/>
        <v>1814.4999999999998</v>
      </c>
      <c r="M107" s="177">
        <f t="shared" si="8"/>
        <v>1810.4999999999998</v>
      </c>
      <c r="N107" s="177">
        <f t="shared" si="8"/>
        <v>1667.8999999999999</v>
      </c>
      <c r="O107" s="177">
        <f t="shared" si="8"/>
        <v>4</v>
      </c>
      <c r="P107" s="173">
        <f>SUM(L107/D107*100)</f>
        <v>50.419584305879738</v>
      </c>
      <c r="Q107" s="173">
        <f>SUM(L107/H107*100)</f>
        <v>81.96684284230021</v>
      </c>
    </row>
    <row r="108" spans="1:17" x14ac:dyDescent="0.25">
      <c r="A108" s="191"/>
      <c r="B108" s="220" t="s">
        <v>287</v>
      </c>
      <c r="C108" s="178" t="s">
        <v>289</v>
      </c>
      <c r="D108" s="170">
        <v>1861.9</v>
      </c>
      <c r="E108" s="170">
        <v>1858.3</v>
      </c>
      <c r="F108" s="170">
        <v>1790.3</v>
      </c>
      <c r="G108" s="170">
        <v>3.6</v>
      </c>
      <c r="H108" s="170">
        <v>1129.3</v>
      </c>
      <c r="I108" s="170">
        <v>1129.3</v>
      </c>
      <c r="J108" s="170">
        <v>1086.4000000000001</v>
      </c>
      <c r="K108" s="170">
        <v>0</v>
      </c>
      <c r="L108" s="170">
        <v>955.2</v>
      </c>
      <c r="M108" s="170">
        <v>955.2</v>
      </c>
      <c r="N108" s="170">
        <v>928.4</v>
      </c>
      <c r="O108" s="170">
        <v>0</v>
      </c>
      <c r="P108" s="170"/>
      <c r="Q108" s="83"/>
    </row>
    <row r="109" spans="1:17" ht="15.6" x14ac:dyDescent="0.3">
      <c r="A109" s="219"/>
      <c r="B109" s="221"/>
      <c r="C109" s="178" t="s">
        <v>290</v>
      </c>
      <c r="D109" s="170">
        <v>26.9</v>
      </c>
      <c r="E109" s="170">
        <v>26.9</v>
      </c>
      <c r="F109" s="170">
        <v>26.5</v>
      </c>
      <c r="G109" s="170">
        <v>0</v>
      </c>
      <c r="H109" s="170">
        <v>26.9</v>
      </c>
      <c r="I109" s="170">
        <v>26.9</v>
      </c>
      <c r="J109" s="170">
        <v>26.5</v>
      </c>
      <c r="K109" s="170">
        <v>0</v>
      </c>
      <c r="L109" s="170">
        <v>26.9</v>
      </c>
      <c r="M109" s="170">
        <v>26.9</v>
      </c>
      <c r="N109" s="170">
        <v>26.5</v>
      </c>
      <c r="O109" s="170">
        <v>0</v>
      </c>
      <c r="P109" s="173"/>
      <c r="Q109" s="173"/>
    </row>
    <row r="110" spans="1:17" ht="15.6" x14ac:dyDescent="0.3">
      <c r="A110" s="219"/>
      <c r="B110" s="221"/>
      <c r="C110" s="178" t="s">
        <v>303</v>
      </c>
      <c r="D110" s="170">
        <v>121.8</v>
      </c>
      <c r="E110" s="170">
        <v>121.8</v>
      </c>
      <c r="F110" s="170">
        <v>12.4</v>
      </c>
      <c r="G110" s="170">
        <v>0</v>
      </c>
      <c r="H110" s="170">
        <v>66.599999999999994</v>
      </c>
      <c r="I110" s="170">
        <v>66.599999999999994</v>
      </c>
      <c r="J110" s="170">
        <v>6.3</v>
      </c>
      <c r="K110" s="170">
        <v>0</v>
      </c>
      <c r="L110" s="170">
        <v>51.5</v>
      </c>
      <c r="M110" s="170">
        <v>51.5</v>
      </c>
      <c r="N110" s="170">
        <v>3.4</v>
      </c>
      <c r="O110" s="170">
        <v>0</v>
      </c>
      <c r="P110" s="173"/>
      <c r="Q110" s="173"/>
    </row>
    <row r="111" spans="1:17" ht="15.6" x14ac:dyDescent="0.3">
      <c r="A111" s="219"/>
      <c r="B111" s="221"/>
      <c r="C111" s="178" t="s">
        <v>291</v>
      </c>
      <c r="D111" s="170">
        <v>1489.6</v>
      </c>
      <c r="E111" s="170">
        <v>1403.8</v>
      </c>
      <c r="F111" s="170">
        <v>1253.0999999999999</v>
      </c>
      <c r="G111" s="170">
        <v>85.8</v>
      </c>
      <c r="H111" s="170">
        <v>903.3</v>
      </c>
      <c r="I111" s="170">
        <v>825.1</v>
      </c>
      <c r="J111" s="170">
        <v>732.3</v>
      </c>
      <c r="K111" s="170">
        <v>78.2</v>
      </c>
      <c r="L111" s="170">
        <v>708.6</v>
      </c>
      <c r="M111" s="170">
        <v>704.6</v>
      </c>
      <c r="N111" s="170">
        <v>638.5</v>
      </c>
      <c r="O111" s="170">
        <v>4</v>
      </c>
      <c r="P111" s="173"/>
      <c r="Q111" s="173"/>
    </row>
    <row r="112" spans="1:17" x14ac:dyDescent="0.25">
      <c r="A112" s="192"/>
      <c r="B112" s="222"/>
      <c r="C112" s="178" t="s">
        <v>293</v>
      </c>
      <c r="D112" s="170">
        <v>98.6</v>
      </c>
      <c r="E112" s="170">
        <v>98.6</v>
      </c>
      <c r="F112" s="170">
        <v>97.2</v>
      </c>
      <c r="G112" s="170">
        <v>0</v>
      </c>
      <c r="H112" s="170">
        <v>87.6</v>
      </c>
      <c r="I112" s="170">
        <v>87.6</v>
      </c>
      <c r="J112" s="170">
        <v>86.3</v>
      </c>
      <c r="K112" s="170">
        <v>0</v>
      </c>
      <c r="L112" s="170">
        <v>72.3</v>
      </c>
      <c r="M112" s="170">
        <v>72.3</v>
      </c>
      <c r="N112" s="170">
        <v>71.099999999999994</v>
      </c>
      <c r="O112" s="170">
        <v>0</v>
      </c>
      <c r="P112" s="170"/>
      <c r="Q112" s="83"/>
    </row>
    <row r="113" spans="1:17" ht="31.2" x14ac:dyDescent="0.3">
      <c r="A113" s="175" t="s">
        <v>22</v>
      </c>
      <c r="B113" s="175"/>
      <c r="C113" s="176"/>
      <c r="D113" s="177">
        <f t="shared" ref="D113:O113" si="9">SUBTOTAL(9,D114:D118)</f>
        <v>1747.2</v>
      </c>
      <c r="E113" s="177">
        <f t="shared" si="9"/>
        <v>1708.8000000000002</v>
      </c>
      <c r="F113" s="177">
        <f t="shared" si="9"/>
        <v>1512.3</v>
      </c>
      <c r="G113" s="177">
        <f t="shared" si="9"/>
        <v>38.4</v>
      </c>
      <c r="H113" s="177">
        <f t="shared" si="9"/>
        <v>1092.2000000000003</v>
      </c>
      <c r="I113" s="177">
        <f t="shared" si="9"/>
        <v>1061.4000000000001</v>
      </c>
      <c r="J113" s="177">
        <f t="shared" si="9"/>
        <v>944.90000000000009</v>
      </c>
      <c r="K113" s="177">
        <f t="shared" si="9"/>
        <v>30.8</v>
      </c>
      <c r="L113" s="177">
        <f t="shared" si="9"/>
        <v>960</v>
      </c>
      <c r="M113" s="177">
        <f t="shared" si="9"/>
        <v>960</v>
      </c>
      <c r="N113" s="177">
        <f t="shared" si="9"/>
        <v>884.7</v>
      </c>
      <c r="O113" s="177">
        <f t="shared" si="9"/>
        <v>0</v>
      </c>
      <c r="P113" s="173">
        <f>SUM(L113/D113*100)</f>
        <v>54.945054945054942</v>
      </c>
      <c r="Q113" s="173">
        <f>SUM(L113/H113*100)</f>
        <v>87.895989745467844</v>
      </c>
    </row>
    <row r="114" spans="1:17" ht="15.6" x14ac:dyDescent="0.3">
      <c r="A114" s="191"/>
      <c r="B114" s="220" t="s">
        <v>287</v>
      </c>
      <c r="C114" s="178" t="s">
        <v>289</v>
      </c>
      <c r="D114" s="170">
        <v>1135.8</v>
      </c>
      <c r="E114" s="170">
        <v>1128.2</v>
      </c>
      <c r="F114" s="170">
        <v>1072.0999999999999</v>
      </c>
      <c r="G114" s="170">
        <v>7.6</v>
      </c>
      <c r="H114" s="170">
        <v>697.1</v>
      </c>
      <c r="I114" s="170">
        <v>697.1</v>
      </c>
      <c r="J114" s="170">
        <v>669.2</v>
      </c>
      <c r="K114" s="170">
        <v>0</v>
      </c>
      <c r="L114" s="170">
        <v>662.5</v>
      </c>
      <c r="M114" s="170">
        <v>662.5</v>
      </c>
      <c r="N114" s="170">
        <v>645</v>
      </c>
      <c r="O114" s="170">
        <v>0</v>
      </c>
      <c r="P114" s="173"/>
      <c r="Q114" s="173"/>
    </row>
    <row r="115" spans="1:17" ht="15.6" x14ac:dyDescent="0.3">
      <c r="A115" s="219"/>
      <c r="B115" s="221"/>
      <c r="C115" s="178" t="s">
        <v>290</v>
      </c>
      <c r="D115" s="170">
        <v>2.2000000000000002</v>
      </c>
      <c r="E115" s="170">
        <v>2.2000000000000002</v>
      </c>
      <c r="F115" s="170">
        <v>2.2000000000000002</v>
      </c>
      <c r="G115" s="170">
        <v>0</v>
      </c>
      <c r="H115" s="170">
        <v>2.2000000000000002</v>
      </c>
      <c r="I115" s="170">
        <v>2.2000000000000002</v>
      </c>
      <c r="J115" s="170">
        <v>2.2000000000000002</v>
      </c>
      <c r="K115" s="170">
        <v>0</v>
      </c>
      <c r="L115" s="170">
        <v>2.2000000000000002</v>
      </c>
      <c r="M115" s="170">
        <v>2.2000000000000002</v>
      </c>
      <c r="N115" s="170">
        <v>2.2000000000000002</v>
      </c>
      <c r="O115" s="170">
        <v>0</v>
      </c>
      <c r="P115" s="173"/>
      <c r="Q115" s="173"/>
    </row>
    <row r="116" spans="1:17" x14ac:dyDescent="0.25">
      <c r="A116" s="219"/>
      <c r="B116" s="221"/>
      <c r="C116" s="178" t="s">
        <v>303</v>
      </c>
      <c r="D116" s="170">
        <v>71.2</v>
      </c>
      <c r="E116" s="170">
        <v>71.2</v>
      </c>
      <c r="F116" s="170">
        <v>0</v>
      </c>
      <c r="G116" s="170">
        <v>0</v>
      </c>
      <c r="H116" s="170">
        <v>47.7</v>
      </c>
      <c r="I116" s="170">
        <v>47.7</v>
      </c>
      <c r="J116" s="170">
        <v>0</v>
      </c>
      <c r="K116" s="170">
        <v>0</v>
      </c>
      <c r="L116" s="170">
        <v>32</v>
      </c>
      <c r="M116" s="170">
        <v>32</v>
      </c>
      <c r="N116" s="170">
        <v>0</v>
      </c>
      <c r="O116" s="170">
        <v>0</v>
      </c>
      <c r="P116" s="170"/>
      <c r="Q116" s="83"/>
    </row>
    <row r="117" spans="1:17" ht="15.6" x14ac:dyDescent="0.3">
      <c r="A117" s="219"/>
      <c r="B117" s="221"/>
      <c r="C117" s="178" t="s">
        <v>291</v>
      </c>
      <c r="D117" s="170">
        <v>535.29999999999995</v>
      </c>
      <c r="E117" s="170">
        <v>504.5</v>
      </c>
      <c r="F117" s="170">
        <v>435.3</v>
      </c>
      <c r="G117" s="170">
        <v>30.8</v>
      </c>
      <c r="H117" s="170">
        <v>343.8</v>
      </c>
      <c r="I117" s="170">
        <v>313</v>
      </c>
      <c r="J117" s="170">
        <v>272.10000000000002</v>
      </c>
      <c r="K117" s="170">
        <v>30.8</v>
      </c>
      <c r="L117" s="170">
        <v>261.89999999999998</v>
      </c>
      <c r="M117" s="170">
        <v>261.89999999999998</v>
      </c>
      <c r="N117" s="170">
        <v>236.1</v>
      </c>
      <c r="O117" s="170">
        <v>0</v>
      </c>
      <c r="P117" s="173"/>
      <c r="Q117" s="173"/>
    </row>
    <row r="118" spans="1:17" x14ac:dyDescent="0.25">
      <c r="A118" s="192"/>
      <c r="B118" s="222"/>
      <c r="C118" s="178" t="s">
        <v>293</v>
      </c>
      <c r="D118" s="170">
        <v>2.7</v>
      </c>
      <c r="E118" s="170">
        <v>2.7</v>
      </c>
      <c r="F118" s="170">
        <v>2.7</v>
      </c>
      <c r="G118" s="170">
        <v>0</v>
      </c>
      <c r="H118" s="170">
        <v>1.4</v>
      </c>
      <c r="I118" s="170">
        <v>1.4</v>
      </c>
      <c r="J118" s="170">
        <v>1.4</v>
      </c>
      <c r="K118" s="170">
        <v>0</v>
      </c>
      <c r="L118" s="170">
        <v>1.4</v>
      </c>
      <c r="M118" s="170">
        <v>1.4</v>
      </c>
      <c r="N118" s="170">
        <v>1.4</v>
      </c>
      <c r="O118" s="170">
        <v>0</v>
      </c>
      <c r="P118" s="170"/>
      <c r="Q118" s="83"/>
    </row>
    <row r="119" spans="1:17" ht="31.2" x14ac:dyDescent="0.3">
      <c r="A119" s="175" t="s">
        <v>24</v>
      </c>
      <c r="B119" s="175"/>
      <c r="C119" s="176"/>
      <c r="D119" s="177">
        <f t="shared" ref="D119:O119" si="10">SUBTOTAL(9,D120:D123)</f>
        <v>3131.8</v>
      </c>
      <c r="E119" s="177">
        <f t="shared" si="10"/>
        <v>3102.3</v>
      </c>
      <c r="F119" s="177">
        <f t="shared" si="10"/>
        <v>2615.5</v>
      </c>
      <c r="G119" s="177">
        <f t="shared" si="10"/>
        <v>29.5</v>
      </c>
      <c r="H119" s="177">
        <f t="shared" si="10"/>
        <v>1992.6</v>
      </c>
      <c r="I119" s="177">
        <f t="shared" si="10"/>
        <v>1966.1</v>
      </c>
      <c r="J119" s="177">
        <f t="shared" si="10"/>
        <v>1631.6000000000001</v>
      </c>
      <c r="K119" s="177">
        <f t="shared" si="10"/>
        <v>26.5</v>
      </c>
      <c r="L119" s="177">
        <f t="shared" si="10"/>
        <v>1399.1</v>
      </c>
      <c r="M119" s="177">
        <f t="shared" si="10"/>
        <v>1374</v>
      </c>
      <c r="N119" s="177">
        <f t="shared" si="10"/>
        <v>1219</v>
      </c>
      <c r="O119" s="177">
        <f t="shared" si="10"/>
        <v>25.1</v>
      </c>
      <c r="P119" s="173">
        <f>SUM(L119/D119*100)</f>
        <v>44.673989399067622</v>
      </c>
      <c r="Q119" s="173">
        <f>SUM(L119/H119*100)</f>
        <v>70.21479474054</v>
      </c>
    </row>
    <row r="120" spans="1:17" ht="15.6" x14ac:dyDescent="0.3">
      <c r="A120" s="191"/>
      <c r="B120" s="220" t="s">
        <v>287</v>
      </c>
      <c r="C120" s="178" t="s">
        <v>289</v>
      </c>
      <c r="D120" s="170">
        <v>1516.1</v>
      </c>
      <c r="E120" s="170">
        <v>1513.1</v>
      </c>
      <c r="F120" s="170">
        <v>1443.6</v>
      </c>
      <c r="G120" s="170">
        <v>3</v>
      </c>
      <c r="H120" s="170">
        <v>940.3</v>
      </c>
      <c r="I120" s="170">
        <v>940.3</v>
      </c>
      <c r="J120" s="170">
        <v>902.3</v>
      </c>
      <c r="K120" s="170">
        <v>0</v>
      </c>
      <c r="L120" s="170">
        <v>728.5</v>
      </c>
      <c r="M120" s="170">
        <v>728.5</v>
      </c>
      <c r="N120" s="170">
        <v>706.2</v>
      </c>
      <c r="O120" s="170">
        <v>0</v>
      </c>
      <c r="P120" s="173"/>
      <c r="Q120" s="173"/>
    </row>
    <row r="121" spans="1:17" x14ac:dyDescent="0.25">
      <c r="A121" s="219"/>
      <c r="B121" s="221"/>
      <c r="C121" s="178" t="s">
        <v>303</v>
      </c>
      <c r="D121" s="170">
        <v>134.5</v>
      </c>
      <c r="E121" s="170">
        <v>134.5</v>
      </c>
      <c r="F121" s="170">
        <v>14.7</v>
      </c>
      <c r="G121" s="170">
        <v>0</v>
      </c>
      <c r="H121" s="170">
        <v>84.7</v>
      </c>
      <c r="I121" s="170">
        <v>84.7</v>
      </c>
      <c r="J121" s="170">
        <v>8.1999999999999993</v>
      </c>
      <c r="K121" s="170">
        <v>0</v>
      </c>
      <c r="L121" s="170">
        <v>62.3</v>
      </c>
      <c r="M121" s="170">
        <v>62.3</v>
      </c>
      <c r="N121" s="170">
        <v>6.4</v>
      </c>
      <c r="O121" s="170">
        <v>0</v>
      </c>
      <c r="P121" s="170"/>
      <c r="Q121" s="83"/>
    </row>
    <row r="122" spans="1:17" x14ac:dyDescent="0.25">
      <c r="A122" s="219"/>
      <c r="B122" s="221"/>
      <c r="C122" s="178" t="s">
        <v>291</v>
      </c>
      <c r="D122" s="170">
        <v>1462.2</v>
      </c>
      <c r="E122" s="170">
        <v>1435.7</v>
      </c>
      <c r="F122" s="170">
        <v>1138.5</v>
      </c>
      <c r="G122" s="170">
        <v>26.5</v>
      </c>
      <c r="H122" s="170">
        <v>958</v>
      </c>
      <c r="I122" s="170">
        <v>931.5</v>
      </c>
      <c r="J122" s="170">
        <v>711.7</v>
      </c>
      <c r="K122" s="170">
        <v>26.5</v>
      </c>
      <c r="L122" s="170">
        <v>598.70000000000005</v>
      </c>
      <c r="M122" s="170">
        <v>573.6</v>
      </c>
      <c r="N122" s="170">
        <v>497</v>
      </c>
      <c r="O122" s="170">
        <v>25.1</v>
      </c>
      <c r="P122" s="170"/>
      <c r="Q122" s="83"/>
    </row>
    <row r="123" spans="1:17" ht="15.6" x14ac:dyDescent="0.3">
      <c r="A123" s="192"/>
      <c r="B123" s="222"/>
      <c r="C123" s="178" t="s">
        <v>293</v>
      </c>
      <c r="D123" s="170">
        <v>19</v>
      </c>
      <c r="E123" s="170">
        <v>19</v>
      </c>
      <c r="F123" s="170">
        <v>18.7</v>
      </c>
      <c r="G123" s="170">
        <v>0</v>
      </c>
      <c r="H123" s="170">
        <v>9.6</v>
      </c>
      <c r="I123" s="170">
        <v>9.6</v>
      </c>
      <c r="J123" s="170">
        <v>9.4</v>
      </c>
      <c r="K123" s="170">
        <v>0</v>
      </c>
      <c r="L123" s="170">
        <v>9.6</v>
      </c>
      <c r="M123" s="170">
        <v>9.6</v>
      </c>
      <c r="N123" s="170">
        <v>9.4</v>
      </c>
      <c r="O123" s="170">
        <v>0</v>
      </c>
      <c r="P123" s="173"/>
      <c r="Q123" s="173"/>
    </row>
    <row r="124" spans="1:17" ht="33" customHeight="1" x14ac:dyDescent="0.3">
      <c r="A124" s="175" t="s">
        <v>318</v>
      </c>
      <c r="B124" s="175"/>
      <c r="C124" s="176"/>
      <c r="D124" s="177">
        <f t="shared" ref="D124:O124" si="11">SUBTOTAL(9,D125:D129)</f>
        <v>2743.4</v>
      </c>
      <c r="E124" s="177">
        <f t="shared" si="11"/>
        <v>2715.7999999999997</v>
      </c>
      <c r="F124" s="177">
        <f t="shared" si="11"/>
        <v>2363.9</v>
      </c>
      <c r="G124" s="177">
        <f t="shared" si="11"/>
        <v>27.6</v>
      </c>
      <c r="H124" s="177">
        <f t="shared" si="11"/>
        <v>1679.6999999999998</v>
      </c>
      <c r="I124" s="177">
        <f t="shared" si="11"/>
        <v>1659.6999999999998</v>
      </c>
      <c r="J124" s="177">
        <f t="shared" si="11"/>
        <v>1425.7</v>
      </c>
      <c r="K124" s="177">
        <f t="shared" si="11"/>
        <v>20</v>
      </c>
      <c r="L124" s="177">
        <f t="shared" si="11"/>
        <v>1511.6000000000001</v>
      </c>
      <c r="M124" s="177">
        <f t="shared" si="11"/>
        <v>1492.6000000000001</v>
      </c>
      <c r="N124" s="177">
        <f t="shared" si="11"/>
        <v>1321.6</v>
      </c>
      <c r="O124" s="177">
        <f t="shared" si="11"/>
        <v>19</v>
      </c>
      <c r="P124" s="173">
        <f>SUM(L124/D124*100)</f>
        <v>55.099511555004746</v>
      </c>
      <c r="Q124" s="173">
        <f>SUM(L124/H124*100)</f>
        <v>89.992260522712414</v>
      </c>
    </row>
    <row r="125" spans="1:17" x14ac:dyDescent="0.25">
      <c r="A125" s="191"/>
      <c r="B125" s="220" t="s">
        <v>287</v>
      </c>
      <c r="C125" s="178" t="s">
        <v>289</v>
      </c>
      <c r="D125" s="170">
        <v>1556</v>
      </c>
      <c r="E125" s="170">
        <v>1549.6</v>
      </c>
      <c r="F125" s="170">
        <v>1483.6</v>
      </c>
      <c r="G125" s="170">
        <v>6.4</v>
      </c>
      <c r="H125" s="170">
        <v>954</v>
      </c>
      <c r="I125" s="170">
        <v>954</v>
      </c>
      <c r="J125" s="170">
        <v>915.4</v>
      </c>
      <c r="K125" s="170">
        <v>0</v>
      </c>
      <c r="L125" s="170">
        <v>893.2</v>
      </c>
      <c r="M125" s="170">
        <v>893.2</v>
      </c>
      <c r="N125" s="170">
        <v>865.1</v>
      </c>
      <c r="O125" s="170">
        <v>0</v>
      </c>
      <c r="P125" s="170"/>
      <c r="Q125" s="83"/>
    </row>
    <row r="126" spans="1:17" x14ac:dyDescent="0.25">
      <c r="A126" s="219"/>
      <c r="B126" s="221"/>
      <c r="C126" s="178" t="s">
        <v>303</v>
      </c>
      <c r="D126" s="170">
        <v>123.8</v>
      </c>
      <c r="E126" s="170">
        <v>123.8</v>
      </c>
      <c r="F126" s="170">
        <v>13</v>
      </c>
      <c r="G126" s="170">
        <v>0</v>
      </c>
      <c r="H126" s="170">
        <v>71.099999999999994</v>
      </c>
      <c r="I126" s="170">
        <v>71.099999999999994</v>
      </c>
      <c r="J126" s="170">
        <v>5.5</v>
      </c>
      <c r="K126" s="170">
        <v>0</v>
      </c>
      <c r="L126" s="170">
        <v>59.7</v>
      </c>
      <c r="M126" s="170">
        <v>59.7</v>
      </c>
      <c r="N126" s="170">
        <v>5.5</v>
      </c>
      <c r="O126" s="170">
        <v>0</v>
      </c>
      <c r="P126" s="170"/>
      <c r="Q126" s="83"/>
    </row>
    <row r="127" spans="1:17" ht="15.6" x14ac:dyDescent="0.3">
      <c r="A127" s="219"/>
      <c r="B127" s="221"/>
      <c r="C127" s="178" t="s">
        <v>291</v>
      </c>
      <c r="D127" s="170">
        <v>1045.5</v>
      </c>
      <c r="E127" s="170">
        <v>1024.3</v>
      </c>
      <c r="F127" s="170">
        <v>849.5</v>
      </c>
      <c r="G127" s="170">
        <v>21.2</v>
      </c>
      <c r="H127" s="170">
        <v>645.6</v>
      </c>
      <c r="I127" s="170">
        <v>625.6</v>
      </c>
      <c r="J127" s="170">
        <v>496</v>
      </c>
      <c r="K127" s="170">
        <v>20</v>
      </c>
      <c r="L127" s="170">
        <v>549.70000000000005</v>
      </c>
      <c r="M127" s="170">
        <v>530.70000000000005</v>
      </c>
      <c r="N127" s="170">
        <v>442.2</v>
      </c>
      <c r="O127" s="170">
        <v>19</v>
      </c>
      <c r="P127" s="173"/>
      <c r="Q127" s="173"/>
    </row>
    <row r="128" spans="1:17" ht="15.6" x14ac:dyDescent="0.3">
      <c r="A128" s="219"/>
      <c r="B128" s="222"/>
      <c r="C128" s="178" t="s">
        <v>293</v>
      </c>
      <c r="D128" s="170">
        <v>18.100000000000001</v>
      </c>
      <c r="E128" s="170">
        <v>18.100000000000001</v>
      </c>
      <c r="F128" s="170">
        <v>17.8</v>
      </c>
      <c r="G128" s="170">
        <v>0</v>
      </c>
      <c r="H128" s="170">
        <v>9</v>
      </c>
      <c r="I128" s="170">
        <v>9</v>
      </c>
      <c r="J128" s="170">
        <v>8.8000000000000007</v>
      </c>
      <c r="K128" s="170">
        <v>0</v>
      </c>
      <c r="L128" s="170">
        <v>9</v>
      </c>
      <c r="M128" s="170">
        <v>9</v>
      </c>
      <c r="N128" s="170">
        <v>8.8000000000000007</v>
      </c>
      <c r="O128" s="170">
        <v>0</v>
      </c>
      <c r="P128" s="173"/>
      <c r="Q128" s="173"/>
    </row>
    <row r="129" spans="1:17" ht="30" x14ac:dyDescent="0.25">
      <c r="A129" s="192"/>
      <c r="B129" s="179" t="s">
        <v>305</v>
      </c>
      <c r="C129" s="178" t="s">
        <v>289</v>
      </c>
      <c r="D129" s="170">
        <v>0</v>
      </c>
      <c r="E129" s="170">
        <v>0</v>
      </c>
      <c r="F129" s="170">
        <v>0</v>
      </c>
      <c r="G129" s="170">
        <v>0</v>
      </c>
      <c r="H129" s="170">
        <v>0</v>
      </c>
      <c r="I129" s="170">
        <v>0</v>
      </c>
      <c r="J129" s="170">
        <v>0</v>
      </c>
      <c r="K129" s="170">
        <v>0</v>
      </c>
      <c r="L129" s="170">
        <v>0</v>
      </c>
      <c r="M129" s="170">
        <v>0</v>
      </c>
      <c r="N129" s="170">
        <v>0</v>
      </c>
      <c r="O129" s="170">
        <v>0</v>
      </c>
      <c r="P129" s="170"/>
      <c r="Q129" s="83"/>
    </row>
    <row r="130" spans="1:17" ht="31.2" customHeight="1" x14ac:dyDescent="0.3">
      <c r="A130" s="175" t="s">
        <v>51</v>
      </c>
      <c r="B130" s="175"/>
      <c r="C130" s="176"/>
      <c r="D130" s="177">
        <f t="shared" ref="D130:O130" si="12">SUBTOTAL(9,D131:D134)</f>
        <v>1926.8999999999999</v>
      </c>
      <c r="E130" s="177">
        <f t="shared" si="12"/>
        <v>1923.5</v>
      </c>
      <c r="F130" s="177">
        <f t="shared" si="12"/>
        <v>1782.3000000000002</v>
      </c>
      <c r="G130" s="177">
        <f t="shared" si="12"/>
        <v>3.4</v>
      </c>
      <c r="H130" s="177">
        <f t="shared" si="12"/>
        <v>1340.6</v>
      </c>
      <c r="I130" s="177">
        <f t="shared" si="12"/>
        <v>1337.1999999999998</v>
      </c>
      <c r="J130" s="177">
        <f t="shared" si="12"/>
        <v>1251</v>
      </c>
      <c r="K130" s="177">
        <f t="shared" si="12"/>
        <v>3.4</v>
      </c>
      <c r="L130" s="177">
        <f t="shared" si="12"/>
        <v>1188.1000000000001</v>
      </c>
      <c r="M130" s="177">
        <f t="shared" si="12"/>
        <v>1185.6000000000001</v>
      </c>
      <c r="N130" s="177">
        <f t="shared" si="12"/>
        <v>1120.8</v>
      </c>
      <c r="O130" s="177">
        <f t="shared" si="12"/>
        <v>2.5</v>
      </c>
      <c r="P130" s="173">
        <f>SUM(L130/D130*100)</f>
        <v>61.658622658155593</v>
      </c>
      <c r="Q130" s="173">
        <f>SUM(L130/H130*100)</f>
        <v>88.624496494107134</v>
      </c>
    </row>
    <row r="131" spans="1:17" ht="15.6" x14ac:dyDescent="0.3">
      <c r="A131" s="191"/>
      <c r="B131" s="220" t="s">
        <v>287</v>
      </c>
      <c r="C131" s="178" t="s">
        <v>289</v>
      </c>
      <c r="D131" s="170">
        <v>109.5</v>
      </c>
      <c r="E131" s="170">
        <v>109.5</v>
      </c>
      <c r="F131" s="170">
        <v>107.9</v>
      </c>
      <c r="G131" s="170">
        <v>0</v>
      </c>
      <c r="H131" s="170">
        <v>54.8</v>
      </c>
      <c r="I131" s="170">
        <v>54.8</v>
      </c>
      <c r="J131" s="170">
        <v>54</v>
      </c>
      <c r="K131" s="170">
        <v>0</v>
      </c>
      <c r="L131" s="170">
        <v>54.8</v>
      </c>
      <c r="M131" s="170">
        <v>54.8</v>
      </c>
      <c r="N131" s="170">
        <v>54</v>
      </c>
      <c r="O131" s="170">
        <v>0</v>
      </c>
      <c r="P131" s="173"/>
      <c r="Q131" s="173"/>
    </row>
    <row r="132" spans="1:17" ht="15.6" x14ac:dyDescent="0.3">
      <c r="A132" s="219"/>
      <c r="B132" s="221"/>
      <c r="C132" s="178" t="s">
        <v>303</v>
      </c>
      <c r="D132" s="170">
        <v>100.8</v>
      </c>
      <c r="E132" s="170">
        <v>100.8</v>
      </c>
      <c r="F132" s="170">
        <v>69.599999999999994</v>
      </c>
      <c r="G132" s="170">
        <v>0</v>
      </c>
      <c r="H132" s="170">
        <v>50.3</v>
      </c>
      <c r="I132" s="170">
        <v>50.3</v>
      </c>
      <c r="J132" s="170">
        <v>34.799999999999997</v>
      </c>
      <c r="K132" s="170">
        <v>0</v>
      </c>
      <c r="L132" s="170">
        <v>42.6</v>
      </c>
      <c r="M132" s="170">
        <v>42.6</v>
      </c>
      <c r="N132" s="170">
        <v>34.799999999999997</v>
      </c>
      <c r="O132" s="170">
        <v>0</v>
      </c>
      <c r="P132" s="173"/>
      <c r="Q132" s="173"/>
    </row>
    <row r="133" spans="1:17" x14ac:dyDescent="0.25">
      <c r="A133" s="219"/>
      <c r="B133" s="221"/>
      <c r="C133" s="178" t="s">
        <v>291</v>
      </c>
      <c r="D133" s="170">
        <v>1710.1</v>
      </c>
      <c r="E133" s="170">
        <v>1706.7</v>
      </c>
      <c r="F133" s="170">
        <v>1598.4</v>
      </c>
      <c r="G133" s="170">
        <v>3.4</v>
      </c>
      <c r="H133" s="170">
        <v>1232.2</v>
      </c>
      <c r="I133" s="170">
        <v>1228.8</v>
      </c>
      <c r="J133" s="170">
        <v>1159</v>
      </c>
      <c r="K133" s="170">
        <v>3.4</v>
      </c>
      <c r="L133" s="170">
        <v>1087.4000000000001</v>
      </c>
      <c r="M133" s="170">
        <v>1084.9000000000001</v>
      </c>
      <c r="N133" s="170">
        <v>1028.8</v>
      </c>
      <c r="O133" s="170">
        <v>2.5</v>
      </c>
      <c r="P133" s="170"/>
      <c r="Q133" s="83"/>
    </row>
    <row r="134" spans="1:17" ht="15.6" x14ac:dyDescent="0.3">
      <c r="A134" s="192"/>
      <c r="B134" s="222"/>
      <c r="C134" s="178" t="s">
        <v>293</v>
      </c>
      <c r="D134" s="170">
        <v>6.5</v>
      </c>
      <c r="E134" s="170">
        <v>6.5</v>
      </c>
      <c r="F134" s="170">
        <v>6.4</v>
      </c>
      <c r="G134" s="170">
        <v>0</v>
      </c>
      <c r="H134" s="170">
        <v>3.3</v>
      </c>
      <c r="I134" s="170">
        <v>3.3</v>
      </c>
      <c r="J134" s="170">
        <v>3.2</v>
      </c>
      <c r="K134" s="170">
        <v>0</v>
      </c>
      <c r="L134" s="170">
        <v>3.3</v>
      </c>
      <c r="M134" s="170">
        <v>3.3</v>
      </c>
      <c r="N134" s="170">
        <v>3.2</v>
      </c>
      <c r="O134" s="170">
        <v>0</v>
      </c>
      <c r="P134" s="173"/>
      <c r="Q134" s="173"/>
    </row>
    <row r="135" spans="1:17" ht="31.2" x14ac:dyDescent="0.3">
      <c r="A135" s="175" t="s">
        <v>319</v>
      </c>
      <c r="B135" s="175"/>
      <c r="C135" s="176"/>
      <c r="D135" s="177">
        <f t="shared" ref="D135:O135" si="13">SUBTOTAL(9,D136:D139)</f>
        <v>2116.6999999999998</v>
      </c>
      <c r="E135" s="177">
        <f t="shared" si="13"/>
        <v>2104.1</v>
      </c>
      <c r="F135" s="177">
        <f t="shared" si="13"/>
        <v>1832.1</v>
      </c>
      <c r="G135" s="177">
        <f t="shared" si="13"/>
        <v>12.6</v>
      </c>
      <c r="H135" s="177">
        <f t="shared" si="13"/>
        <v>1239</v>
      </c>
      <c r="I135" s="177">
        <f t="shared" si="13"/>
        <v>1229.3</v>
      </c>
      <c r="J135" s="177">
        <f t="shared" si="13"/>
        <v>1069.2</v>
      </c>
      <c r="K135" s="177">
        <f t="shared" si="13"/>
        <v>9.6999999999999993</v>
      </c>
      <c r="L135" s="177">
        <f t="shared" si="13"/>
        <v>852.1</v>
      </c>
      <c r="M135" s="177">
        <f t="shared" si="13"/>
        <v>842.40000000000009</v>
      </c>
      <c r="N135" s="177">
        <f t="shared" si="13"/>
        <v>725.9</v>
      </c>
      <c r="O135" s="177">
        <f t="shared" si="13"/>
        <v>9.6999999999999993</v>
      </c>
      <c r="P135" s="173">
        <f>SUM(L135/D135*100)</f>
        <v>40.256058959701427</v>
      </c>
      <c r="Q135" s="173">
        <f>SUM(L135/H135*100)</f>
        <v>68.773204196933008</v>
      </c>
    </row>
    <row r="136" spans="1:17" x14ac:dyDescent="0.25">
      <c r="A136" s="191"/>
      <c r="B136" s="220" t="s">
        <v>287</v>
      </c>
      <c r="C136" s="178" t="s">
        <v>289</v>
      </c>
      <c r="D136" s="170">
        <v>764.8</v>
      </c>
      <c r="E136" s="170">
        <v>764.8</v>
      </c>
      <c r="F136" s="170">
        <v>736.3</v>
      </c>
      <c r="G136" s="170">
        <v>0</v>
      </c>
      <c r="H136" s="170">
        <v>449.1</v>
      </c>
      <c r="I136" s="170">
        <v>449.1</v>
      </c>
      <c r="J136" s="170">
        <v>431.5</v>
      </c>
      <c r="K136" s="170">
        <v>0</v>
      </c>
      <c r="L136" s="170">
        <v>302</v>
      </c>
      <c r="M136" s="170">
        <v>302</v>
      </c>
      <c r="N136" s="170">
        <v>292.3</v>
      </c>
      <c r="O136" s="170">
        <v>0</v>
      </c>
      <c r="P136" s="170"/>
      <c r="Q136" s="83"/>
    </row>
    <row r="137" spans="1:17" x14ac:dyDescent="0.25">
      <c r="A137" s="219"/>
      <c r="B137" s="221"/>
      <c r="C137" s="178" t="s">
        <v>303</v>
      </c>
      <c r="D137" s="170">
        <v>127.3</v>
      </c>
      <c r="E137" s="170">
        <v>122.3</v>
      </c>
      <c r="F137" s="170">
        <v>16.7</v>
      </c>
      <c r="G137" s="170">
        <v>5</v>
      </c>
      <c r="H137" s="170">
        <v>69.8</v>
      </c>
      <c r="I137" s="170">
        <v>64.8</v>
      </c>
      <c r="J137" s="170">
        <v>6.9</v>
      </c>
      <c r="K137" s="170">
        <v>5</v>
      </c>
      <c r="L137" s="170">
        <v>56.8</v>
      </c>
      <c r="M137" s="170">
        <v>51.8</v>
      </c>
      <c r="N137" s="170">
        <v>4</v>
      </c>
      <c r="O137" s="170">
        <v>5</v>
      </c>
      <c r="P137" s="170"/>
      <c r="Q137" s="83"/>
    </row>
    <row r="138" spans="1:17" ht="15.6" x14ac:dyDescent="0.3">
      <c r="A138" s="219"/>
      <c r="B138" s="221"/>
      <c r="C138" s="178" t="s">
        <v>291</v>
      </c>
      <c r="D138" s="170">
        <v>1190.5999999999999</v>
      </c>
      <c r="E138" s="170">
        <v>1183</v>
      </c>
      <c r="F138" s="170">
        <v>1045.5999999999999</v>
      </c>
      <c r="G138" s="170">
        <v>7.6</v>
      </c>
      <c r="H138" s="170">
        <v>703.1</v>
      </c>
      <c r="I138" s="170">
        <v>698.4</v>
      </c>
      <c r="J138" s="170">
        <v>614</v>
      </c>
      <c r="K138" s="170">
        <v>4.7</v>
      </c>
      <c r="L138" s="170">
        <v>476.3</v>
      </c>
      <c r="M138" s="170">
        <v>471.6</v>
      </c>
      <c r="N138" s="170">
        <v>412.8</v>
      </c>
      <c r="O138" s="170">
        <v>4.7</v>
      </c>
      <c r="P138" s="173"/>
      <c r="Q138" s="173"/>
    </row>
    <row r="139" spans="1:17" ht="15.6" x14ac:dyDescent="0.3">
      <c r="A139" s="192"/>
      <c r="B139" s="222"/>
      <c r="C139" s="178" t="s">
        <v>293</v>
      </c>
      <c r="D139" s="170">
        <v>34</v>
      </c>
      <c r="E139" s="170">
        <v>34</v>
      </c>
      <c r="F139" s="170">
        <v>33.5</v>
      </c>
      <c r="G139" s="170">
        <v>0</v>
      </c>
      <c r="H139" s="170">
        <v>17</v>
      </c>
      <c r="I139" s="170">
        <v>17</v>
      </c>
      <c r="J139" s="170">
        <v>16.8</v>
      </c>
      <c r="K139" s="170">
        <v>0</v>
      </c>
      <c r="L139" s="170">
        <v>17</v>
      </c>
      <c r="M139" s="170">
        <v>17</v>
      </c>
      <c r="N139" s="170">
        <v>16.8</v>
      </c>
      <c r="O139" s="170">
        <v>0</v>
      </c>
      <c r="P139" s="173"/>
      <c r="Q139" s="173"/>
    </row>
    <row r="140" spans="1:17" ht="31.2" x14ac:dyDescent="0.3">
      <c r="A140" s="175" t="s">
        <v>320</v>
      </c>
      <c r="B140" s="175"/>
      <c r="C140" s="176"/>
      <c r="D140" s="177">
        <f t="shared" ref="D140:O140" si="14">SUBTOTAL(9,D141:D145)</f>
        <v>2031.3</v>
      </c>
      <c r="E140" s="177">
        <f t="shared" si="14"/>
        <v>2018.3</v>
      </c>
      <c r="F140" s="177">
        <f t="shared" si="14"/>
        <v>1754.3</v>
      </c>
      <c r="G140" s="177">
        <f t="shared" si="14"/>
        <v>13</v>
      </c>
      <c r="H140" s="177">
        <f t="shared" si="14"/>
        <v>1245.8</v>
      </c>
      <c r="I140" s="177">
        <f t="shared" si="14"/>
        <v>1237.8</v>
      </c>
      <c r="J140" s="177">
        <f t="shared" si="14"/>
        <v>1091.2</v>
      </c>
      <c r="K140" s="177">
        <f t="shared" si="14"/>
        <v>8</v>
      </c>
      <c r="L140" s="177">
        <f t="shared" si="14"/>
        <v>868.90000000000009</v>
      </c>
      <c r="M140" s="177">
        <f t="shared" si="14"/>
        <v>868.90000000000009</v>
      </c>
      <c r="N140" s="177">
        <f t="shared" si="14"/>
        <v>760.39999999999986</v>
      </c>
      <c r="O140" s="177">
        <f t="shared" si="14"/>
        <v>0</v>
      </c>
      <c r="P140" s="173">
        <f>SUM(L140/D140*100)</f>
        <v>42.775562447693602</v>
      </c>
      <c r="Q140" s="173">
        <f>SUM(L140/H140*100)</f>
        <v>69.746347728367326</v>
      </c>
    </row>
    <row r="141" spans="1:17" ht="15.6" x14ac:dyDescent="0.3">
      <c r="A141" s="191"/>
      <c r="B141" s="220" t="s">
        <v>287</v>
      </c>
      <c r="C141" s="178" t="s">
        <v>289</v>
      </c>
      <c r="D141" s="170">
        <v>670.6</v>
      </c>
      <c r="E141" s="170">
        <v>670.6</v>
      </c>
      <c r="F141" s="170">
        <v>645.5</v>
      </c>
      <c r="G141" s="170">
        <v>0</v>
      </c>
      <c r="H141" s="170">
        <v>413.3</v>
      </c>
      <c r="I141" s="170">
        <v>413.3</v>
      </c>
      <c r="J141" s="170">
        <v>401.6</v>
      </c>
      <c r="K141" s="170">
        <v>0</v>
      </c>
      <c r="L141" s="170">
        <v>302.7</v>
      </c>
      <c r="M141" s="170">
        <v>302.7</v>
      </c>
      <c r="N141" s="170">
        <v>295.10000000000002</v>
      </c>
      <c r="O141" s="170">
        <v>0</v>
      </c>
      <c r="P141" s="173"/>
      <c r="Q141" s="173"/>
    </row>
    <row r="142" spans="1:17" x14ac:dyDescent="0.25">
      <c r="A142" s="219"/>
      <c r="B142" s="221"/>
      <c r="C142" s="178" t="s">
        <v>290</v>
      </c>
      <c r="D142" s="170">
        <v>6.5</v>
      </c>
      <c r="E142" s="170">
        <v>6.5</v>
      </c>
      <c r="F142" s="170">
        <v>6.4</v>
      </c>
      <c r="G142" s="170">
        <v>0</v>
      </c>
      <c r="H142" s="170">
        <v>6.5</v>
      </c>
      <c r="I142" s="170">
        <v>6.5</v>
      </c>
      <c r="J142" s="170">
        <v>6.4</v>
      </c>
      <c r="K142" s="170">
        <v>0</v>
      </c>
      <c r="L142" s="170">
        <v>6.5</v>
      </c>
      <c r="M142" s="170">
        <v>6.5</v>
      </c>
      <c r="N142" s="170">
        <v>6.4</v>
      </c>
      <c r="O142" s="170">
        <v>0</v>
      </c>
      <c r="P142" s="170"/>
      <c r="Q142" s="83"/>
    </row>
    <row r="143" spans="1:17" x14ac:dyDescent="0.25">
      <c r="A143" s="219"/>
      <c r="B143" s="221"/>
      <c r="C143" s="178" t="s">
        <v>303</v>
      </c>
      <c r="D143" s="170">
        <v>145.6</v>
      </c>
      <c r="E143" s="170">
        <v>132.6</v>
      </c>
      <c r="F143" s="170">
        <v>17.100000000000001</v>
      </c>
      <c r="G143" s="170">
        <v>13</v>
      </c>
      <c r="H143" s="170">
        <v>76.2</v>
      </c>
      <c r="I143" s="170">
        <v>68.2</v>
      </c>
      <c r="J143" s="170">
        <v>8.5</v>
      </c>
      <c r="K143" s="170">
        <v>8</v>
      </c>
      <c r="L143" s="170">
        <v>50.1</v>
      </c>
      <c r="M143" s="170">
        <v>50.1</v>
      </c>
      <c r="N143" s="170">
        <v>3.9</v>
      </c>
      <c r="O143" s="170">
        <v>0</v>
      </c>
      <c r="P143" s="170"/>
      <c r="Q143" s="83"/>
    </row>
    <row r="144" spans="1:17" ht="15.6" x14ac:dyDescent="0.3">
      <c r="A144" s="219"/>
      <c r="B144" s="221"/>
      <c r="C144" s="178" t="s">
        <v>291</v>
      </c>
      <c r="D144" s="170">
        <v>1178.5999999999999</v>
      </c>
      <c r="E144" s="170">
        <v>1178.5999999999999</v>
      </c>
      <c r="F144" s="170">
        <v>1055.7</v>
      </c>
      <c r="G144" s="170">
        <v>0</v>
      </c>
      <c r="H144" s="170">
        <v>734.8</v>
      </c>
      <c r="I144" s="170">
        <v>734.8</v>
      </c>
      <c r="J144" s="170">
        <v>659.9</v>
      </c>
      <c r="K144" s="170">
        <v>0</v>
      </c>
      <c r="L144" s="170">
        <v>494.6</v>
      </c>
      <c r="M144" s="170">
        <v>494.6</v>
      </c>
      <c r="N144" s="170">
        <v>440.2</v>
      </c>
      <c r="O144" s="170">
        <v>0</v>
      </c>
      <c r="P144" s="173"/>
      <c r="Q144" s="173"/>
    </row>
    <row r="145" spans="1:17" x14ac:dyDescent="0.25">
      <c r="A145" s="192"/>
      <c r="B145" s="222"/>
      <c r="C145" s="178" t="s">
        <v>293</v>
      </c>
      <c r="D145" s="170">
        <v>30</v>
      </c>
      <c r="E145" s="170">
        <v>30</v>
      </c>
      <c r="F145" s="170">
        <v>29.6</v>
      </c>
      <c r="G145" s="170">
        <v>0</v>
      </c>
      <c r="H145" s="170">
        <v>15</v>
      </c>
      <c r="I145" s="170">
        <v>15</v>
      </c>
      <c r="J145" s="170">
        <v>14.8</v>
      </c>
      <c r="K145" s="170">
        <v>0</v>
      </c>
      <c r="L145" s="170">
        <v>15</v>
      </c>
      <c r="M145" s="170">
        <v>15</v>
      </c>
      <c r="N145" s="170">
        <v>14.8</v>
      </c>
      <c r="O145" s="170">
        <v>0</v>
      </c>
      <c r="P145" s="170"/>
      <c r="Q145" s="83"/>
    </row>
    <row r="146" spans="1:17" ht="31.2" x14ac:dyDescent="0.3">
      <c r="A146" s="175" t="s">
        <v>321</v>
      </c>
      <c r="B146" s="175"/>
      <c r="C146" s="176"/>
      <c r="D146" s="177">
        <f t="shared" ref="D146:O146" si="15">SUBTOTAL(9,D147:D151)</f>
        <v>1770.6</v>
      </c>
      <c r="E146" s="177">
        <f t="shared" si="15"/>
        <v>1752.4</v>
      </c>
      <c r="F146" s="177">
        <f t="shared" si="15"/>
        <v>1523.5</v>
      </c>
      <c r="G146" s="177">
        <f t="shared" si="15"/>
        <v>18.2</v>
      </c>
      <c r="H146" s="177">
        <f t="shared" si="15"/>
        <v>1157.5</v>
      </c>
      <c r="I146" s="177">
        <f t="shared" si="15"/>
        <v>1142.8000000000002</v>
      </c>
      <c r="J146" s="177">
        <f t="shared" si="15"/>
        <v>1007.5</v>
      </c>
      <c r="K146" s="177">
        <f t="shared" si="15"/>
        <v>14.7</v>
      </c>
      <c r="L146" s="177">
        <f t="shared" si="15"/>
        <v>747.2</v>
      </c>
      <c r="M146" s="177">
        <f t="shared" si="15"/>
        <v>744.7</v>
      </c>
      <c r="N146" s="177">
        <f t="shared" si="15"/>
        <v>642.09999999999991</v>
      </c>
      <c r="O146" s="177">
        <f t="shared" si="15"/>
        <v>2.5</v>
      </c>
      <c r="P146" s="173">
        <f>SUM(L146/D146*100)</f>
        <v>42.20038405060432</v>
      </c>
      <c r="Q146" s="173">
        <f>SUM(L146/H146*100)</f>
        <v>64.552915766738664</v>
      </c>
    </row>
    <row r="147" spans="1:17" ht="15.6" x14ac:dyDescent="0.3">
      <c r="A147" s="191"/>
      <c r="B147" s="220" t="s">
        <v>287</v>
      </c>
      <c r="C147" s="178" t="s">
        <v>289</v>
      </c>
      <c r="D147" s="170">
        <v>650.20000000000005</v>
      </c>
      <c r="E147" s="170">
        <v>650.20000000000005</v>
      </c>
      <c r="F147" s="170">
        <v>627.6</v>
      </c>
      <c r="G147" s="170">
        <v>0</v>
      </c>
      <c r="H147" s="170">
        <v>430.2</v>
      </c>
      <c r="I147" s="170">
        <v>430.2</v>
      </c>
      <c r="J147" s="170">
        <v>414.2</v>
      </c>
      <c r="K147" s="170">
        <v>0</v>
      </c>
      <c r="L147" s="170">
        <v>266</v>
      </c>
      <c r="M147" s="170">
        <v>266</v>
      </c>
      <c r="N147" s="170">
        <v>256.8</v>
      </c>
      <c r="O147" s="170">
        <v>0</v>
      </c>
      <c r="P147" s="173"/>
      <c r="Q147" s="173"/>
    </row>
    <row r="148" spans="1:17" ht="15.6" x14ac:dyDescent="0.3">
      <c r="A148" s="219"/>
      <c r="B148" s="221"/>
      <c r="C148" s="178" t="s">
        <v>290</v>
      </c>
      <c r="D148" s="170">
        <v>13.1</v>
      </c>
      <c r="E148" s="170">
        <v>13.1</v>
      </c>
      <c r="F148" s="170">
        <v>12.9</v>
      </c>
      <c r="G148" s="170">
        <v>0</v>
      </c>
      <c r="H148" s="170">
        <v>13.1</v>
      </c>
      <c r="I148" s="170">
        <v>13.1</v>
      </c>
      <c r="J148" s="170">
        <v>12.9</v>
      </c>
      <c r="K148" s="170">
        <v>0</v>
      </c>
      <c r="L148" s="170">
        <v>13.1</v>
      </c>
      <c r="M148" s="170">
        <v>13.1</v>
      </c>
      <c r="N148" s="170">
        <v>12.9</v>
      </c>
      <c r="O148" s="170">
        <v>0</v>
      </c>
      <c r="P148" s="173"/>
      <c r="Q148" s="173"/>
    </row>
    <row r="149" spans="1:17" ht="15.6" x14ac:dyDescent="0.3">
      <c r="A149" s="219"/>
      <c r="B149" s="221"/>
      <c r="C149" s="178" t="s">
        <v>303</v>
      </c>
      <c r="D149" s="170">
        <v>114.9</v>
      </c>
      <c r="E149" s="170">
        <v>107.9</v>
      </c>
      <c r="F149" s="170">
        <v>15</v>
      </c>
      <c r="G149" s="170">
        <v>7</v>
      </c>
      <c r="H149" s="170">
        <v>66.8</v>
      </c>
      <c r="I149" s="170">
        <v>63.3</v>
      </c>
      <c r="J149" s="170">
        <v>7.5</v>
      </c>
      <c r="K149" s="170">
        <v>3.5</v>
      </c>
      <c r="L149" s="170">
        <v>53.1</v>
      </c>
      <c r="M149" s="170">
        <v>53.1</v>
      </c>
      <c r="N149" s="170">
        <v>3.5</v>
      </c>
      <c r="O149" s="170">
        <v>0</v>
      </c>
      <c r="P149" s="173"/>
      <c r="Q149" s="173"/>
    </row>
    <row r="150" spans="1:17" x14ac:dyDescent="0.25">
      <c r="A150" s="219"/>
      <c r="B150" s="221"/>
      <c r="C150" s="178" t="s">
        <v>291</v>
      </c>
      <c r="D150" s="170">
        <v>962.4</v>
      </c>
      <c r="E150" s="170">
        <v>951.2</v>
      </c>
      <c r="F150" s="170">
        <v>838.4</v>
      </c>
      <c r="G150" s="170">
        <v>11.2</v>
      </c>
      <c r="H150" s="170">
        <v>632.4</v>
      </c>
      <c r="I150" s="170">
        <v>621.20000000000005</v>
      </c>
      <c r="J150" s="170">
        <v>558.1</v>
      </c>
      <c r="K150" s="170">
        <v>11.2</v>
      </c>
      <c r="L150" s="170">
        <v>400</v>
      </c>
      <c r="M150" s="170">
        <v>397.5</v>
      </c>
      <c r="N150" s="170">
        <v>354.1</v>
      </c>
      <c r="O150" s="170">
        <v>2.5</v>
      </c>
      <c r="P150" s="170"/>
      <c r="Q150" s="83"/>
    </row>
    <row r="151" spans="1:17" x14ac:dyDescent="0.25">
      <c r="A151" s="192"/>
      <c r="B151" s="222"/>
      <c r="C151" s="178" t="s">
        <v>293</v>
      </c>
      <c r="D151" s="170">
        <v>30</v>
      </c>
      <c r="E151" s="170">
        <v>30</v>
      </c>
      <c r="F151" s="170">
        <v>29.6</v>
      </c>
      <c r="G151" s="170">
        <v>0</v>
      </c>
      <c r="H151" s="170">
        <v>15</v>
      </c>
      <c r="I151" s="170">
        <v>15</v>
      </c>
      <c r="J151" s="170">
        <v>14.8</v>
      </c>
      <c r="K151" s="170">
        <v>0</v>
      </c>
      <c r="L151" s="170">
        <v>15</v>
      </c>
      <c r="M151" s="170">
        <v>15</v>
      </c>
      <c r="N151" s="170">
        <v>14.8</v>
      </c>
      <c r="O151" s="170">
        <v>0</v>
      </c>
      <c r="P151" s="170"/>
      <c r="Q151" s="83"/>
    </row>
    <row r="152" spans="1:17" ht="31.2" x14ac:dyDescent="0.3">
      <c r="A152" s="175" t="s">
        <v>45</v>
      </c>
      <c r="B152" s="175"/>
      <c r="C152" s="176"/>
      <c r="D152" s="177">
        <f t="shared" ref="D152:O152" si="16">SUBTOTAL(9,D153:D157)</f>
        <v>2101.8000000000002</v>
      </c>
      <c r="E152" s="177">
        <f t="shared" si="16"/>
        <v>2093.2000000000003</v>
      </c>
      <c r="F152" s="177">
        <f t="shared" si="16"/>
        <v>1759.8000000000002</v>
      </c>
      <c r="G152" s="177">
        <f t="shared" si="16"/>
        <v>8.6000000000000014</v>
      </c>
      <c r="H152" s="177">
        <f t="shared" si="16"/>
        <v>1221.3000000000002</v>
      </c>
      <c r="I152" s="177">
        <f t="shared" si="16"/>
        <v>1221.3000000000002</v>
      </c>
      <c r="J152" s="177">
        <f t="shared" si="16"/>
        <v>1058.3</v>
      </c>
      <c r="K152" s="177">
        <f t="shared" si="16"/>
        <v>0</v>
      </c>
      <c r="L152" s="177">
        <f t="shared" si="16"/>
        <v>974.8</v>
      </c>
      <c r="M152" s="177">
        <f t="shared" si="16"/>
        <v>974.8</v>
      </c>
      <c r="N152" s="177">
        <f t="shared" si="16"/>
        <v>872.3</v>
      </c>
      <c r="O152" s="177">
        <f t="shared" si="16"/>
        <v>0</v>
      </c>
      <c r="P152" s="173">
        <f>SUM(L152/D152*100)</f>
        <v>46.379293938528875</v>
      </c>
      <c r="Q152" s="173">
        <f>SUM(L152/H152*100)</f>
        <v>79.816588880700877</v>
      </c>
    </row>
    <row r="153" spans="1:17" ht="15.6" x14ac:dyDescent="0.3">
      <c r="A153" s="191"/>
      <c r="B153" s="220" t="s">
        <v>287</v>
      </c>
      <c r="C153" s="178" t="s">
        <v>289</v>
      </c>
      <c r="D153" s="170">
        <v>663.1</v>
      </c>
      <c r="E153" s="170">
        <v>657.7</v>
      </c>
      <c r="F153" s="170">
        <v>631.5</v>
      </c>
      <c r="G153" s="170">
        <v>5.4</v>
      </c>
      <c r="H153" s="170">
        <v>403.4</v>
      </c>
      <c r="I153" s="170">
        <v>403.4</v>
      </c>
      <c r="J153" s="170">
        <v>387.6</v>
      </c>
      <c r="K153" s="170">
        <v>0</v>
      </c>
      <c r="L153" s="170">
        <v>347.9</v>
      </c>
      <c r="M153" s="170">
        <v>347.9</v>
      </c>
      <c r="N153" s="170">
        <v>339.4</v>
      </c>
      <c r="O153" s="170">
        <v>0</v>
      </c>
      <c r="P153" s="173"/>
      <c r="Q153" s="173"/>
    </row>
    <row r="154" spans="1:17" x14ac:dyDescent="0.25">
      <c r="A154" s="219"/>
      <c r="B154" s="221"/>
      <c r="C154" s="178" t="s">
        <v>290</v>
      </c>
      <c r="D154" s="170">
        <v>4.4000000000000004</v>
      </c>
      <c r="E154" s="170">
        <v>4.4000000000000004</v>
      </c>
      <c r="F154" s="170">
        <v>4.4000000000000004</v>
      </c>
      <c r="G154" s="170">
        <v>0</v>
      </c>
      <c r="H154" s="170">
        <v>4.4000000000000004</v>
      </c>
      <c r="I154" s="170">
        <v>4.4000000000000004</v>
      </c>
      <c r="J154" s="170">
        <v>4.4000000000000004</v>
      </c>
      <c r="K154" s="170">
        <v>0</v>
      </c>
      <c r="L154" s="170">
        <v>4.4000000000000004</v>
      </c>
      <c r="M154" s="170">
        <v>4.4000000000000004</v>
      </c>
      <c r="N154" s="170">
        <v>4.4000000000000004</v>
      </c>
      <c r="O154" s="170">
        <v>0</v>
      </c>
      <c r="P154" s="170"/>
      <c r="Q154" s="83"/>
    </row>
    <row r="155" spans="1:17" ht="15.6" x14ac:dyDescent="0.3">
      <c r="A155" s="219"/>
      <c r="B155" s="221"/>
      <c r="C155" s="178" t="s">
        <v>303</v>
      </c>
      <c r="D155" s="170">
        <v>115.6</v>
      </c>
      <c r="E155" s="170">
        <v>115.6</v>
      </c>
      <c r="F155" s="170">
        <v>14</v>
      </c>
      <c r="G155" s="170">
        <v>0</v>
      </c>
      <c r="H155" s="170">
        <v>61.1</v>
      </c>
      <c r="I155" s="170">
        <v>61.1</v>
      </c>
      <c r="J155" s="170">
        <v>7.3</v>
      </c>
      <c r="K155" s="170">
        <v>0</v>
      </c>
      <c r="L155" s="170">
        <v>43.9</v>
      </c>
      <c r="M155" s="170">
        <v>43.9</v>
      </c>
      <c r="N155" s="170">
        <v>5.8</v>
      </c>
      <c r="O155" s="170">
        <v>0</v>
      </c>
      <c r="P155" s="173"/>
      <c r="Q155" s="173"/>
    </row>
    <row r="156" spans="1:17" x14ac:dyDescent="0.25">
      <c r="A156" s="219"/>
      <c r="B156" s="221"/>
      <c r="C156" s="178" t="s">
        <v>291</v>
      </c>
      <c r="D156" s="170">
        <v>1289.9000000000001</v>
      </c>
      <c r="E156" s="170">
        <v>1286.7</v>
      </c>
      <c r="F156" s="170">
        <v>1081.5</v>
      </c>
      <c r="G156" s="170">
        <v>3.2</v>
      </c>
      <c r="H156" s="170">
        <v>738</v>
      </c>
      <c r="I156" s="170">
        <v>738</v>
      </c>
      <c r="J156" s="170">
        <v>644.79999999999995</v>
      </c>
      <c r="K156" s="170">
        <v>0</v>
      </c>
      <c r="L156" s="170">
        <v>564.20000000000005</v>
      </c>
      <c r="M156" s="170">
        <v>564.20000000000005</v>
      </c>
      <c r="N156" s="170">
        <v>508.5</v>
      </c>
      <c r="O156" s="170">
        <v>0</v>
      </c>
      <c r="P156" s="170"/>
      <c r="Q156" s="83"/>
    </row>
    <row r="157" spans="1:17" ht="15.6" x14ac:dyDescent="0.3">
      <c r="A157" s="192"/>
      <c r="B157" s="222"/>
      <c r="C157" s="178" t="s">
        <v>293</v>
      </c>
      <c r="D157" s="170">
        <v>28.8</v>
      </c>
      <c r="E157" s="170">
        <v>28.8</v>
      </c>
      <c r="F157" s="170">
        <v>28.4</v>
      </c>
      <c r="G157" s="170">
        <v>0</v>
      </c>
      <c r="H157" s="170">
        <v>14.4</v>
      </c>
      <c r="I157" s="170">
        <v>14.4</v>
      </c>
      <c r="J157" s="170">
        <v>14.2</v>
      </c>
      <c r="K157" s="170">
        <v>0</v>
      </c>
      <c r="L157" s="170">
        <v>14.4</v>
      </c>
      <c r="M157" s="170">
        <v>14.4</v>
      </c>
      <c r="N157" s="170">
        <v>14.2</v>
      </c>
      <c r="O157" s="170">
        <v>0</v>
      </c>
      <c r="P157" s="173"/>
      <c r="Q157" s="173"/>
    </row>
    <row r="158" spans="1:17" ht="33.6" customHeight="1" x14ac:dyDescent="0.3">
      <c r="A158" s="175" t="s">
        <v>72</v>
      </c>
      <c r="B158" s="175"/>
      <c r="C158" s="176"/>
      <c r="D158" s="177">
        <f t="shared" ref="D158:O158" si="17">SUBTOTAL(9,D159:D160)</f>
        <v>1493.7</v>
      </c>
      <c r="E158" s="177">
        <f t="shared" si="17"/>
        <v>1366.7</v>
      </c>
      <c r="F158" s="177">
        <f t="shared" si="17"/>
        <v>1009.2</v>
      </c>
      <c r="G158" s="177">
        <f t="shared" si="17"/>
        <v>127</v>
      </c>
      <c r="H158" s="177">
        <f t="shared" si="17"/>
        <v>888.9</v>
      </c>
      <c r="I158" s="177">
        <f t="shared" si="17"/>
        <v>761.9</v>
      </c>
      <c r="J158" s="177">
        <f t="shared" si="17"/>
        <v>565.30000000000007</v>
      </c>
      <c r="K158" s="177">
        <f t="shared" si="17"/>
        <v>127</v>
      </c>
      <c r="L158" s="177">
        <f t="shared" si="17"/>
        <v>662.5</v>
      </c>
      <c r="M158" s="177">
        <f t="shared" si="17"/>
        <v>606.5</v>
      </c>
      <c r="N158" s="177">
        <f t="shared" si="17"/>
        <v>464.59999999999997</v>
      </c>
      <c r="O158" s="177">
        <f t="shared" si="17"/>
        <v>56</v>
      </c>
      <c r="P158" s="173">
        <f>SUM(L158/D158*100)</f>
        <v>44.352949052687954</v>
      </c>
      <c r="Q158" s="173">
        <f>SUM(L158/H158*100)</f>
        <v>74.530318371020371</v>
      </c>
    </row>
    <row r="159" spans="1:17" ht="15.6" x14ac:dyDescent="0.3">
      <c r="A159" s="191"/>
      <c r="B159" s="220" t="s">
        <v>353</v>
      </c>
      <c r="C159" s="178" t="s">
        <v>303</v>
      </c>
      <c r="D159" s="170">
        <v>363.8</v>
      </c>
      <c r="E159" s="170">
        <v>363.8</v>
      </c>
      <c r="F159" s="170">
        <v>168.8</v>
      </c>
      <c r="G159" s="170">
        <v>0</v>
      </c>
      <c r="H159" s="170">
        <v>192</v>
      </c>
      <c r="I159" s="170">
        <v>192</v>
      </c>
      <c r="J159" s="170">
        <v>86.2</v>
      </c>
      <c r="K159" s="170">
        <v>0</v>
      </c>
      <c r="L159" s="170">
        <v>130.1</v>
      </c>
      <c r="M159" s="170">
        <v>130.1</v>
      </c>
      <c r="N159" s="170">
        <v>57.7</v>
      </c>
      <c r="O159" s="170">
        <v>0</v>
      </c>
      <c r="P159" s="173"/>
      <c r="Q159" s="173"/>
    </row>
    <row r="160" spans="1:17" ht="47.4" customHeight="1" x14ac:dyDescent="0.3">
      <c r="A160" s="192"/>
      <c r="B160" s="222"/>
      <c r="C160" s="178" t="s">
        <v>291</v>
      </c>
      <c r="D160" s="170">
        <v>1129.9000000000001</v>
      </c>
      <c r="E160" s="170">
        <v>1002.9</v>
      </c>
      <c r="F160" s="170">
        <v>840.4</v>
      </c>
      <c r="G160" s="170">
        <v>127</v>
      </c>
      <c r="H160" s="170">
        <v>696.9</v>
      </c>
      <c r="I160" s="170">
        <v>569.9</v>
      </c>
      <c r="J160" s="170">
        <v>479.1</v>
      </c>
      <c r="K160" s="170">
        <v>127</v>
      </c>
      <c r="L160" s="170">
        <v>532.4</v>
      </c>
      <c r="M160" s="170">
        <v>476.4</v>
      </c>
      <c r="N160" s="170">
        <v>406.9</v>
      </c>
      <c r="O160" s="170">
        <v>56</v>
      </c>
      <c r="P160" s="173"/>
      <c r="Q160" s="173"/>
    </row>
    <row r="161" spans="1:17" ht="49.2" customHeight="1" x14ac:dyDescent="0.3">
      <c r="A161" s="175" t="s">
        <v>61</v>
      </c>
      <c r="B161" s="175"/>
      <c r="C161" s="176"/>
      <c r="D161" s="177">
        <f t="shared" ref="D161:O161" si="18">SUBTOTAL(9,D162:D165)</f>
        <v>760</v>
      </c>
      <c r="E161" s="177">
        <f t="shared" si="18"/>
        <v>495.9</v>
      </c>
      <c r="F161" s="177">
        <f t="shared" si="18"/>
        <v>245.3</v>
      </c>
      <c r="G161" s="177">
        <f t="shared" si="18"/>
        <v>264.10000000000002</v>
      </c>
      <c r="H161" s="177">
        <f t="shared" si="18"/>
        <v>538.9</v>
      </c>
      <c r="I161" s="177">
        <f t="shared" si="18"/>
        <v>294.8</v>
      </c>
      <c r="J161" s="177">
        <f t="shared" si="18"/>
        <v>123.60000000000001</v>
      </c>
      <c r="K161" s="177">
        <f t="shared" si="18"/>
        <v>244.10000000000002</v>
      </c>
      <c r="L161" s="177">
        <f t="shared" si="18"/>
        <v>248.4</v>
      </c>
      <c r="M161" s="177">
        <f t="shared" si="18"/>
        <v>157.19999999999999</v>
      </c>
      <c r="N161" s="177">
        <f t="shared" si="18"/>
        <v>90.9</v>
      </c>
      <c r="O161" s="177">
        <f t="shared" si="18"/>
        <v>91.2</v>
      </c>
      <c r="P161" s="173">
        <f>SUM(L161/D161*100)</f>
        <v>32.684210526315788</v>
      </c>
      <c r="Q161" s="173">
        <f>SUM(L161/H161*100)</f>
        <v>46.09389497123771</v>
      </c>
    </row>
    <row r="162" spans="1:17" ht="30" x14ac:dyDescent="0.25">
      <c r="A162" s="191"/>
      <c r="B162" s="179" t="s">
        <v>287</v>
      </c>
      <c r="C162" s="178" t="s">
        <v>303</v>
      </c>
      <c r="D162" s="170">
        <v>0</v>
      </c>
      <c r="E162" s="170">
        <v>0</v>
      </c>
      <c r="F162" s="170">
        <v>0</v>
      </c>
      <c r="G162" s="170">
        <v>0</v>
      </c>
      <c r="H162" s="170">
        <v>0</v>
      </c>
      <c r="I162" s="170">
        <v>0</v>
      </c>
      <c r="J162" s="170">
        <v>0</v>
      </c>
      <c r="K162" s="170">
        <v>0</v>
      </c>
      <c r="L162" s="170">
        <v>0</v>
      </c>
      <c r="M162" s="170">
        <v>0</v>
      </c>
      <c r="N162" s="170">
        <v>0</v>
      </c>
      <c r="O162" s="170">
        <v>0</v>
      </c>
      <c r="P162" s="170"/>
      <c r="Q162" s="83"/>
    </row>
    <row r="163" spans="1:17" ht="15.6" x14ac:dyDescent="0.3">
      <c r="A163" s="219"/>
      <c r="B163" s="220" t="s">
        <v>295</v>
      </c>
      <c r="C163" s="178" t="s">
        <v>288</v>
      </c>
      <c r="D163" s="170">
        <v>116.7</v>
      </c>
      <c r="E163" s="170">
        <v>40</v>
      </c>
      <c r="F163" s="170">
        <v>13.1</v>
      </c>
      <c r="G163" s="170">
        <v>76.7</v>
      </c>
      <c r="H163" s="170">
        <v>108.9</v>
      </c>
      <c r="I163" s="170">
        <v>32.200000000000003</v>
      </c>
      <c r="J163" s="170">
        <v>6.6</v>
      </c>
      <c r="K163" s="170">
        <v>76.7</v>
      </c>
      <c r="L163" s="170">
        <v>27.5</v>
      </c>
      <c r="M163" s="170">
        <v>13.2</v>
      </c>
      <c r="N163" s="170">
        <v>1.9</v>
      </c>
      <c r="O163" s="170">
        <v>14.3</v>
      </c>
      <c r="P163" s="173"/>
      <c r="Q163" s="173"/>
    </row>
    <row r="164" spans="1:17" ht="15.6" x14ac:dyDescent="0.3">
      <c r="A164" s="219"/>
      <c r="B164" s="221"/>
      <c r="C164" s="178" t="s">
        <v>303</v>
      </c>
      <c r="D164" s="170">
        <v>200</v>
      </c>
      <c r="E164" s="170">
        <v>190</v>
      </c>
      <c r="F164" s="170">
        <v>68.3</v>
      </c>
      <c r="G164" s="170">
        <v>10</v>
      </c>
      <c r="H164" s="170">
        <v>104.6</v>
      </c>
      <c r="I164" s="170">
        <v>104.6</v>
      </c>
      <c r="J164" s="170">
        <v>32.6</v>
      </c>
      <c r="K164" s="170">
        <v>0</v>
      </c>
      <c r="L164" s="170">
        <v>38.9</v>
      </c>
      <c r="M164" s="170">
        <v>38.9</v>
      </c>
      <c r="N164" s="170">
        <v>23</v>
      </c>
      <c r="O164" s="170">
        <v>0</v>
      </c>
      <c r="P164" s="173"/>
      <c r="Q164" s="173"/>
    </row>
    <row r="165" spans="1:17" ht="15.6" x14ac:dyDescent="0.3">
      <c r="A165" s="192"/>
      <c r="B165" s="222"/>
      <c r="C165" s="178" t="s">
        <v>291</v>
      </c>
      <c r="D165" s="170">
        <v>443.3</v>
      </c>
      <c r="E165" s="170">
        <v>265.89999999999998</v>
      </c>
      <c r="F165" s="170">
        <v>163.9</v>
      </c>
      <c r="G165" s="170">
        <v>177.4</v>
      </c>
      <c r="H165" s="170">
        <v>325.39999999999998</v>
      </c>
      <c r="I165" s="170">
        <v>158</v>
      </c>
      <c r="J165" s="170">
        <v>84.4</v>
      </c>
      <c r="K165" s="170">
        <v>167.4</v>
      </c>
      <c r="L165" s="170">
        <v>182</v>
      </c>
      <c r="M165" s="170">
        <v>105.1</v>
      </c>
      <c r="N165" s="170">
        <v>66</v>
      </c>
      <c r="O165" s="170">
        <v>76.900000000000006</v>
      </c>
      <c r="P165" s="173"/>
      <c r="Q165" s="173"/>
    </row>
    <row r="166" spans="1:17" ht="31.2" x14ac:dyDescent="0.3">
      <c r="A166" s="175" t="s">
        <v>65</v>
      </c>
      <c r="B166" s="175"/>
      <c r="C166" s="176"/>
      <c r="D166" s="177">
        <f t="shared" ref="D166:O166" si="19">SUBTOTAL(9,D167:D169)</f>
        <v>2593.7000000000003</v>
      </c>
      <c r="E166" s="177">
        <f t="shared" si="19"/>
        <v>2585.2000000000003</v>
      </c>
      <c r="F166" s="177">
        <f t="shared" si="19"/>
        <v>2017.9</v>
      </c>
      <c r="G166" s="177">
        <f t="shared" si="19"/>
        <v>8.5</v>
      </c>
      <c r="H166" s="177">
        <f t="shared" si="19"/>
        <v>1344.2</v>
      </c>
      <c r="I166" s="177">
        <f t="shared" si="19"/>
        <v>1335.7</v>
      </c>
      <c r="J166" s="177">
        <f t="shared" si="19"/>
        <v>1009.1000000000001</v>
      </c>
      <c r="K166" s="177">
        <f t="shared" si="19"/>
        <v>8.5</v>
      </c>
      <c r="L166" s="177">
        <f t="shared" si="19"/>
        <v>1046.4000000000001</v>
      </c>
      <c r="M166" s="177">
        <f t="shared" si="19"/>
        <v>1046.4000000000001</v>
      </c>
      <c r="N166" s="177">
        <f t="shared" si="19"/>
        <v>845.80000000000007</v>
      </c>
      <c r="O166" s="177">
        <f t="shared" si="19"/>
        <v>0</v>
      </c>
      <c r="P166" s="173">
        <f>SUM(L166/D166*100)</f>
        <v>40.343910244052893</v>
      </c>
      <c r="Q166" s="173">
        <f>SUM(L166/H166*100)</f>
        <v>77.845558696622533</v>
      </c>
    </row>
    <row r="167" spans="1:17" ht="15.6" x14ac:dyDescent="0.3">
      <c r="A167" s="191"/>
      <c r="B167" s="220" t="s">
        <v>305</v>
      </c>
      <c r="C167" s="178" t="s">
        <v>303</v>
      </c>
      <c r="D167" s="170">
        <v>59.4</v>
      </c>
      <c r="E167" s="170">
        <v>59.4</v>
      </c>
      <c r="F167" s="170">
        <v>15.4</v>
      </c>
      <c r="G167" s="170">
        <v>0</v>
      </c>
      <c r="H167" s="170">
        <v>30.5</v>
      </c>
      <c r="I167" s="170">
        <v>30.5</v>
      </c>
      <c r="J167" s="170">
        <v>7.7</v>
      </c>
      <c r="K167" s="170">
        <v>0</v>
      </c>
      <c r="L167" s="170">
        <v>22.2</v>
      </c>
      <c r="M167" s="170">
        <v>22.2</v>
      </c>
      <c r="N167" s="170">
        <v>6.5</v>
      </c>
      <c r="O167" s="170">
        <v>0</v>
      </c>
      <c r="P167" s="173"/>
      <c r="Q167" s="173"/>
    </row>
    <row r="168" spans="1:17" ht="15.6" x14ac:dyDescent="0.3">
      <c r="A168" s="219"/>
      <c r="B168" s="221"/>
      <c r="C168" s="178" t="s">
        <v>291</v>
      </c>
      <c r="D168" s="170">
        <v>2436.8000000000002</v>
      </c>
      <c r="E168" s="170">
        <v>2428.3000000000002</v>
      </c>
      <c r="F168" s="170">
        <v>1906.4</v>
      </c>
      <c r="G168" s="170">
        <v>8.5</v>
      </c>
      <c r="H168" s="170">
        <v>1264.8</v>
      </c>
      <c r="I168" s="170">
        <v>1256.3</v>
      </c>
      <c r="J168" s="170">
        <v>953.2</v>
      </c>
      <c r="K168" s="170">
        <v>8.5</v>
      </c>
      <c r="L168" s="170">
        <v>975.3</v>
      </c>
      <c r="M168" s="170">
        <v>975.3</v>
      </c>
      <c r="N168" s="170">
        <v>791.1</v>
      </c>
      <c r="O168" s="170">
        <v>0</v>
      </c>
      <c r="P168" s="173"/>
      <c r="Q168" s="173"/>
    </row>
    <row r="169" spans="1:17" ht="15.6" x14ac:dyDescent="0.3">
      <c r="A169" s="192"/>
      <c r="B169" s="222"/>
      <c r="C169" s="178" t="s">
        <v>293</v>
      </c>
      <c r="D169" s="170">
        <v>97.5</v>
      </c>
      <c r="E169" s="170">
        <v>97.5</v>
      </c>
      <c r="F169" s="170">
        <v>96.1</v>
      </c>
      <c r="G169" s="170">
        <v>0</v>
      </c>
      <c r="H169" s="170">
        <v>48.9</v>
      </c>
      <c r="I169" s="170">
        <v>48.9</v>
      </c>
      <c r="J169" s="170">
        <v>48.2</v>
      </c>
      <c r="K169" s="170">
        <v>0</v>
      </c>
      <c r="L169" s="170">
        <v>48.9</v>
      </c>
      <c r="M169" s="170">
        <v>48.9</v>
      </c>
      <c r="N169" s="170">
        <v>48.2</v>
      </c>
      <c r="O169" s="170">
        <v>0</v>
      </c>
      <c r="P169" s="173"/>
      <c r="Q169" s="173"/>
    </row>
    <row r="170" spans="1:17" ht="15.6" x14ac:dyDescent="0.3">
      <c r="A170" s="175" t="s">
        <v>322</v>
      </c>
      <c r="B170" s="175"/>
      <c r="C170" s="176"/>
      <c r="D170" s="177">
        <f t="shared" ref="D170:O170" si="20">SUBTOTAL(9,D171:D171)</f>
        <v>360.8</v>
      </c>
      <c r="E170" s="177">
        <f t="shared" si="20"/>
        <v>114.2</v>
      </c>
      <c r="F170" s="177">
        <f t="shared" si="20"/>
        <v>0</v>
      </c>
      <c r="G170" s="177">
        <f t="shared" si="20"/>
        <v>246.6</v>
      </c>
      <c r="H170" s="177">
        <f t="shared" si="20"/>
        <v>150.69999999999999</v>
      </c>
      <c r="I170" s="177">
        <f t="shared" si="20"/>
        <v>27.4</v>
      </c>
      <c r="J170" s="177">
        <f t="shared" si="20"/>
        <v>0</v>
      </c>
      <c r="K170" s="177">
        <f t="shared" si="20"/>
        <v>123.3</v>
      </c>
      <c r="L170" s="177">
        <f t="shared" si="20"/>
        <v>149.80000000000001</v>
      </c>
      <c r="M170" s="177">
        <f t="shared" si="20"/>
        <v>26.5</v>
      </c>
      <c r="N170" s="177">
        <f t="shared" si="20"/>
        <v>0</v>
      </c>
      <c r="O170" s="177">
        <f t="shared" si="20"/>
        <v>123.3</v>
      </c>
      <c r="P170" s="173">
        <f>SUM(L170/D170*100)</f>
        <v>41.518847006651889</v>
      </c>
      <c r="Q170" s="173">
        <f>SUM(L170/H170*100)</f>
        <v>99.402786994027878</v>
      </c>
    </row>
    <row r="171" spans="1:17" ht="60" x14ac:dyDescent="0.3">
      <c r="A171" s="179"/>
      <c r="B171" s="179" t="s">
        <v>352</v>
      </c>
      <c r="C171" s="178" t="s">
        <v>291</v>
      </c>
      <c r="D171" s="170">
        <v>360.8</v>
      </c>
      <c r="E171" s="170">
        <v>114.2</v>
      </c>
      <c r="F171" s="170">
        <v>0</v>
      </c>
      <c r="G171" s="170">
        <v>246.6</v>
      </c>
      <c r="H171" s="170">
        <v>150.69999999999999</v>
      </c>
      <c r="I171" s="170">
        <v>27.4</v>
      </c>
      <c r="J171" s="170">
        <v>0</v>
      </c>
      <c r="K171" s="170">
        <v>123.3</v>
      </c>
      <c r="L171" s="170">
        <v>149.80000000000001</v>
      </c>
      <c r="M171" s="170">
        <v>26.5</v>
      </c>
      <c r="N171" s="170">
        <v>0</v>
      </c>
      <c r="O171" s="170">
        <v>123.3</v>
      </c>
      <c r="P171" s="173"/>
      <c r="Q171" s="173"/>
    </row>
    <row r="172" spans="1:17" ht="15.6" x14ac:dyDescent="0.3">
      <c r="A172" s="175" t="s">
        <v>323</v>
      </c>
      <c r="B172" s="175"/>
      <c r="C172" s="176"/>
      <c r="D172" s="177">
        <f t="shared" ref="D172:O172" si="21">SUBTOTAL(9,D173:D173)</f>
        <v>1159.3</v>
      </c>
      <c r="E172" s="177">
        <f t="shared" si="21"/>
        <v>220</v>
      </c>
      <c r="F172" s="177">
        <f t="shared" si="21"/>
        <v>0</v>
      </c>
      <c r="G172" s="177">
        <f t="shared" si="21"/>
        <v>939.3</v>
      </c>
      <c r="H172" s="177">
        <f t="shared" si="21"/>
        <v>567</v>
      </c>
      <c r="I172" s="177">
        <f t="shared" si="21"/>
        <v>140</v>
      </c>
      <c r="J172" s="177">
        <f t="shared" si="21"/>
        <v>0</v>
      </c>
      <c r="K172" s="177">
        <f t="shared" si="21"/>
        <v>427</v>
      </c>
      <c r="L172" s="177">
        <f t="shared" si="21"/>
        <v>548</v>
      </c>
      <c r="M172" s="177">
        <f t="shared" si="21"/>
        <v>121</v>
      </c>
      <c r="N172" s="177">
        <f t="shared" si="21"/>
        <v>0</v>
      </c>
      <c r="O172" s="177">
        <f t="shared" si="21"/>
        <v>427</v>
      </c>
      <c r="P172" s="173">
        <f>SUM(L172/D172*100)</f>
        <v>47.269904252566207</v>
      </c>
      <c r="Q172" s="173">
        <f>SUM(L172/H172*100)</f>
        <v>96.649029982363317</v>
      </c>
    </row>
    <row r="173" spans="1:17" ht="60" x14ac:dyDescent="0.25">
      <c r="A173" s="179"/>
      <c r="B173" s="179" t="s">
        <v>352</v>
      </c>
      <c r="C173" s="178" t="s">
        <v>291</v>
      </c>
      <c r="D173" s="170">
        <v>1159.3</v>
      </c>
      <c r="E173" s="170">
        <v>220</v>
      </c>
      <c r="F173" s="170">
        <v>0</v>
      </c>
      <c r="G173" s="170">
        <v>939.3</v>
      </c>
      <c r="H173" s="170">
        <v>567</v>
      </c>
      <c r="I173" s="170">
        <v>140</v>
      </c>
      <c r="J173" s="170">
        <v>0</v>
      </c>
      <c r="K173" s="170">
        <v>427</v>
      </c>
      <c r="L173" s="170">
        <v>548</v>
      </c>
      <c r="M173" s="170">
        <v>121</v>
      </c>
      <c r="N173" s="170">
        <v>0</v>
      </c>
      <c r="O173" s="170">
        <v>427</v>
      </c>
      <c r="P173" s="170"/>
      <c r="Q173" s="83"/>
    </row>
    <row r="174" spans="1:17" ht="31.2" x14ac:dyDescent="0.3">
      <c r="A174" s="175" t="s">
        <v>68</v>
      </c>
      <c r="B174" s="175"/>
      <c r="C174" s="176"/>
      <c r="D174" s="177">
        <f t="shared" ref="D174:O174" si="22">SUBTOTAL(9,D175:D177)</f>
        <v>1539.4</v>
      </c>
      <c r="E174" s="177">
        <f t="shared" si="22"/>
        <v>1530.3000000000002</v>
      </c>
      <c r="F174" s="177">
        <f t="shared" si="22"/>
        <v>1153.0000000000002</v>
      </c>
      <c r="G174" s="177">
        <f t="shared" si="22"/>
        <v>9.1</v>
      </c>
      <c r="H174" s="177">
        <f t="shared" si="22"/>
        <v>774</v>
      </c>
      <c r="I174" s="177">
        <f t="shared" si="22"/>
        <v>764.9</v>
      </c>
      <c r="J174" s="177">
        <f t="shared" si="22"/>
        <v>575.5</v>
      </c>
      <c r="K174" s="177">
        <f t="shared" si="22"/>
        <v>9.1</v>
      </c>
      <c r="L174" s="177">
        <f t="shared" si="22"/>
        <v>541.1</v>
      </c>
      <c r="M174" s="177">
        <f t="shared" si="22"/>
        <v>541.1</v>
      </c>
      <c r="N174" s="177">
        <f t="shared" si="22"/>
        <v>449.79999999999995</v>
      </c>
      <c r="O174" s="177">
        <f t="shared" si="22"/>
        <v>0</v>
      </c>
      <c r="P174" s="173">
        <f>SUM(L174/D174*100)</f>
        <v>35.150058464336752</v>
      </c>
      <c r="Q174" s="173">
        <f>SUM(L174/H174*100)</f>
        <v>69.909560723514218</v>
      </c>
    </row>
    <row r="175" spans="1:17" ht="15.6" x14ac:dyDescent="0.3">
      <c r="A175" s="191"/>
      <c r="B175" s="220" t="s">
        <v>305</v>
      </c>
      <c r="C175" s="178" t="s">
        <v>303</v>
      </c>
      <c r="D175" s="170">
        <v>60</v>
      </c>
      <c r="E175" s="170">
        <v>60</v>
      </c>
      <c r="F175" s="170">
        <v>48.2</v>
      </c>
      <c r="G175" s="170">
        <v>0</v>
      </c>
      <c r="H175" s="170">
        <v>29.5</v>
      </c>
      <c r="I175" s="170">
        <v>29.5</v>
      </c>
      <c r="J175" s="170">
        <v>24</v>
      </c>
      <c r="K175" s="170">
        <v>0</v>
      </c>
      <c r="L175" s="170">
        <v>18.600000000000001</v>
      </c>
      <c r="M175" s="170">
        <v>18.600000000000001</v>
      </c>
      <c r="N175" s="170">
        <v>14.9</v>
      </c>
      <c r="O175" s="170">
        <v>0</v>
      </c>
      <c r="P175" s="173"/>
      <c r="Q175" s="173"/>
    </row>
    <row r="176" spans="1:17" ht="15.6" x14ac:dyDescent="0.3">
      <c r="A176" s="219"/>
      <c r="B176" s="221"/>
      <c r="C176" s="178" t="s">
        <v>291</v>
      </c>
      <c r="D176" s="170">
        <v>1407.5</v>
      </c>
      <c r="E176" s="170">
        <v>1398.4</v>
      </c>
      <c r="F176" s="170">
        <v>1033.9000000000001</v>
      </c>
      <c r="G176" s="170">
        <v>9.1</v>
      </c>
      <c r="H176" s="170">
        <v>708.5</v>
      </c>
      <c r="I176" s="170">
        <v>699.4</v>
      </c>
      <c r="J176" s="170">
        <v>516.1</v>
      </c>
      <c r="K176" s="170">
        <v>9.1</v>
      </c>
      <c r="L176" s="170">
        <v>486.5</v>
      </c>
      <c r="M176" s="170">
        <v>486.5</v>
      </c>
      <c r="N176" s="170">
        <v>399.5</v>
      </c>
      <c r="O176" s="170">
        <v>0</v>
      </c>
      <c r="P176" s="173"/>
      <c r="Q176" s="173"/>
    </row>
    <row r="177" spans="1:17" x14ac:dyDescent="0.25">
      <c r="A177" s="192"/>
      <c r="B177" s="222"/>
      <c r="C177" s="178" t="s">
        <v>293</v>
      </c>
      <c r="D177" s="170">
        <v>71.900000000000006</v>
      </c>
      <c r="E177" s="170">
        <v>71.900000000000006</v>
      </c>
      <c r="F177" s="170">
        <v>70.900000000000006</v>
      </c>
      <c r="G177" s="170">
        <v>0</v>
      </c>
      <c r="H177" s="170">
        <v>36</v>
      </c>
      <c r="I177" s="170">
        <v>36</v>
      </c>
      <c r="J177" s="170">
        <v>35.4</v>
      </c>
      <c r="K177" s="170">
        <v>0</v>
      </c>
      <c r="L177" s="170">
        <v>36</v>
      </c>
      <c r="M177" s="170">
        <v>36</v>
      </c>
      <c r="N177" s="170">
        <v>35.4</v>
      </c>
      <c r="O177" s="170">
        <v>0</v>
      </c>
      <c r="P177" s="170"/>
      <c r="Q177" s="83"/>
    </row>
    <row r="178" spans="1:17" ht="31.2" x14ac:dyDescent="0.3">
      <c r="A178" s="175" t="s">
        <v>30</v>
      </c>
      <c r="B178" s="175"/>
      <c r="C178" s="176"/>
      <c r="D178" s="177">
        <f t="shared" ref="D178:O178" si="23">SUBTOTAL(9,D179:D183)</f>
        <v>3042.9000000000005</v>
      </c>
      <c r="E178" s="177">
        <f t="shared" si="23"/>
        <v>3009.1000000000004</v>
      </c>
      <c r="F178" s="177">
        <f t="shared" si="23"/>
        <v>2504.6999999999998</v>
      </c>
      <c r="G178" s="177">
        <f t="shared" si="23"/>
        <v>33.799999999999997</v>
      </c>
      <c r="H178" s="177">
        <f t="shared" si="23"/>
        <v>1906.1000000000001</v>
      </c>
      <c r="I178" s="177">
        <f t="shared" si="23"/>
        <v>1895.3</v>
      </c>
      <c r="J178" s="177">
        <f t="shared" si="23"/>
        <v>1565.4</v>
      </c>
      <c r="K178" s="177">
        <f t="shared" si="23"/>
        <v>10.8</v>
      </c>
      <c r="L178" s="177">
        <f t="shared" si="23"/>
        <v>1623.6000000000001</v>
      </c>
      <c r="M178" s="177">
        <f t="shared" si="23"/>
        <v>1613.7</v>
      </c>
      <c r="N178" s="177">
        <f t="shared" si="23"/>
        <v>1396.7</v>
      </c>
      <c r="O178" s="177">
        <f t="shared" si="23"/>
        <v>9.9</v>
      </c>
      <c r="P178" s="173">
        <f>SUM(L178/D178*100)</f>
        <v>53.356994971901791</v>
      </c>
      <c r="Q178" s="173">
        <f>SUM(L178/H178*100)</f>
        <v>85.179161638948642</v>
      </c>
    </row>
    <row r="179" spans="1:17" ht="15.6" x14ac:dyDescent="0.3">
      <c r="A179" s="191"/>
      <c r="B179" s="220" t="s">
        <v>287</v>
      </c>
      <c r="C179" s="178" t="s">
        <v>289</v>
      </c>
      <c r="D179" s="170">
        <v>1538.2</v>
      </c>
      <c r="E179" s="170">
        <v>1532.6</v>
      </c>
      <c r="F179" s="170">
        <v>1474</v>
      </c>
      <c r="G179" s="170">
        <v>5.6</v>
      </c>
      <c r="H179" s="170">
        <v>956.1</v>
      </c>
      <c r="I179" s="170">
        <v>956.1</v>
      </c>
      <c r="J179" s="170">
        <v>921.8</v>
      </c>
      <c r="K179" s="170">
        <v>0</v>
      </c>
      <c r="L179" s="170">
        <v>870.5</v>
      </c>
      <c r="M179" s="170">
        <v>870.5</v>
      </c>
      <c r="N179" s="170">
        <v>848.9</v>
      </c>
      <c r="O179" s="170">
        <v>0</v>
      </c>
      <c r="P179" s="173"/>
      <c r="Q179" s="173"/>
    </row>
    <row r="180" spans="1:17" ht="15.6" x14ac:dyDescent="0.3">
      <c r="A180" s="219"/>
      <c r="B180" s="221"/>
      <c r="C180" s="178" t="s">
        <v>290</v>
      </c>
      <c r="D180" s="170">
        <v>2.2000000000000002</v>
      </c>
      <c r="E180" s="170">
        <v>2.2000000000000002</v>
      </c>
      <c r="F180" s="170">
        <v>2.2000000000000002</v>
      </c>
      <c r="G180" s="170">
        <v>0</v>
      </c>
      <c r="H180" s="170">
        <v>2.2000000000000002</v>
      </c>
      <c r="I180" s="170">
        <v>2.2000000000000002</v>
      </c>
      <c r="J180" s="170">
        <v>2.2000000000000002</v>
      </c>
      <c r="K180" s="170">
        <v>0</v>
      </c>
      <c r="L180" s="170">
        <v>2.2000000000000002</v>
      </c>
      <c r="M180" s="170">
        <v>2.2000000000000002</v>
      </c>
      <c r="N180" s="170">
        <v>2.2000000000000002</v>
      </c>
      <c r="O180" s="170">
        <v>0</v>
      </c>
      <c r="P180" s="173"/>
      <c r="Q180" s="173"/>
    </row>
    <row r="181" spans="1:17" ht="15.6" x14ac:dyDescent="0.3">
      <c r="A181" s="219"/>
      <c r="B181" s="221"/>
      <c r="C181" s="178" t="s">
        <v>303</v>
      </c>
      <c r="D181" s="170">
        <v>133.5</v>
      </c>
      <c r="E181" s="170">
        <v>133.5</v>
      </c>
      <c r="F181" s="170">
        <v>9.1</v>
      </c>
      <c r="G181" s="170">
        <v>0</v>
      </c>
      <c r="H181" s="170">
        <v>89.7</v>
      </c>
      <c r="I181" s="170">
        <v>89.7</v>
      </c>
      <c r="J181" s="170">
        <v>4.5999999999999996</v>
      </c>
      <c r="K181" s="170">
        <v>0</v>
      </c>
      <c r="L181" s="170">
        <v>60.6</v>
      </c>
      <c r="M181" s="170">
        <v>60.6</v>
      </c>
      <c r="N181" s="170">
        <v>4</v>
      </c>
      <c r="O181" s="170">
        <v>0</v>
      </c>
      <c r="P181" s="173"/>
      <c r="Q181" s="173"/>
    </row>
    <row r="182" spans="1:17" x14ac:dyDescent="0.25">
      <c r="A182" s="219"/>
      <c r="B182" s="221"/>
      <c r="C182" s="178" t="s">
        <v>291</v>
      </c>
      <c r="D182" s="170">
        <v>1348.7</v>
      </c>
      <c r="E182" s="170">
        <v>1320.5</v>
      </c>
      <c r="F182" s="170">
        <v>999.4</v>
      </c>
      <c r="G182" s="170">
        <v>28.2</v>
      </c>
      <c r="H182" s="170">
        <v>847.9</v>
      </c>
      <c r="I182" s="170">
        <v>837.1</v>
      </c>
      <c r="J182" s="170">
        <v>626.79999999999995</v>
      </c>
      <c r="K182" s="170">
        <v>10.8</v>
      </c>
      <c r="L182" s="170">
        <v>680.1</v>
      </c>
      <c r="M182" s="170">
        <v>670.2</v>
      </c>
      <c r="N182" s="170">
        <v>531.6</v>
      </c>
      <c r="O182" s="170">
        <v>9.9</v>
      </c>
      <c r="P182" s="170"/>
      <c r="Q182" s="83"/>
    </row>
    <row r="183" spans="1:17" ht="15.6" x14ac:dyDescent="0.3">
      <c r="A183" s="192"/>
      <c r="B183" s="222"/>
      <c r="C183" s="178" t="s">
        <v>293</v>
      </c>
      <c r="D183" s="170">
        <v>20.3</v>
      </c>
      <c r="E183" s="170">
        <v>20.3</v>
      </c>
      <c r="F183" s="170">
        <v>20</v>
      </c>
      <c r="G183" s="170">
        <v>0</v>
      </c>
      <c r="H183" s="170">
        <v>10.199999999999999</v>
      </c>
      <c r="I183" s="170">
        <v>10.199999999999999</v>
      </c>
      <c r="J183" s="170">
        <v>10</v>
      </c>
      <c r="K183" s="170">
        <v>0</v>
      </c>
      <c r="L183" s="170">
        <v>10.199999999999999</v>
      </c>
      <c r="M183" s="170">
        <v>10.199999999999999</v>
      </c>
      <c r="N183" s="170">
        <v>10</v>
      </c>
      <c r="O183" s="170">
        <v>0</v>
      </c>
      <c r="P183" s="173"/>
      <c r="Q183" s="173"/>
    </row>
    <row r="184" spans="1:17" ht="31.2" x14ac:dyDescent="0.3">
      <c r="A184" s="175" t="s">
        <v>16</v>
      </c>
      <c r="B184" s="175"/>
      <c r="C184" s="176"/>
      <c r="D184" s="177">
        <f t="shared" ref="D184:O184" si="24">SUBTOTAL(9,D185:D188)</f>
        <v>1474.8</v>
      </c>
      <c r="E184" s="177">
        <f t="shared" si="24"/>
        <v>1455.6000000000001</v>
      </c>
      <c r="F184" s="177">
        <f t="shared" si="24"/>
        <v>1295.6999999999998</v>
      </c>
      <c r="G184" s="177">
        <f t="shared" si="24"/>
        <v>19.2</v>
      </c>
      <c r="H184" s="177">
        <f t="shared" si="24"/>
        <v>917</v>
      </c>
      <c r="I184" s="177">
        <f t="shared" si="24"/>
        <v>901.7</v>
      </c>
      <c r="J184" s="177">
        <f t="shared" si="24"/>
        <v>801.59999999999991</v>
      </c>
      <c r="K184" s="177">
        <f t="shared" si="24"/>
        <v>15.3</v>
      </c>
      <c r="L184" s="177">
        <f t="shared" si="24"/>
        <v>666.9</v>
      </c>
      <c r="M184" s="177">
        <f t="shared" si="24"/>
        <v>659.80000000000007</v>
      </c>
      <c r="N184" s="177">
        <f t="shared" si="24"/>
        <v>595.69999999999993</v>
      </c>
      <c r="O184" s="177">
        <f t="shared" si="24"/>
        <v>7.1</v>
      </c>
      <c r="P184" s="173">
        <f>SUM(L184/D184*100)</f>
        <v>45.219690805532956</v>
      </c>
      <c r="Q184" s="173">
        <f>SUM(L184/H184*100)</f>
        <v>72.726281352235546</v>
      </c>
    </row>
    <row r="185" spans="1:17" x14ac:dyDescent="0.25">
      <c r="A185" s="191"/>
      <c r="B185" s="220" t="s">
        <v>287</v>
      </c>
      <c r="C185" s="178" t="s">
        <v>289</v>
      </c>
      <c r="D185" s="170">
        <v>757.6</v>
      </c>
      <c r="E185" s="170">
        <v>753.7</v>
      </c>
      <c r="F185" s="170">
        <v>728.1</v>
      </c>
      <c r="G185" s="170">
        <v>3.9</v>
      </c>
      <c r="H185" s="170">
        <v>469.1</v>
      </c>
      <c r="I185" s="170">
        <v>469.1</v>
      </c>
      <c r="J185" s="170">
        <v>454.8</v>
      </c>
      <c r="K185" s="170">
        <v>0</v>
      </c>
      <c r="L185" s="170">
        <v>343.6</v>
      </c>
      <c r="M185" s="170">
        <v>343.6</v>
      </c>
      <c r="N185" s="170">
        <v>334</v>
      </c>
      <c r="O185" s="170">
        <v>0</v>
      </c>
      <c r="P185" s="170"/>
      <c r="Q185" s="83"/>
    </row>
    <row r="186" spans="1:17" x14ac:dyDescent="0.25">
      <c r="A186" s="219"/>
      <c r="B186" s="221"/>
      <c r="C186" s="178" t="s">
        <v>303</v>
      </c>
      <c r="D186" s="170">
        <v>47.5</v>
      </c>
      <c r="E186" s="170">
        <v>47.5</v>
      </c>
      <c r="F186" s="170">
        <v>5</v>
      </c>
      <c r="G186" s="170">
        <v>0</v>
      </c>
      <c r="H186" s="170">
        <v>28.1</v>
      </c>
      <c r="I186" s="170">
        <v>28.1</v>
      </c>
      <c r="J186" s="170">
        <v>2.8</v>
      </c>
      <c r="K186" s="170">
        <v>0</v>
      </c>
      <c r="L186" s="170">
        <v>19.8</v>
      </c>
      <c r="M186" s="170">
        <v>19.8</v>
      </c>
      <c r="N186" s="170">
        <v>2.2000000000000002</v>
      </c>
      <c r="O186" s="170">
        <v>0</v>
      </c>
      <c r="P186" s="170"/>
      <c r="Q186" s="83"/>
    </row>
    <row r="187" spans="1:17" ht="15.6" x14ac:dyDescent="0.3">
      <c r="A187" s="219"/>
      <c r="B187" s="221"/>
      <c r="C187" s="178" t="s">
        <v>291</v>
      </c>
      <c r="D187" s="170">
        <v>665</v>
      </c>
      <c r="E187" s="170">
        <v>649.70000000000005</v>
      </c>
      <c r="F187" s="170">
        <v>558</v>
      </c>
      <c r="G187" s="170">
        <v>15.3</v>
      </c>
      <c r="H187" s="170">
        <v>417.4</v>
      </c>
      <c r="I187" s="170">
        <v>402.1</v>
      </c>
      <c r="J187" s="170">
        <v>341.7</v>
      </c>
      <c r="K187" s="170">
        <v>15.3</v>
      </c>
      <c r="L187" s="170">
        <v>301.10000000000002</v>
      </c>
      <c r="M187" s="170">
        <v>294</v>
      </c>
      <c r="N187" s="170">
        <v>257.2</v>
      </c>
      <c r="O187" s="170">
        <v>7.1</v>
      </c>
      <c r="P187" s="173"/>
      <c r="Q187" s="173"/>
    </row>
    <row r="188" spans="1:17" ht="15.6" x14ac:dyDescent="0.3">
      <c r="A188" s="192"/>
      <c r="B188" s="222"/>
      <c r="C188" s="178" t="s">
        <v>293</v>
      </c>
      <c r="D188" s="170">
        <v>4.7</v>
      </c>
      <c r="E188" s="170">
        <v>4.7</v>
      </c>
      <c r="F188" s="170">
        <v>4.5999999999999996</v>
      </c>
      <c r="G188" s="170">
        <v>0</v>
      </c>
      <c r="H188" s="170">
        <v>2.4</v>
      </c>
      <c r="I188" s="170">
        <v>2.4</v>
      </c>
      <c r="J188" s="170">
        <v>2.2999999999999998</v>
      </c>
      <c r="K188" s="170">
        <v>0</v>
      </c>
      <c r="L188" s="170">
        <v>2.4</v>
      </c>
      <c r="M188" s="170">
        <v>2.4</v>
      </c>
      <c r="N188" s="170">
        <v>2.2999999999999998</v>
      </c>
      <c r="O188" s="170">
        <v>0</v>
      </c>
      <c r="P188" s="173"/>
      <c r="Q188" s="173"/>
    </row>
    <row r="189" spans="1:17" ht="46.8" x14ac:dyDescent="0.3">
      <c r="A189" s="175" t="s">
        <v>324</v>
      </c>
      <c r="B189" s="175"/>
      <c r="C189" s="176"/>
      <c r="D189" s="177">
        <f t="shared" ref="D189:O189" si="25">SUBTOTAL(9,D190:D193)</f>
        <v>1196.5999999999999</v>
      </c>
      <c r="E189" s="177">
        <f t="shared" si="25"/>
        <v>1166.7999999999997</v>
      </c>
      <c r="F189" s="177">
        <f t="shared" si="25"/>
        <v>1038.2999999999997</v>
      </c>
      <c r="G189" s="177">
        <f t="shared" si="25"/>
        <v>29.8</v>
      </c>
      <c r="H189" s="177">
        <f t="shared" si="25"/>
        <v>791.19999999999993</v>
      </c>
      <c r="I189" s="177">
        <f t="shared" si="25"/>
        <v>761.4</v>
      </c>
      <c r="J189" s="177">
        <f t="shared" si="25"/>
        <v>670.8</v>
      </c>
      <c r="K189" s="177">
        <f t="shared" si="25"/>
        <v>29.8</v>
      </c>
      <c r="L189" s="177">
        <f t="shared" si="25"/>
        <v>552.79999999999995</v>
      </c>
      <c r="M189" s="177">
        <f t="shared" si="25"/>
        <v>539.9</v>
      </c>
      <c r="N189" s="177">
        <f t="shared" si="25"/>
        <v>487.90000000000003</v>
      </c>
      <c r="O189" s="177">
        <f t="shared" si="25"/>
        <v>12.9</v>
      </c>
      <c r="P189" s="173">
        <f>SUM(L189/D189*100)</f>
        <v>46.197559752632458</v>
      </c>
      <c r="Q189" s="173">
        <f>SUM(L189/H189*100)</f>
        <v>69.868554095045496</v>
      </c>
    </row>
    <row r="190" spans="1:17" ht="15.6" x14ac:dyDescent="0.3">
      <c r="A190" s="191"/>
      <c r="B190" s="220" t="s">
        <v>287</v>
      </c>
      <c r="C190" s="178" t="s">
        <v>289</v>
      </c>
      <c r="D190" s="170">
        <v>722.5</v>
      </c>
      <c r="E190" s="170">
        <v>722.5</v>
      </c>
      <c r="F190" s="170">
        <v>696.3</v>
      </c>
      <c r="G190" s="170">
        <v>0</v>
      </c>
      <c r="H190" s="170">
        <v>487.6</v>
      </c>
      <c r="I190" s="170">
        <v>487.6</v>
      </c>
      <c r="J190" s="170">
        <v>471</v>
      </c>
      <c r="K190" s="170">
        <v>0</v>
      </c>
      <c r="L190" s="170">
        <v>354.3</v>
      </c>
      <c r="M190" s="170">
        <v>354.3</v>
      </c>
      <c r="N190" s="170">
        <v>347.2</v>
      </c>
      <c r="O190" s="170">
        <v>0</v>
      </c>
      <c r="P190" s="173"/>
      <c r="Q190" s="173"/>
    </row>
    <row r="191" spans="1:17" x14ac:dyDescent="0.25">
      <c r="A191" s="219"/>
      <c r="B191" s="221"/>
      <c r="C191" s="178" t="s">
        <v>303</v>
      </c>
      <c r="D191" s="170">
        <v>17.3</v>
      </c>
      <c r="E191" s="170">
        <v>17.3</v>
      </c>
      <c r="F191" s="170">
        <v>1</v>
      </c>
      <c r="G191" s="170">
        <v>0</v>
      </c>
      <c r="H191" s="170">
        <v>9.4</v>
      </c>
      <c r="I191" s="170">
        <v>9.4</v>
      </c>
      <c r="J191" s="170">
        <v>0.5</v>
      </c>
      <c r="K191" s="170">
        <v>0</v>
      </c>
      <c r="L191" s="170">
        <v>4.0999999999999996</v>
      </c>
      <c r="M191" s="170">
        <v>4.0999999999999996</v>
      </c>
      <c r="N191" s="170">
        <v>0</v>
      </c>
      <c r="O191" s="170">
        <v>0</v>
      </c>
      <c r="P191" s="170"/>
      <c r="Q191" s="83"/>
    </row>
    <row r="192" spans="1:17" ht="15.6" x14ac:dyDescent="0.3">
      <c r="A192" s="219"/>
      <c r="B192" s="221"/>
      <c r="C192" s="178" t="s">
        <v>291</v>
      </c>
      <c r="D192" s="170">
        <v>454.7</v>
      </c>
      <c r="E192" s="170">
        <v>424.9</v>
      </c>
      <c r="F192" s="170">
        <v>338.9</v>
      </c>
      <c r="G192" s="170">
        <v>29.8</v>
      </c>
      <c r="H192" s="170">
        <v>292.89999999999998</v>
      </c>
      <c r="I192" s="170">
        <v>263.10000000000002</v>
      </c>
      <c r="J192" s="170">
        <v>198</v>
      </c>
      <c r="K192" s="170">
        <v>29.8</v>
      </c>
      <c r="L192" s="170">
        <v>193.1</v>
      </c>
      <c r="M192" s="170">
        <v>180.2</v>
      </c>
      <c r="N192" s="170">
        <v>139.4</v>
      </c>
      <c r="O192" s="170">
        <v>12.9</v>
      </c>
      <c r="P192" s="173"/>
      <c r="Q192" s="173"/>
    </row>
    <row r="193" spans="1:17" x14ac:dyDescent="0.25">
      <c r="A193" s="192"/>
      <c r="B193" s="222"/>
      <c r="C193" s="178" t="s">
        <v>293</v>
      </c>
      <c r="D193" s="170">
        <v>2.1</v>
      </c>
      <c r="E193" s="170">
        <v>2.1</v>
      </c>
      <c r="F193" s="170">
        <v>2.1</v>
      </c>
      <c r="G193" s="170">
        <v>0</v>
      </c>
      <c r="H193" s="170">
        <v>1.3</v>
      </c>
      <c r="I193" s="170">
        <v>1.3</v>
      </c>
      <c r="J193" s="170">
        <v>1.3</v>
      </c>
      <c r="K193" s="170">
        <v>0</v>
      </c>
      <c r="L193" s="170">
        <v>1.3</v>
      </c>
      <c r="M193" s="170">
        <v>1.3</v>
      </c>
      <c r="N193" s="170">
        <v>1.3</v>
      </c>
      <c r="O193" s="170">
        <v>0</v>
      </c>
      <c r="P193" s="170"/>
      <c r="Q193" s="83"/>
    </row>
    <row r="194" spans="1:17" ht="31.2" x14ac:dyDescent="0.3">
      <c r="A194" s="175" t="s">
        <v>55</v>
      </c>
      <c r="B194" s="175"/>
      <c r="C194" s="176"/>
      <c r="D194" s="177">
        <f t="shared" ref="D194:O194" si="26">SUBTOTAL(9,D195:D199)</f>
        <v>492.2</v>
      </c>
      <c r="E194" s="177">
        <f t="shared" si="26"/>
        <v>467.8</v>
      </c>
      <c r="F194" s="177">
        <f t="shared" si="26"/>
        <v>394.90000000000003</v>
      </c>
      <c r="G194" s="177">
        <f t="shared" si="26"/>
        <v>24.4</v>
      </c>
      <c r="H194" s="177">
        <f t="shared" si="26"/>
        <v>319.7</v>
      </c>
      <c r="I194" s="177">
        <f t="shared" si="26"/>
        <v>295.29999999999995</v>
      </c>
      <c r="J194" s="177">
        <f t="shared" si="26"/>
        <v>244.9</v>
      </c>
      <c r="K194" s="177">
        <f t="shared" si="26"/>
        <v>24.4</v>
      </c>
      <c r="L194" s="177">
        <f t="shared" si="26"/>
        <v>233.4</v>
      </c>
      <c r="M194" s="177">
        <f t="shared" si="26"/>
        <v>233.4</v>
      </c>
      <c r="N194" s="177">
        <f t="shared" si="26"/>
        <v>201.5</v>
      </c>
      <c r="O194" s="177">
        <f t="shared" si="26"/>
        <v>0</v>
      </c>
      <c r="P194" s="173">
        <f>SUM(L194/D194*100)</f>
        <v>47.419748069890289</v>
      </c>
      <c r="Q194" s="173">
        <f>SUM(L194/H194*100)</f>
        <v>73.005943071629659</v>
      </c>
    </row>
    <row r="195" spans="1:17" ht="15.6" x14ac:dyDescent="0.3">
      <c r="A195" s="191"/>
      <c r="B195" s="220" t="s">
        <v>287</v>
      </c>
      <c r="C195" s="178" t="s">
        <v>289</v>
      </c>
      <c r="D195" s="170">
        <v>47.8</v>
      </c>
      <c r="E195" s="170">
        <v>47.8</v>
      </c>
      <c r="F195" s="170">
        <v>46.9</v>
      </c>
      <c r="G195" s="170">
        <v>0</v>
      </c>
      <c r="H195" s="170">
        <v>29.8</v>
      </c>
      <c r="I195" s="170">
        <v>29.8</v>
      </c>
      <c r="J195" s="170">
        <v>29.3</v>
      </c>
      <c r="K195" s="170">
        <v>0</v>
      </c>
      <c r="L195" s="170">
        <v>29.8</v>
      </c>
      <c r="M195" s="170">
        <v>29.8</v>
      </c>
      <c r="N195" s="170">
        <v>29.3</v>
      </c>
      <c r="O195" s="170">
        <v>0</v>
      </c>
      <c r="P195" s="173"/>
      <c r="Q195" s="173"/>
    </row>
    <row r="196" spans="1:17" x14ac:dyDescent="0.25">
      <c r="A196" s="219"/>
      <c r="B196" s="221"/>
      <c r="C196" s="178" t="s">
        <v>303</v>
      </c>
      <c r="D196" s="170">
        <v>26.8</v>
      </c>
      <c r="E196" s="170">
        <v>26.8</v>
      </c>
      <c r="F196" s="170">
        <v>12.7</v>
      </c>
      <c r="G196" s="170">
        <v>0</v>
      </c>
      <c r="H196" s="170">
        <v>15.1</v>
      </c>
      <c r="I196" s="170">
        <v>15.1</v>
      </c>
      <c r="J196" s="170">
        <v>6.2</v>
      </c>
      <c r="K196" s="170">
        <v>0</v>
      </c>
      <c r="L196" s="170">
        <v>11.8</v>
      </c>
      <c r="M196" s="170">
        <v>11.8</v>
      </c>
      <c r="N196" s="170">
        <v>6.2</v>
      </c>
      <c r="O196" s="170">
        <v>0</v>
      </c>
      <c r="P196" s="170"/>
      <c r="Q196" s="83"/>
    </row>
    <row r="197" spans="1:17" ht="15.6" x14ac:dyDescent="0.3">
      <c r="A197" s="219"/>
      <c r="B197" s="221"/>
      <c r="C197" s="178" t="s">
        <v>291</v>
      </c>
      <c r="D197" s="170">
        <v>396.8</v>
      </c>
      <c r="E197" s="170">
        <v>390.4</v>
      </c>
      <c r="F197" s="170">
        <v>332.5</v>
      </c>
      <c r="G197" s="170">
        <v>6.4</v>
      </c>
      <c r="H197" s="170">
        <v>255.4</v>
      </c>
      <c r="I197" s="170">
        <v>249</v>
      </c>
      <c r="J197" s="170">
        <v>208</v>
      </c>
      <c r="K197" s="170">
        <v>6.4</v>
      </c>
      <c r="L197" s="170">
        <v>190.4</v>
      </c>
      <c r="M197" s="170">
        <v>190.4</v>
      </c>
      <c r="N197" s="170">
        <v>164.6</v>
      </c>
      <c r="O197" s="170">
        <v>0</v>
      </c>
      <c r="P197" s="173"/>
      <c r="Q197" s="173"/>
    </row>
    <row r="198" spans="1:17" ht="15.6" x14ac:dyDescent="0.3">
      <c r="A198" s="219"/>
      <c r="B198" s="222"/>
      <c r="C198" s="178" t="s">
        <v>293</v>
      </c>
      <c r="D198" s="170">
        <v>2.8</v>
      </c>
      <c r="E198" s="170">
        <v>2.8</v>
      </c>
      <c r="F198" s="170">
        <v>2.8</v>
      </c>
      <c r="G198" s="170">
        <v>0</v>
      </c>
      <c r="H198" s="170">
        <v>1.4</v>
      </c>
      <c r="I198" s="170">
        <v>1.4</v>
      </c>
      <c r="J198" s="170">
        <v>1.4</v>
      </c>
      <c r="K198" s="170">
        <v>0</v>
      </c>
      <c r="L198" s="170">
        <v>1.4</v>
      </c>
      <c r="M198" s="170">
        <v>1.4</v>
      </c>
      <c r="N198" s="170">
        <v>1.4</v>
      </c>
      <c r="O198" s="170">
        <v>0</v>
      </c>
      <c r="P198" s="173"/>
      <c r="Q198" s="173"/>
    </row>
    <row r="199" spans="1:17" ht="45" x14ac:dyDescent="0.3">
      <c r="A199" s="192"/>
      <c r="B199" s="179" t="s">
        <v>295</v>
      </c>
      <c r="C199" s="178" t="s">
        <v>291</v>
      </c>
      <c r="D199" s="170">
        <v>18</v>
      </c>
      <c r="E199" s="170">
        <v>0</v>
      </c>
      <c r="F199" s="170">
        <v>0</v>
      </c>
      <c r="G199" s="170">
        <v>18</v>
      </c>
      <c r="H199" s="170">
        <v>18</v>
      </c>
      <c r="I199" s="170">
        <v>0</v>
      </c>
      <c r="J199" s="170">
        <v>0</v>
      </c>
      <c r="K199" s="170">
        <v>18</v>
      </c>
      <c r="L199" s="170">
        <v>0</v>
      </c>
      <c r="M199" s="170">
        <v>0</v>
      </c>
      <c r="N199" s="170">
        <v>0</v>
      </c>
      <c r="O199" s="170">
        <v>0</v>
      </c>
      <c r="P199" s="173"/>
      <c r="Q199" s="173"/>
    </row>
    <row r="200" spans="1:17" ht="31.2" x14ac:dyDescent="0.3">
      <c r="A200" s="175" t="s">
        <v>48</v>
      </c>
      <c r="B200" s="175"/>
      <c r="C200" s="176"/>
      <c r="D200" s="177">
        <f t="shared" ref="D200:O200" si="27">SUBTOTAL(9,D201:D204)</f>
        <v>2047.5000000000002</v>
      </c>
      <c r="E200" s="177">
        <f t="shared" si="27"/>
        <v>2043</v>
      </c>
      <c r="F200" s="177">
        <f t="shared" si="27"/>
        <v>1665.8000000000002</v>
      </c>
      <c r="G200" s="177">
        <f t="shared" si="27"/>
        <v>4.5</v>
      </c>
      <c r="H200" s="177">
        <f t="shared" si="27"/>
        <v>1426.6000000000001</v>
      </c>
      <c r="I200" s="177">
        <f t="shared" si="27"/>
        <v>1423.1000000000001</v>
      </c>
      <c r="J200" s="177">
        <f t="shared" si="27"/>
        <v>1204.3</v>
      </c>
      <c r="K200" s="177">
        <f t="shared" si="27"/>
        <v>3.5</v>
      </c>
      <c r="L200" s="177">
        <f t="shared" si="27"/>
        <v>1096.7</v>
      </c>
      <c r="M200" s="177">
        <f t="shared" si="27"/>
        <v>1093.3000000000002</v>
      </c>
      <c r="N200" s="177">
        <f t="shared" si="27"/>
        <v>957.80000000000007</v>
      </c>
      <c r="O200" s="177">
        <f t="shared" si="27"/>
        <v>3.4</v>
      </c>
      <c r="P200" s="173">
        <f>SUM(L200/D200*100)</f>
        <v>53.562881562881557</v>
      </c>
      <c r="Q200" s="173">
        <f>SUM(L200/H200*100)</f>
        <v>76.875087620916858</v>
      </c>
    </row>
    <row r="201" spans="1:17" ht="15.6" x14ac:dyDescent="0.3">
      <c r="A201" s="191"/>
      <c r="B201" s="220" t="s">
        <v>287</v>
      </c>
      <c r="C201" s="178" t="s">
        <v>289</v>
      </c>
      <c r="D201" s="170">
        <v>639.70000000000005</v>
      </c>
      <c r="E201" s="170">
        <v>639.29999999999995</v>
      </c>
      <c r="F201" s="170">
        <v>613.20000000000005</v>
      </c>
      <c r="G201" s="170">
        <v>0.4</v>
      </c>
      <c r="H201" s="170">
        <v>454.5</v>
      </c>
      <c r="I201" s="170">
        <v>454.1</v>
      </c>
      <c r="J201" s="170">
        <v>436.3</v>
      </c>
      <c r="K201" s="170">
        <v>0.4</v>
      </c>
      <c r="L201" s="170">
        <v>396.9</v>
      </c>
      <c r="M201" s="170">
        <v>396.6</v>
      </c>
      <c r="N201" s="170">
        <v>384.6</v>
      </c>
      <c r="O201" s="170">
        <v>0.3</v>
      </c>
      <c r="P201" s="173"/>
      <c r="Q201" s="173"/>
    </row>
    <row r="202" spans="1:17" ht="15.6" x14ac:dyDescent="0.3">
      <c r="A202" s="219"/>
      <c r="B202" s="221"/>
      <c r="C202" s="178" t="s">
        <v>303</v>
      </c>
      <c r="D202" s="170">
        <v>152.19999999999999</v>
      </c>
      <c r="E202" s="170">
        <v>152.19999999999999</v>
      </c>
      <c r="F202" s="170">
        <v>18.399999999999999</v>
      </c>
      <c r="G202" s="170">
        <v>0</v>
      </c>
      <c r="H202" s="170">
        <v>92.5</v>
      </c>
      <c r="I202" s="170">
        <v>92.5</v>
      </c>
      <c r="J202" s="170">
        <v>12</v>
      </c>
      <c r="K202" s="170">
        <v>0</v>
      </c>
      <c r="L202" s="170">
        <v>56.8</v>
      </c>
      <c r="M202" s="170">
        <v>56.8</v>
      </c>
      <c r="N202" s="170">
        <v>12</v>
      </c>
      <c r="O202" s="170">
        <v>0</v>
      </c>
      <c r="P202" s="173"/>
      <c r="Q202" s="173"/>
    </row>
    <row r="203" spans="1:17" x14ac:dyDescent="0.25">
      <c r="A203" s="219"/>
      <c r="B203" s="221"/>
      <c r="C203" s="178" t="s">
        <v>291</v>
      </c>
      <c r="D203" s="170">
        <v>1227.2</v>
      </c>
      <c r="E203" s="170">
        <v>1223.0999999999999</v>
      </c>
      <c r="F203" s="170">
        <v>1006.2</v>
      </c>
      <c r="G203" s="170">
        <v>4.0999999999999996</v>
      </c>
      <c r="H203" s="170">
        <v>864.4</v>
      </c>
      <c r="I203" s="170">
        <v>861.3</v>
      </c>
      <c r="J203" s="170">
        <v>741</v>
      </c>
      <c r="K203" s="170">
        <v>3.1</v>
      </c>
      <c r="L203" s="170">
        <v>627.79999999999995</v>
      </c>
      <c r="M203" s="170">
        <v>624.70000000000005</v>
      </c>
      <c r="N203" s="170">
        <v>546.20000000000005</v>
      </c>
      <c r="O203" s="170">
        <v>3.1</v>
      </c>
      <c r="P203" s="170"/>
      <c r="Q203" s="83"/>
    </row>
    <row r="204" spans="1:17" ht="15.6" x14ac:dyDescent="0.3">
      <c r="A204" s="192"/>
      <c r="B204" s="222"/>
      <c r="C204" s="178" t="s">
        <v>293</v>
      </c>
      <c r="D204" s="170">
        <v>28.4</v>
      </c>
      <c r="E204" s="170">
        <v>28.4</v>
      </c>
      <c r="F204" s="170">
        <v>28</v>
      </c>
      <c r="G204" s="170">
        <v>0</v>
      </c>
      <c r="H204" s="170">
        <v>15.2</v>
      </c>
      <c r="I204" s="170">
        <v>15.2</v>
      </c>
      <c r="J204" s="170">
        <v>15</v>
      </c>
      <c r="K204" s="170">
        <v>0</v>
      </c>
      <c r="L204" s="170">
        <v>15.2</v>
      </c>
      <c r="M204" s="170">
        <v>15.2</v>
      </c>
      <c r="N204" s="170">
        <v>15</v>
      </c>
      <c r="O204" s="170">
        <v>0</v>
      </c>
      <c r="P204" s="173"/>
      <c r="Q204" s="173"/>
    </row>
    <row r="205" spans="1:17" ht="46.8" x14ac:dyDescent="0.3">
      <c r="A205" s="175" t="s">
        <v>219</v>
      </c>
      <c r="B205" s="175"/>
      <c r="C205" s="176"/>
      <c r="D205" s="177">
        <f t="shared" ref="D205:O205" si="28">SUBTOTAL(9,D206:D207)</f>
        <v>398.5</v>
      </c>
      <c r="E205" s="177">
        <f t="shared" si="28"/>
        <v>386.5</v>
      </c>
      <c r="F205" s="177">
        <f t="shared" si="28"/>
        <v>315</v>
      </c>
      <c r="G205" s="177">
        <f t="shared" si="28"/>
        <v>12</v>
      </c>
      <c r="H205" s="177">
        <f t="shared" si="28"/>
        <v>230.5</v>
      </c>
      <c r="I205" s="177">
        <f t="shared" si="28"/>
        <v>218.5</v>
      </c>
      <c r="J205" s="177">
        <f t="shared" si="28"/>
        <v>184</v>
      </c>
      <c r="K205" s="177">
        <f t="shared" si="28"/>
        <v>12</v>
      </c>
      <c r="L205" s="177">
        <f t="shared" si="28"/>
        <v>150.9</v>
      </c>
      <c r="M205" s="177">
        <f t="shared" si="28"/>
        <v>148.9</v>
      </c>
      <c r="N205" s="177">
        <f t="shared" si="28"/>
        <v>130.1</v>
      </c>
      <c r="O205" s="177">
        <f t="shared" si="28"/>
        <v>2</v>
      </c>
      <c r="P205" s="173">
        <f>SUM(L205/D205*100)</f>
        <v>37.867001254705144</v>
      </c>
      <c r="Q205" s="173">
        <f>SUM(L205/H205*100)</f>
        <v>65.466377440347074</v>
      </c>
    </row>
    <row r="206" spans="1:17" ht="15.6" x14ac:dyDescent="0.3">
      <c r="A206" s="191"/>
      <c r="B206" s="220" t="s">
        <v>353</v>
      </c>
      <c r="C206" s="178" t="s">
        <v>303</v>
      </c>
      <c r="D206" s="170">
        <v>3.7</v>
      </c>
      <c r="E206" s="170">
        <v>3.7</v>
      </c>
      <c r="F206" s="170">
        <v>0</v>
      </c>
      <c r="G206" s="170">
        <v>0</v>
      </c>
      <c r="H206" s="170">
        <v>1.7</v>
      </c>
      <c r="I206" s="170">
        <v>1.7</v>
      </c>
      <c r="J206" s="170">
        <v>0</v>
      </c>
      <c r="K206" s="170">
        <v>0</v>
      </c>
      <c r="L206" s="170">
        <v>0</v>
      </c>
      <c r="M206" s="170">
        <v>0</v>
      </c>
      <c r="N206" s="170">
        <v>0</v>
      </c>
      <c r="O206" s="170">
        <v>0</v>
      </c>
      <c r="P206" s="173"/>
      <c r="Q206" s="173"/>
    </row>
    <row r="207" spans="1:17" ht="48" customHeight="1" x14ac:dyDescent="0.3">
      <c r="A207" s="192"/>
      <c r="B207" s="222"/>
      <c r="C207" s="178" t="s">
        <v>291</v>
      </c>
      <c r="D207" s="170">
        <v>394.8</v>
      </c>
      <c r="E207" s="170">
        <v>382.8</v>
      </c>
      <c r="F207" s="170">
        <v>315</v>
      </c>
      <c r="G207" s="170">
        <v>12</v>
      </c>
      <c r="H207" s="170">
        <v>228.8</v>
      </c>
      <c r="I207" s="170">
        <v>216.8</v>
      </c>
      <c r="J207" s="170">
        <v>184</v>
      </c>
      <c r="K207" s="170">
        <v>12</v>
      </c>
      <c r="L207" s="170">
        <v>150.9</v>
      </c>
      <c r="M207" s="170">
        <v>148.9</v>
      </c>
      <c r="N207" s="170">
        <v>130.1</v>
      </c>
      <c r="O207" s="170">
        <v>2</v>
      </c>
      <c r="P207" s="173"/>
      <c r="Q207" s="173"/>
    </row>
    <row r="208" spans="1:17" ht="33.6" customHeight="1" x14ac:dyDescent="0.3">
      <c r="A208" s="175" t="s">
        <v>71</v>
      </c>
      <c r="B208" s="175"/>
      <c r="C208" s="176"/>
      <c r="D208" s="177">
        <f t="shared" ref="D208:O208" si="29">SUBTOTAL(9,D209:D210)</f>
        <v>628.5</v>
      </c>
      <c r="E208" s="177">
        <f t="shared" si="29"/>
        <v>563</v>
      </c>
      <c r="F208" s="177">
        <f t="shared" si="29"/>
        <v>456.59999999999997</v>
      </c>
      <c r="G208" s="177">
        <f t="shared" si="29"/>
        <v>65.5</v>
      </c>
      <c r="H208" s="177">
        <f t="shared" si="29"/>
        <v>398.4</v>
      </c>
      <c r="I208" s="177">
        <f t="shared" si="29"/>
        <v>350.9</v>
      </c>
      <c r="J208" s="177">
        <f t="shared" si="29"/>
        <v>285.8</v>
      </c>
      <c r="K208" s="177">
        <f t="shared" si="29"/>
        <v>47.5</v>
      </c>
      <c r="L208" s="177">
        <f t="shared" si="29"/>
        <v>246.6</v>
      </c>
      <c r="M208" s="177">
        <f t="shared" si="29"/>
        <v>245.3</v>
      </c>
      <c r="N208" s="177">
        <f t="shared" si="29"/>
        <v>205.9</v>
      </c>
      <c r="O208" s="177">
        <f t="shared" si="29"/>
        <v>1.3</v>
      </c>
      <c r="P208" s="173">
        <f>SUM(L208/D208*100)</f>
        <v>39.236276849642003</v>
      </c>
      <c r="Q208" s="173">
        <f>SUM(L208/H208*100)</f>
        <v>61.897590361445786</v>
      </c>
    </row>
    <row r="209" spans="1:17" ht="15.6" x14ac:dyDescent="0.3">
      <c r="A209" s="191"/>
      <c r="B209" s="220" t="s">
        <v>353</v>
      </c>
      <c r="C209" s="178" t="s">
        <v>303</v>
      </c>
      <c r="D209" s="170">
        <v>15</v>
      </c>
      <c r="E209" s="170">
        <v>15</v>
      </c>
      <c r="F209" s="170">
        <v>2.4</v>
      </c>
      <c r="G209" s="170">
        <v>0</v>
      </c>
      <c r="H209" s="170">
        <v>6.5</v>
      </c>
      <c r="I209" s="170">
        <v>6.5</v>
      </c>
      <c r="J209" s="170">
        <v>1.8</v>
      </c>
      <c r="K209" s="170">
        <v>0</v>
      </c>
      <c r="L209" s="170">
        <v>2.4</v>
      </c>
      <c r="M209" s="170">
        <v>2.4</v>
      </c>
      <c r="N209" s="170">
        <v>0.3</v>
      </c>
      <c r="O209" s="170">
        <v>0</v>
      </c>
      <c r="P209" s="173"/>
      <c r="Q209" s="173"/>
    </row>
    <row r="210" spans="1:17" ht="50.4" customHeight="1" x14ac:dyDescent="0.25">
      <c r="A210" s="192"/>
      <c r="B210" s="222"/>
      <c r="C210" s="178" t="s">
        <v>291</v>
      </c>
      <c r="D210" s="170">
        <v>613.5</v>
      </c>
      <c r="E210" s="170">
        <v>548</v>
      </c>
      <c r="F210" s="170">
        <v>454.2</v>
      </c>
      <c r="G210" s="170">
        <v>65.5</v>
      </c>
      <c r="H210" s="170">
        <v>391.9</v>
      </c>
      <c r="I210" s="170">
        <v>344.4</v>
      </c>
      <c r="J210" s="170">
        <v>284</v>
      </c>
      <c r="K210" s="170">
        <v>47.5</v>
      </c>
      <c r="L210" s="170">
        <v>244.2</v>
      </c>
      <c r="M210" s="170">
        <v>242.9</v>
      </c>
      <c r="N210" s="170">
        <v>205.6</v>
      </c>
      <c r="O210" s="170">
        <v>1.3</v>
      </c>
      <c r="P210" s="170"/>
      <c r="Q210" s="83"/>
    </row>
    <row r="211" spans="1:17" ht="31.2" x14ac:dyDescent="0.3">
      <c r="A211" s="175" t="s">
        <v>325</v>
      </c>
      <c r="B211" s="175"/>
      <c r="C211" s="176"/>
      <c r="D211" s="177">
        <f t="shared" ref="D211:O211" si="30">SUBTOTAL(9,D212:D213)</f>
        <v>690.6</v>
      </c>
      <c r="E211" s="177">
        <f t="shared" si="30"/>
        <v>685.2</v>
      </c>
      <c r="F211" s="177">
        <f t="shared" si="30"/>
        <v>592.4</v>
      </c>
      <c r="G211" s="177">
        <f t="shared" si="30"/>
        <v>5.4</v>
      </c>
      <c r="H211" s="177">
        <f t="shared" si="30"/>
        <v>474.1</v>
      </c>
      <c r="I211" s="177">
        <f t="shared" si="30"/>
        <v>468.7</v>
      </c>
      <c r="J211" s="177">
        <f t="shared" si="30"/>
        <v>394.5</v>
      </c>
      <c r="K211" s="177">
        <f t="shared" si="30"/>
        <v>5.4</v>
      </c>
      <c r="L211" s="177">
        <f t="shared" si="30"/>
        <v>350.6</v>
      </c>
      <c r="M211" s="177">
        <f t="shared" si="30"/>
        <v>347.3</v>
      </c>
      <c r="N211" s="177">
        <f t="shared" si="30"/>
        <v>290.29999999999995</v>
      </c>
      <c r="O211" s="177">
        <f t="shared" si="30"/>
        <v>3.3</v>
      </c>
      <c r="P211" s="173">
        <f>SUM(L211/D211*100)</f>
        <v>50.76744859542427</v>
      </c>
      <c r="Q211" s="173">
        <f>SUM(L211/H211*100)</f>
        <v>73.950643324193209</v>
      </c>
    </row>
    <row r="212" spans="1:17" ht="15.6" x14ac:dyDescent="0.3">
      <c r="A212" s="191"/>
      <c r="B212" s="220" t="s">
        <v>287</v>
      </c>
      <c r="C212" s="178" t="s">
        <v>289</v>
      </c>
      <c r="D212" s="170">
        <v>321</v>
      </c>
      <c r="E212" s="170">
        <v>321</v>
      </c>
      <c r="F212" s="170">
        <v>313.5</v>
      </c>
      <c r="G212" s="170">
        <v>0</v>
      </c>
      <c r="H212" s="170">
        <v>223.7</v>
      </c>
      <c r="I212" s="170">
        <v>223.7</v>
      </c>
      <c r="J212" s="170">
        <v>219.1</v>
      </c>
      <c r="K212" s="170">
        <v>0</v>
      </c>
      <c r="L212" s="170">
        <v>164.3</v>
      </c>
      <c r="M212" s="170">
        <v>164.3</v>
      </c>
      <c r="N212" s="170">
        <v>161.19999999999999</v>
      </c>
      <c r="O212" s="170">
        <v>0</v>
      </c>
      <c r="P212" s="173"/>
      <c r="Q212" s="173"/>
    </row>
    <row r="213" spans="1:17" ht="29.4" customHeight="1" x14ac:dyDescent="0.3">
      <c r="A213" s="192"/>
      <c r="B213" s="222"/>
      <c r="C213" s="178" t="s">
        <v>291</v>
      </c>
      <c r="D213" s="170">
        <v>369.6</v>
      </c>
      <c r="E213" s="170">
        <v>364.2</v>
      </c>
      <c r="F213" s="170">
        <v>278.89999999999998</v>
      </c>
      <c r="G213" s="170">
        <v>5.4</v>
      </c>
      <c r="H213" s="170">
        <v>250.4</v>
      </c>
      <c r="I213" s="170">
        <v>245</v>
      </c>
      <c r="J213" s="170">
        <v>175.4</v>
      </c>
      <c r="K213" s="170">
        <v>5.4</v>
      </c>
      <c r="L213" s="170">
        <v>186.3</v>
      </c>
      <c r="M213" s="170">
        <v>183</v>
      </c>
      <c r="N213" s="170">
        <v>129.1</v>
      </c>
      <c r="O213" s="170">
        <v>3.3</v>
      </c>
      <c r="P213" s="173"/>
      <c r="Q213" s="173"/>
    </row>
    <row r="214" spans="1:17" ht="15.6" x14ac:dyDescent="0.3">
      <c r="A214" s="175" t="s">
        <v>57</v>
      </c>
      <c r="B214" s="175"/>
      <c r="C214" s="176"/>
      <c r="D214" s="177">
        <f t="shared" ref="D214:O214" si="31">SUBTOTAL(9,D215:D219)</f>
        <v>1578</v>
      </c>
      <c r="E214" s="177">
        <f t="shared" si="31"/>
        <v>1578</v>
      </c>
      <c r="F214" s="177">
        <f t="shared" si="31"/>
        <v>1262.2</v>
      </c>
      <c r="G214" s="177">
        <f t="shared" si="31"/>
        <v>0</v>
      </c>
      <c r="H214" s="177">
        <f t="shared" si="31"/>
        <v>837.4</v>
      </c>
      <c r="I214" s="177">
        <f t="shared" si="31"/>
        <v>837.4</v>
      </c>
      <c r="J214" s="177">
        <f t="shared" si="31"/>
        <v>670.4</v>
      </c>
      <c r="K214" s="177">
        <f t="shared" si="31"/>
        <v>0</v>
      </c>
      <c r="L214" s="177">
        <f t="shared" si="31"/>
        <v>619.40000000000009</v>
      </c>
      <c r="M214" s="177">
        <f t="shared" si="31"/>
        <v>619.40000000000009</v>
      </c>
      <c r="N214" s="177">
        <f t="shared" si="31"/>
        <v>509.9</v>
      </c>
      <c r="O214" s="177">
        <f t="shared" si="31"/>
        <v>0</v>
      </c>
      <c r="P214" s="173">
        <f>SUM(L214/D214*100)</f>
        <v>39.252217997465152</v>
      </c>
      <c r="Q214" s="173">
        <f>SUM(L214/H214*100)</f>
        <v>73.967040840697408</v>
      </c>
    </row>
    <row r="215" spans="1:17" ht="15.6" x14ac:dyDescent="0.3">
      <c r="A215" s="191"/>
      <c r="B215" s="220" t="s">
        <v>287</v>
      </c>
      <c r="C215" s="178" t="s">
        <v>303</v>
      </c>
      <c r="D215" s="170">
        <v>77.7</v>
      </c>
      <c r="E215" s="170">
        <v>77.7</v>
      </c>
      <c r="F215" s="170">
        <v>11.8</v>
      </c>
      <c r="G215" s="170">
        <v>0</v>
      </c>
      <c r="H215" s="170">
        <v>43.8</v>
      </c>
      <c r="I215" s="170">
        <v>43.8</v>
      </c>
      <c r="J215" s="170">
        <v>5.8</v>
      </c>
      <c r="K215" s="170">
        <v>0</v>
      </c>
      <c r="L215" s="170">
        <v>24.8</v>
      </c>
      <c r="M215" s="170">
        <v>24.8</v>
      </c>
      <c r="N215" s="170">
        <v>1.5</v>
      </c>
      <c r="O215" s="170">
        <v>0</v>
      </c>
      <c r="P215" s="173"/>
      <c r="Q215" s="173"/>
    </row>
    <row r="216" spans="1:17" ht="15.6" x14ac:dyDescent="0.3">
      <c r="A216" s="219"/>
      <c r="B216" s="221"/>
      <c r="C216" s="178" t="s">
        <v>291</v>
      </c>
      <c r="D216" s="170">
        <v>294.2</v>
      </c>
      <c r="E216" s="170">
        <v>294.2</v>
      </c>
      <c r="F216" s="170">
        <v>230.3</v>
      </c>
      <c r="G216" s="170">
        <v>0</v>
      </c>
      <c r="H216" s="170">
        <v>182.1</v>
      </c>
      <c r="I216" s="170">
        <v>182.1</v>
      </c>
      <c r="J216" s="170">
        <v>145</v>
      </c>
      <c r="K216" s="170">
        <v>0</v>
      </c>
      <c r="L216" s="170">
        <v>115.4</v>
      </c>
      <c r="M216" s="170">
        <v>115.4</v>
      </c>
      <c r="N216" s="170">
        <v>94.9</v>
      </c>
      <c r="O216" s="170">
        <v>0</v>
      </c>
      <c r="P216" s="173"/>
      <c r="Q216" s="173"/>
    </row>
    <row r="217" spans="1:17" ht="15.6" x14ac:dyDescent="0.3">
      <c r="A217" s="219"/>
      <c r="B217" s="222"/>
      <c r="C217" s="178" t="s">
        <v>293</v>
      </c>
      <c r="D217" s="170">
        <v>39.700000000000003</v>
      </c>
      <c r="E217" s="170">
        <v>39.700000000000003</v>
      </c>
      <c r="F217" s="170">
        <v>39.1</v>
      </c>
      <c r="G217" s="170">
        <v>0</v>
      </c>
      <c r="H217" s="170">
        <v>23.9</v>
      </c>
      <c r="I217" s="170">
        <v>23.9</v>
      </c>
      <c r="J217" s="170">
        <v>23.6</v>
      </c>
      <c r="K217" s="170">
        <v>0</v>
      </c>
      <c r="L217" s="170">
        <v>13.2</v>
      </c>
      <c r="M217" s="170">
        <v>13.2</v>
      </c>
      <c r="N217" s="170">
        <v>13</v>
      </c>
      <c r="O217" s="170">
        <v>0</v>
      </c>
      <c r="P217" s="173"/>
      <c r="Q217" s="173"/>
    </row>
    <row r="218" spans="1:17" ht="45" x14ac:dyDescent="0.3">
      <c r="A218" s="219"/>
      <c r="B218" s="179" t="s">
        <v>304</v>
      </c>
      <c r="C218" s="178" t="s">
        <v>298</v>
      </c>
      <c r="D218" s="170">
        <v>12.7</v>
      </c>
      <c r="E218" s="170">
        <v>12.7</v>
      </c>
      <c r="F218" s="170">
        <v>0</v>
      </c>
      <c r="G218" s="170">
        <v>0</v>
      </c>
      <c r="H218" s="170">
        <v>8.1999999999999993</v>
      </c>
      <c r="I218" s="170">
        <v>8.1999999999999993</v>
      </c>
      <c r="J218" s="170">
        <v>0</v>
      </c>
      <c r="K218" s="170">
        <v>0</v>
      </c>
      <c r="L218" s="170">
        <v>1.4</v>
      </c>
      <c r="M218" s="170">
        <v>1.4</v>
      </c>
      <c r="N218" s="170">
        <v>0</v>
      </c>
      <c r="O218" s="170">
        <v>0</v>
      </c>
      <c r="P218" s="173"/>
      <c r="Q218" s="173"/>
    </row>
    <row r="219" spans="1:17" ht="60" x14ac:dyDescent="0.3">
      <c r="A219" s="192"/>
      <c r="B219" s="179" t="s">
        <v>352</v>
      </c>
      <c r="C219" s="178" t="s">
        <v>291</v>
      </c>
      <c r="D219" s="170">
        <v>1153.7</v>
      </c>
      <c r="E219" s="170">
        <v>1153.7</v>
      </c>
      <c r="F219" s="170">
        <v>981</v>
      </c>
      <c r="G219" s="170">
        <v>0</v>
      </c>
      <c r="H219" s="170">
        <v>579.4</v>
      </c>
      <c r="I219" s="170">
        <v>579.4</v>
      </c>
      <c r="J219" s="170">
        <v>496</v>
      </c>
      <c r="K219" s="170">
        <v>0</v>
      </c>
      <c r="L219" s="170">
        <v>464.6</v>
      </c>
      <c r="M219" s="170">
        <v>464.6</v>
      </c>
      <c r="N219" s="170">
        <v>400.5</v>
      </c>
      <c r="O219" s="170">
        <v>0</v>
      </c>
      <c r="P219" s="173"/>
      <c r="Q219" s="173"/>
    </row>
    <row r="220" spans="1:17" ht="62.4" x14ac:dyDescent="0.3">
      <c r="A220" s="175" t="s">
        <v>63</v>
      </c>
      <c r="B220" s="175"/>
      <c r="C220" s="176"/>
      <c r="D220" s="177">
        <f t="shared" ref="D220:O220" si="32">SUBTOTAL(9,D221:D226)</f>
        <v>1737.7</v>
      </c>
      <c r="E220" s="177">
        <f t="shared" si="32"/>
        <v>1736.7</v>
      </c>
      <c r="F220" s="177">
        <f t="shared" si="32"/>
        <v>1439.7999999999997</v>
      </c>
      <c r="G220" s="177">
        <f t="shared" si="32"/>
        <v>1</v>
      </c>
      <c r="H220" s="177">
        <f t="shared" si="32"/>
        <v>830</v>
      </c>
      <c r="I220" s="177">
        <f t="shared" si="32"/>
        <v>830</v>
      </c>
      <c r="J220" s="177">
        <f t="shared" si="32"/>
        <v>675.39999999999986</v>
      </c>
      <c r="K220" s="177">
        <f t="shared" si="32"/>
        <v>0</v>
      </c>
      <c r="L220" s="177">
        <f t="shared" si="32"/>
        <v>575.1</v>
      </c>
      <c r="M220" s="177">
        <f t="shared" si="32"/>
        <v>575.1</v>
      </c>
      <c r="N220" s="177">
        <f t="shared" si="32"/>
        <v>498.9</v>
      </c>
      <c r="O220" s="177">
        <f t="shared" si="32"/>
        <v>0</v>
      </c>
      <c r="P220" s="173">
        <f>SUM(L220/D220*100)</f>
        <v>33.095471024917991</v>
      </c>
      <c r="Q220" s="173">
        <f>SUM(L220/H220*100)</f>
        <v>69.289156626506028</v>
      </c>
    </row>
    <row r="221" spans="1:17" x14ac:dyDescent="0.25">
      <c r="A221" s="191"/>
      <c r="B221" s="220" t="s">
        <v>304</v>
      </c>
      <c r="C221" s="178" t="s">
        <v>298</v>
      </c>
      <c r="D221" s="170">
        <v>38.200000000000003</v>
      </c>
      <c r="E221" s="170">
        <v>38.200000000000003</v>
      </c>
      <c r="F221" s="170">
        <v>0</v>
      </c>
      <c r="G221" s="170">
        <v>0</v>
      </c>
      <c r="H221" s="170">
        <v>18.8</v>
      </c>
      <c r="I221" s="170">
        <v>18.8</v>
      </c>
      <c r="J221" s="170">
        <v>0</v>
      </c>
      <c r="K221" s="170">
        <v>0</v>
      </c>
      <c r="L221" s="170">
        <v>9.8000000000000007</v>
      </c>
      <c r="M221" s="170">
        <v>9.8000000000000007</v>
      </c>
      <c r="N221" s="170">
        <v>0</v>
      </c>
      <c r="O221" s="170">
        <v>0</v>
      </c>
      <c r="P221" s="170"/>
      <c r="Q221" s="83"/>
    </row>
    <row r="222" spans="1:17" ht="15.6" x14ac:dyDescent="0.3">
      <c r="A222" s="219"/>
      <c r="B222" s="221"/>
      <c r="C222" s="178" t="s">
        <v>288</v>
      </c>
      <c r="D222" s="170">
        <v>85</v>
      </c>
      <c r="E222" s="170">
        <v>85</v>
      </c>
      <c r="F222" s="170">
        <v>83.8</v>
      </c>
      <c r="G222" s="170">
        <v>0</v>
      </c>
      <c r="H222" s="170">
        <v>0</v>
      </c>
      <c r="I222" s="170">
        <v>0</v>
      </c>
      <c r="J222" s="170">
        <v>0</v>
      </c>
      <c r="K222" s="170">
        <v>0</v>
      </c>
      <c r="L222" s="170">
        <v>0</v>
      </c>
      <c r="M222" s="170">
        <v>0</v>
      </c>
      <c r="N222" s="170">
        <v>0</v>
      </c>
      <c r="O222" s="170">
        <v>0</v>
      </c>
      <c r="P222" s="173"/>
      <c r="Q222" s="173"/>
    </row>
    <row r="223" spans="1:17" ht="15.6" x14ac:dyDescent="0.3">
      <c r="A223" s="219"/>
      <c r="B223" s="221"/>
      <c r="C223" s="178" t="s">
        <v>303</v>
      </c>
      <c r="D223" s="170">
        <v>4</v>
      </c>
      <c r="E223" s="170">
        <v>3</v>
      </c>
      <c r="F223" s="170">
        <v>1.7</v>
      </c>
      <c r="G223" s="170">
        <v>1</v>
      </c>
      <c r="H223" s="170">
        <v>1.5</v>
      </c>
      <c r="I223" s="170">
        <v>1.5</v>
      </c>
      <c r="J223" s="170">
        <v>0.7</v>
      </c>
      <c r="K223" s="170">
        <v>0</v>
      </c>
      <c r="L223" s="170">
        <v>0</v>
      </c>
      <c r="M223" s="170">
        <v>0</v>
      </c>
      <c r="N223" s="170">
        <v>0</v>
      </c>
      <c r="O223" s="170">
        <v>0</v>
      </c>
      <c r="P223" s="173"/>
      <c r="Q223" s="173"/>
    </row>
    <row r="224" spans="1:17" x14ac:dyDescent="0.25">
      <c r="A224" s="219"/>
      <c r="B224" s="221"/>
      <c r="C224" s="178" t="s">
        <v>291</v>
      </c>
      <c r="D224" s="170">
        <v>565.9</v>
      </c>
      <c r="E224" s="170">
        <v>565.9</v>
      </c>
      <c r="F224" s="170">
        <v>421.9</v>
      </c>
      <c r="G224" s="170">
        <v>0</v>
      </c>
      <c r="H224" s="170">
        <v>287.10000000000002</v>
      </c>
      <c r="I224" s="170">
        <v>287.10000000000002</v>
      </c>
      <c r="J224" s="170">
        <v>208.7</v>
      </c>
      <c r="K224" s="170">
        <v>0</v>
      </c>
      <c r="L224" s="170">
        <v>218.9</v>
      </c>
      <c r="M224" s="170">
        <v>218.9</v>
      </c>
      <c r="N224" s="170">
        <v>176.5</v>
      </c>
      <c r="O224" s="170">
        <v>0</v>
      </c>
      <c r="P224" s="170"/>
      <c r="Q224" s="83"/>
    </row>
    <row r="225" spans="1:17" ht="15.6" x14ac:dyDescent="0.3">
      <c r="A225" s="219"/>
      <c r="B225" s="222"/>
      <c r="C225" s="178" t="s">
        <v>293</v>
      </c>
      <c r="D225" s="170">
        <v>915.1</v>
      </c>
      <c r="E225" s="170">
        <v>915.1</v>
      </c>
      <c r="F225" s="170">
        <v>833.8</v>
      </c>
      <c r="G225" s="170">
        <v>0</v>
      </c>
      <c r="H225" s="170">
        <v>457.2</v>
      </c>
      <c r="I225" s="170">
        <v>457.2</v>
      </c>
      <c r="J225" s="170">
        <v>416.7</v>
      </c>
      <c r="K225" s="170">
        <v>0</v>
      </c>
      <c r="L225" s="170">
        <v>315</v>
      </c>
      <c r="M225" s="170">
        <v>315</v>
      </c>
      <c r="N225" s="170">
        <v>294.89999999999998</v>
      </c>
      <c r="O225" s="170">
        <v>0</v>
      </c>
      <c r="P225" s="173"/>
      <c r="Q225" s="173"/>
    </row>
    <row r="226" spans="1:17" ht="30" x14ac:dyDescent="0.3">
      <c r="A226" s="192"/>
      <c r="B226" s="179" t="s">
        <v>305</v>
      </c>
      <c r="C226" s="178" t="s">
        <v>291</v>
      </c>
      <c r="D226" s="170">
        <v>129.5</v>
      </c>
      <c r="E226" s="170">
        <v>129.5</v>
      </c>
      <c r="F226" s="170">
        <v>98.6</v>
      </c>
      <c r="G226" s="170">
        <v>0</v>
      </c>
      <c r="H226" s="170">
        <v>65.400000000000006</v>
      </c>
      <c r="I226" s="170">
        <v>65.400000000000006</v>
      </c>
      <c r="J226" s="170">
        <v>49.3</v>
      </c>
      <c r="K226" s="170">
        <v>0</v>
      </c>
      <c r="L226" s="170">
        <v>31.4</v>
      </c>
      <c r="M226" s="170">
        <v>31.4</v>
      </c>
      <c r="N226" s="170">
        <v>27.5</v>
      </c>
      <c r="O226" s="170">
        <v>0</v>
      </c>
      <c r="P226" s="173"/>
      <c r="Q226" s="173"/>
    </row>
    <row r="227" spans="1:17" ht="31.2" x14ac:dyDescent="0.3">
      <c r="A227" s="175" t="s">
        <v>326</v>
      </c>
      <c r="B227" s="175"/>
      <c r="C227" s="176"/>
      <c r="D227" s="177">
        <f t="shared" ref="D227:O227" si="33">SUBTOTAL(9,D228:D230)</f>
        <v>1835.9</v>
      </c>
      <c r="E227" s="177">
        <f t="shared" si="33"/>
        <v>1830.9</v>
      </c>
      <c r="F227" s="177">
        <f t="shared" si="33"/>
        <v>1698.3</v>
      </c>
      <c r="G227" s="177">
        <f t="shared" si="33"/>
        <v>5</v>
      </c>
      <c r="H227" s="177">
        <f t="shared" si="33"/>
        <v>977.4</v>
      </c>
      <c r="I227" s="177">
        <f t="shared" si="33"/>
        <v>972.4</v>
      </c>
      <c r="J227" s="177">
        <f t="shared" si="33"/>
        <v>893.8</v>
      </c>
      <c r="K227" s="177">
        <f t="shared" si="33"/>
        <v>5</v>
      </c>
      <c r="L227" s="177">
        <f t="shared" si="33"/>
        <v>711.3</v>
      </c>
      <c r="M227" s="177">
        <f t="shared" si="33"/>
        <v>711.3</v>
      </c>
      <c r="N227" s="177">
        <f t="shared" si="33"/>
        <v>658.8</v>
      </c>
      <c r="O227" s="177">
        <f t="shared" si="33"/>
        <v>0</v>
      </c>
      <c r="P227" s="173">
        <f>SUM(L227/D227*100)</f>
        <v>38.743940301759352</v>
      </c>
      <c r="Q227" s="173">
        <f>SUM(L227/H227*100)</f>
        <v>72.774708410067518</v>
      </c>
    </row>
    <row r="228" spans="1:17" x14ac:dyDescent="0.25">
      <c r="A228" s="191"/>
      <c r="B228" s="220" t="s">
        <v>305</v>
      </c>
      <c r="C228" s="178" t="s">
        <v>303</v>
      </c>
      <c r="D228" s="170">
        <v>82.6</v>
      </c>
      <c r="E228" s="170">
        <v>82.6</v>
      </c>
      <c r="F228" s="170">
        <v>77.099999999999994</v>
      </c>
      <c r="G228" s="170">
        <v>0</v>
      </c>
      <c r="H228" s="170">
        <v>43.6</v>
      </c>
      <c r="I228" s="170">
        <v>43.6</v>
      </c>
      <c r="J228" s="170">
        <v>41</v>
      </c>
      <c r="K228" s="170">
        <v>0</v>
      </c>
      <c r="L228" s="170">
        <v>28.2</v>
      </c>
      <c r="M228" s="170">
        <v>28.2</v>
      </c>
      <c r="N228" s="170">
        <v>27</v>
      </c>
      <c r="O228" s="170">
        <v>0</v>
      </c>
      <c r="P228" s="170"/>
      <c r="Q228" s="83"/>
    </row>
    <row r="229" spans="1:17" ht="15.6" x14ac:dyDescent="0.3">
      <c r="A229" s="219"/>
      <c r="B229" s="221"/>
      <c r="C229" s="178" t="s">
        <v>291</v>
      </c>
      <c r="D229" s="170">
        <v>940.8</v>
      </c>
      <c r="E229" s="170">
        <v>935.8</v>
      </c>
      <c r="F229" s="170">
        <v>826.4</v>
      </c>
      <c r="G229" s="170">
        <v>5</v>
      </c>
      <c r="H229" s="170">
        <v>476.3</v>
      </c>
      <c r="I229" s="170">
        <v>471.3</v>
      </c>
      <c r="J229" s="170">
        <v>405.1</v>
      </c>
      <c r="K229" s="170">
        <v>5</v>
      </c>
      <c r="L229" s="170">
        <v>337.6</v>
      </c>
      <c r="M229" s="170">
        <v>337.6</v>
      </c>
      <c r="N229" s="170">
        <v>292.10000000000002</v>
      </c>
      <c r="O229" s="170">
        <v>0</v>
      </c>
      <c r="P229" s="173"/>
      <c r="Q229" s="173"/>
    </row>
    <row r="230" spans="1:17" x14ac:dyDescent="0.25">
      <c r="A230" s="192"/>
      <c r="B230" s="222"/>
      <c r="C230" s="178" t="s">
        <v>293</v>
      </c>
      <c r="D230" s="170">
        <v>812.5</v>
      </c>
      <c r="E230" s="170">
        <v>812.5</v>
      </c>
      <c r="F230" s="170">
        <v>794.8</v>
      </c>
      <c r="G230" s="170">
        <v>0</v>
      </c>
      <c r="H230" s="170">
        <v>457.5</v>
      </c>
      <c r="I230" s="170">
        <v>457.5</v>
      </c>
      <c r="J230" s="170">
        <v>447.7</v>
      </c>
      <c r="K230" s="170">
        <v>0</v>
      </c>
      <c r="L230" s="170">
        <v>345.5</v>
      </c>
      <c r="M230" s="170">
        <v>345.5</v>
      </c>
      <c r="N230" s="170">
        <v>339.7</v>
      </c>
      <c r="O230" s="170">
        <v>0</v>
      </c>
      <c r="P230" s="170"/>
      <c r="Q230" s="83"/>
    </row>
    <row r="231" spans="1:17" ht="15.6" x14ac:dyDescent="0.3">
      <c r="A231" s="175" t="s">
        <v>76</v>
      </c>
      <c r="B231" s="175"/>
      <c r="C231" s="176"/>
      <c r="D231" s="177">
        <f t="shared" ref="D231:O231" si="34">SUBTOTAL(9,D232:D233)</f>
        <v>2613.1</v>
      </c>
      <c r="E231" s="177">
        <f t="shared" si="34"/>
        <v>1557.1</v>
      </c>
      <c r="F231" s="177">
        <f t="shared" si="34"/>
        <v>917.1</v>
      </c>
      <c r="G231" s="177">
        <f t="shared" si="34"/>
        <v>1056</v>
      </c>
      <c r="H231" s="177">
        <f t="shared" si="34"/>
        <v>1899.4</v>
      </c>
      <c r="I231" s="177">
        <f t="shared" si="34"/>
        <v>863.4</v>
      </c>
      <c r="J231" s="177">
        <f t="shared" si="34"/>
        <v>458.4</v>
      </c>
      <c r="K231" s="177">
        <f t="shared" si="34"/>
        <v>1036</v>
      </c>
      <c r="L231" s="177">
        <f t="shared" si="34"/>
        <v>1075.3</v>
      </c>
      <c r="M231" s="177">
        <f t="shared" si="34"/>
        <v>769.8</v>
      </c>
      <c r="N231" s="177">
        <f t="shared" si="34"/>
        <v>458.4</v>
      </c>
      <c r="O231" s="177">
        <f t="shared" si="34"/>
        <v>305.5</v>
      </c>
      <c r="P231" s="173">
        <f>SUM(L231/D231*100)</f>
        <v>41.150357812559797</v>
      </c>
      <c r="Q231" s="173">
        <f>SUM(L231/H231*100)</f>
        <v>56.612614509845201</v>
      </c>
    </row>
    <row r="232" spans="1:17" ht="15.6" x14ac:dyDescent="0.3">
      <c r="A232" s="191"/>
      <c r="B232" s="220" t="s">
        <v>310</v>
      </c>
      <c r="C232" s="178" t="s">
        <v>303</v>
      </c>
      <c r="D232" s="170">
        <v>175</v>
      </c>
      <c r="E232" s="170">
        <v>169</v>
      </c>
      <c r="F232" s="170">
        <v>53.4</v>
      </c>
      <c r="G232" s="170">
        <v>6</v>
      </c>
      <c r="H232" s="170">
        <v>97.9</v>
      </c>
      <c r="I232" s="170">
        <v>91.9</v>
      </c>
      <c r="J232" s="170">
        <v>26.7</v>
      </c>
      <c r="K232" s="170">
        <v>6</v>
      </c>
      <c r="L232" s="170">
        <v>67.599999999999994</v>
      </c>
      <c r="M232" s="170">
        <v>65</v>
      </c>
      <c r="N232" s="170">
        <v>26.7</v>
      </c>
      <c r="O232" s="170">
        <v>2.6</v>
      </c>
      <c r="P232" s="173"/>
      <c r="Q232" s="173"/>
    </row>
    <row r="233" spans="1:17" x14ac:dyDescent="0.25">
      <c r="A233" s="192"/>
      <c r="B233" s="222"/>
      <c r="C233" s="178" t="s">
        <v>291</v>
      </c>
      <c r="D233" s="170">
        <v>2438.1</v>
      </c>
      <c r="E233" s="170">
        <v>1388.1</v>
      </c>
      <c r="F233" s="170">
        <v>863.7</v>
      </c>
      <c r="G233" s="170">
        <v>1050</v>
      </c>
      <c r="H233" s="170">
        <v>1801.5</v>
      </c>
      <c r="I233" s="170">
        <v>771.5</v>
      </c>
      <c r="J233" s="170">
        <v>431.7</v>
      </c>
      <c r="K233" s="170">
        <v>1030</v>
      </c>
      <c r="L233" s="170">
        <v>1007.7</v>
      </c>
      <c r="M233" s="170">
        <v>704.8</v>
      </c>
      <c r="N233" s="170">
        <v>431.7</v>
      </c>
      <c r="O233" s="170">
        <v>302.89999999999998</v>
      </c>
      <c r="P233" s="170"/>
      <c r="Q233" s="83"/>
    </row>
    <row r="234" spans="1:17" ht="31.2" x14ac:dyDescent="0.3">
      <c r="A234" s="175" t="s">
        <v>73</v>
      </c>
      <c r="B234" s="175"/>
      <c r="C234" s="176"/>
      <c r="D234" s="177">
        <f t="shared" ref="D234:O234" si="35">SUBTOTAL(9,D235:D236)</f>
        <v>431.8</v>
      </c>
      <c r="E234" s="177">
        <f t="shared" si="35"/>
        <v>419</v>
      </c>
      <c r="F234" s="177">
        <f t="shared" si="35"/>
        <v>321.2</v>
      </c>
      <c r="G234" s="177">
        <f t="shared" si="35"/>
        <v>12.8</v>
      </c>
      <c r="H234" s="177">
        <f t="shared" si="35"/>
        <v>241.3</v>
      </c>
      <c r="I234" s="177">
        <f t="shared" si="35"/>
        <v>228.5</v>
      </c>
      <c r="J234" s="177">
        <f t="shared" si="35"/>
        <v>156</v>
      </c>
      <c r="K234" s="177">
        <f t="shared" si="35"/>
        <v>12.8</v>
      </c>
      <c r="L234" s="177">
        <f t="shared" si="35"/>
        <v>187</v>
      </c>
      <c r="M234" s="177">
        <f t="shared" si="35"/>
        <v>174.20000000000002</v>
      </c>
      <c r="N234" s="177">
        <f t="shared" si="35"/>
        <v>151.30000000000001</v>
      </c>
      <c r="O234" s="177">
        <f t="shared" si="35"/>
        <v>12.8</v>
      </c>
      <c r="P234" s="173">
        <f>SUM(L234/D234*100)</f>
        <v>43.30708661417323</v>
      </c>
      <c r="Q234" s="173">
        <f>SUM(L234/H234*100)</f>
        <v>77.496891835888931</v>
      </c>
    </row>
    <row r="235" spans="1:17" ht="15.6" x14ac:dyDescent="0.3">
      <c r="A235" s="191"/>
      <c r="B235" s="220" t="s">
        <v>354</v>
      </c>
      <c r="C235" s="178" t="s">
        <v>303</v>
      </c>
      <c r="D235" s="170">
        <v>7</v>
      </c>
      <c r="E235" s="170">
        <v>7</v>
      </c>
      <c r="F235" s="170">
        <v>0</v>
      </c>
      <c r="G235" s="170">
        <v>0</v>
      </c>
      <c r="H235" s="170">
        <v>5</v>
      </c>
      <c r="I235" s="170">
        <v>5</v>
      </c>
      <c r="J235" s="170">
        <v>0</v>
      </c>
      <c r="K235" s="170">
        <v>0</v>
      </c>
      <c r="L235" s="170">
        <v>1.4</v>
      </c>
      <c r="M235" s="170">
        <v>1.4</v>
      </c>
      <c r="N235" s="170">
        <v>0</v>
      </c>
      <c r="O235" s="170">
        <v>0</v>
      </c>
      <c r="P235" s="173"/>
      <c r="Q235" s="173"/>
    </row>
    <row r="236" spans="1:17" ht="48" customHeight="1" x14ac:dyDescent="0.3">
      <c r="A236" s="192"/>
      <c r="B236" s="222"/>
      <c r="C236" s="178" t="s">
        <v>291</v>
      </c>
      <c r="D236" s="170">
        <v>424.8</v>
      </c>
      <c r="E236" s="170">
        <v>412</v>
      </c>
      <c r="F236" s="170">
        <v>321.2</v>
      </c>
      <c r="G236" s="170">
        <v>12.8</v>
      </c>
      <c r="H236" s="170">
        <v>236.3</v>
      </c>
      <c r="I236" s="170">
        <v>223.5</v>
      </c>
      <c r="J236" s="170">
        <v>156</v>
      </c>
      <c r="K236" s="170">
        <v>12.8</v>
      </c>
      <c r="L236" s="170">
        <v>185.6</v>
      </c>
      <c r="M236" s="170">
        <v>172.8</v>
      </c>
      <c r="N236" s="170">
        <v>151.30000000000001</v>
      </c>
      <c r="O236" s="170">
        <v>12.8</v>
      </c>
      <c r="P236" s="173"/>
      <c r="Q236" s="173"/>
    </row>
    <row r="237" spans="1:17" ht="31.2" x14ac:dyDescent="0.3">
      <c r="A237" s="175" t="s">
        <v>220</v>
      </c>
      <c r="B237" s="175"/>
      <c r="C237" s="176"/>
      <c r="D237" s="177">
        <f t="shared" ref="D237:O237" si="36">SUBTOTAL(9,D238:D240)</f>
        <v>590.5</v>
      </c>
      <c r="E237" s="177">
        <f t="shared" si="36"/>
        <v>562</v>
      </c>
      <c r="F237" s="177">
        <f t="shared" si="36"/>
        <v>362.2</v>
      </c>
      <c r="G237" s="177">
        <f t="shared" si="36"/>
        <v>28.5</v>
      </c>
      <c r="H237" s="177">
        <f t="shared" si="36"/>
        <v>376.2</v>
      </c>
      <c r="I237" s="177">
        <f t="shared" si="36"/>
        <v>347.7</v>
      </c>
      <c r="J237" s="177">
        <f t="shared" si="36"/>
        <v>184.2</v>
      </c>
      <c r="K237" s="177">
        <f t="shared" si="36"/>
        <v>28.5</v>
      </c>
      <c r="L237" s="177">
        <f t="shared" si="36"/>
        <v>298.89999999999998</v>
      </c>
      <c r="M237" s="177">
        <f t="shared" si="36"/>
        <v>284.89999999999998</v>
      </c>
      <c r="N237" s="177">
        <f t="shared" si="36"/>
        <v>176.9</v>
      </c>
      <c r="O237" s="177">
        <f t="shared" si="36"/>
        <v>14</v>
      </c>
      <c r="P237" s="173">
        <f>SUM(L237/D237*100)</f>
        <v>50.618120237087204</v>
      </c>
      <c r="Q237" s="173">
        <f>SUM(L237/H237*100)</f>
        <v>79.452418926103135</v>
      </c>
    </row>
    <row r="238" spans="1:17" ht="45" x14ac:dyDescent="0.3">
      <c r="A238" s="191"/>
      <c r="B238" s="179" t="s">
        <v>295</v>
      </c>
      <c r="C238" s="178" t="s">
        <v>291</v>
      </c>
      <c r="D238" s="170">
        <v>18</v>
      </c>
      <c r="E238" s="170">
        <v>18</v>
      </c>
      <c r="F238" s="170">
        <v>0</v>
      </c>
      <c r="G238" s="170">
        <v>0</v>
      </c>
      <c r="H238" s="170">
        <v>18</v>
      </c>
      <c r="I238" s="170">
        <v>18</v>
      </c>
      <c r="J238" s="170">
        <v>0</v>
      </c>
      <c r="K238" s="170">
        <v>0</v>
      </c>
      <c r="L238" s="170">
        <v>18</v>
      </c>
      <c r="M238" s="170">
        <v>18</v>
      </c>
      <c r="N238" s="170">
        <v>0</v>
      </c>
      <c r="O238" s="170">
        <v>0</v>
      </c>
      <c r="P238" s="173"/>
      <c r="Q238" s="173"/>
    </row>
    <row r="239" spans="1:17" x14ac:dyDescent="0.25">
      <c r="A239" s="219"/>
      <c r="B239" s="220" t="s">
        <v>353</v>
      </c>
      <c r="C239" s="178" t="s">
        <v>303</v>
      </c>
      <c r="D239" s="170">
        <v>24.2</v>
      </c>
      <c r="E239" s="170">
        <v>24.2</v>
      </c>
      <c r="F239" s="170">
        <v>0</v>
      </c>
      <c r="G239" s="170">
        <v>0</v>
      </c>
      <c r="H239" s="170">
        <v>15.7</v>
      </c>
      <c r="I239" s="170">
        <v>15.7</v>
      </c>
      <c r="J239" s="170">
        <v>0</v>
      </c>
      <c r="K239" s="170">
        <v>0</v>
      </c>
      <c r="L239" s="170">
        <v>7.7</v>
      </c>
      <c r="M239" s="170">
        <v>7.7</v>
      </c>
      <c r="N239" s="170">
        <v>0</v>
      </c>
      <c r="O239" s="170">
        <v>0</v>
      </c>
      <c r="P239" s="170"/>
      <c r="Q239" s="83"/>
    </row>
    <row r="240" spans="1:17" ht="49.8" customHeight="1" x14ac:dyDescent="0.3">
      <c r="A240" s="192"/>
      <c r="B240" s="222"/>
      <c r="C240" s="178" t="s">
        <v>291</v>
      </c>
      <c r="D240" s="170">
        <v>548.29999999999995</v>
      </c>
      <c r="E240" s="170">
        <v>519.79999999999995</v>
      </c>
      <c r="F240" s="170">
        <v>362.2</v>
      </c>
      <c r="G240" s="170">
        <v>28.5</v>
      </c>
      <c r="H240" s="170">
        <v>342.5</v>
      </c>
      <c r="I240" s="170">
        <v>314</v>
      </c>
      <c r="J240" s="170">
        <v>184.2</v>
      </c>
      <c r="K240" s="170">
        <v>28.5</v>
      </c>
      <c r="L240" s="170">
        <v>273.2</v>
      </c>
      <c r="M240" s="170">
        <v>259.2</v>
      </c>
      <c r="N240" s="170">
        <v>176.9</v>
      </c>
      <c r="O240" s="170">
        <v>14</v>
      </c>
      <c r="P240" s="173"/>
      <c r="Q240" s="173"/>
    </row>
    <row r="241" spans="1:17" ht="31.2" x14ac:dyDescent="0.3">
      <c r="A241" s="175" t="s">
        <v>74</v>
      </c>
      <c r="B241" s="175"/>
      <c r="C241" s="176"/>
      <c r="D241" s="177">
        <f t="shared" ref="D241:O241" si="37">SUBTOTAL(9,D242:D243)</f>
        <v>609.70000000000005</v>
      </c>
      <c r="E241" s="177">
        <f t="shared" si="37"/>
        <v>574.70000000000005</v>
      </c>
      <c r="F241" s="177">
        <f t="shared" si="37"/>
        <v>428.7</v>
      </c>
      <c r="G241" s="177">
        <f t="shared" si="37"/>
        <v>35</v>
      </c>
      <c r="H241" s="177">
        <f t="shared" si="37"/>
        <v>368.2</v>
      </c>
      <c r="I241" s="177">
        <f t="shared" si="37"/>
        <v>333.2</v>
      </c>
      <c r="J241" s="177">
        <f t="shared" si="37"/>
        <v>220</v>
      </c>
      <c r="K241" s="177">
        <f t="shared" si="37"/>
        <v>35</v>
      </c>
      <c r="L241" s="177">
        <f t="shared" si="37"/>
        <v>250.9</v>
      </c>
      <c r="M241" s="177">
        <f t="shared" si="37"/>
        <v>250.9</v>
      </c>
      <c r="N241" s="177">
        <f t="shared" si="37"/>
        <v>214.6</v>
      </c>
      <c r="O241" s="177">
        <f t="shared" si="37"/>
        <v>0</v>
      </c>
      <c r="P241" s="173">
        <f>SUM(L241/D241*100)</f>
        <v>41.151385927505331</v>
      </c>
      <c r="Q241" s="173">
        <f>SUM(L241/H241*100)</f>
        <v>68.142313959804454</v>
      </c>
    </row>
    <row r="242" spans="1:17" x14ac:dyDescent="0.25">
      <c r="A242" s="191"/>
      <c r="B242" s="220" t="s">
        <v>353</v>
      </c>
      <c r="C242" s="178" t="s">
        <v>303</v>
      </c>
      <c r="D242" s="170">
        <v>8</v>
      </c>
      <c r="E242" s="170">
        <v>8</v>
      </c>
      <c r="F242" s="170">
        <v>0</v>
      </c>
      <c r="G242" s="170">
        <v>0</v>
      </c>
      <c r="H242" s="170">
        <v>2.2999999999999998</v>
      </c>
      <c r="I242" s="170">
        <v>2.2999999999999998</v>
      </c>
      <c r="J242" s="170">
        <v>0</v>
      </c>
      <c r="K242" s="170">
        <v>0</v>
      </c>
      <c r="L242" s="170">
        <v>0</v>
      </c>
      <c r="M242" s="170">
        <v>0</v>
      </c>
      <c r="N242" s="170">
        <v>0</v>
      </c>
      <c r="O242" s="170">
        <v>0</v>
      </c>
      <c r="P242" s="170"/>
      <c r="Q242" s="83"/>
    </row>
    <row r="243" spans="1:17" ht="48.6" customHeight="1" x14ac:dyDescent="0.3">
      <c r="A243" s="192"/>
      <c r="B243" s="222"/>
      <c r="C243" s="178" t="s">
        <v>291</v>
      </c>
      <c r="D243" s="170">
        <v>601.70000000000005</v>
      </c>
      <c r="E243" s="170">
        <v>566.70000000000005</v>
      </c>
      <c r="F243" s="170">
        <v>428.7</v>
      </c>
      <c r="G243" s="170">
        <v>35</v>
      </c>
      <c r="H243" s="170">
        <v>365.9</v>
      </c>
      <c r="I243" s="170">
        <v>330.9</v>
      </c>
      <c r="J243" s="170">
        <v>220</v>
      </c>
      <c r="K243" s="170">
        <v>35</v>
      </c>
      <c r="L243" s="170">
        <v>250.9</v>
      </c>
      <c r="M243" s="170">
        <v>250.9</v>
      </c>
      <c r="N243" s="170">
        <v>214.6</v>
      </c>
      <c r="O243" s="170">
        <v>0</v>
      </c>
      <c r="P243" s="173"/>
      <c r="Q243" s="173"/>
    </row>
    <row r="244" spans="1:17" ht="31.2" x14ac:dyDescent="0.3">
      <c r="A244" s="175" t="s">
        <v>75</v>
      </c>
      <c r="B244" s="175"/>
      <c r="C244" s="176"/>
      <c r="D244" s="177">
        <f t="shared" ref="D244:O244" si="38">SUBTOTAL(9,D245:D246)</f>
        <v>464.5</v>
      </c>
      <c r="E244" s="177">
        <f t="shared" si="38"/>
        <v>445.6</v>
      </c>
      <c r="F244" s="177">
        <f t="shared" si="38"/>
        <v>330.3</v>
      </c>
      <c r="G244" s="177">
        <f t="shared" si="38"/>
        <v>18.899999999999999</v>
      </c>
      <c r="H244" s="177">
        <f t="shared" si="38"/>
        <v>254.6</v>
      </c>
      <c r="I244" s="177">
        <f t="shared" si="38"/>
        <v>235.7</v>
      </c>
      <c r="J244" s="177">
        <f t="shared" si="38"/>
        <v>193</v>
      </c>
      <c r="K244" s="177">
        <f t="shared" si="38"/>
        <v>18.899999999999999</v>
      </c>
      <c r="L244" s="177">
        <f t="shared" si="38"/>
        <v>182.8</v>
      </c>
      <c r="M244" s="177">
        <f t="shared" si="38"/>
        <v>182.8</v>
      </c>
      <c r="N244" s="177">
        <f t="shared" si="38"/>
        <v>155.69999999999999</v>
      </c>
      <c r="O244" s="177">
        <f t="shared" si="38"/>
        <v>0</v>
      </c>
      <c r="P244" s="173">
        <f>SUM(L244/D244*100)</f>
        <v>39.354144241119485</v>
      </c>
      <c r="Q244" s="173">
        <f>SUM(L244/H244*100)</f>
        <v>71.798900235663794</v>
      </c>
    </row>
    <row r="245" spans="1:17" ht="15.6" x14ac:dyDescent="0.3">
      <c r="A245" s="191"/>
      <c r="B245" s="220" t="s">
        <v>353</v>
      </c>
      <c r="C245" s="178" t="s">
        <v>303</v>
      </c>
      <c r="D245" s="170">
        <v>18.5</v>
      </c>
      <c r="E245" s="170">
        <v>18.5</v>
      </c>
      <c r="F245" s="170">
        <v>0</v>
      </c>
      <c r="G245" s="170">
        <v>0</v>
      </c>
      <c r="H245" s="170">
        <v>7</v>
      </c>
      <c r="I245" s="170">
        <v>7</v>
      </c>
      <c r="J245" s="170">
        <v>0</v>
      </c>
      <c r="K245" s="170">
        <v>0</v>
      </c>
      <c r="L245" s="170">
        <v>4.4000000000000004</v>
      </c>
      <c r="M245" s="170">
        <v>4.4000000000000004</v>
      </c>
      <c r="N245" s="170">
        <v>0</v>
      </c>
      <c r="O245" s="170">
        <v>0</v>
      </c>
      <c r="P245" s="173"/>
      <c r="Q245" s="173"/>
    </row>
    <row r="246" spans="1:17" ht="46.2" customHeight="1" x14ac:dyDescent="0.25">
      <c r="A246" s="192"/>
      <c r="B246" s="222"/>
      <c r="C246" s="178" t="s">
        <v>291</v>
      </c>
      <c r="D246" s="170">
        <v>446</v>
      </c>
      <c r="E246" s="170">
        <v>427.1</v>
      </c>
      <c r="F246" s="170">
        <v>330.3</v>
      </c>
      <c r="G246" s="170">
        <v>18.899999999999999</v>
      </c>
      <c r="H246" s="170">
        <v>247.6</v>
      </c>
      <c r="I246" s="170">
        <v>228.7</v>
      </c>
      <c r="J246" s="170">
        <v>193</v>
      </c>
      <c r="K246" s="170">
        <v>18.899999999999999</v>
      </c>
      <c r="L246" s="170">
        <v>178.4</v>
      </c>
      <c r="M246" s="170">
        <v>178.4</v>
      </c>
      <c r="N246" s="170">
        <v>155.69999999999999</v>
      </c>
      <c r="O246" s="170">
        <v>0</v>
      </c>
      <c r="P246" s="170"/>
      <c r="Q246" s="83"/>
    </row>
    <row r="247" spans="1:17" ht="31.2" x14ac:dyDescent="0.3">
      <c r="A247" s="175" t="s">
        <v>327</v>
      </c>
      <c r="B247" s="175"/>
      <c r="C247" s="176"/>
      <c r="D247" s="177">
        <f t="shared" ref="D247:O247" si="39">SUBTOTAL(9,D248:D248)</f>
        <v>195.3</v>
      </c>
      <c r="E247" s="177">
        <f t="shared" si="39"/>
        <v>195.3</v>
      </c>
      <c r="F247" s="177">
        <f t="shared" si="39"/>
        <v>183.2</v>
      </c>
      <c r="G247" s="177">
        <f t="shared" si="39"/>
        <v>0</v>
      </c>
      <c r="H247" s="177">
        <f t="shared" si="39"/>
        <v>105.2</v>
      </c>
      <c r="I247" s="177">
        <f t="shared" si="39"/>
        <v>105.2</v>
      </c>
      <c r="J247" s="177">
        <f t="shared" si="39"/>
        <v>98</v>
      </c>
      <c r="K247" s="177">
        <f t="shared" si="39"/>
        <v>0</v>
      </c>
      <c r="L247" s="177">
        <f t="shared" si="39"/>
        <v>66.599999999999994</v>
      </c>
      <c r="M247" s="177">
        <f t="shared" si="39"/>
        <v>66.599999999999994</v>
      </c>
      <c r="N247" s="177">
        <f t="shared" si="39"/>
        <v>64.2</v>
      </c>
      <c r="O247" s="177">
        <f t="shared" si="39"/>
        <v>0</v>
      </c>
      <c r="P247" s="173">
        <f>SUM(L247/D247*100)</f>
        <v>34.10138248847926</v>
      </c>
      <c r="Q247" s="173">
        <f>SUM(L247/H247*100)</f>
        <v>63.307984790874514</v>
      </c>
    </row>
    <row r="248" spans="1:17" ht="60" x14ac:dyDescent="0.3">
      <c r="A248" s="179"/>
      <c r="B248" s="179" t="s">
        <v>352</v>
      </c>
      <c r="C248" s="178" t="s">
        <v>291</v>
      </c>
      <c r="D248" s="170">
        <v>195.3</v>
      </c>
      <c r="E248" s="170">
        <v>195.3</v>
      </c>
      <c r="F248" s="170">
        <v>183.2</v>
      </c>
      <c r="G248" s="170">
        <v>0</v>
      </c>
      <c r="H248" s="170">
        <v>105.2</v>
      </c>
      <c r="I248" s="170">
        <v>105.2</v>
      </c>
      <c r="J248" s="170">
        <v>98</v>
      </c>
      <c r="K248" s="170">
        <v>0</v>
      </c>
      <c r="L248" s="170">
        <v>66.599999999999994</v>
      </c>
      <c r="M248" s="170">
        <v>66.599999999999994</v>
      </c>
      <c r="N248" s="170">
        <v>64.2</v>
      </c>
      <c r="O248" s="170">
        <v>0</v>
      </c>
      <c r="P248" s="173"/>
      <c r="Q248" s="173"/>
    </row>
    <row r="249" spans="1:17" ht="31.2" x14ac:dyDescent="0.3">
      <c r="A249" s="175" t="s">
        <v>77</v>
      </c>
      <c r="B249" s="175"/>
      <c r="C249" s="176"/>
      <c r="D249" s="177">
        <f t="shared" ref="D249:O249" si="40">SUBTOTAL(9,D250:D253)</f>
        <v>1164.1000000000001</v>
      </c>
      <c r="E249" s="177">
        <f t="shared" si="40"/>
        <v>1134.0999999999999</v>
      </c>
      <c r="F249" s="177">
        <f t="shared" si="40"/>
        <v>995.2</v>
      </c>
      <c r="G249" s="177">
        <f t="shared" si="40"/>
        <v>30</v>
      </c>
      <c r="H249" s="177">
        <f t="shared" si="40"/>
        <v>613.6</v>
      </c>
      <c r="I249" s="177">
        <f t="shared" si="40"/>
        <v>583.6</v>
      </c>
      <c r="J249" s="177">
        <f t="shared" si="40"/>
        <v>485.79999999999995</v>
      </c>
      <c r="K249" s="177">
        <f t="shared" si="40"/>
        <v>30</v>
      </c>
      <c r="L249" s="177">
        <f t="shared" si="40"/>
        <v>605</v>
      </c>
      <c r="M249" s="177">
        <f t="shared" si="40"/>
        <v>578.4</v>
      </c>
      <c r="N249" s="177">
        <f t="shared" si="40"/>
        <v>485.79999999999995</v>
      </c>
      <c r="O249" s="177">
        <f t="shared" si="40"/>
        <v>26.6</v>
      </c>
      <c r="P249" s="173">
        <f>SUM(L249/D249*100)</f>
        <v>51.97148011339231</v>
      </c>
      <c r="Q249" s="173">
        <f>SUM(L249/H249*100)</f>
        <v>98.598435462842232</v>
      </c>
    </row>
    <row r="250" spans="1:17" ht="43.8" customHeight="1" x14ac:dyDescent="0.25">
      <c r="A250" s="191"/>
      <c r="B250" s="179" t="s">
        <v>297</v>
      </c>
      <c r="C250" s="178" t="s">
        <v>291</v>
      </c>
      <c r="D250" s="170">
        <v>30</v>
      </c>
      <c r="E250" s="170">
        <v>30</v>
      </c>
      <c r="F250" s="170">
        <v>0</v>
      </c>
      <c r="G250" s="170">
        <v>0</v>
      </c>
      <c r="H250" s="170">
        <v>30</v>
      </c>
      <c r="I250" s="170">
        <v>30</v>
      </c>
      <c r="J250" s="170">
        <v>0</v>
      </c>
      <c r="K250" s="170">
        <v>0</v>
      </c>
      <c r="L250" s="170">
        <v>30</v>
      </c>
      <c r="M250" s="170">
        <v>30</v>
      </c>
      <c r="N250" s="170">
        <v>0</v>
      </c>
      <c r="O250" s="170">
        <v>0</v>
      </c>
      <c r="P250" s="170"/>
      <c r="Q250" s="83"/>
    </row>
    <row r="251" spans="1:17" ht="15.6" x14ac:dyDescent="0.3">
      <c r="A251" s="219"/>
      <c r="B251" s="220" t="s">
        <v>352</v>
      </c>
      <c r="C251" s="178" t="s">
        <v>303</v>
      </c>
      <c r="D251" s="170">
        <v>1</v>
      </c>
      <c r="E251" s="170">
        <v>1</v>
      </c>
      <c r="F251" s="170">
        <v>0</v>
      </c>
      <c r="G251" s="170">
        <v>0</v>
      </c>
      <c r="H251" s="170">
        <v>0.5</v>
      </c>
      <c r="I251" s="170">
        <v>0.5</v>
      </c>
      <c r="J251" s="170">
        <v>0</v>
      </c>
      <c r="K251" s="170">
        <v>0</v>
      </c>
      <c r="L251" s="170">
        <v>0</v>
      </c>
      <c r="M251" s="170">
        <v>0</v>
      </c>
      <c r="N251" s="170">
        <v>0</v>
      </c>
      <c r="O251" s="170">
        <v>0</v>
      </c>
      <c r="P251" s="173"/>
      <c r="Q251" s="173"/>
    </row>
    <row r="252" spans="1:17" ht="15.6" x14ac:dyDescent="0.3">
      <c r="A252" s="219"/>
      <c r="B252" s="221"/>
      <c r="C252" s="178" t="s">
        <v>291</v>
      </c>
      <c r="D252" s="170">
        <v>57.7</v>
      </c>
      <c r="E252" s="170">
        <v>28.3</v>
      </c>
      <c r="F252" s="170">
        <v>13.7</v>
      </c>
      <c r="G252" s="170">
        <v>29.4</v>
      </c>
      <c r="H252" s="170">
        <v>44.9</v>
      </c>
      <c r="I252" s="170">
        <v>15.5</v>
      </c>
      <c r="J252" s="170">
        <v>6.9</v>
      </c>
      <c r="K252" s="170">
        <v>29.4</v>
      </c>
      <c r="L252" s="170">
        <v>41.4</v>
      </c>
      <c r="M252" s="170">
        <v>14.8</v>
      </c>
      <c r="N252" s="170">
        <v>6.9</v>
      </c>
      <c r="O252" s="170">
        <v>26.6</v>
      </c>
      <c r="P252" s="173"/>
      <c r="Q252" s="173"/>
    </row>
    <row r="253" spans="1:17" ht="29.4" customHeight="1" x14ac:dyDescent="0.3">
      <c r="A253" s="192"/>
      <c r="B253" s="222"/>
      <c r="C253" s="178" t="s">
        <v>293</v>
      </c>
      <c r="D253" s="170">
        <v>1075.4000000000001</v>
      </c>
      <c r="E253" s="170">
        <v>1074.8</v>
      </c>
      <c r="F253" s="170">
        <v>981.5</v>
      </c>
      <c r="G253" s="170">
        <v>0.6</v>
      </c>
      <c r="H253" s="170">
        <v>538.20000000000005</v>
      </c>
      <c r="I253" s="170">
        <v>537.6</v>
      </c>
      <c r="J253" s="170">
        <v>478.9</v>
      </c>
      <c r="K253" s="170">
        <v>0.6</v>
      </c>
      <c r="L253" s="170">
        <v>533.6</v>
      </c>
      <c r="M253" s="170">
        <v>533.6</v>
      </c>
      <c r="N253" s="170">
        <v>478.9</v>
      </c>
      <c r="O253" s="170">
        <v>0</v>
      </c>
      <c r="P253" s="173"/>
      <c r="Q253" s="173"/>
    </row>
    <row r="254" spans="1:17" ht="31.2" x14ac:dyDescent="0.3">
      <c r="A254" s="175" t="s">
        <v>69</v>
      </c>
      <c r="B254" s="175"/>
      <c r="C254" s="176"/>
      <c r="D254" s="177">
        <f t="shared" ref="D254:O254" si="41">SUBTOTAL(9,D255:D259)</f>
        <v>2243</v>
      </c>
      <c r="E254" s="177">
        <f t="shared" si="41"/>
        <v>1992.6000000000001</v>
      </c>
      <c r="F254" s="177">
        <f t="shared" si="41"/>
        <v>1441.1</v>
      </c>
      <c r="G254" s="177">
        <f t="shared" si="41"/>
        <v>250.4</v>
      </c>
      <c r="H254" s="177">
        <f t="shared" si="41"/>
        <v>1174.0999999999999</v>
      </c>
      <c r="I254" s="177">
        <f t="shared" si="41"/>
        <v>1149.6999999999998</v>
      </c>
      <c r="J254" s="177">
        <f t="shared" si="41"/>
        <v>796</v>
      </c>
      <c r="K254" s="177">
        <f t="shared" si="41"/>
        <v>24.4</v>
      </c>
      <c r="L254" s="177">
        <f t="shared" si="41"/>
        <v>1141.7</v>
      </c>
      <c r="M254" s="177">
        <f t="shared" si="41"/>
        <v>1120.2</v>
      </c>
      <c r="N254" s="177">
        <f t="shared" si="41"/>
        <v>789.5</v>
      </c>
      <c r="O254" s="177">
        <f t="shared" si="41"/>
        <v>21.499999999999996</v>
      </c>
      <c r="P254" s="173">
        <f>SUM(L254/D254*100)</f>
        <v>50.900579580918418</v>
      </c>
      <c r="Q254" s="173">
        <f>SUM(L254/H254*100)</f>
        <v>97.240439485563428</v>
      </c>
    </row>
    <row r="255" spans="1:17" x14ac:dyDescent="0.25">
      <c r="A255" s="191"/>
      <c r="B255" s="220" t="s">
        <v>305</v>
      </c>
      <c r="C255" s="178" t="s">
        <v>288</v>
      </c>
      <c r="D255" s="170">
        <v>170</v>
      </c>
      <c r="E255" s="170">
        <v>0</v>
      </c>
      <c r="F255" s="170">
        <v>0</v>
      </c>
      <c r="G255" s="170">
        <v>170</v>
      </c>
      <c r="H255" s="170">
        <v>0</v>
      </c>
      <c r="I255" s="170">
        <v>0</v>
      </c>
      <c r="J255" s="170">
        <v>0</v>
      </c>
      <c r="K255" s="170">
        <v>0</v>
      </c>
      <c r="L255" s="170">
        <v>0</v>
      </c>
      <c r="M255" s="170">
        <v>0</v>
      </c>
      <c r="N255" s="170">
        <v>0</v>
      </c>
      <c r="O255" s="170">
        <v>0</v>
      </c>
      <c r="P255" s="83"/>
      <c r="Q255" s="83"/>
    </row>
    <row r="256" spans="1:17" x14ac:dyDescent="0.25">
      <c r="A256" s="219"/>
      <c r="B256" s="221"/>
      <c r="C256" s="178" t="s">
        <v>303</v>
      </c>
      <c r="D256" s="170">
        <v>1623</v>
      </c>
      <c r="E256" s="170">
        <v>1613</v>
      </c>
      <c r="F256" s="170">
        <v>1111.8</v>
      </c>
      <c r="G256" s="170">
        <v>10</v>
      </c>
      <c r="H256" s="170">
        <v>964.9</v>
      </c>
      <c r="I256" s="170">
        <v>959.9</v>
      </c>
      <c r="J256" s="170">
        <v>632</v>
      </c>
      <c r="K256" s="170">
        <v>5</v>
      </c>
      <c r="L256" s="170">
        <v>934.5</v>
      </c>
      <c r="M256" s="170">
        <v>931.6</v>
      </c>
      <c r="N256" s="170">
        <v>625.5</v>
      </c>
      <c r="O256" s="170">
        <v>2.9</v>
      </c>
      <c r="P256" s="83"/>
      <c r="Q256" s="83"/>
    </row>
    <row r="257" spans="1:17" x14ac:dyDescent="0.25">
      <c r="A257" s="219"/>
      <c r="B257" s="221"/>
      <c r="C257" s="178" t="s">
        <v>291</v>
      </c>
      <c r="D257" s="170">
        <v>89.4</v>
      </c>
      <c r="E257" s="170">
        <v>19.399999999999999</v>
      </c>
      <c r="F257" s="170">
        <v>0</v>
      </c>
      <c r="G257" s="170">
        <v>70</v>
      </c>
      <c r="H257" s="170">
        <v>28.8</v>
      </c>
      <c r="I257" s="170">
        <v>9.8000000000000007</v>
      </c>
      <c r="J257" s="170">
        <v>0</v>
      </c>
      <c r="K257" s="170">
        <v>19</v>
      </c>
      <c r="L257" s="170">
        <v>26.8</v>
      </c>
      <c r="M257" s="170">
        <v>8.6</v>
      </c>
      <c r="N257" s="170">
        <v>0</v>
      </c>
      <c r="O257" s="170">
        <v>18.2</v>
      </c>
      <c r="P257" s="83"/>
      <c r="Q257" s="83"/>
    </row>
    <row r="258" spans="1:17" x14ac:dyDescent="0.25">
      <c r="A258" s="219"/>
      <c r="B258" s="222"/>
      <c r="C258" s="178" t="s">
        <v>293</v>
      </c>
      <c r="D258" s="170">
        <v>360.2</v>
      </c>
      <c r="E258" s="170">
        <v>360.2</v>
      </c>
      <c r="F258" s="170">
        <v>329.3</v>
      </c>
      <c r="G258" s="170">
        <v>0</v>
      </c>
      <c r="H258" s="170">
        <v>180</v>
      </c>
      <c r="I258" s="170">
        <v>180</v>
      </c>
      <c r="J258" s="170">
        <v>164</v>
      </c>
      <c r="K258" s="170">
        <v>0</v>
      </c>
      <c r="L258" s="170">
        <v>180</v>
      </c>
      <c r="M258" s="170">
        <v>180</v>
      </c>
      <c r="N258" s="170">
        <v>164</v>
      </c>
      <c r="O258" s="170">
        <v>0</v>
      </c>
      <c r="P258" s="83"/>
      <c r="Q258" s="83"/>
    </row>
    <row r="259" spans="1:17" ht="60" x14ac:dyDescent="0.25">
      <c r="A259" s="192"/>
      <c r="B259" s="179" t="s">
        <v>307</v>
      </c>
      <c r="C259" s="178" t="s">
        <v>317</v>
      </c>
      <c r="D259" s="170">
        <v>0.4</v>
      </c>
      <c r="E259" s="170">
        <v>0</v>
      </c>
      <c r="F259" s="170">
        <v>0</v>
      </c>
      <c r="G259" s="170">
        <v>0.4</v>
      </c>
      <c r="H259" s="170">
        <v>0.4</v>
      </c>
      <c r="I259" s="170">
        <v>0</v>
      </c>
      <c r="J259" s="170">
        <v>0</v>
      </c>
      <c r="K259" s="170">
        <v>0.4</v>
      </c>
      <c r="L259" s="170">
        <v>0.4</v>
      </c>
      <c r="M259" s="170">
        <v>0</v>
      </c>
      <c r="N259" s="170">
        <v>0</v>
      </c>
      <c r="O259" s="170">
        <v>0.4</v>
      </c>
      <c r="P259" s="83"/>
      <c r="Q259" s="83"/>
    </row>
    <row r="260" spans="1:17" ht="46.8" x14ac:dyDescent="0.3">
      <c r="A260" s="175" t="s">
        <v>328</v>
      </c>
      <c r="B260" s="175"/>
      <c r="C260" s="176"/>
      <c r="D260" s="177">
        <f t="shared" ref="D260:O260" si="42">SUBTOTAL(9,D261:D264)</f>
        <v>2602.6</v>
      </c>
      <c r="E260" s="177">
        <f t="shared" si="42"/>
        <v>2599</v>
      </c>
      <c r="F260" s="177">
        <f t="shared" si="42"/>
        <v>2212</v>
      </c>
      <c r="G260" s="177">
        <f t="shared" si="42"/>
        <v>3.6</v>
      </c>
      <c r="H260" s="177">
        <f t="shared" si="42"/>
        <v>1697</v>
      </c>
      <c r="I260" s="177">
        <f t="shared" si="42"/>
        <v>1693.4</v>
      </c>
      <c r="J260" s="177">
        <f t="shared" si="42"/>
        <v>1469.1</v>
      </c>
      <c r="K260" s="177">
        <f t="shared" si="42"/>
        <v>3.6</v>
      </c>
      <c r="L260" s="177">
        <f t="shared" si="42"/>
        <v>1098.3</v>
      </c>
      <c r="M260" s="177">
        <f t="shared" si="42"/>
        <v>1094.7</v>
      </c>
      <c r="N260" s="177">
        <f t="shared" si="42"/>
        <v>913.4</v>
      </c>
      <c r="O260" s="177">
        <f t="shared" si="42"/>
        <v>3.6</v>
      </c>
      <c r="P260" s="173">
        <f>SUM(L260/D260*100)</f>
        <v>42.200107584722971</v>
      </c>
      <c r="Q260" s="173">
        <f>SUM(L260/H260*100)</f>
        <v>64.720094284030637</v>
      </c>
    </row>
    <row r="261" spans="1:17" x14ac:dyDescent="0.25">
      <c r="A261" s="191"/>
      <c r="B261" s="220" t="s">
        <v>287</v>
      </c>
      <c r="C261" s="178" t="s">
        <v>289</v>
      </c>
      <c r="D261" s="170">
        <v>1137.5999999999999</v>
      </c>
      <c r="E261" s="170">
        <v>1137.5999999999999</v>
      </c>
      <c r="F261" s="170">
        <v>1094.5</v>
      </c>
      <c r="G261" s="170">
        <v>0</v>
      </c>
      <c r="H261" s="170">
        <v>756</v>
      </c>
      <c r="I261" s="170">
        <v>756</v>
      </c>
      <c r="J261" s="170">
        <v>729.6</v>
      </c>
      <c r="K261" s="170">
        <v>0</v>
      </c>
      <c r="L261" s="170">
        <v>455.9</v>
      </c>
      <c r="M261" s="170">
        <v>455.9</v>
      </c>
      <c r="N261" s="170">
        <v>436.9</v>
      </c>
      <c r="O261" s="170">
        <v>0</v>
      </c>
      <c r="P261" s="83"/>
      <c r="Q261" s="83"/>
    </row>
    <row r="262" spans="1:17" x14ac:dyDescent="0.25">
      <c r="A262" s="219"/>
      <c r="B262" s="221"/>
      <c r="C262" s="178" t="s">
        <v>303</v>
      </c>
      <c r="D262" s="170">
        <v>134.69999999999999</v>
      </c>
      <c r="E262" s="170">
        <v>134.69999999999999</v>
      </c>
      <c r="F262" s="170">
        <v>17.5</v>
      </c>
      <c r="G262" s="170">
        <v>0</v>
      </c>
      <c r="H262" s="170">
        <v>72</v>
      </c>
      <c r="I262" s="170">
        <v>72</v>
      </c>
      <c r="J262" s="170">
        <v>10.5</v>
      </c>
      <c r="K262" s="170">
        <v>0</v>
      </c>
      <c r="L262" s="170">
        <v>70.599999999999994</v>
      </c>
      <c r="M262" s="170">
        <v>70.599999999999994</v>
      </c>
      <c r="N262" s="170">
        <v>10.5</v>
      </c>
      <c r="O262" s="170">
        <v>0</v>
      </c>
      <c r="P262" s="83"/>
      <c r="Q262" s="83"/>
    </row>
    <row r="263" spans="1:17" x14ac:dyDescent="0.25">
      <c r="A263" s="219"/>
      <c r="B263" s="221"/>
      <c r="C263" s="178" t="s">
        <v>291</v>
      </c>
      <c r="D263" s="170">
        <v>1302.3</v>
      </c>
      <c r="E263" s="170">
        <v>1298.7</v>
      </c>
      <c r="F263" s="170">
        <v>1072.4000000000001</v>
      </c>
      <c r="G263" s="170">
        <v>3.6</v>
      </c>
      <c r="H263" s="170">
        <v>854.8</v>
      </c>
      <c r="I263" s="170">
        <v>851.2</v>
      </c>
      <c r="J263" s="170">
        <v>715</v>
      </c>
      <c r="K263" s="170">
        <v>3.6</v>
      </c>
      <c r="L263" s="170">
        <v>557.6</v>
      </c>
      <c r="M263" s="170">
        <v>554</v>
      </c>
      <c r="N263" s="170">
        <v>452</v>
      </c>
      <c r="O263" s="170">
        <v>3.6</v>
      </c>
      <c r="P263" s="83"/>
      <c r="Q263" s="83"/>
    </row>
    <row r="264" spans="1:17" x14ac:dyDescent="0.25">
      <c r="A264" s="192"/>
      <c r="B264" s="222"/>
      <c r="C264" s="178" t="s">
        <v>293</v>
      </c>
      <c r="D264" s="170">
        <v>28</v>
      </c>
      <c r="E264" s="170">
        <v>28</v>
      </c>
      <c r="F264" s="170">
        <v>27.6</v>
      </c>
      <c r="G264" s="170">
        <v>0</v>
      </c>
      <c r="H264" s="170">
        <v>14.2</v>
      </c>
      <c r="I264" s="170">
        <v>14.2</v>
      </c>
      <c r="J264" s="170">
        <v>14</v>
      </c>
      <c r="K264" s="170">
        <v>0</v>
      </c>
      <c r="L264" s="170">
        <v>14.2</v>
      </c>
      <c r="M264" s="170">
        <v>14.2</v>
      </c>
      <c r="N264" s="170">
        <v>14</v>
      </c>
      <c r="O264" s="170">
        <v>0</v>
      </c>
      <c r="P264" s="83"/>
      <c r="Q264" s="83"/>
    </row>
    <row r="265" spans="1:17" ht="31.2" x14ac:dyDescent="0.3">
      <c r="A265" s="175" t="s">
        <v>329</v>
      </c>
      <c r="B265" s="175"/>
      <c r="C265" s="176"/>
      <c r="D265" s="177">
        <f t="shared" ref="D265:O265" si="43">SUBTOTAL(9,D266:D266)</f>
        <v>793.6</v>
      </c>
      <c r="E265" s="177">
        <f t="shared" si="43"/>
        <v>150</v>
      </c>
      <c r="F265" s="177">
        <f t="shared" si="43"/>
        <v>0</v>
      </c>
      <c r="G265" s="177">
        <f t="shared" si="43"/>
        <v>643.6</v>
      </c>
      <c r="H265" s="177">
        <f t="shared" si="43"/>
        <v>402.8</v>
      </c>
      <c r="I265" s="177">
        <f t="shared" si="43"/>
        <v>81</v>
      </c>
      <c r="J265" s="177">
        <f t="shared" si="43"/>
        <v>0</v>
      </c>
      <c r="K265" s="177">
        <f t="shared" si="43"/>
        <v>321.8</v>
      </c>
      <c r="L265" s="177">
        <f t="shared" si="43"/>
        <v>399.5</v>
      </c>
      <c r="M265" s="177">
        <f t="shared" si="43"/>
        <v>77.7</v>
      </c>
      <c r="N265" s="177">
        <f t="shared" si="43"/>
        <v>0</v>
      </c>
      <c r="O265" s="177">
        <f t="shared" si="43"/>
        <v>321.8</v>
      </c>
      <c r="P265" s="173">
        <f>SUM(L265/D265*100)</f>
        <v>50.340221774193552</v>
      </c>
      <c r="Q265" s="173">
        <f>SUM(L265/H265*100)</f>
        <v>99.180734856007945</v>
      </c>
    </row>
    <row r="266" spans="1:17" ht="60" x14ac:dyDescent="0.25">
      <c r="A266" s="179"/>
      <c r="B266" s="179" t="s">
        <v>352</v>
      </c>
      <c r="C266" s="178" t="s">
        <v>291</v>
      </c>
      <c r="D266" s="170">
        <v>793.6</v>
      </c>
      <c r="E266" s="170">
        <v>150</v>
      </c>
      <c r="F266" s="170">
        <v>0</v>
      </c>
      <c r="G266" s="170">
        <v>643.6</v>
      </c>
      <c r="H266" s="170">
        <v>402.8</v>
      </c>
      <c r="I266" s="170">
        <v>81</v>
      </c>
      <c r="J266" s="170">
        <v>0</v>
      </c>
      <c r="K266" s="170">
        <v>321.8</v>
      </c>
      <c r="L266" s="170">
        <v>399.5</v>
      </c>
      <c r="M266" s="170">
        <v>77.7</v>
      </c>
      <c r="N266" s="170">
        <v>0</v>
      </c>
      <c r="O266" s="170">
        <v>321.8</v>
      </c>
      <c r="P266" s="83"/>
      <c r="Q266" s="83"/>
    </row>
    <row r="267" spans="1:17" ht="31.2" x14ac:dyDescent="0.3">
      <c r="A267" s="175" t="s">
        <v>330</v>
      </c>
      <c r="B267" s="175"/>
      <c r="C267" s="176"/>
      <c r="D267" s="177">
        <f t="shared" ref="D267:O267" si="44">SUBTOTAL(9,D268:D269)</f>
        <v>370</v>
      </c>
      <c r="E267" s="177">
        <f t="shared" si="44"/>
        <v>320</v>
      </c>
      <c r="F267" s="177">
        <f t="shared" si="44"/>
        <v>226.6</v>
      </c>
      <c r="G267" s="177">
        <f t="shared" si="44"/>
        <v>50</v>
      </c>
      <c r="H267" s="177">
        <f t="shared" si="44"/>
        <v>227.9</v>
      </c>
      <c r="I267" s="177">
        <f t="shared" si="44"/>
        <v>177.9</v>
      </c>
      <c r="J267" s="177">
        <f t="shared" si="44"/>
        <v>132.19999999999999</v>
      </c>
      <c r="K267" s="177">
        <f t="shared" si="44"/>
        <v>50</v>
      </c>
      <c r="L267" s="177">
        <f t="shared" si="44"/>
        <v>132.4</v>
      </c>
      <c r="M267" s="177">
        <f t="shared" si="44"/>
        <v>132.4</v>
      </c>
      <c r="N267" s="177">
        <f t="shared" si="44"/>
        <v>99.3</v>
      </c>
      <c r="O267" s="177">
        <f t="shared" si="44"/>
        <v>0</v>
      </c>
      <c r="P267" s="173">
        <f>SUM(L267/D267*100)</f>
        <v>35.783783783783782</v>
      </c>
      <c r="Q267" s="173">
        <f>SUM(L267/H267*100)</f>
        <v>58.095655989469066</v>
      </c>
    </row>
    <row r="268" spans="1:17" x14ac:dyDescent="0.25">
      <c r="A268" s="191"/>
      <c r="B268" s="220" t="s">
        <v>305</v>
      </c>
      <c r="C268" s="178" t="s">
        <v>303</v>
      </c>
      <c r="D268" s="170">
        <v>1</v>
      </c>
      <c r="E268" s="170">
        <v>1</v>
      </c>
      <c r="F268" s="170">
        <v>0</v>
      </c>
      <c r="G268" s="170">
        <v>0</v>
      </c>
      <c r="H268" s="170">
        <v>0.6</v>
      </c>
      <c r="I268" s="170">
        <v>0.6</v>
      </c>
      <c r="J268" s="170">
        <v>0</v>
      </c>
      <c r="K268" s="170">
        <v>0</v>
      </c>
      <c r="L268" s="170">
        <v>0</v>
      </c>
      <c r="M268" s="170">
        <v>0</v>
      </c>
      <c r="N268" s="170">
        <v>0</v>
      </c>
      <c r="O268" s="170">
        <v>0</v>
      </c>
      <c r="P268" s="83"/>
      <c r="Q268" s="83"/>
    </row>
    <row r="269" spans="1:17" x14ac:dyDescent="0.25">
      <c r="A269" s="192"/>
      <c r="B269" s="222"/>
      <c r="C269" s="178" t="s">
        <v>291</v>
      </c>
      <c r="D269" s="170">
        <v>369</v>
      </c>
      <c r="E269" s="170">
        <v>319</v>
      </c>
      <c r="F269" s="170">
        <v>226.6</v>
      </c>
      <c r="G269" s="170">
        <v>50</v>
      </c>
      <c r="H269" s="170">
        <v>227.3</v>
      </c>
      <c r="I269" s="170">
        <v>177.3</v>
      </c>
      <c r="J269" s="170">
        <v>132.19999999999999</v>
      </c>
      <c r="K269" s="170">
        <v>50</v>
      </c>
      <c r="L269" s="170">
        <v>132.4</v>
      </c>
      <c r="M269" s="170">
        <v>132.4</v>
      </c>
      <c r="N269" s="170">
        <v>99.3</v>
      </c>
      <c r="O269" s="170">
        <v>0</v>
      </c>
      <c r="P269" s="83"/>
      <c r="Q269" s="83"/>
    </row>
    <row r="270" spans="1:17" ht="15.6" x14ac:dyDescent="0.3">
      <c r="A270" s="175" t="s">
        <v>331</v>
      </c>
      <c r="B270" s="175"/>
      <c r="C270" s="176"/>
      <c r="D270" s="177">
        <f t="shared" ref="D270:O270" si="45">SUBTOTAL(9,D271:D271)</f>
        <v>129.1</v>
      </c>
      <c r="E270" s="177">
        <f t="shared" si="45"/>
        <v>15.8</v>
      </c>
      <c r="F270" s="177">
        <f t="shared" si="45"/>
        <v>0</v>
      </c>
      <c r="G270" s="177">
        <f t="shared" si="45"/>
        <v>113.3</v>
      </c>
      <c r="H270" s="177">
        <f t="shared" si="45"/>
        <v>66.8</v>
      </c>
      <c r="I270" s="177">
        <f t="shared" si="45"/>
        <v>10.1</v>
      </c>
      <c r="J270" s="177">
        <f t="shared" si="45"/>
        <v>0</v>
      </c>
      <c r="K270" s="177">
        <f t="shared" si="45"/>
        <v>56.7</v>
      </c>
      <c r="L270" s="177">
        <f t="shared" si="45"/>
        <v>64.900000000000006</v>
      </c>
      <c r="M270" s="177">
        <f t="shared" si="45"/>
        <v>8.3000000000000007</v>
      </c>
      <c r="N270" s="177">
        <f t="shared" si="45"/>
        <v>0</v>
      </c>
      <c r="O270" s="177">
        <f t="shared" si="45"/>
        <v>56.6</v>
      </c>
      <c r="P270" s="173">
        <f>SUM(L270/D270*100)</f>
        <v>50.271107668474059</v>
      </c>
      <c r="Q270" s="173">
        <f>SUM(L270/H270*100)</f>
        <v>97.155688622754496</v>
      </c>
    </row>
    <row r="271" spans="1:17" ht="60" x14ac:dyDescent="0.25">
      <c r="A271" s="179"/>
      <c r="B271" s="179" t="s">
        <v>352</v>
      </c>
      <c r="C271" s="178" t="s">
        <v>291</v>
      </c>
      <c r="D271" s="170">
        <v>129.1</v>
      </c>
      <c r="E271" s="170">
        <v>15.8</v>
      </c>
      <c r="F271" s="170">
        <v>0</v>
      </c>
      <c r="G271" s="170">
        <v>113.3</v>
      </c>
      <c r="H271" s="170">
        <v>66.8</v>
      </c>
      <c r="I271" s="170">
        <v>10.1</v>
      </c>
      <c r="J271" s="170">
        <v>0</v>
      </c>
      <c r="K271" s="170">
        <v>56.7</v>
      </c>
      <c r="L271" s="170">
        <v>64.900000000000006</v>
      </c>
      <c r="M271" s="170">
        <v>8.3000000000000007</v>
      </c>
      <c r="N271" s="170">
        <v>0</v>
      </c>
      <c r="O271" s="170">
        <v>56.6</v>
      </c>
      <c r="P271" s="83"/>
      <c r="Q271" s="83"/>
    </row>
    <row r="272" spans="1:17" ht="31.2" x14ac:dyDescent="0.3">
      <c r="A272" s="175" t="s">
        <v>244</v>
      </c>
      <c r="B272" s="175"/>
      <c r="C272" s="176"/>
      <c r="D272" s="177">
        <f t="shared" ref="D272:O272" si="46">SUBTOTAL(9,D273:D274)</f>
        <v>788.1</v>
      </c>
      <c r="E272" s="177">
        <f t="shared" si="46"/>
        <v>766.80000000000007</v>
      </c>
      <c r="F272" s="177">
        <f t="shared" si="46"/>
        <v>434.8</v>
      </c>
      <c r="G272" s="177">
        <f t="shared" si="46"/>
        <v>21.3</v>
      </c>
      <c r="H272" s="177">
        <f t="shared" si="46"/>
        <v>132.4</v>
      </c>
      <c r="I272" s="177">
        <f t="shared" si="46"/>
        <v>132.4</v>
      </c>
      <c r="J272" s="177">
        <f t="shared" si="46"/>
        <v>30</v>
      </c>
      <c r="K272" s="177">
        <f t="shared" si="46"/>
        <v>0</v>
      </c>
      <c r="L272" s="177">
        <f t="shared" si="46"/>
        <v>21.3</v>
      </c>
      <c r="M272" s="177">
        <f t="shared" si="46"/>
        <v>21.3</v>
      </c>
      <c r="N272" s="177">
        <f t="shared" si="46"/>
        <v>20.9</v>
      </c>
      <c r="O272" s="177">
        <f t="shared" si="46"/>
        <v>0</v>
      </c>
      <c r="P272" s="173">
        <f>SUM(L272/D272*100)</f>
        <v>2.7027027027027026</v>
      </c>
      <c r="Q272" s="173">
        <f>SUM(L272/H272*100)</f>
        <v>16.087613293051358</v>
      </c>
    </row>
    <row r="273" spans="1:17" x14ac:dyDescent="0.25">
      <c r="A273" s="223"/>
      <c r="B273" s="225" t="s">
        <v>287</v>
      </c>
      <c r="C273" s="165" t="s">
        <v>303</v>
      </c>
      <c r="D273" s="166">
        <v>80.7</v>
      </c>
      <c r="E273" s="166">
        <v>80.7</v>
      </c>
      <c r="F273" s="166">
        <v>6</v>
      </c>
      <c r="G273" s="166">
        <v>0</v>
      </c>
      <c r="H273" s="166">
        <v>0</v>
      </c>
      <c r="I273" s="166">
        <v>0</v>
      </c>
      <c r="J273" s="166">
        <v>0</v>
      </c>
      <c r="K273" s="166">
        <v>0</v>
      </c>
      <c r="L273" s="166">
        <v>0</v>
      </c>
      <c r="M273" s="166">
        <v>0</v>
      </c>
      <c r="N273" s="166">
        <v>0</v>
      </c>
      <c r="O273" s="166">
        <v>0</v>
      </c>
      <c r="P273" s="25"/>
      <c r="Q273" s="25"/>
    </row>
    <row r="274" spans="1:17" x14ac:dyDescent="0.25">
      <c r="A274" s="224"/>
      <c r="B274" s="226"/>
      <c r="C274" s="165" t="s">
        <v>291</v>
      </c>
      <c r="D274" s="166">
        <v>707.4</v>
      </c>
      <c r="E274" s="166">
        <v>686.1</v>
      </c>
      <c r="F274" s="166">
        <v>428.8</v>
      </c>
      <c r="G274" s="166">
        <v>21.3</v>
      </c>
      <c r="H274" s="166">
        <v>132.4</v>
      </c>
      <c r="I274" s="166">
        <v>132.4</v>
      </c>
      <c r="J274" s="166">
        <v>30</v>
      </c>
      <c r="K274" s="166">
        <v>0</v>
      </c>
      <c r="L274" s="166">
        <v>21.3</v>
      </c>
      <c r="M274" s="166">
        <v>21.3</v>
      </c>
      <c r="N274" s="166">
        <v>20.9</v>
      </c>
      <c r="O274" s="166">
        <v>0</v>
      </c>
      <c r="P274" s="25"/>
      <c r="Q274" s="25"/>
    </row>
    <row r="275" spans="1:17" ht="15.9" customHeight="1" x14ac:dyDescent="0.3">
      <c r="A275" s="216" t="s">
        <v>83</v>
      </c>
      <c r="B275" s="217"/>
      <c r="C275" s="218"/>
      <c r="D275" s="167">
        <f t="shared" ref="D275:O275" si="47">SUBTOTAL(9,D11:D274)</f>
        <v>173244.50000000006</v>
      </c>
      <c r="E275" s="167">
        <f t="shared" si="47"/>
        <v>127854.59999999999</v>
      </c>
      <c r="F275" s="167">
        <f t="shared" si="47"/>
        <v>74888</v>
      </c>
      <c r="G275" s="167">
        <f t="shared" si="47"/>
        <v>45389.9</v>
      </c>
      <c r="H275" s="167">
        <f t="shared" si="47"/>
        <v>104667.69999999997</v>
      </c>
      <c r="I275" s="167">
        <f t="shared" si="47"/>
        <v>75482.799999999988</v>
      </c>
      <c r="J275" s="167">
        <f t="shared" si="47"/>
        <v>43643.100000000006</v>
      </c>
      <c r="K275" s="167">
        <f t="shared" si="47"/>
        <v>29184.900000000009</v>
      </c>
      <c r="L275" s="167">
        <f t="shared" si="47"/>
        <v>73745.199999999968</v>
      </c>
      <c r="M275" s="167">
        <f t="shared" si="47"/>
        <v>57204.3</v>
      </c>
      <c r="N275" s="167">
        <f t="shared" si="47"/>
        <v>34753.200000000019</v>
      </c>
      <c r="O275" s="167">
        <f t="shared" si="47"/>
        <v>16540.899999999998</v>
      </c>
      <c r="P275" s="173">
        <f>SUM(L275/D275*100)</f>
        <v>42.56712334302096</v>
      </c>
      <c r="Q275" s="173">
        <f>SUM(L275/H275*100)</f>
        <v>70.456501862561211</v>
      </c>
    </row>
    <row r="278" spans="1:17" x14ac:dyDescent="0.25">
      <c r="H278" s="20"/>
      <c r="I278" s="20"/>
    </row>
    <row r="279" spans="1:17" x14ac:dyDescent="0.25"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</row>
  </sheetData>
  <sheetProtection selectLockedCells="1"/>
  <mergeCells count="116">
    <mergeCell ref="A2:I2"/>
    <mergeCell ref="A5:M5"/>
    <mergeCell ref="A6:A9"/>
    <mergeCell ref="B6:B9"/>
    <mergeCell ref="C6:C9"/>
    <mergeCell ref="D6:G6"/>
    <mergeCell ref="H6:K6"/>
    <mergeCell ref="L6:O6"/>
    <mergeCell ref="G8:G9"/>
    <mergeCell ref="A4:O4"/>
    <mergeCell ref="P6:Q6"/>
    <mergeCell ref="D7:D9"/>
    <mergeCell ref="E7:G7"/>
    <mergeCell ref="H7:H9"/>
    <mergeCell ref="I7:K7"/>
    <mergeCell ref="L7:L9"/>
    <mergeCell ref="M7:O7"/>
    <mergeCell ref="P7:P9"/>
    <mergeCell ref="Q7:Q9"/>
    <mergeCell ref="E8:F8"/>
    <mergeCell ref="I8:J8"/>
    <mergeCell ref="K8:K9"/>
    <mergeCell ref="M8:N8"/>
    <mergeCell ref="O8:O9"/>
    <mergeCell ref="A90:A94"/>
    <mergeCell ref="B90:B93"/>
    <mergeCell ref="B46:B53"/>
    <mergeCell ref="B55:B57"/>
    <mergeCell ref="B58:B65"/>
    <mergeCell ref="A67:A70"/>
    <mergeCell ref="B67:B69"/>
    <mergeCell ref="A72:A76"/>
    <mergeCell ref="B72:B76"/>
    <mergeCell ref="A12:A65"/>
    <mergeCell ref="B12:B18"/>
    <mergeCell ref="B19:B24"/>
    <mergeCell ref="B25:B34"/>
    <mergeCell ref="B35:B38"/>
    <mergeCell ref="B39:B45"/>
    <mergeCell ref="A78:A82"/>
    <mergeCell ref="B78:B82"/>
    <mergeCell ref="A84:A88"/>
    <mergeCell ref="B84:B88"/>
    <mergeCell ref="A114:A118"/>
    <mergeCell ref="B114:B118"/>
    <mergeCell ref="A120:A123"/>
    <mergeCell ref="B120:B123"/>
    <mergeCell ref="A125:A129"/>
    <mergeCell ref="B125:B128"/>
    <mergeCell ref="A96:A100"/>
    <mergeCell ref="B96:B100"/>
    <mergeCell ref="A102:A106"/>
    <mergeCell ref="B102:B106"/>
    <mergeCell ref="A108:A112"/>
    <mergeCell ref="B108:B112"/>
    <mergeCell ref="A147:A151"/>
    <mergeCell ref="B147:B151"/>
    <mergeCell ref="A153:A157"/>
    <mergeCell ref="B153:B157"/>
    <mergeCell ref="A159:A160"/>
    <mergeCell ref="B159:B160"/>
    <mergeCell ref="A131:A134"/>
    <mergeCell ref="B131:B134"/>
    <mergeCell ref="A136:A139"/>
    <mergeCell ref="B136:B139"/>
    <mergeCell ref="A141:A145"/>
    <mergeCell ref="B141:B145"/>
    <mergeCell ref="A179:A183"/>
    <mergeCell ref="B179:B183"/>
    <mergeCell ref="A185:A188"/>
    <mergeCell ref="B185:B188"/>
    <mergeCell ref="A190:A193"/>
    <mergeCell ref="B190:B193"/>
    <mergeCell ref="A162:A165"/>
    <mergeCell ref="B163:B165"/>
    <mergeCell ref="A167:A169"/>
    <mergeCell ref="B167:B169"/>
    <mergeCell ref="A175:A177"/>
    <mergeCell ref="B175:B177"/>
    <mergeCell ref="A209:A210"/>
    <mergeCell ref="B209:B210"/>
    <mergeCell ref="A212:A213"/>
    <mergeCell ref="B212:B213"/>
    <mergeCell ref="A215:A219"/>
    <mergeCell ref="B215:B217"/>
    <mergeCell ref="A195:A199"/>
    <mergeCell ref="B195:B198"/>
    <mergeCell ref="A201:A204"/>
    <mergeCell ref="B201:B204"/>
    <mergeCell ref="A206:A207"/>
    <mergeCell ref="B206:B207"/>
    <mergeCell ref="A235:A236"/>
    <mergeCell ref="B235:B236"/>
    <mergeCell ref="A238:A240"/>
    <mergeCell ref="B239:B240"/>
    <mergeCell ref="A242:A243"/>
    <mergeCell ref="B242:B243"/>
    <mergeCell ref="A221:A226"/>
    <mergeCell ref="B221:B225"/>
    <mergeCell ref="A228:A230"/>
    <mergeCell ref="B228:B230"/>
    <mergeCell ref="A232:A233"/>
    <mergeCell ref="B232:B233"/>
    <mergeCell ref="A275:C275"/>
    <mergeCell ref="A261:A264"/>
    <mergeCell ref="B261:B264"/>
    <mergeCell ref="A268:A269"/>
    <mergeCell ref="B268:B269"/>
    <mergeCell ref="A273:A274"/>
    <mergeCell ref="B273:B274"/>
    <mergeCell ref="A245:A246"/>
    <mergeCell ref="B245:B246"/>
    <mergeCell ref="A250:A253"/>
    <mergeCell ref="B251:B253"/>
    <mergeCell ref="A255:A259"/>
    <mergeCell ref="B255:B258"/>
  </mergeCells>
  <conditionalFormatting sqref="D275">
    <cfRule type="cellIs" dxfId="3" priority="2" stopIfTrue="1" operator="equal">
      <formula>0</formula>
    </cfRule>
  </conditionalFormatting>
  <conditionalFormatting sqref="H275 L275">
    <cfRule type="cellIs" dxfId="2" priority="1" stopIfTrue="1" operator="equal">
      <formula>0</formula>
    </cfRule>
  </conditionalFormatting>
  <pageMargins left="0" right="0" top="0" bottom="0" header="0" footer="0"/>
  <pageSetup paperSize="9" scale="65" fitToHeight="0" orientation="landscape" horizontalDpi="300" verticalDpi="300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"/>
  <sheetViews>
    <sheetView showZeros="0" zoomScaleNormal="100" workbookViewId="0"/>
  </sheetViews>
  <sheetFormatPr defaultColWidth="8.88671875" defaultRowHeight="15" x14ac:dyDescent="0.25"/>
  <cols>
    <col min="1" max="1" width="11" style="10" customWidth="1"/>
    <col min="2" max="2" width="27.88671875" style="10" customWidth="1"/>
    <col min="3" max="3" width="11.44140625" style="10" customWidth="1"/>
    <col min="4" max="4" width="11" style="10" customWidth="1"/>
    <col min="5" max="5" width="12.88671875" style="10" customWidth="1"/>
    <col min="6" max="6" width="9.6640625" style="10" bestFit="1" customWidth="1"/>
    <col min="7" max="8" width="11.5546875" style="10" customWidth="1"/>
    <col min="9" max="9" width="13.6640625" style="10" customWidth="1"/>
    <col min="10" max="10" width="9.77734375" style="10" customWidth="1"/>
    <col min="11" max="11" width="10.88671875" style="10" customWidth="1"/>
    <col min="12" max="12" width="11" style="10" customWidth="1"/>
    <col min="13" max="13" width="13.44140625" style="10" customWidth="1"/>
    <col min="14" max="14" width="9.6640625" style="10" bestFit="1" customWidth="1"/>
    <col min="15" max="15" width="8.77734375" style="10" customWidth="1"/>
    <col min="16" max="16" width="11.6640625" style="10" customWidth="1"/>
    <col min="17" max="16384" width="8.88671875" style="10"/>
  </cols>
  <sheetData>
    <row r="1" spans="1:16" x14ac:dyDescent="0.25">
      <c r="P1" s="11" t="s">
        <v>351</v>
      </c>
    </row>
    <row r="2" spans="1:16" ht="15.6" x14ac:dyDescent="0.3">
      <c r="A2" s="182" t="s">
        <v>360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6" ht="15.6" x14ac:dyDescent="0.3">
      <c r="A3" s="88"/>
      <c r="B3" s="88"/>
      <c r="C3" s="88"/>
      <c r="D3" s="88"/>
      <c r="E3" s="88"/>
      <c r="F3" s="88"/>
      <c r="G3" s="88"/>
      <c r="H3" s="88"/>
      <c r="I3" s="122"/>
      <c r="J3" s="122"/>
      <c r="K3" s="169"/>
      <c r="L3" s="169"/>
      <c r="M3" s="169"/>
      <c r="N3" s="169"/>
    </row>
    <row r="4" spans="1:16" ht="15.6" x14ac:dyDescent="0.3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122"/>
      <c r="P4" s="11" t="s">
        <v>152</v>
      </c>
    </row>
    <row r="5" spans="1:16" x14ac:dyDescent="0.25">
      <c r="A5" s="228" t="s">
        <v>332</v>
      </c>
      <c r="B5" s="228" t="s">
        <v>333</v>
      </c>
      <c r="C5" s="228" t="s">
        <v>12</v>
      </c>
      <c r="D5" s="228"/>
      <c r="E5" s="228"/>
      <c r="F5" s="228"/>
      <c r="G5" s="228" t="s">
        <v>263</v>
      </c>
      <c r="H5" s="228"/>
      <c r="I5" s="228"/>
      <c r="J5" s="228"/>
      <c r="K5" s="228" t="s">
        <v>277</v>
      </c>
      <c r="L5" s="228"/>
      <c r="M5" s="228"/>
      <c r="N5" s="228"/>
      <c r="O5" s="227" t="s">
        <v>278</v>
      </c>
      <c r="P5" s="227"/>
    </row>
    <row r="6" spans="1:16" x14ac:dyDescent="0.25">
      <c r="A6" s="228"/>
      <c r="B6" s="228"/>
      <c r="C6" s="228" t="s">
        <v>279</v>
      </c>
      <c r="D6" s="228" t="s">
        <v>280</v>
      </c>
      <c r="E6" s="228"/>
      <c r="F6" s="228"/>
      <c r="G6" s="228" t="s">
        <v>279</v>
      </c>
      <c r="H6" s="228" t="s">
        <v>280</v>
      </c>
      <c r="I6" s="228"/>
      <c r="J6" s="228"/>
      <c r="K6" s="228" t="s">
        <v>279</v>
      </c>
      <c r="L6" s="228" t="s">
        <v>280</v>
      </c>
      <c r="M6" s="228"/>
      <c r="N6" s="228"/>
      <c r="O6" s="229" t="s">
        <v>281</v>
      </c>
      <c r="P6" s="229" t="s">
        <v>282</v>
      </c>
    </row>
    <row r="7" spans="1:16" x14ac:dyDescent="0.25">
      <c r="A7" s="228"/>
      <c r="B7" s="228"/>
      <c r="C7" s="228"/>
      <c r="D7" s="228" t="s">
        <v>283</v>
      </c>
      <c r="E7" s="228"/>
      <c r="F7" s="228" t="s">
        <v>284</v>
      </c>
      <c r="G7" s="228"/>
      <c r="H7" s="228" t="s">
        <v>283</v>
      </c>
      <c r="I7" s="228"/>
      <c r="J7" s="228" t="s">
        <v>284</v>
      </c>
      <c r="K7" s="228"/>
      <c r="L7" s="228" t="s">
        <v>283</v>
      </c>
      <c r="M7" s="228"/>
      <c r="N7" s="228" t="s">
        <v>284</v>
      </c>
      <c r="O7" s="229"/>
      <c r="P7" s="229"/>
    </row>
    <row r="8" spans="1:16" ht="54" customHeight="1" x14ac:dyDescent="0.25">
      <c r="A8" s="228"/>
      <c r="B8" s="228"/>
      <c r="C8" s="228"/>
      <c r="D8" s="15" t="s">
        <v>279</v>
      </c>
      <c r="E8" s="15" t="s">
        <v>285</v>
      </c>
      <c r="F8" s="228"/>
      <c r="G8" s="228"/>
      <c r="H8" s="15" t="s">
        <v>279</v>
      </c>
      <c r="I8" s="15" t="s">
        <v>285</v>
      </c>
      <c r="J8" s="228"/>
      <c r="K8" s="228"/>
      <c r="L8" s="15" t="s">
        <v>279</v>
      </c>
      <c r="M8" s="15" t="s">
        <v>285</v>
      </c>
      <c r="N8" s="228"/>
      <c r="O8" s="229"/>
      <c r="P8" s="229"/>
    </row>
    <row r="9" spans="1:16" ht="30" x14ac:dyDescent="0.3">
      <c r="A9" s="165" t="s">
        <v>334</v>
      </c>
      <c r="B9" s="165" t="s">
        <v>335</v>
      </c>
      <c r="C9" s="166">
        <v>71031.199999999997</v>
      </c>
      <c r="D9" s="166">
        <v>64938.400000000001</v>
      </c>
      <c r="E9" s="166">
        <v>46967.3</v>
      </c>
      <c r="F9" s="166">
        <v>6092.8</v>
      </c>
      <c r="G9" s="166">
        <v>42228.5</v>
      </c>
      <c r="H9" s="166">
        <v>40285.1</v>
      </c>
      <c r="I9" s="166">
        <v>29387.200000000001</v>
      </c>
      <c r="J9" s="166">
        <v>1943.4</v>
      </c>
      <c r="K9" s="166">
        <v>31378</v>
      </c>
      <c r="L9" s="166">
        <v>30579.9</v>
      </c>
      <c r="M9" s="166">
        <v>22508.5</v>
      </c>
      <c r="N9" s="166">
        <v>798.1</v>
      </c>
      <c r="O9" s="173">
        <f>SUM(K9/C9*100)</f>
        <v>44.17495410467513</v>
      </c>
      <c r="P9" s="173">
        <f>SUM(K9/G9*100)</f>
        <v>74.305267769397446</v>
      </c>
    </row>
    <row r="10" spans="1:16" ht="45" x14ac:dyDescent="0.3">
      <c r="A10" s="165" t="s">
        <v>336</v>
      </c>
      <c r="B10" s="165" t="s">
        <v>337</v>
      </c>
      <c r="C10" s="166">
        <v>5113.5</v>
      </c>
      <c r="D10" s="166">
        <v>1673.6</v>
      </c>
      <c r="E10" s="166">
        <v>245.3</v>
      </c>
      <c r="F10" s="166">
        <v>3439.9</v>
      </c>
      <c r="G10" s="166">
        <v>3377</v>
      </c>
      <c r="H10" s="166">
        <v>1047.5999999999999</v>
      </c>
      <c r="I10" s="166">
        <v>123.6</v>
      </c>
      <c r="J10" s="166">
        <v>2329.4</v>
      </c>
      <c r="K10" s="166">
        <v>796.7</v>
      </c>
      <c r="L10" s="166">
        <v>519.9</v>
      </c>
      <c r="M10" s="166">
        <v>90.9</v>
      </c>
      <c r="N10" s="166">
        <v>276.8</v>
      </c>
      <c r="O10" s="173">
        <f t="shared" ref="O10:O18" si="0">SUM(K10/C10*100)</f>
        <v>15.58032658648675</v>
      </c>
      <c r="P10" s="173">
        <f t="shared" ref="P10:P18" si="1">SUM(K10/G10*100)</f>
        <v>23.59194551376962</v>
      </c>
    </row>
    <row r="11" spans="1:16" ht="30" x14ac:dyDescent="0.3">
      <c r="A11" s="165" t="s">
        <v>338</v>
      </c>
      <c r="B11" s="165" t="s">
        <v>339</v>
      </c>
      <c r="C11" s="166">
        <v>6816.8</v>
      </c>
      <c r="D11" s="166">
        <v>6129.1</v>
      </c>
      <c r="E11" s="166">
        <v>1186.2</v>
      </c>
      <c r="F11" s="166">
        <v>687.7</v>
      </c>
      <c r="G11" s="166">
        <v>3844</v>
      </c>
      <c r="H11" s="166">
        <v>3323.3</v>
      </c>
      <c r="I11" s="166">
        <v>591.20000000000005</v>
      </c>
      <c r="J11" s="166">
        <v>520.70000000000005</v>
      </c>
      <c r="K11" s="166">
        <v>2712.1</v>
      </c>
      <c r="L11" s="166">
        <v>2553.4</v>
      </c>
      <c r="M11" s="166">
        <v>456.2</v>
      </c>
      <c r="N11" s="166">
        <v>158.69999999999999</v>
      </c>
      <c r="O11" s="173">
        <f t="shared" si="0"/>
        <v>39.785529867386451</v>
      </c>
      <c r="P11" s="173">
        <f t="shared" si="1"/>
        <v>70.554110301768986</v>
      </c>
    </row>
    <row r="12" spans="1:16" ht="30" x14ac:dyDescent="0.3">
      <c r="A12" s="165" t="s">
        <v>340</v>
      </c>
      <c r="B12" s="165" t="s">
        <v>341</v>
      </c>
      <c r="C12" s="166">
        <v>4353.8</v>
      </c>
      <c r="D12" s="166">
        <v>2836.4</v>
      </c>
      <c r="E12" s="166">
        <v>1483.8</v>
      </c>
      <c r="F12" s="166">
        <v>1517.4</v>
      </c>
      <c r="G12" s="166">
        <v>2308</v>
      </c>
      <c r="H12" s="166">
        <v>1419.1</v>
      </c>
      <c r="I12" s="166">
        <v>697.4</v>
      </c>
      <c r="J12" s="166">
        <v>888.9</v>
      </c>
      <c r="K12" s="166">
        <v>805.5</v>
      </c>
      <c r="L12" s="166">
        <v>782</v>
      </c>
      <c r="M12" s="166">
        <v>537.1</v>
      </c>
      <c r="N12" s="166">
        <v>23.5</v>
      </c>
      <c r="O12" s="173">
        <f t="shared" si="0"/>
        <v>18.501079516743992</v>
      </c>
      <c r="P12" s="173">
        <f t="shared" si="1"/>
        <v>34.900346620450605</v>
      </c>
    </row>
    <row r="13" spans="1:16" ht="30" x14ac:dyDescent="0.3">
      <c r="A13" s="165" t="s">
        <v>342</v>
      </c>
      <c r="B13" s="165" t="s">
        <v>343</v>
      </c>
      <c r="C13" s="166">
        <v>20449</v>
      </c>
      <c r="D13" s="166">
        <v>18794.5</v>
      </c>
      <c r="E13" s="166">
        <v>6674.2</v>
      </c>
      <c r="F13" s="166">
        <v>1654.5</v>
      </c>
      <c r="G13" s="166">
        <v>11527.3</v>
      </c>
      <c r="H13" s="166">
        <v>10985.7</v>
      </c>
      <c r="I13" s="166">
        <v>3475</v>
      </c>
      <c r="J13" s="166">
        <v>541.6</v>
      </c>
      <c r="K13" s="166">
        <v>8563.5</v>
      </c>
      <c r="L13" s="166">
        <v>8501.7999999999993</v>
      </c>
      <c r="M13" s="166">
        <v>2886.9</v>
      </c>
      <c r="N13" s="166">
        <v>61.7</v>
      </c>
      <c r="O13" s="173">
        <f t="shared" si="0"/>
        <v>41.877353415814952</v>
      </c>
      <c r="P13" s="173">
        <f t="shared" si="1"/>
        <v>74.288862092597569</v>
      </c>
    </row>
    <row r="14" spans="1:16" ht="45" x14ac:dyDescent="0.3">
      <c r="A14" s="165" t="s">
        <v>344</v>
      </c>
      <c r="B14" s="165" t="s">
        <v>345</v>
      </c>
      <c r="C14" s="166">
        <v>19016.599999999999</v>
      </c>
      <c r="D14" s="166">
        <v>6223</v>
      </c>
      <c r="E14" s="166">
        <v>0</v>
      </c>
      <c r="F14" s="166">
        <v>12793.6</v>
      </c>
      <c r="G14" s="166">
        <v>10947.9</v>
      </c>
      <c r="H14" s="166">
        <v>3850.8</v>
      </c>
      <c r="I14" s="166">
        <v>0</v>
      </c>
      <c r="J14" s="166">
        <v>7097.1</v>
      </c>
      <c r="K14" s="166">
        <v>6651.5</v>
      </c>
      <c r="L14" s="166">
        <v>2771.3</v>
      </c>
      <c r="M14" s="166">
        <v>0</v>
      </c>
      <c r="N14" s="166">
        <v>3880.2</v>
      </c>
      <c r="O14" s="173">
        <f t="shared" si="0"/>
        <v>34.977335591009961</v>
      </c>
      <c r="P14" s="173">
        <f t="shared" si="1"/>
        <v>60.755944062331594</v>
      </c>
    </row>
    <row r="15" spans="1:16" ht="47.4" customHeight="1" x14ac:dyDescent="0.3">
      <c r="A15" s="165" t="s">
        <v>346</v>
      </c>
      <c r="B15" s="165" t="s">
        <v>355</v>
      </c>
      <c r="C15" s="166">
        <v>10109.5</v>
      </c>
      <c r="D15" s="166">
        <v>6930.1</v>
      </c>
      <c r="E15" s="166">
        <v>4656</v>
      </c>
      <c r="F15" s="166">
        <v>3179.4</v>
      </c>
      <c r="G15" s="166">
        <v>6818.9</v>
      </c>
      <c r="H15" s="166">
        <v>3895.9</v>
      </c>
      <c r="I15" s="166">
        <v>2508.3000000000002</v>
      </c>
      <c r="J15" s="166">
        <v>2923</v>
      </c>
      <c r="K15" s="166">
        <v>5295</v>
      </c>
      <c r="L15" s="166">
        <v>3004.1</v>
      </c>
      <c r="M15" s="166">
        <v>2170.9</v>
      </c>
      <c r="N15" s="166">
        <v>2290.9</v>
      </c>
      <c r="O15" s="173">
        <f t="shared" si="0"/>
        <v>52.376477570601907</v>
      </c>
      <c r="P15" s="173">
        <f t="shared" si="1"/>
        <v>77.65182067488891</v>
      </c>
    </row>
    <row r="16" spans="1:16" ht="30" x14ac:dyDescent="0.3">
      <c r="A16" s="165" t="s">
        <v>347</v>
      </c>
      <c r="B16" s="165" t="s">
        <v>348</v>
      </c>
      <c r="C16" s="166">
        <v>12433.7</v>
      </c>
      <c r="D16" s="166">
        <v>2781.6</v>
      </c>
      <c r="E16" s="166">
        <v>1285.9000000000001</v>
      </c>
      <c r="F16" s="166">
        <v>9652.1</v>
      </c>
      <c r="G16" s="166">
        <v>11185.3</v>
      </c>
      <c r="H16" s="166">
        <v>1553.2</v>
      </c>
      <c r="I16" s="166">
        <v>643.79999999999995</v>
      </c>
      <c r="J16" s="166">
        <v>9632.1</v>
      </c>
      <c r="K16" s="166">
        <v>9133</v>
      </c>
      <c r="L16" s="166">
        <v>1409.3</v>
      </c>
      <c r="M16" s="166">
        <v>633.79999999999995</v>
      </c>
      <c r="N16" s="166">
        <v>7723.7</v>
      </c>
      <c r="O16" s="173">
        <f t="shared" si="0"/>
        <v>73.453597883172336</v>
      </c>
      <c r="P16" s="173">
        <f t="shared" si="1"/>
        <v>81.651810858895161</v>
      </c>
    </row>
    <row r="17" spans="1:16" ht="45" x14ac:dyDescent="0.3">
      <c r="A17" s="165" t="s">
        <v>349</v>
      </c>
      <c r="B17" s="165" t="s">
        <v>356</v>
      </c>
      <c r="C17" s="166">
        <v>23920.400000000001</v>
      </c>
      <c r="D17" s="166">
        <v>17547.900000000001</v>
      </c>
      <c r="E17" s="166">
        <v>12389.3</v>
      </c>
      <c r="F17" s="166">
        <v>6372.5</v>
      </c>
      <c r="G17" s="166">
        <v>12430.8</v>
      </c>
      <c r="H17" s="166">
        <v>9122.1</v>
      </c>
      <c r="I17" s="166">
        <v>6216.6</v>
      </c>
      <c r="J17" s="166">
        <v>3308.7</v>
      </c>
      <c r="K17" s="166">
        <v>8409.9</v>
      </c>
      <c r="L17" s="166">
        <v>7082.6</v>
      </c>
      <c r="M17" s="166">
        <v>5468.9</v>
      </c>
      <c r="N17" s="166">
        <v>1327.3</v>
      </c>
      <c r="O17" s="173">
        <f t="shared" si="0"/>
        <v>35.157856892025215</v>
      </c>
      <c r="P17" s="173">
        <f t="shared" si="1"/>
        <v>67.653731055121142</v>
      </c>
    </row>
    <row r="18" spans="1:16" ht="15.6" x14ac:dyDescent="0.3">
      <c r="A18" s="49"/>
      <c r="B18" s="174" t="s">
        <v>83</v>
      </c>
      <c r="C18" s="167">
        <f t="shared" ref="C18:N18" si="2">SUBTOTAL(9,C9:C17)</f>
        <v>173244.5</v>
      </c>
      <c r="D18" s="167">
        <f t="shared" si="2"/>
        <v>127854.6</v>
      </c>
      <c r="E18" s="167">
        <f t="shared" si="2"/>
        <v>74888</v>
      </c>
      <c r="F18" s="167">
        <f t="shared" si="2"/>
        <v>45389.9</v>
      </c>
      <c r="G18" s="167">
        <f t="shared" si="2"/>
        <v>104667.7</v>
      </c>
      <c r="H18" s="167">
        <f t="shared" si="2"/>
        <v>75482.800000000017</v>
      </c>
      <c r="I18" s="167">
        <f t="shared" si="2"/>
        <v>43643.100000000006</v>
      </c>
      <c r="J18" s="167">
        <f t="shared" si="2"/>
        <v>29184.9</v>
      </c>
      <c r="K18" s="167">
        <f t="shared" si="2"/>
        <v>73745.2</v>
      </c>
      <c r="L18" s="167">
        <f t="shared" si="2"/>
        <v>57204.3</v>
      </c>
      <c r="M18" s="167">
        <f t="shared" si="2"/>
        <v>34753.200000000004</v>
      </c>
      <c r="N18" s="167">
        <f t="shared" si="2"/>
        <v>16540.899999999998</v>
      </c>
      <c r="O18" s="173">
        <f t="shared" si="0"/>
        <v>42.567123343020988</v>
      </c>
      <c r="P18" s="173">
        <f t="shared" si="1"/>
        <v>70.456501862561225</v>
      </c>
    </row>
    <row r="21" spans="1:16" x14ac:dyDescent="0.25">
      <c r="H21" s="20"/>
      <c r="I21" s="20"/>
    </row>
    <row r="22" spans="1:16" x14ac:dyDescent="0.25"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</row>
  </sheetData>
  <sheetProtection selectLockedCells="1"/>
  <mergeCells count="22">
    <mergeCell ref="O6:O8"/>
    <mergeCell ref="P6:P8"/>
    <mergeCell ref="A2:O2"/>
    <mergeCell ref="A4:L4"/>
    <mergeCell ref="A5:A8"/>
    <mergeCell ref="B5:B8"/>
    <mergeCell ref="C5:F5"/>
    <mergeCell ref="G5:J5"/>
    <mergeCell ref="K5:N5"/>
    <mergeCell ref="O5:P5"/>
    <mergeCell ref="C6:C8"/>
    <mergeCell ref="D6:F6"/>
    <mergeCell ref="N7:N8"/>
    <mergeCell ref="G6:G8"/>
    <mergeCell ref="H6:J6"/>
    <mergeCell ref="K6:K8"/>
    <mergeCell ref="L6:N6"/>
    <mergeCell ref="D7:E7"/>
    <mergeCell ref="F7:F8"/>
    <mergeCell ref="H7:I7"/>
    <mergeCell ref="J7:J8"/>
    <mergeCell ref="L7:M7"/>
  </mergeCells>
  <conditionalFormatting sqref="C18">
    <cfRule type="cellIs" dxfId="1" priority="2" stopIfTrue="1" operator="equal">
      <formula>0</formula>
    </cfRule>
  </conditionalFormatting>
  <conditionalFormatting sqref="G18 K18">
    <cfRule type="cellIs" dxfId="0" priority="1" stopIfTrue="1" operator="equal">
      <formula>0</formula>
    </cfRule>
  </conditionalFormatting>
  <printOptions horizontalCentered="1"/>
  <pageMargins left="0" right="0" top="0" bottom="0" header="0" footer="0"/>
  <pageSetup paperSize="9" scale="75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zoomScaleNormal="100" workbookViewId="0"/>
  </sheetViews>
  <sheetFormatPr defaultRowHeight="13.2" x14ac:dyDescent="0.25"/>
  <cols>
    <col min="1" max="1" width="5.6640625" customWidth="1"/>
    <col min="2" max="2" width="32.44140625" customWidth="1"/>
    <col min="3" max="3" width="9.5546875" bestFit="1" customWidth="1"/>
    <col min="4" max="4" width="11.88671875" customWidth="1"/>
    <col min="5" max="5" width="9.5546875" bestFit="1" customWidth="1"/>
    <col min="6" max="6" width="11.44140625" customWidth="1"/>
    <col min="7" max="7" width="10.5546875" bestFit="1" customWidth="1"/>
    <col min="8" max="8" width="11.88671875" customWidth="1"/>
    <col min="9" max="9" width="11.33203125" customWidth="1"/>
    <col min="10" max="10" width="11.44140625" customWidth="1"/>
    <col min="12" max="12" width="9.5546875" bestFit="1" customWidth="1"/>
  </cols>
  <sheetData>
    <row r="1" spans="1:13" ht="15" x14ac:dyDescent="0.25">
      <c r="B1" s="10"/>
      <c r="C1" s="10"/>
      <c r="D1" s="10"/>
      <c r="E1" s="10"/>
      <c r="F1" s="10"/>
      <c r="G1" s="10"/>
      <c r="H1" s="10"/>
      <c r="I1" s="10"/>
      <c r="J1" s="11" t="s">
        <v>161</v>
      </c>
    </row>
    <row r="2" spans="1:13" ht="15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3" ht="15.6" x14ac:dyDescent="0.3">
      <c r="A3" s="231" t="s">
        <v>256</v>
      </c>
      <c r="B3" s="231"/>
      <c r="C3" s="231"/>
      <c r="D3" s="231"/>
      <c r="E3" s="231"/>
      <c r="F3" s="231"/>
      <c r="G3" s="231"/>
      <c r="H3" s="231"/>
      <c r="I3" s="231"/>
      <c r="J3" s="231"/>
      <c r="K3" s="4"/>
      <c r="L3" s="4"/>
      <c r="M3" s="4"/>
    </row>
    <row r="4" spans="1:13" ht="15.6" x14ac:dyDescent="0.3">
      <c r="B4" s="12"/>
      <c r="C4" s="12"/>
      <c r="D4" s="12"/>
      <c r="E4" s="12"/>
      <c r="F4" s="12"/>
      <c r="G4" s="12"/>
      <c r="H4" s="12"/>
      <c r="I4" s="12"/>
      <c r="J4" s="12"/>
      <c r="K4" s="5"/>
      <c r="L4" s="5"/>
      <c r="M4" s="5"/>
    </row>
    <row r="5" spans="1:13" ht="15" x14ac:dyDescent="0.25">
      <c r="B5" s="10"/>
      <c r="C5" s="10"/>
      <c r="D5" s="10"/>
      <c r="E5" s="10"/>
      <c r="F5" s="10"/>
      <c r="G5" s="10"/>
      <c r="H5" s="10"/>
      <c r="I5" s="10"/>
      <c r="J5" s="11" t="s">
        <v>152</v>
      </c>
    </row>
    <row r="6" spans="1:13" ht="32.4" customHeight="1" x14ac:dyDescent="0.25">
      <c r="A6" s="184" t="s">
        <v>217</v>
      </c>
      <c r="B6" s="184" t="s">
        <v>151</v>
      </c>
      <c r="C6" s="184" t="s">
        <v>182</v>
      </c>
      <c r="D6" s="184" t="s">
        <v>113</v>
      </c>
      <c r="E6" s="184" t="s">
        <v>222</v>
      </c>
      <c r="F6" s="184" t="s">
        <v>113</v>
      </c>
      <c r="G6" s="184" t="s">
        <v>250</v>
      </c>
      <c r="H6" s="184" t="s">
        <v>113</v>
      </c>
      <c r="I6" s="188" t="s">
        <v>252</v>
      </c>
      <c r="J6" s="189"/>
      <c r="K6" s="5"/>
      <c r="L6" s="5"/>
    </row>
    <row r="7" spans="1:13" ht="21.75" customHeight="1" x14ac:dyDescent="0.25">
      <c r="A7" s="185"/>
      <c r="B7" s="185"/>
      <c r="C7" s="185"/>
      <c r="D7" s="185"/>
      <c r="E7" s="185"/>
      <c r="F7" s="185"/>
      <c r="G7" s="185"/>
      <c r="H7" s="185"/>
      <c r="I7" s="15" t="s">
        <v>223</v>
      </c>
      <c r="J7" s="73" t="s">
        <v>168</v>
      </c>
      <c r="K7" s="5"/>
      <c r="L7" s="5"/>
    </row>
    <row r="8" spans="1:13" ht="15" x14ac:dyDescent="0.25">
      <c r="A8" s="21">
        <v>1</v>
      </c>
      <c r="B8" s="16" t="s">
        <v>104</v>
      </c>
      <c r="C8" s="34">
        <v>3850.6</v>
      </c>
      <c r="D8" s="34">
        <f>SUM(C8/C20*100)</f>
        <v>6.9686802109461823</v>
      </c>
      <c r="E8" s="34">
        <v>4167.6000000000004</v>
      </c>
      <c r="F8" s="34">
        <f>SUM(E8/E20*100)</f>
        <v>6.0957362317187167</v>
      </c>
      <c r="G8" s="34">
        <f>5618.3-928.6-233.4</f>
        <v>4456.3</v>
      </c>
      <c r="H8" s="34">
        <f>SUM(G8/G20*100)</f>
        <v>6.0428339742790032</v>
      </c>
      <c r="I8" s="34">
        <f>SUM(G8-E8)</f>
        <v>288.69999999999982</v>
      </c>
      <c r="J8" s="74">
        <f t="shared" ref="J8:J18" si="0">SUM(G8/E8*100)</f>
        <v>106.92724829638161</v>
      </c>
      <c r="L8" s="6"/>
    </row>
    <row r="9" spans="1:13" ht="15" x14ac:dyDescent="0.25">
      <c r="A9" s="21"/>
      <c r="B9" s="17" t="s">
        <v>237</v>
      </c>
      <c r="C9" s="34">
        <v>803.5</v>
      </c>
      <c r="D9" s="34">
        <f>SUM(C9/C20*100)</f>
        <v>1.4541459901042064</v>
      </c>
      <c r="E9" s="34">
        <v>1088.2</v>
      </c>
      <c r="F9" s="34">
        <f>SUM(E9/E20*100)</f>
        <v>1.5916547095105833</v>
      </c>
      <c r="G9" s="34">
        <f>928.6+233.4</f>
        <v>1162</v>
      </c>
      <c r="H9" s="34">
        <f>SUM(G9/G20*100)</f>
        <v>1.5756957740978392</v>
      </c>
      <c r="I9" s="34">
        <f t="shared" ref="I9:I18" si="1">SUM(G9-E9)</f>
        <v>73.799999999999955</v>
      </c>
      <c r="J9" s="74">
        <f t="shared" si="0"/>
        <v>106.7818415732402</v>
      </c>
      <c r="L9" s="6"/>
    </row>
    <row r="10" spans="1:13" ht="15" x14ac:dyDescent="0.25">
      <c r="A10" s="21">
        <v>2</v>
      </c>
      <c r="B10" s="16" t="s">
        <v>105</v>
      </c>
      <c r="C10" s="34">
        <v>42.2</v>
      </c>
      <c r="D10" s="34">
        <f>SUM(C10/C20*100)</f>
        <v>7.6372073157930945E-2</v>
      </c>
      <c r="E10" s="34">
        <v>60.5</v>
      </c>
      <c r="F10" s="34">
        <f>SUM(E10/E20*100)</f>
        <v>8.8490268264464517E-2</v>
      </c>
      <c r="G10" s="34">
        <v>287.3</v>
      </c>
      <c r="H10" s="34">
        <f>SUM(G10/G20*100)</f>
        <v>0.38958467805362246</v>
      </c>
      <c r="I10" s="34">
        <f t="shared" si="1"/>
        <v>226.8</v>
      </c>
      <c r="J10" s="74">
        <f t="shared" si="0"/>
        <v>474.87603305785126</v>
      </c>
      <c r="L10" s="6"/>
    </row>
    <row r="11" spans="1:13" ht="30" x14ac:dyDescent="0.25">
      <c r="A11" s="21">
        <v>3</v>
      </c>
      <c r="B11" s="17" t="s">
        <v>238</v>
      </c>
      <c r="C11" s="25">
        <v>481</v>
      </c>
      <c r="D11" s="34">
        <f>SUM(C11/C20*100)</f>
        <v>0.87049685281907063</v>
      </c>
      <c r="E11" s="25">
        <v>591.4</v>
      </c>
      <c r="F11" s="34">
        <f>SUM(E11/E20*100)</f>
        <v>0.86501065539841848</v>
      </c>
      <c r="G11" s="25">
        <v>653.5</v>
      </c>
      <c r="H11" s="34">
        <f>SUM(G11/G20*100)</f>
        <v>0.88615937037258008</v>
      </c>
      <c r="I11" s="34">
        <f t="shared" si="1"/>
        <v>62.100000000000023</v>
      </c>
      <c r="J11" s="74">
        <f t="shared" si="0"/>
        <v>110.50050727088265</v>
      </c>
      <c r="L11" s="6"/>
    </row>
    <row r="12" spans="1:13" ht="15" x14ac:dyDescent="0.25">
      <c r="A12" s="21">
        <v>4</v>
      </c>
      <c r="B12" s="75" t="s">
        <v>107</v>
      </c>
      <c r="C12" s="42">
        <v>4859.3999999999996</v>
      </c>
      <c r="D12" s="34">
        <f>SUM(C12/C20*100)</f>
        <v>8.7943709076694212</v>
      </c>
      <c r="E12" s="42">
        <v>7087.2</v>
      </c>
      <c r="F12" s="34">
        <f>SUM(E12/E20*100)</f>
        <v>10.366086433783686</v>
      </c>
      <c r="G12" s="42">
        <v>7756.4</v>
      </c>
      <c r="H12" s="34">
        <f>SUM(G12/G20*100)</f>
        <v>10.517837093126058</v>
      </c>
      <c r="I12" s="34">
        <f t="shared" si="1"/>
        <v>669.19999999999982</v>
      </c>
      <c r="J12" s="74">
        <f t="shared" si="0"/>
        <v>109.44237498589004</v>
      </c>
      <c r="L12" s="6"/>
    </row>
    <row r="13" spans="1:13" ht="15" x14ac:dyDescent="0.25">
      <c r="A13" s="21">
        <v>5</v>
      </c>
      <c r="B13" s="76" t="s">
        <v>108</v>
      </c>
      <c r="C13" s="77">
        <v>3479</v>
      </c>
      <c r="D13" s="34">
        <f>SUM(C13/C20*100)</f>
        <v>6.2961716236123637</v>
      </c>
      <c r="E13" s="77">
        <v>3301.4</v>
      </c>
      <c r="F13" s="34">
        <f>SUM(E13/E20*100)</f>
        <v>4.8287896140215398</v>
      </c>
      <c r="G13" s="77">
        <v>3111.7</v>
      </c>
      <c r="H13" s="34">
        <f>SUM(G13/G20*100)</f>
        <v>4.2195288642515028</v>
      </c>
      <c r="I13" s="34">
        <f t="shared" si="1"/>
        <v>-189.70000000000027</v>
      </c>
      <c r="J13" s="74">
        <f t="shared" si="0"/>
        <v>94.253952868480027</v>
      </c>
      <c r="L13" s="6"/>
    </row>
    <row r="14" spans="1:13" ht="15" x14ac:dyDescent="0.25">
      <c r="A14" s="21">
        <v>6</v>
      </c>
      <c r="B14" s="16" t="s">
        <v>109</v>
      </c>
      <c r="C14" s="25">
        <v>1272.5999999999999</v>
      </c>
      <c r="D14" s="34">
        <f>SUM(C14/C20*100)</f>
        <v>2.3031066421986468</v>
      </c>
      <c r="E14" s="25">
        <v>771</v>
      </c>
      <c r="F14" s="34">
        <f>SUM(E14/E20*100)</f>
        <v>1.1277024269735891</v>
      </c>
      <c r="G14" s="25">
        <v>356.9</v>
      </c>
      <c r="H14" s="34">
        <f>SUM(G14/G20*100)</f>
        <v>0.48396370204433631</v>
      </c>
      <c r="I14" s="34">
        <f t="shared" si="1"/>
        <v>-414.1</v>
      </c>
      <c r="J14" s="74">
        <f t="shared" si="0"/>
        <v>46.290531776913099</v>
      </c>
      <c r="L14" s="6"/>
    </row>
    <row r="15" spans="1:13" ht="15" x14ac:dyDescent="0.25">
      <c r="A15" s="21">
        <v>7</v>
      </c>
      <c r="B15" s="78" t="s">
        <v>239</v>
      </c>
      <c r="C15" s="25">
        <v>1106.0999999999999</v>
      </c>
      <c r="D15" s="34">
        <f>SUM(C15/C20*100)</f>
        <v>2.0017808085305075</v>
      </c>
      <c r="E15" s="25">
        <v>747.1</v>
      </c>
      <c r="F15" s="34">
        <f>SUM(E15/E20*100)</f>
        <v>1.0927451143864702</v>
      </c>
      <c r="G15" s="34">
        <v>853.1</v>
      </c>
      <c r="H15" s="34">
        <f>SUM(G15/G20*100)</f>
        <v>1.1568210541160644</v>
      </c>
      <c r="I15" s="34">
        <f t="shared" si="1"/>
        <v>106</v>
      </c>
      <c r="J15" s="74">
        <f t="shared" si="0"/>
        <v>114.18819435149243</v>
      </c>
      <c r="L15" s="6"/>
    </row>
    <row r="16" spans="1:13" ht="15" x14ac:dyDescent="0.25">
      <c r="A16" s="21">
        <v>8</v>
      </c>
      <c r="B16" s="26" t="s">
        <v>110</v>
      </c>
      <c r="C16" s="25">
        <v>6218.1</v>
      </c>
      <c r="D16" s="34">
        <f>SUM(C16/C20*100)</f>
        <v>11.253298296287451</v>
      </c>
      <c r="E16" s="25">
        <v>9969.4</v>
      </c>
      <c r="F16" s="34">
        <f>SUM(E16/E20*100)</f>
        <v>14.581733560921528</v>
      </c>
      <c r="G16" s="34">
        <v>14622.6</v>
      </c>
      <c r="H16" s="34">
        <f>SUM(G16/G20*100)</f>
        <v>19.828544773083536</v>
      </c>
      <c r="I16" s="34">
        <f t="shared" si="1"/>
        <v>4653.2000000000007</v>
      </c>
      <c r="J16" s="74">
        <f t="shared" si="0"/>
        <v>146.67482496439104</v>
      </c>
      <c r="L16" s="6"/>
    </row>
    <row r="17" spans="1:12" ht="15" x14ac:dyDescent="0.25">
      <c r="A17" s="21">
        <v>9</v>
      </c>
      <c r="B17" s="78" t="s">
        <v>111</v>
      </c>
      <c r="C17" s="42">
        <v>25104.2</v>
      </c>
      <c r="D17" s="34">
        <f>SUM(C17/C20*100)</f>
        <v>45.432696658088382</v>
      </c>
      <c r="E17" s="42">
        <v>31974.799999999999</v>
      </c>
      <c r="F17" s="34">
        <f>SUM(E17/E20*100)</f>
        <v>46.767911234753718</v>
      </c>
      <c r="G17" s="40">
        <v>31823.3</v>
      </c>
      <c r="H17" s="34">
        <f>SUM(G17/G20*100)</f>
        <v>43.153045893156431</v>
      </c>
      <c r="I17" s="34">
        <f t="shared" si="1"/>
        <v>-151.5</v>
      </c>
      <c r="J17" s="74">
        <f t="shared" si="0"/>
        <v>99.52618937413213</v>
      </c>
      <c r="L17" s="6"/>
    </row>
    <row r="18" spans="1:12" ht="15" x14ac:dyDescent="0.25">
      <c r="A18" s="21">
        <v>10</v>
      </c>
      <c r="B18" s="79" t="s">
        <v>112</v>
      </c>
      <c r="C18" s="25">
        <v>7989.1</v>
      </c>
      <c r="D18" s="80">
        <f>SUM(C18/C20*100)</f>
        <v>14.458391698247064</v>
      </c>
      <c r="E18" s="25">
        <v>8610.5</v>
      </c>
      <c r="F18" s="34">
        <f>SUM(E18/E20*100)</f>
        <v>12.594139750267299</v>
      </c>
      <c r="G18" s="25">
        <v>8662.1</v>
      </c>
      <c r="H18" s="34">
        <f>SUM(G18/G20*100)</f>
        <v>11.745984823419015</v>
      </c>
      <c r="I18" s="34">
        <f t="shared" si="1"/>
        <v>51.600000000000364</v>
      </c>
      <c r="J18" s="74">
        <f t="shared" si="0"/>
        <v>100.59926833517218</v>
      </c>
      <c r="L18" s="6"/>
    </row>
    <row r="19" spans="1:12" ht="15" x14ac:dyDescent="0.25">
      <c r="A19" s="1"/>
      <c r="B19" s="81" t="s">
        <v>183</v>
      </c>
      <c r="C19" s="130">
        <v>50</v>
      </c>
      <c r="D19" s="80">
        <f>SUM(C19/C20*100)</f>
        <v>9.0488238338780738E-2</v>
      </c>
      <c r="E19" s="130"/>
      <c r="F19" s="84"/>
      <c r="G19" s="130"/>
      <c r="H19" s="34"/>
      <c r="I19" s="27"/>
      <c r="J19" s="30"/>
      <c r="L19" s="6"/>
    </row>
    <row r="20" spans="1:12" ht="15.6" x14ac:dyDescent="0.3">
      <c r="A20" s="1"/>
      <c r="B20" s="19" t="s">
        <v>100</v>
      </c>
      <c r="C20" s="133">
        <f>SUM(C8:C19)</f>
        <v>55255.799999999996</v>
      </c>
      <c r="D20" s="135">
        <f>SUM(C20/C20*100)</f>
        <v>100</v>
      </c>
      <c r="E20" s="133">
        <f>SUM(E8:E19)</f>
        <v>68369.099999999991</v>
      </c>
      <c r="F20" s="133">
        <f>SUM(E20/E20*100)</f>
        <v>100</v>
      </c>
      <c r="G20" s="133">
        <f>SUM(G8:G19)</f>
        <v>73745.200000000012</v>
      </c>
      <c r="H20" s="51">
        <f>SUM(G20/G20*100)</f>
        <v>100</v>
      </c>
      <c r="I20" s="51">
        <f>SUM(G20-E20)</f>
        <v>5376.1000000000204</v>
      </c>
      <c r="J20" s="82">
        <f t="shared" ref="J20" si="2">SUM(G20/E20*100)</f>
        <v>107.8633476234147</v>
      </c>
      <c r="K20" s="7"/>
      <c r="L20" s="7"/>
    </row>
    <row r="21" spans="1:12" ht="15" x14ac:dyDescent="0.25">
      <c r="B21" s="10"/>
      <c r="C21" s="10"/>
      <c r="D21" s="10"/>
      <c r="E21" s="10"/>
      <c r="F21" s="10"/>
      <c r="G21" s="10"/>
      <c r="H21" s="10"/>
      <c r="I21" s="10"/>
      <c r="J21" s="10"/>
    </row>
    <row r="23" spans="1:12" x14ac:dyDescent="0.25">
      <c r="D23" s="2"/>
      <c r="E23" s="2"/>
    </row>
  </sheetData>
  <mergeCells count="10">
    <mergeCell ref="H6:H7"/>
    <mergeCell ref="I6:J6"/>
    <mergeCell ref="F6:F7"/>
    <mergeCell ref="G6:G7"/>
    <mergeCell ref="A3:J3"/>
    <mergeCell ref="A6:A7"/>
    <mergeCell ref="B6:B7"/>
    <mergeCell ref="C6:C7"/>
    <mergeCell ref="D6:D7"/>
    <mergeCell ref="E6:E7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Normal="100" workbookViewId="0"/>
  </sheetViews>
  <sheetFormatPr defaultRowHeight="13.2" x14ac:dyDescent="0.25"/>
  <cols>
    <col min="1" max="1" width="5.5546875" customWidth="1"/>
    <col min="2" max="2" width="39.109375" customWidth="1"/>
    <col min="3" max="3" width="15.33203125" customWidth="1"/>
    <col min="4" max="4" width="14.33203125" customWidth="1"/>
    <col min="5" max="5" width="11.44140625" customWidth="1"/>
    <col min="6" max="6" width="11.33203125" customWidth="1"/>
    <col min="7" max="7" width="10.5546875" customWidth="1"/>
    <col min="8" max="8" width="11.33203125" customWidth="1"/>
  </cols>
  <sheetData>
    <row r="1" spans="1:8" ht="15.6" x14ac:dyDescent="0.3">
      <c r="A1" s="10"/>
      <c r="B1" s="12"/>
      <c r="C1" s="12"/>
      <c r="D1" s="10"/>
      <c r="E1" s="10"/>
      <c r="F1" s="10"/>
      <c r="G1" s="11" t="s">
        <v>155</v>
      </c>
    </row>
    <row r="2" spans="1:8" ht="15.6" x14ac:dyDescent="0.3">
      <c r="A2" s="10"/>
      <c r="B2" s="12"/>
      <c r="C2" s="12"/>
      <c r="D2" s="10"/>
      <c r="E2" s="10"/>
      <c r="F2" s="10"/>
      <c r="G2" s="11"/>
    </row>
    <row r="3" spans="1:8" ht="18" customHeight="1" x14ac:dyDescent="0.3">
      <c r="A3" s="182" t="s">
        <v>257</v>
      </c>
      <c r="B3" s="182"/>
      <c r="C3" s="182"/>
      <c r="D3" s="182"/>
      <c r="E3" s="182"/>
      <c r="F3" s="182"/>
      <c r="G3" s="182"/>
    </row>
    <row r="4" spans="1:8" ht="15.6" x14ac:dyDescent="0.3">
      <c r="A4" s="10"/>
      <c r="B4" s="122"/>
      <c r="C4" s="122"/>
      <c r="D4" s="10"/>
      <c r="E4" s="10"/>
      <c r="F4" s="10"/>
      <c r="G4" s="10"/>
    </row>
    <row r="5" spans="1:8" ht="15" x14ac:dyDescent="0.25">
      <c r="A5" s="10"/>
      <c r="B5" s="10"/>
      <c r="C5" s="10"/>
      <c r="D5" s="10"/>
      <c r="E5" s="10"/>
      <c r="F5" s="10"/>
      <c r="G5" s="11" t="s">
        <v>152</v>
      </c>
    </row>
    <row r="6" spans="1:8" ht="27.75" customHeight="1" x14ac:dyDescent="0.25">
      <c r="A6" s="184" t="s">
        <v>217</v>
      </c>
      <c r="B6" s="184" t="s">
        <v>99</v>
      </c>
      <c r="C6" s="234" t="s">
        <v>153</v>
      </c>
      <c r="D6" s="184" t="s">
        <v>359</v>
      </c>
      <c r="E6" s="234" t="s">
        <v>13</v>
      </c>
      <c r="F6" s="232" t="s">
        <v>361</v>
      </c>
      <c r="G6" s="233"/>
    </row>
    <row r="7" spans="1:8" ht="15" x14ac:dyDescent="0.25">
      <c r="A7" s="185"/>
      <c r="B7" s="185"/>
      <c r="C7" s="235"/>
      <c r="D7" s="185"/>
      <c r="E7" s="235"/>
      <c r="F7" s="13" t="s">
        <v>167</v>
      </c>
      <c r="G7" s="15" t="s">
        <v>168</v>
      </c>
    </row>
    <row r="8" spans="1:8" ht="15" x14ac:dyDescent="0.25">
      <c r="A8" s="21">
        <v>1</v>
      </c>
      <c r="B8" s="25" t="s">
        <v>240</v>
      </c>
      <c r="C8" s="83">
        <f>17210.8-500-1942.7</f>
        <v>14768.099999999999</v>
      </c>
      <c r="D8" s="125">
        <f>8779.8-928.8-258.5</f>
        <v>7592.4999999999991</v>
      </c>
      <c r="E8" s="125">
        <f>5618.3-233.4-928.6</f>
        <v>4456.3</v>
      </c>
      <c r="F8" s="40">
        <f>SUM(E8-D8)</f>
        <v>-3136.1999999999989</v>
      </c>
      <c r="G8" s="40">
        <f>SUM(E8/D8*100)</f>
        <v>58.693447481066855</v>
      </c>
      <c r="H8" s="8"/>
    </row>
    <row r="9" spans="1:8" ht="15" x14ac:dyDescent="0.25">
      <c r="A9" s="21"/>
      <c r="B9" s="25" t="s">
        <v>241</v>
      </c>
      <c r="C9" s="83">
        <v>500</v>
      </c>
      <c r="D9" s="125">
        <v>258.5</v>
      </c>
      <c r="E9" s="86">
        <v>233.4</v>
      </c>
      <c r="F9" s="40">
        <f t="shared" ref="F9:F19" si="0">SUM(E9-D9)</f>
        <v>-25.099999999999994</v>
      </c>
      <c r="G9" s="40">
        <f t="shared" ref="G9:G20" si="1">SUM(E9/D9*100)</f>
        <v>90.29013539651838</v>
      </c>
    </row>
    <row r="10" spans="1:8" ht="15" x14ac:dyDescent="0.25">
      <c r="A10" s="21"/>
      <c r="B10" s="25" t="s">
        <v>242</v>
      </c>
      <c r="C10" s="85">
        <v>1942.7</v>
      </c>
      <c r="D10" s="125">
        <v>928.8</v>
      </c>
      <c r="E10" s="86">
        <v>928.6</v>
      </c>
      <c r="F10" s="40">
        <f t="shared" si="0"/>
        <v>-0.19999999999993179</v>
      </c>
      <c r="G10" s="40">
        <f t="shared" si="1"/>
        <v>99.978466838931965</v>
      </c>
    </row>
    <row r="11" spans="1:8" ht="15" x14ac:dyDescent="0.25">
      <c r="A11" s="21">
        <v>2</v>
      </c>
      <c r="B11" s="70" t="s">
        <v>105</v>
      </c>
      <c r="C11" s="85">
        <v>1298</v>
      </c>
      <c r="D11" s="83">
        <v>670.6</v>
      </c>
      <c r="E11" s="86">
        <v>287.3</v>
      </c>
      <c r="F11" s="40">
        <f t="shared" si="0"/>
        <v>-383.3</v>
      </c>
      <c r="G11" s="40">
        <f t="shared" si="1"/>
        <v>42.842230838055471</v>
      </c>
    </row>
    <row r="12" spans="1:8" ht="16.95" customHeight="1" x14ac:dyDescent="0.25">
      <c r="A12" s="21">
        <v>3</v>
      </c>
      <c r="B12" s="18" t="s">
        <v>106</v>
      </c>
      <c r="C12" s="126">
        <v>1286.0999999999999</v>
      </c>
      <c r="D12" s="127">
        <v>706.6</v>
      </c>
      <c r="E12" s="83">
        <v>653.5</v>
      </c>
      <c r="F12" s="40">
        <f t="shared" si="0"/>
        <v>-53.100000000000023</v>
      </c>
      <c r="G12" s="40">
        <f t="shared" si="1"/>
        <v>92.485140107557314</v>
      </c>
    </row>
    <row r="13" spans="1:8" ht="15" x14ac:dyDescent="0.25">
      <c r="A13" s="21">
        <v>4</v>
      </c>
      <c r="B13" s="42" t="s">
        <v>107</v>
      </c>
      <c r="C13" s="128">
        <v>23753.4</v>
      </c>
      <c r="D13" s="128">
        <v>13925.4</v>
      </c>
      <c r="E13" s="125">
        <v>7756.4</v>
      </c>
      <c r="F13" s="40">
        <f t="shared" si="0"/>
        <v>-6169</v>
      </c>
      <c r="G13" s="34">
        <f t="shared" si="1"/>
        <v>55.6996567423557</v>
      </c>
    </row>
    <row r="14" spans="1:8" ht="15" x14ac:dyDescent="0.25">
      <c r="A14" s="21">
        <v>5</v>
      </c>
      <c r="B14" s="42" t="s">
        <v>108</v>
      </c>
      <c r="C14" s="83">
        <v>7927.5</v>
      </c>
      <c r="D14" s="129">
        <v>4442.8999999999996</v>
      </c>
      <c r="E14" s="130">
        <v>3111.7</v>
      </c>
      <c r="F14" s="40">
        <f t="shared" si="0"/>
        <v>-1331.1999999999998</v>
      </c>
      <c r="G14" s="40">
        <f t="shared" si="1"/>
        <v>70.037588061851494</v>
      </c>
    </row>
    <row r="15" spans="1:8" ht="15" x14ac:dyDescent="0.25">
      <c r="A15" s="21">
        <v>6</v>
      </c>
      <c r="B15" s="25" t="s">
        <v>109</v>
      </c>
      <c r="C15" s="83">
        <v>1050</v>
      </c>
      <c r="D15" s="131">
        <v>713</v>
      </c>
      <c r="E15" s="83">
        <v>356.9</v>
      </c>
      <c r="F15" s="40">
        <f t="shared" si="0"/>
        <v>-356.1</v>
      </c>
      <c r="G15" s="40">
        <f t="shared" si="1"/>
        <v>50.05610098176718</v>
      </c>
    </row>
    <row r="16" spans="1:8" ht="15" x14ac:dyDescent="0.25">
      <c r="A16" s="21">
        <v>7</v>
      </c>
      <c r="B16" s="78" t="s">
        <v>239</v>
      </c>
      <c r="C16" s="83">
        <v>4454.1000000000004</v>
      </c>
      <c r="D16" s="131">
        <v>2362.3000000000002</v>
      </c>
      <c r="E16" s="83">
        <v>853.1</v>
      </c>
      <c r="F16" s="40">
        <f t="shared" si="0"/>
        <v>-1509.2000000000003</v>
      </c>
      <c r="G16" s="40">
        <f t="shared" si="1"/>
        <v>36.113110104559112</v>
      </c>
    </row>
    <row r="17" spans="1:8" ht="15" x14ac:dyDescent="0.25">
      <c r="A17" s="21">
        <v>8</v>
      </c>
      <c r="B17" s="25" t="s">
        <v>110</v>
      </c>
      <c r="C17" s="83">
        <v>23137.7</v>
      </c>
      <c r="D17" s="127">
        <v>18592</v>
      </c>
      <c r="E17" s="83">
        <v>14622.6</v>
      </c>
      <c r="F17" s="40">
        <f t="shared" si="0"/>
        <v>-3969.3999999999996</v>
      </c>
      <c r="G17" s="40">
        <f t="shared" si="1"/>
        <v>78.649956970740106</v>
      </c>
    </row>
    <row r="18" spans="1:8" ht="15" x14ac:dyDescent="0.25">
      <c r="A18" s="21">
        <v>9</v>
      </c>
      <c r="B18" s="25" t="s">
        <v>111</v>
      </c>
      <c r="C18" s="83">
        <v>71992.600000000006</v>
      </c>
      <c r="D18" s="132">
        <v>42723.4</v>
      </c>
      <c r="E18" s="125">
        <v>31823.3</v>
      </c>
      <c r="F18" s="40">
        <f t="shared" si="0"/>
        <v>-10900.100000000002</v>
      </c>
      <c r="G18" s="40">
        <f t="shared" si="1"/>
        <v>74.486815187929807</v>
      </c>
    </row>
    <row r="19" spans="1:8" ht="15" x14ac:dyDescent="0.25">
      <c r="A19" s="21">
        <v>10</v>
      </c>
      <c r="B19" s="25" t="s">
        <v>112</v>
      </c>
      <c r="C19" s="83">
        <v>21134.3</v>
      </c>
      <c r="D19" s="121">
        <v>11751.7</v>
      </c>
      <c r="E19" s="130">
        <v>8662.1</v>
      </c>
      <c r="F19" s="40">
        <f t="shared" si="0"/>
        <v>-3089.6000000000004</v>
      </c>
      <c r="G19" s="40">
        <f t="shared" si="1"/>
        <v>73.709335670583826</v>
      </c>
    </row>
    <row r="20" spans="1:8" ht="15.6" x14ac:dyDescent="0.3">
      <c r="A20" s="25"/>
      <c r="B20" s="123" t="s">
        <v>100</v>
      </c>
      <c r="C20" s="180">
        <f>SUM(C8+C9+C10+C11+C12+C13+C14+C15+C16+C17+C18+C19)</f>
        <v>173244.5</v>
      </c>
      <c r="D20" s="133">
        <f>SUM(D8+D9+D10+D11+D12+D13+D14+D15+D16+D17+D18+D19)</f>
        <v>104667.7</v>
      </c>
      <c r="E20" s="180">
        <f t="shared" ref="E20:F20" si="2">SUM(E8+E9+E10+E11+E12+E13+E14+E15+E16+E17+E18+E19)</f>
        <v>73745.200000000012</v>
      </c>
      <c r="F20" s="51">
        <f t="shared" si="2"/>
        <v>-30922.5</v>
      </c>
      <c r="G20" s="50">
        <f t="shared" si="1"/>
        <v>70.45650186256124</v>
      </c>
      <c r="H20" s="9"/>
    </row>
    <row r="21" spans="1:8" ht="15" x14ac:dyDescent="0.25">
      <c r="A21" s="10"/>
      <c r="B21" s="10"/>
      <c r="C21" s="10"/>
      <c r="D21" s="10"/>
      <c r="E21" s="10"/>
      <c r="F21" s="10"/>
      <c r="G21" s="10"/>
    </row>
    <row r="22" spans="1:8" ht="15" x14ac:dyDescent="0.25">
      <c r="A22" s="10"/>
      <c r="B22" s="10"/>
      <c r="C22" s="10"/>
      <c r="D22" s="10"/>
      <c r="E22" s="10"/>
      <c r="F22" s="10"/>
      <c r="G22" s="10"/>
    </row>
    <row r="23" spans="1:8" x14ac:dyDescent="0.25">
      <c r="C23" s="2"/>
      <c r="D23" s="2"/>
    </row>
  </sheetData>
  <mergeCells count="7">
    <mergeCell ref="F6:G6"/>
    <mergeCell ref="A3:G3"/>
    <mergeCell ref="A6:A7"/>
    <mergeCell ref="B6:B7"/>
    <mergeCell ref="C6:C7"/>
    <mergeCell ref="D6:D7"/>
    <mergeCell ref="E6:E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zoomScaleNormal="100" workbookViewId="0"/>
  </sheetViews>
  <sheetFormatPr defaultRowHeight="13.2" x14ac:dyDescent="0.25"/>
  <cols>
    <col min="1" max="1" width="6.33203125" customWidth="1"/>
    <col min="2" max="2" width="34.33203125" customWidth="1"/>
    <col min="3" max="3" width="9.6640625" customWidth="1"/>
    <col min="4" max="4" width="10.6640625" customWidth="1"/>
    <col min="5" max="5" width="10" customWidth="1"/>
    <col min="6" max="6" width="10.44140625" customWidth="1"/>
    <col min="7" max="7" width="9.88671875" customWidth="1"/>
    <col min="8" max="8" width="11" customWidth="1"/>
    <col min="9" max="9" width="9.44140625" customWidth="1"/>
    <col min="10" max="10" width="10.44140625" customWidth="1"/>
  </cols>
  <sheetData>
    <row r="1" spans="1:10" ht="15" x14ac:dyDescent="0.25">
      <c r="I1" s="236" t="s">
        <v>163</v>
      </c>
      <c r="J1" s="236"/>
    </row>
    <row r="3" spans="1:10" ht="18.600000000000001" customHeight="1" x14ac:dyDescent="0.3">
      <c r="A3" s="231" t="s">
        <v>258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5" x14ac:dyDescent="0.25">
      <c r="A5" s="10"/>
      <c r="B5" s="10"/>
      <c r="C5" s="10"/>
      <c r="D5" s="10"/>
      <c r="E5" s="10"/>
      <c r="F5" s="10"/>
      <c r="G5" s="10"/>
      <c r="H5" s="10"/>
      <c r="I5" s="183" t="s">
        <v>152</v>
      </c>
      <c r="J5" s="183"/>
    </row>
    <row r="6" spans="1:10" ht="46.95" customHeight="1" x14ac:dyDescent="0.25">
      <c r="A6" s="184" t="s">
        <v>217</v>
      </c>
      <c r="B6" s="186" t="s">
        <v>221</v>
      </c>
      <c r="C6" s="208" t="s">
        <v>182</v>
      </c>
      <c r="D6" s="208" t="s">
        <v>169</v>
      </c>
      <c r="E6" s="208" t="s">
        <v>222</v>
      </c>
      <c r="F6" s="208" t="s">
        <v>169</v>
      </c>
      <c r="G6" s="208" t="s">
        <v>250</v>
      </c>
      <c r="H6" s="208" t="s">
        <v>169</v>
      </c>
      <c r="I6" s="237" t="s">
        <v>251</v>
      </c>
      <c r="J6" s="238"/>
    </row>
    <row r="7" spans="1:10" ht="21" customHeight="1" x14ac:dyDescent="0.25">
      <c r="A7" s="185"/>
      <c r="B7" s="187"/>
      <c r="C7" s="209"/>
      <c r="D7" s="209"/>
      <c r="E7" s="209"/>
      <c r="F7" s="209"/>
      <c r="G7" s="209"/>
      <c r="H7" s="209"/>
      <c r="I7" s="35" t="s">
        <v>223</v>
      </c>
      <c r="J7" s="36" t="s">
        <v>168</v>
      </c>
    </row>
    <row r="8" spans="1:10" ht="30" x14ac:dyDescent="0.25">
      <c r="A8" s="37" t="s">
        <v>0</v>
      </c>
      <c r="B8" s="38" t="s">
        <v>255</v>
      </c>
      <c r="C8" s="39">
        <v>28630.7</v>
      </c>
      <c r="D8" s="40">
        <f t="shared" ref="D8:D23" si="0">SUM(C8/$C$37*100)</f>
        <v>51.814832108122587</v>
      </c>
      <c r="E8" s="40">
        <v>33880.800000000003</v>
      </c>
      <c r="F8" s="40">
        <f>SUM(E8/E37*100)</f>
        <v>49.555720347349904</v>
      </c>
      <c r="G8" s="40">
        <v>35276.9</v>
      </c>
      <c r="H8" s="40">
        <f>SUM(G8/G37*100)</f>
        <v>47.836198152557721</v>
      </c>
      <c r="I8" s="34">
        <f>SUM(G8-E8)</f>
        <v>1396.0999999999985</v>
      </c>
      <c r="J8" s="34">
        <f t="shared" ref="J8" si="1">SUM(G8/E8*100)</f>
        <v>104.12062288966023</v>
      </c>
    </row>
    <row r="9" spans="1:10" ht="15" x14ac:dyDescent="0.25">
      <c r="A9" s="25" t="s">
        <v>1</v>
      </c>
      <c r="B9" s="33" t="s">
        <v>174</v>
      </c>
      <c r="C9" s="40">
        <f>SUM(C10:C25)</f>
        <v>8540.6</v>
      </c>
      <c r="D9" s="40">
        <f t="shared" si="0"/>
        <v>15.456476967123814</v>
      </c>
      <c r="E9" s="40">
        <f>SUM(E10:E25)</f>
        <v>10026.099999999999</v>
      </c>
      <c r="F9" s="40">
        <f>SUM(E9/E37*100)</f>
        <v>14.664665762749543</v>
      </c>
      <c r="G9" s="40">
        <f>SUM(G10:G25)</f>
        <v>10822.6</v>
      </c>
      <c r="H9" s="40">
        <f>SUM(G9/G37*100)</f>
        <v>14.675667026464092</v>
      </c>
      <c r="I9" s="34">
        <f>SUM(G9-E9)</f>
        <v>796.50000000000182</v>
      </c>
      <c r="J9" s="34">
        <f>SUM(G9/E9*100)</f>
        <v>107.9442654671308</v>
      </c>
    </row>
    <row r="10" spans="1:10" ht="15" x14ac:dyDescent="0.25">
      <c r="A10" s="25" t="s">
        <v>114</v>
      </c>
      <c r="B10" s="33" t="s">
        <v>84</v>
      </c>
      <c r="C10" s="40">
        <v>882.1</v>
      </c>
      <c r="D10" s="40">
        <f t="shared" si="0"/>
        <v>1.5963935007727696</v>
      </c>
      <c r="E10" s="40">
        <v>929.6</v>
      </c>
      <c r="F10" s="40">
        <f>SUM(E10/E37*100)</f>
        <v>1.359678568242086</v>
      </c>
      <c r="G10" s="40">
        <v>1131.5999999999999</v>
      </c>
      <c r="H10" s="40">
        <f>SUM(G10/G37*100)</f>
        <v>1.5344727521248835</v>
      </c>
      <c r="I10" s="34">
        <f>SUM(G10-E10)</f>
        <v>201.99999999999989</v>
      </c>
      <c r="J10" s="34">
        <f t="shared" ref="J10:J34" si="2">SUM(G10/E10*100)</f>
        <v>121.72977624784853</v>
      </c>
    </row>
    <row r="11" spans="1:10" ht="15" x14ac:dyDescent="0.25">
      <c r="A11" s="25" t="s">
        <v>115</v>
      </c>
      <c r="B11" s="33" t="s">
        <v>85</v>
      </c>
      <c r="C11" s="40">
        <v>18.7</v>
      </c>
      <c r="D11" s="40">
        <f t="shared" si="0"/>
        <v>3.3842601138703986E-2</v>
      </c>
      <c r="E11" s="40">
        <v>23.1</v>
      </c>
      <c r="F11" s="40">
        <f>SUM(E11/E37*100)</f>
        <v>3.3787193337340996E-2</v>
      </c>
      <c r="G11" s="40">
        <v>19.7</v>
      </c>
      <c r="H11" s="40">
        <f>SUM(G11/G37*100)</f>
        <v>2.6713603054842886E-2</v>
      </c>
      <c r="I11" s="34">
        <f t="shared" ref="I11:I28" si="3">SUM(G11-E11)</f>
        <v>-3.4000000000000021</v>
      </c>
      <c r="J11" s="34">
        <f t="shared" si="2"/>
        <v>85.281385281385269</v>
      </c>
    </row>
    <row r="12" spans="1:10" ht="15" x14ac:dyDescent="0.25">
      <c r="A12" s="25" t="s">
        <v>116</v>
      </c>
      <c r="B12" s="33" t="s">
        <v>86</v>
      </c>
      <c r="C12" s="40">
        <v>47.5</v>
      </c>
      <c r="D12" s="40">
        <f t="shared" si="0"/>
        <v>8.596382642184168E-2</v>
      </c>
      <c r="E12" s="40">
        <v>53.6</v>
      </c>
      <c r="F12" s="40">
        <f>SUM(E12/E37*100)</f>
        <v>7.8397989735128876E-2</v>
      </c>
      <c r="G12" s="40">
        <v>48.7</v>
      </c>
      <c r="H12" s="40">
        <f>SUM(G12/G37*100)</f>
        <v>6.6038196384307038E-2</v>
      </c>
      <c r="I12" s="34">
        <f t="shared" si="3"/>
        <v>-4.8999999999999986</v>
      </c>
      <c r="J12" s="34">
        <f t="shared" si="2"/>
        <v>90.858208955223887</v>
      </c>
    </row>
    <row r="13" spans="1:10" ht="15" x14ac:dyDescent="0.25">
      <c r="A13" s="25" t="s">
        <v>117</v>
      </c>
      <c r="B13" s="33" t="s">
        <v>87</v>
      </c>
      <c r="C13" s="40">
        <v>378.9</v>
      </c>
      <c r="D13" s="40">
        <f t="shared" si="0"/>
        <v>0.68571987013128022</v>
      </c>
      <c r="E13" s="40">
        <v>418.6</v>
      </c>
      <c r="F13" s="40">
        <f>SUM(E13/E37*100)</f>
        <v>0.61226489744636103</v>
      </c>
      <c r="G13" s="40">
        <v>466.9</v>
      </c>
      <c r="H13" s="40">
        <f>SUM(G13/G37*100)</f>
        <v>0.63312595260437277</v>
      </c>
      <c r="I13" s="34">
        <f t="shared" si="3"/>
        <v>48.299999999999955</v>
      </c>
      <c r="J13" s="34">
        <f t="shared" si="2"/>
        <v>111.53846153846152</v>
      </c>
    </row>
    <row r="14" spans="1:10" ht="15" x14ac:dyDescent="0.25">
      <c r="A14" s="25" t="s">
        <v>118</v>
      </c>
      <c r="B14" s="33" t="s">
        <v>88</v>
      </c>
      <c r="C14" s="40">
        <v>24.4</v>
      </c>
      <c r="D14" s="40">
        <f t="shared" si="0"/>
        <v>4.4158260309324994E-2</v>
      </c>
      <c r="E14" s="40">
        <v>37.6</v>
      </c>
      <c r="F14" s="40">
        <f>SUM(E14/E37*100)</f>
        <v>5.4995604739568014E-2</v>
      </c>
      <c r="G14" s="40">
        <v>48.2</v>
      </c>
      <c r="H14" s="40">
        <f>SUM(G14/G37*100)</f>
        <v>6.53601861544887E-2</v>
      </c>
      <c r="I14" s="34">
        <f t="shared" si="3"/>
        <v>10.600000000000001</v>
      </c>
      <c r="J14" s="34">
        <f t="shared" si="2"/>
        <v>128.19148936170214</v>
      </c>
    </row>
    <row r="15" spans="1:10" ht="15" x14ac:dyDescent="0.25">
      <c r="A15" s="25" t="s">
        <v>119</v>
      </c>
      <c r="B15" s="33" t="s">
        <v>89</v>
      </c>
      <c r="C15" s="41">
        <v>57.8</v>
      </c>
      <c r="D15" s="34">
        <f t="shared" si="0"/>
        <v>0.10460440351963052</v>
      </c>
      <c r="E15" s="41">
        <v>84.3</v>
      </c>
      <c r="F15" s="34">
        <f>SUM(E15/E37*100)</f>
        <v>0.12330131594536127</v>
      </c>
      <c r="G15" s="41">
        <v>85.4</v>
      </c>
      <c r="H15" s="40">
        <f>SUM(G15/G37*100)</f>
        <v>0.11580414725297374</v>
      </c>
      <c r="I15" s="34">
        <f t="shared" si="3"/>
        <v>1.1000000000000085</v>
      </c>
      <c r="J15" s="34">
        <f t="shared" si="2"/>
        <v>101.30486358244366</v>
      </c>
    </row>
    <row r="16" spans="1:10" ht="15" x14ac:dyDescent="0.25">
      <c r="A16" s="42" t="s">
        <v>120</v>
      </c>
      <c r="B16" s="18" t="s">
        <v>123</v>
      </c>
      <c r="C16" s="34">
        <v>1284.4000000000001</v>
      </c>
      <c r="D16" s="40">
        <f t="shared" si="0"/>
        <v>2.3244618664465992</v>
      </c>
      <c r="E16" s="34">
        <v>1757.4</v>
      </c>
      <c r="F16" s="43">
        <f>SUM(E16/E37*100)</f>
        <v>2.5704594619499157</v>
      </c>
      <c r="G16" s="34">
        <v>1689.9</v>
      </c>
      <c r="H16" s="40">
        <f>SUM(G16/G37*100)</f>
        <v>2.2915389747400505</v>
      </c>
      <c r="I16" s="34">
        <f t="shared" si="3"/>
        <v>-67.5</v>
      </c>
      <c r="J16" s="34">
        <f t="shared" si="2"/>
        <v>96.159098668487545</v>
      </c>
    </row>
    <row r="17" spans="1:10" ht="15" x14ac:dyDescent="0.25">
      <c r="A17" s="44" t="s">
        <v>121</v>
      </c>
      <c r="B17" s="20" t="s">
        <v>224</v>
      </c>
      <c r="C17" s="40">
        <v>64.7</v>
      </c>
      <c r="D17" s="40">
        <f t="shared" si="0"/>
        <v>0.11709178041038226</v>
      </c>
      <c r="E17" s="40">
        <v>66.900000000000006</v>
      </c>
      <c r="F17" s="40">
        <f>SUM(E17/E37*100)</f>
        <v>9.7851222262688844E-2</v>
      </c>
      <c r="G17" s="40">
        <v>117.9</v>
      </c>
      <c r="H17" s="40">
        <f>SUM(G17/G37*100)</f>
        <v>0.15987481219116631</v>
      </c>
      <c r="I17" s="34">
        <f t="shared" si="3"/>
        <v>51</v>
      </c>
      <c r="J17" s="34">
        <f t="shared" si="2"/>
        <v>176.23318385650225</v>
      </c>
    </row>
    <row r="18" spans="1:10" ht="15" x14ac:dyDescent="0.25">
      <c r="A18" s="25" t="s">
        <v>122</v>
      </c>
      <c r="B18" s="20" t="s">
        <v>126</v>
      </c>
      <c r="C18" s="40">
        <v>289.5</v>
      </c>
      <c r="D18" s="40">
        <f t="shared" si="0"/>
        <v>0.52392689998154041</v>
      </c>
      <c r="E18" s="40">
        <v>251.3</v>
      </c>
      <c r="F18" s="40">
        <f>SUM(E18/E37*100)</f>
        <v>0.36756370933652777</v>
      </c>
      <c r="G18" s="40">
        <v>735.8</v>
      </c>
      <c r="H18" s="40">
        <f>SUM(G18/G37*100)</f>
        <v>0.99775985420067992</v>
      </c>
      <c r="I18" s="34">
        <f t="shared" si="3"/>
        <v>484.49999999999994</v>
      </c>
      <c r="J18" s="34">
        <f t="shared" si="2"/>
        <v>292.79745324313569</v>
      </c>
    </row>
    <row r="19" spans="1:10" ht="15" x14ac:dyDescent="0.25">
      <c r="A19" s="25" t="s">
        <v>124</v>
      </c>
      <c r="B19" s="20" t="s">
        <v>90</v>
      </c>
      <c r="C19" s="40">
        <v>107.3</v>
      </c>
      <c r="D19" s="40">
        <f t="shared" si="0"/>
        <v>0.19418775947502342</v>
      </c>
      <c r="E19" s="40">
        <v>114.2</v>
      </c>
      <c r="F19" s="40">
        <f>SUM(E19/E37*100)</f>
        <v>0.16703452290581564</v>
      </c>
      <c r="G19" s="40">
        <v>127.8</v>
      </c>
      <c r="H19" s="40">
        <f>SUM(G19/G37*100)</f>
        <v>0.17329941474156957</v>
      </c>
      <c r="I19" s="34">
        <f t="shared" si="3"/>
        <v>13.599999999999994</v>
      </c>
      <c r="J19" s="34">
        <f t="shared" si="2"/>
        <v>111.90893169877407</v>
      </c>
    </row>
    <row r="20" spans="1:10" ht="30" x14ac:dyDescent="0.25">
      <c r="A20" s="25" t="s">
        <v>125</v>
      </c>
      <c r="B20" s="45" t="s">
        <v>225</v>
      </c>
      <c r="C20" s="40">
        <v>0.9</v>
      </c>
      <c r="D20" s="40">
        <f t="shared" si="0"/>
        <v>1.6287882900980532E-3</v>
      </c>
      <c r="E20" s="40">
        <v>1.2</v>
      </c>
      <c r="F20" s="40">
        <f>SUM(E20/E37*100)</f>
        <v>1.7551788746670643E-3</v>
      </c>
      <c r="G20" s="40">
        <v>0.8</v>
      </c>
      <c r="H20" s="40">
        <f>SUM(G20/G37*100)</f>
        <v>1.0848163677093558E-3</v>
      </c>
      <c r="I20" s="34">
        <f t="shared" si="3"/>
        <v>-0.39999999999999991</v>
      </c>
      <c r="J20" s="34">
        <f t="shared" si="2"/>
        <v>66.666666666666671</v>
      </c>
    </row>
    <row r="21" spans="1:10" ht="15" x14ac:dyDescent="0.25">
      <c r="A21" s="25" t="s">
        <v>127</v>
      </c>
      <c r="B21" s="20" t="s">
        <v>91</v>
      </c>
      <c r="C21" s="40">
        <v>1297.8</v>
      </c>
      <c r="D21" s="40">
        <f t="shared" si="0"/>
        <v>2.3487127143213922</v>
      </c>
      <c r="E21" s="40">
        <v>1266.5999999999999</v>
      </c>
      <c r="F21" s="40">
        <f>SUM(E21/E37*100)</f>
        <v>1.8525913022110863</v>
      </c>
      <c r="G21" s="40">
        <v>1458.3</v>
      </c>
      <c r="H21" s="40">
        <f>SUM(G21/G37*100)</f>
        <v>1.9774846362881922</v>
      </c>
      <c r="I21" s="34">
        <f>SUM(G21-E21)</f>
        <v>191.70000000000005</v>
      </c>
      <c r="J21" s="34">
        <f t="shared" si="2"/>
        <v>115.13500710563713</v>
      </c>
    </row>
    <row r="22" spans="1:10" ht="30" x14ac:dyDescent="0.25">
      <c r="A22" s="44" t="s">
        <v>128</v>
      </c>
      <c r="B22" s="46" t="s">
        <v>226</v>
      </c>
      <c r="C22" s="40">
        <v>204.1</v>
      </c>
      <c r="D22" s="40">
        <f t="shared" si="0"/>
        <v>0.36937298889890291</v>
      </c>
      <c r="E22" s="40">
        <v>293</v>
      </c>
      <c r="F22" s="40">
        <f>SUM(E22/E37*100)</f>
        <v>0.4285561752312082</v>
      </c>
      <c r="G22" s="40">
        <v>396.9</v>
      </c>
      <c r="H22" s="40">
        <f>SUM(G22/G37*100)</f>
        <v>0.53820452042980416</v>
      </c>
      <c r="I22" s="34">
        <f t="shared" si="3"/>
        <v>103.89999999999998</v>
      </c>
      <c r="J22" s="34">
        <f t="shared" si="2"/>
        <v>135.46075085324233</v>
      </c>
    </row>
    <row r="23" spans="1:10" ht="15" x14ac:dyDescent="0.25">
      <c r="A23" s="25" t="s">
        <v>129</v>
      </c>
      <c r="B23" s="46" t="s">
        <v>92</v>
      </c>
      <c r="C23" s="40">
        <v>45.5</v>
      </c>
      <c r="D23" s="40">
        <f t="shared" si="0"/>
        <v>8.2344296888290452E-2</v>
      </c>
      <c r="E23" s="40">
        <v>75</v>
      </c>
      <c r="F23" s="40">
        <f>SUM(E23/E37*100)</f>
        <v>0.10969867966669153</v>
      </c>
      <c r="G23" s="40">
        <v>87.8</v>
      </c>
      <c r="H23" s="40">
        <f>SUM(G23/G37*100)</f>
        <v>0.11905859635610179</v>
      </c>
      <c r="I23" s="34">
        <f t="shared" si="3"/>
        <v>12.799999999999997</v>
      </c>
      <c r="J23" s="34">
        <f>SUM(G23/E23*100)</f>
        <v>117.06666666666665</v>
      </c>
    </row>
    <row r="24" spans="1:10" ht="15" x14ac:dyDescent="0.25">
      <c r="A24" s="25" t="s">
        <v>171</v>
      </c>
      <c r="B24" s="20" t="s">
        <v>227</v>
      </c>
      <c r="C24" s="40"/>
      <c r="D24" s="40"/>
      <c r="E24" s="40">
        <v>52.3</v>
      </c>
      <c r="F24" s="40"/>
      <c r="G24" s="40">
        <v>78.2</v>
      </c>
      <c r="H24" s="40">
        <f>SUM(G24/G37*100)</f>
        <v>0.10604079994358953</v>
      </c>
      <c r="I24" s="34">
        <f t="shared" si="3"/>
        <v>25.900000000000006</v>
      </c>
      <c r="J24" s="34">
        <f>IFERROR(G24/E24*100,0)</f>
        <v>149.52198852772466</v>
      </c>
    </row>
    <row r="25" spans="1:10" ht="15" x14ac:dyDescent="0.25">
      <c r="A25" s="25" t="s">
        <v>228</v>
      </c>
      <c r="B25" s="20" t="s">
        <v>229</v>
      </c>
      <c r="C25" s="40">
        <v>3837</v>
      </c>
      <c r="D25" s="40">
        <f t="shared" ref="D25:D36" si="4">SUM(C25/$C$37*100)</f>
        <v>6.9440674101180324</v>
      </c>
      <c r="E25" s="40">
        <v>4601.3999999999996</v>
      </c>
      <c r="F25" s="40">
        <f>SUM(E25/E37*100)</f>
        <v>6.7302333949108579</v>
      </c>
      <c r="G25" s="40">
        <v>4328.7</v>
      </c>
      <c r="H25" s="40">
        <f>SUM(G25/G37*100)</f>
        <v>5.869805763629361</v>
      </c>
      <c r="I25" s="34">
        <f t="shared" si="3"/>
        <v>-272.69999999999982</v>
      </c>
      <c r="J25" s="34">
        <f t="shared" si="2"/>
        <v>94.073542834789407</v>
      </c>
    </row>
    <row r="26" spans="1:10" ht="15" x14ac:dyDescent="0.25">
      <c r="A26" s="25" t="s">
        <v>2</v>
      </c>
      <c r="B26" s="33" t="s">
        <v>10</v>
      </c>
      <c r="C26" s="40">
        <v>152.4</v>
      </c>
      <c r="D26" s="40">
        <f t="shared" si="4"/>
        <v>0.27580815045660362</v>
      </c>
      <c r="E26" s="40">
        <v>269.60000000000002</v>
      </c>
      <c r="F26" s="40">
        <f>SUM(E26/E37*100)</f>
        <v>0.39433018717520046</v>
      </c>
      <c r="G26" s="40">
        <v>233.4</v>
      </c>
      <c r="H26" s="40">
        <f>SUM(G26/G37*100)</f>
        <v>0.31649517527920457</v>
      </c>
      <c r="I26" s="34">
        <f t="shared" si="3"/>
        <v>-36.200000000000017</v>
      </c>
      <c r="J26" s="34">
        <f t="shared" si="2"/>
        <v>86.572700296735903</v>
      </c>
    </row>
    <row r="27" spans="1:10" ht="15" x14ac:dyDescent="0.25">
      <c r="A27" s="25" t="s">
        <v>3</v>
      </c>
      <c r="B27" s="33" t="s">
        <v>93</v>
      </c>
      <c r="C27" s="40">
        <v>112.5</v>
      </c>
      <c r="D27" s="40">
        <f t="shared" si="4"/>
        <v>0.20359853626225663</v>
      </c>
      <c r="E27" s="40">
        <v>360.7</v>
      </c>
      <c r="F27" s="40">
        <f>SUM(E27/E37*100)</f>
        <v>0.52757751674367515</v>
      </c>
      <c r="G27" s="84">
        <v>937.8</v>
      </c>
      <c r="H27" s="40">
        <f>SUM(G27/G37*100)</f>
        <v>1.2716759870472922</v>
      </c>
      <c r="I27" s="34">
        <f t="shared" si="3"/>
        <v>577.09999999999991</v>
      </c>
      <c r="J27" s="34">
        <f t="shared" si="2"/>
        <v>259.99445522594954</v>
      </c>
    </row>
    <row r="28" spans="1:10" ht="15" x14ac:dyDescent="0.25">
      <c r="A28" s="25" t="s">
        <v>4</v>
      </c>
      <c r="B28" s="33" t="s">
        <v>94</v>
      </c>
      <c r="C28" s="40">
        <v>4779.6000000000004</v>
      </c>
      <c r="D28" s="40">
        <f t="shared" si="4"/>
        <v>8.6499516792807274</v>
      </c>
      <c r="E28" s="40">
        <v>4853</v>
      </c>
      <c r="F28" s="40">
        <f>SUM(E28/E37*100)</f>
        <v>7.0982358989660526</v>
      </c>
      <c r="G28" s="40">
        <v>4873.6000000000004</v>
      </c>
      <c r="H28" s="40">
        <f>SUM(G28/G37*100)</f>
        <v>6.6087013120853966</v>
      </c>
      <c r="I28" s="34">
        <f t="shared" si="3"/>
        <v>20.600000000000364</v>
      </c>
      <c r="J28" s="34">
        <f>SUM(G28/E28*100)</f>
        <v>100.42447970327632</v>
      </c>
    </row>
    <row r="29" spans="1:10" ht="15" x14ac:dyDescent="0.25">
      <c r="A29" s="25" t="s">
        <v>5</v>
      </c>
      <c r="B29" s="33" t="s">
        <v>95</v>
      </c>
      <c r="C29" s="40">
        <v>3629.4</v>
      </c>
      <c r="D29" s="40">
        <f t="shared" si="4"/>
        <v>6.5683602445354152</v>
      </c>
      <c r="E29" s="40">
        <v>4340.7</v>
      </c>
      <c r="F29" s="40">
        <f>SUM(E29/E37*100)</f>
        <v>6.3489207843894375</v>
      </c>
      <c r="G29" s="40">
        <v>5060</v>
      </c>
      <c r="H29" s="40">
        <f>SUM(G29/G37*100)</f>
        <v>6.8614635257616756</v>
      </c>
      <c r="I29" s="34">
        <f>SUM(G29-E29)</f>
        <v>719.30000000000018</v>
      </c>
      <c r="J29" s="34">
        <f t="shared" si="2"/>
        <v>116.57105996728639</v>
      </c>
    </row>
    <row r="30" spans="1:10" ht="30" x14ac:dyDescent="0.25">
      <c r="A30" s="25" t="s">
        <v>6</v>
      </c>
      <c r="B30" s="47" t="s">
        <v>230</v>
      </c>
      <c r="C30" s="40">
        <f>SUM(C31:C34)</f>
        <v>8709.5</v>
      </c>
      <c r="D30" s="40">
        <f t="shared" si="4"/>
        <v>15.762146236232214</v>
      </c>
      <c r="E30" s="40">
        <f>SUM(E31:E34)</f>
        <v>13819.6</v>
      </c>
      <c r="F30" s="40">
        <f>SUM(E30/E37*100)</f>
        <v>20.213224980290804</v>
      </c>
      <c r="G30" s="40">
        <f>SUM(G31:G34)</f>
        <v>15612.3</v>
      </c>
      <c r="H30" s="40">
        <f>SUM(G30/G37*100)</f>
        <v>21.170598221985969</v>
      </c>
      <c r="I30" s="34">
        <f t="shared" ref="I30" si="5">SUM(E30-C30)</f>
        <v>5110.1000000000004</v>
      </c>
      <c r="J30" s="34">
        <f t="shared" si="2"/>
        <v>112.97215548930504</v>
      </c>
    </row>
    <row r="31" spans="1:10" ht="15" x14ac:dyDescent="0.25">
      <c r="A31" s="25" t="s">
        <v>231</v>
      </c>
      <c r="B31" s="48" t="s">
        <v>96</v>
      </c>
      <c r="C31" s="40">
        <v>0</v>
      </c>
      <c r="D31" s="40">
        <f t="shared" si="4"/>
        <v>0</v>
      </c>
      <c r="E31" s="40">
        <v>73</v>
      </c>
      <c r="F31" s="40">
        <f>SUM(E31/E37*100)</f>
        <v>0.10677338154224641</v>
      </c>
      <c r="G31" s="40">
        <v>0</v>
      </c>
      <c r="H31" s="40">
        <f>SUM(G31/G37*100)</f>
        <v>0</v>
      </c>
      <c r="I31" s="34">
        <f>SUM(G31-E31)</f>
        <v>-73</v>
      </c>
      <c r="J31" s="34">
        <v>0</v>
      </c>
    </row>
    <row r="32" spans="1:10" ht="15" x14ac:dyDescent="0.25">
      <c r="A32" s="25" t="s">
        <v>232</v>
      </c>
      <c r="B32" s="33" t="s">
        <v>233</v>
      </c>
      <c r="C32" s="40">
        <v>962.9</v>
      </c>
      <c r="D32" s="40">
        <f t="shared" si="4"/>
        <v>1.7426224939282391</v>
      </c>
      <c r="E32" s="40">
        <v>541.4</v>
      </c>
      <c r="F32" s="40">
        <f>SUM(E32/E37*100)</f>
        <v>0.79187820228729044</v>
      </c>
      <c r="G32" s="40">
        <v>1008.9</v>
      </c>
      <c r="H32" s="40">
        <f>SUM(G32/G37*100)</f>
        <v>1.3680890417274614</v>
      </c>
      <c r="I32" s="34">
        <f t="shared" ref="I32:I35" si="6">SUM(G32-E32)</f>
        <v>467.5</v>
      </c>
      <c r="J32" s="34">
        <f t="shared" si="2"/>
        <v>186.35020317694867</v>
      </c>
    </row>
    <row r="33" spans="1:10" ht="15" x14ac:dyDescent="0.25">
      <c r="A33" s="25" t="s">
        <v>234</v>
      </c>
      <c r="B33" s="48" t="s">
        <v>97</v>
      </c>
      <c r="C33" s="40">
        <v>7626.8</v>
      </c>
      <c r="D33" s="40">
        <f t="shared" si="4"/>
        <v>13.802713923244255</v>
      </c>
      <c r="E33" s="40">
        <v>13093.6</v>
      </c>
      <c r="F33" s="40">
        <f>SUM(E33/E37*100)</f>
        <v>19.15134176111723</v>
      </c>
      <c r="G33" s="40">
        <v>14405.5</v>
      </c>
      <c r="H33" s="40">
        <f>SUM(G33/G37*100)</f>
        <v>19.534152731296405</v>
      </c>
      <c r="I33" s="34">
        <f>SUM(G33-E33)</f>
        <v>1311.8999999999996</v>
      </c>
      <c r="J33" s="34">
        <f t="shared" si="2"/>
        <v>110.01939879024867</v>
      </c>
    </row>
    <row r="34" spans="1:10" ht="15" x14ac:dyDescent="0.25">
      <c r="A34" s="25" t="s">
        <v>235</v>
      </c>
      <c r="B34" s="48" t="s">
        <v>253</v>
      </c>
      <c r="C34" s="40">
        <v>119.8</v>
      </c>
      <c r="D34" s="40">
        <f t="shared" si="4"/>
        <v>0.21680981905971858</v>
      </c>
      <c r="E34" s="40">
        <v>111.6</v>
      </c>
      <c r="F34" s="40">
        <f>SUM(E34/E37*100)</f>
        <v>0.16323163534403698</v>
      </c>
      <c r="G34" s="40">
        <v>197.9</v>
      </c>
      <c r="H34" s="40">
        <f>SUM(G34/G37*100)</f>
        <v>0.26835644896210187</v>
      </c>
      <c r="I34" s="34">
        <f t="shared" si="6"/>
        <v>86.300000000000011</v>
      </c>
      <c r="J34" s="34">
        <f t="shared" si="2"/>
        <v>177.32974910394265</v>
      </c>
    </row>
    <row r="35" spans="1:10" ht="15" x14ac:dyDescent="0.25">
      <c r="A35" s="25" t="s">
        <v>7</v>
      </c>
      <c r="B35" s="48" t="s">
        <v>236</v>
      </c>
      <c r="C35" s="40">
        <v>651.1</v>
      </c>
      <c r="D35" s="40">
        <f t="shared" si="4"/>
        <v>1.1783378396476025</v>
      </c>
      <c r="E35" s="40">
        <v>818.6</v>
      </c>
      <c r="F35" s="40">
        <f>SUM(E35/E37*100)</f>
        <v>1.1973245223353823</v>
      </c>
      <c r="G35" s="40">
        <v>928.6</v>
      </c>
      <c r="H35" s="40">
        <f>SUM(G35/G37*100)</f>
        <v>1.2592005988186348</v>
      </c>
      <c r="I35" s="34">
        <f t="shared" si="6"/>
        <v>110</v>
      </c>
      <c r="J35" s="34">
        <f>SUM(G35/E35*100)</f>
        <v>113.43757634986562</v>
      </c>
    </row>
    <row r="36" spans="1:10" ht="30" x14ac:dyDescent="0.25">
      <c r="A36" s="25" t="s">
        <v>18</v>
      </c>
      <c r="B36" s="17" t="s">
        <v>154</v>
      </c>
      <c r="C36" s="40">
        <v>50</v>
      </c>
      <c r="D36" s="40">
        <f t="shared" si="4"/>
        <v>9.048823833878071E-2</v>
      </c>
      <c r="E36" s="40"/>
      <c r="F36" s="40"/>
      <c r="G36" s="84"/>
      <c r="H36" s="40"/>
      <c r="I36" s="34"/>
      <c r="J36" s="34"/>
    </row>
    <row r="37" spans="1:10" ht="15.6" x14ac:dyDescent="0.3">
      <c r="A37" s="25"/>
      <c r="B37" s="49" t="s">
        <v>98</v>
      </c>
      <c r="C37" s="50">
        <f>SUM(C8+C9+C26+C27+C28+C29+C30+C35+C36)</f>
        <v>55255.8</v>
      </c>
      <c r="D37" s="50">
        <f>SUM(C37/C37*100)</f>
        <v>100</v>
      </c>
      <c r="E37" s="50">
        <f>SUM(E8+E9+E26+E27+E28+E29+E30+E35+E36)</f>
        <v>68369.100000000006</v>
      </c>
      <c r="F37" s="50">
        <f>SUM(E37/E37*100)</f>
        <v>100</v>
      </c>
      <c r="G37" s="134">
        <f>SUM(G8+G9+G26+G27+G28+G29+G30+G35)</f>
        <v>73745.200000000012</v>
      </c>
      <c r="H37" s="50">
        <f>SUM(G37/G37*100)</f>
        <v>100</v>
      </c>
      <c r="I37" s="51">
        <f>SUM(G37-E37)</f>
        <v>5376.1000000000058</v>
      </c>
      <c r="J37" s="51">
        <f>SUM(G37/E37*100)</f>
        <v>107.86334762341467</v>
      </c>
    </row>
    <row r="40" spans="1:10" x14ac:dyDescent="0.25">
      <c r="E40" s="2"/>
      <c r="F40" s="2"/>
    </row>
  </sheetData>
  <mergeCells count="12">
    <mergeCell ref="I1:J1"/>
    <mergeCell ref="A3:J3"/>
    <mergeCell ref="I5:J5"/>
    <mergeCell ref="H6:H7"/>
    <mergeCell ref="I6:J6"/>
    <mergeCell ref="G6:G7"/>
    <mergeCell ref="A6:A7"/>
    <mergeCell ref="B6:B7"/>
    <mergeCell ref="C6:C7"/>
    <mergeCell ref="D6:D7"/>
    <mergeCell ref="E6:E7"/>
    <mergeCell ref="F6:F7"/>
  </mergeCells>
  <phoneticPr fontId="2" type="noConversion"/>
  <printOptions horizontalCentered="1"/>
  <pageMargins left="1.299212598425197" right="0.70866141732283472" top="0.35433070866141736" bottom="0.27559055118110237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7"/>
  <sheetViews>
    <sheetView tabSelected="1" zoomScaleNormal="100" workbookViewId="0"/>
  </sheetViews>
  <sheetFormatPr defaultRowHeight="13.2" x14ac:dyDescent="0.25"/>
  <cols>
    <col min="1" max="1" width="7.109375" customWidth="1"/>
    <col min="2" max="2" width="37.109375" customWidth="1"/>
    <col min="3" max="3" width="14.44140625" customWidth="1"/>
    <col min="4" max="4" width="13.5546875" customWidth="1"/>
    <col min="5" max="5" width="10.109375" customWidth="1"/>
    <col min="6" max="6" width="11.88671875" customWidth="1"/>
    <col min="7" max="7" width="8.88671875" customWidth="1"/>
    <col min="8" max="8" width="10.6640625" bestFit="1" customWidth="1"/>
  </cols>
  <sheetData>
    <row r="1" spans="1:8" ht="15" x14ac:dyDescent="0.25">
      <c r="A1" s="52"/>
      <c r="B1" s="52"/>
      <c r="C1" s="52"/>
      <c r="D1" s="52"/>
      <c r="E1" s="52"/>
      <c r="F1" s="239" t="s">
        <v>103</v>
      </c>
      <c r="G1" s="239"/>
    </row>
    <row r="2" spans="1:8" ht="15.6" x14ac:dyDescent="0.3">
      <c r="A2" s="52"/>
      <c r="B2" s="242"/>
      <c r="C2" s="242"/>
      <c r="D2" s="242"/>
      <c r="E2" s="242"/>
      <c r="F2" s="53"/>
      <c r="G2" s="53"/>
    </row>
    <row r="3" spans="1:8" ht="15.6" x14ac:dyDescent="0.3">
      <c r="A3" s="242" t="s">
        <v>259</v>
      </c>
      <c r="B3" s="242"/>
      <c r="C3" s="242"/>
      <c r="D3" s="242"/>
      <c r="E3" s="242"/>
      <c r="F3" s="242"/>
      <c r="G3" s="242"/>
    </row>
    <row r="4" spans="1:8" ht="15" x14ac:dyDescent="0.25">
      <c r="A4" s="52"/>
      <c r="B4" s="52"/>
      <c r="C4" s="52"/>
      <c r="D4" s="52"/>
      <c r="E4" s="52"/>
      <c r="F4" s="52"/>
      <c r="G4" s="52"/>
    </row>
    <row r="5" spans="1:8" ht="15" x14ac:dyDescent="0.25">
      <c r="A5" s="52"/>
      <c r="B5" s="52"/>
      <c r="C5" s="52"/>
      <c r="D5" s="52"/>
      <c r="E5" s="52"/>
      <c r="F5" s="249" t="s">
        <v>152</v>
      </c>
      <c r="G5" s="249"/>
    </row>
    <row r="6" spans="1:8" ht="29.4" customHeight="1" x14ac:dyDescent="0.25">
      <c r="A6" s="243" t="s">
        <v>217</v>
      </c>
      <c r="B6" s="245" t="s">
        <v>162</v>
      </c>
      <c r="C6" s="243" t="s">
        <v>153</v>
      </c>
      <c r="D6" s="243" t="s">
        <v>358</v>
      </c>
      <c r="E6" s="245" t="s">
        <v>13</v>
      </c>
      <c r="F6" s="247" t="s">
        <v>361</v>
      </c>
      <c r="G6" s="248"/>
    </row>
    <row r="7" spans="1:8" ht="16.95" customHeight="1" x14ac:dyDescent="0.25">
      <c r="A7" s="244"/>
      <c r="B7" s="246"/>
      <c r="C7" s="244"/>
      <c r="D7" s="244"/>
      <c r="E7" s="246"/>
      <c r="F7" s="55" t="s">
        <v>173</v>
      </c>
      <c r="G7" s="54" t="s">
        <v>168</v>
      </c>
    </row>
    <row r="8" spans="1:8" ht="30" customHeight="1" x14ac:dyDescent="0.25">
      <c r="A8" s="25" t="s">
        <v>0</v>
      </c>
      <c r="B8" s="56" t="s">
        <v>255</v>
      </c>
      <c r="C8" s="137">
        <v>76047.399999999994</v>
      </c>
      <c r="D8" s="57">
        <v>44324.1</v>
      </c>
      <c r="E8" s="42">
        <v>35276.9</v>
      </c>
      <c r="F8" s="40">
        <f>SUM(E8-D8)</f>
        <v>-9047.1999999999971</v>
      </c>
      <c r="G8" s="34">
        <f>SUM(E8/D8*100)</f>
        <v>79.588530844393915</v>
      </c>
    </row>
    <row r="9" spans="1:8" ht="15" x14ac:dyDescent="0.25">
      <c r="A9" s="25" t="s">
        <v>1</v>
      </c>
      <c r="B9" s="33" t="s">
        <v>174</v>
      </c>
      <c r="C9" s="131">
        <f>SUM(C10:C25)</f>
        <v>28842.300000000003</v>
      </c>
      <c r="D9" s="33">
        <f>SUM(D10:D25)</f>
        <v>17510.400000000001</v>
      </c>
      <c r="E9" s="33">
        <f>SUM(E10:E25)</f>
        <v>10822.6</v>
      </c>
      <c r="F9" s="40">
        <f t="shared" ref="F9:F34" si="0">SUM(E9-D9)</f>
        <v>-6687.8000000000011</v>
      </c>
      <c r="G9" s="34">
        <f t="shared" ref="G9:G33" si="1">SUM(E9/D9*100)</f>
        <v>61.806697733918128</v>
      </c>
    </row>
    <row r="10" spans="1:8" ht="15" x14ac:dyDescent="0.25">
      <c r="A10" s="58" t="s">
        <v>114</v>
      </c>
      <c r="B10" s="59" t="s">
        <v>84</v>
      </c>
      <c r="C10" s="138">
        <v>2375.4</v>
      </c>
      <c r="D10" s="59">
        <v>1382.3</v>
      </c>
      <c r="E10" s="58">
        <v>1131.5999999999999</v>
      </c>
      <c r="F10" s="60">
        <f t="shared" si="0"/>
        <v>-250.70000000000005</v>
      </c>
      <c r="G10" s="62">
        <f t="shared" si="1"/>
        <v>81.863560732113143</v>
      </c>
    </row>
    <row r="11" spans="1:8" ht="15" x14ac:dyDescent="0.25">
      <c r="A11" s="58" t="s">
        <v>115</v>
      </c>
      <c r="B11" s="59" t="s">
        <v>85</v>
      </c>
      <c r="C11" s="138">
        <v>64.099999999999994</v>
      </c>
      <c r="D11" s="59">
        <v>34.799999999999997</v>
      </c>
      <c r="E11" s="58">
        <v>19.7</v>
      </c>
      <c r="F11" s="60">
        <f t="shared" si="0"/>
        <v>-15.099999999999998</v>
      </c>
      <c r="G11" s="62">
        <f t="shared" si="1"/>
        <v>56.609195402298852</v>
      </c>
    </row>
    <row r="12" spans="1:8" ht="15" x14ac:dyDescent="0.25">
      <c r="A12" s="58" t="s">
        <v>116</v>
      </c>
      <c r="B12" s="59" t="s">
        <v>86</v>
      </c>
      <c r="C12" s="138">
        <v>169.8</v>
      </c>
      <c r="D12" s="59">
        <v>91.7</v>
      </c>
      <c r="E12" s="58">
        <v>48.7</v>
      </c>
      <c r="F12" s="60">
        <f t="shared" si="0"/>
        <v>-43</v>
      </c>
      <c r="G12" s="62">
        <f t="shared" si="1"/>
        <v>53.107960741548531</v>
      </c>
    </row>
    <row r="13" spans="1:8" ht="15" x14ac:dyDescent="0.25">
      <c r="A13" s="58" t="s">
        <v>117</v>
      </c>
      <c r="B13" s="59" t="s">
        <v>87</v>
      </c>
      <c r="C13" s="138">
        <v>1018.7</v>
      </c>
      <c r="D13" s="59">
        <v>614.70000000000005</v>
      </c>
      <c r="E13" s="58">
        <v>466.9</v>
      </c>
      <c r="F13" s="60">
        <f t="shared" si="0"/>
        <v>-147.80000000000007</v>
      </c>
      <c r="G13" s="62">
        <f t="shared" si="1"/>
        <v>75.95575077273466</v>
      </c>
    </row>
    <row r="14" spans="1:8" ht="15" x14ac:dyDescent="0.25">
      <c r="A14" s="58" t="s">
        <v>118</v>
      </c>
      <c r="B14" s="59" t="s">
        <v>88</v>
      </c>
      <c r="C14" s="138">
        <v>109.9</v>
      </c>
      <c r="D14" s="59">
        <v>64.900000000000006</v>
      </c>
      <c r="E14" s="58">
        <v>48.2</v>
      </c>
      <c r="F14" s="60">
        <f t="shared" si="0"/>
        <v>-16.700000000000003</v>
      </c>
      <c r="G14" s="62">
        <f t="shared" si="1"/>
        <v>74.268104776579349</v>
      </c>
    </row>
    <row r="15" spans="1:8" ht="15" x14ac:dyDescent="0.25">
      <c r="A15" s="61" t="s">
        <v>119</v>
      </c>
      <c r="B15" s="58" t="s">
        <v>89</v>
      </c>
      <c r="C15" s="139">
        <v>275</v>
      </c>
      <c r="D15" s="58">
        <v>166.8</v>
      </c>
      <c r="E15" s="58">
        <v>85.4</v>
      </c>
      <c r="F15" s="62">
        <f t="shared" si="0"/>
        <v>-81.400000000000006</v>
      </c>
      <c r="G15" s="62">
        <f t="shared" si="1"/>
        <v>51.199040767386094</v>
      </c>
      <c r="H15" s="141"/>
    </row>
    <row r="16" spans="1:8" ht="15" customHeight="1" x14ac:dyDescent="0.25">
      <c r="A16" s="63" t="s">
        <v>120</v>
      </c>
      <c r="B16" s="64" t="s">
        <v>123</v>
      </c>
      <c r="C16" s="139">
        <v>4430.2</v>
      </c>
      <c r="D16" s="58">
        <v>2811.7</v>
      </c>
      <c r="E16" s="58">
        <v>1689.9</v>
      </c>
      <c r="F16" s="62">
        <f>SUM(E16-D16)</f>
        <v>-1121.7999999999997</v>
      </c>
      <c r="G16" s="62">
        <f>SUM(E16/D16*100)</f>
        <v>60.102429135398516</v>
      </c>
    </row>
    <row r="17" spans="1:8" ht="15" x14ac:dyDescent="0.25">
      <c r="A17" s="58" t="s">
        <v>121</v>
      </c>
      <c r="B17" s="65" t="s">
        <v>156</v>
      </c>
      <c r="C17" s="140">
        <v>244.5</v>
      </c>
      <c r="D17" s="66">
        <v>143.5</v>
      </c>
      <c r="E17" s="66">
        <v>117.9</v>
      </c>
      <c r="F17" s="67">
        <f t="shared" si="0"/>
        <v>-25.599999999999994</v>
      </c>
      <c r="G17" s="60">
        <f t="shared" si="1"/>
        <v>82.160278745644604</v>
      </c>
    </row>
    <row r="18" spans="1:8" ht="15" x14ac:dyDescent="0.25">
      <c r="A18" s="58" t="s">
        <v>122</v>
      </c>
      <c r="B18" s="65" t="s">
        <v>126</v>
      </c>
      <c r="C18" s="140">
        <v>2484</v>
      </c>
      <c r="D18" s="66">
        <v>1438</v>
      </c>
      <c r="E18" s="66">
        <v>735.8</v>
      </c>
      <c r="F18" s="67">
        <f t="shared" si="0"/>
        <v>-702.2</v>
      </c>
      <c r="G18" s="62">
        <f t="shared" si="1"/>
        <v>51.1682892906815</v>
      </c>
    </row>
    <row r="19" spans="1:8" ht="15" x14ac:dyDescent="0.25">
      <c r="A19" s="58" t="s">
        <v>124</v>
      </c>
      <c r="B19" s="65" t="s">
        <v>90</v>
      </c>
      <c r="C19" s="140">
        <v>371.1</v>
      </c>
      <c r="D19" s="66">
        <v>212.5</v>
      </c>
      <c r="E19" s="66">
        <v>127.8</v>
      </c>
      <c r="F19" s="67">
        <f t="shared" si="0"/>
        <v>-84.7</v>
      </c>
      <c r="G19" s="62">
        <f t="shared" si="1"/>
        <v>60.141176470588235</v>
      </c>
    </row>
    <row r="20" spans="1:8" ht="15" x14ac:dyDescent="0.25">
      <c r="A20" s="58" t="s">
        <v>125</v>
      </c>
      <c r="B20" s="65" t="s">
        <v>170</v>
      </c>
      <c r="C20" s="140">
        <v>1.5</v>
      </c>
      <c r="D20" s="66">
        <v>1.1000000000000001</v>
      </c>
      <c r="E20" s="66">
        <v>0.8</v>
      </c>
      <c r="F20" s="68">
        <f t="shared" si="0"/>
        <v>-0.30000000000000004</v>
      </c>
      <c r="G20" s="62">
        <f t="shared" si="1"/>
        <v>72.727272727272734</v>
      </c>
    </row>
    <row r="21" spans="1:8" ht="15" x14ac:dyDescent="0.25">
      <c r="A21" s="58" t="s">
        <v>127</v>
      </c>
      <c r="B21" s="65" t="s">
        <v>91</v>
      </c>
      <c r="C21" s="140">
        <v>2415</v>
      </c>
      <c r="D21" s="66">
        <v>1766.3</v>
      </c>
      <c r="E21" s="66">
        <v>1458.3</v>
      </c>
      <c r="F21" s="67">
        <f t="shared" si="0"/>
        <v>-308</v>
      </c>
      <c r="G21" s="62">
        <f t="shared" si="1"/>
        <v>82.562418615184285</v>
      </c>
      <c r="H21" s="141"/>
    </row>
    <row r="22" spans="1:8" ht="15" x14ac:dyDescent="0.25">
      <c r="A22" s="58" t="s">
        <v>128</v>
      </c>
      <c r="B22" s="65" t="s">
        <v>157</v>
      </c>
      <c r="C22" s="140">
        <v>1017.7</v>
      </c>
      <c r="D22" s="66">
        <v>565.4</v>
      </c>
      <c r="E22" s="66">
        <v>396.9</v>
      </c>
      <c r="F22" s="67">
        <f t="shared" si="0"/>
        <v>-168.5</v>
      </c>
      <c r="G22" s="62">
        <f t="shared" si="1"/>
        <v>70.198089847895289</v>
      </c>
      <c r="H22" s="141"/>
    </row>
    <row r="23" spans="1:8" ht="15" x14ac:dyDescent="0.25">
      <c r="A23" s="58" t="s">
        <v>129</v>
      </c>
      <c r="B23" s="65" t="s">
        <v>92</v>
      </c>
      <c r="C23" s="140">
        <v>228.5</v>
      </c>
      <c r="D23" s="66">
        <v>145.19999999999999</v>
      </c>
      <c r="E23" s="66">
        <v>87.8</v>
      </c>
      <c r="F23" s="67">
        <f t="shared" si="0"/>
        <v>-57.399999999999991</v>
      </c>
      <c r="G23" s="62">
        <f t="shared" si="1"/>
        <v>60.468319559228654</v>
      </c>
    </row>
    <row r="24" spans="1:8" ht="15" x14ac:dyDescent="0.25">
      <c r="A24" s="58" t="s">
        <v>171</v>
      </c>
      <c r="B24" s="65" t="s">
        <v>227</v>
      </c>
      <c r="C24" s="140">
        <v>225</v>
      </c>
      <c r="D24" s="66">
        <v>113.9</v>
      </c>
      <c r="E24" s="66">
        <v>78.2</v>
      </c>
      <c r="F24" s="67">
        <f t="shared" si="0"/>
        <v>-35.700000000000003</v>
      </c>
      <c r="G24" s="62">
        <f t="shared" si="1"/>
        <v>68.656716417910445</v>
      </c>
    </row>
    <row r="25" spans="1:8" ht="15" x14ac:dyDescent="0.25">
      <c r="A25" s="58" t="s">
        <v>228</v>
      </c>
      <c r="B25" s="65" t="s">
        <v>130</v>
      </c>
      <c r="C25" s="139">
        <v>13411.9</v>
      </c>
      <c r="D25" s="66">
        <v>7957.6</v>
      </c>
      <c r="E25" s="66">
        <v>4328.7</v>
      </c>
      <c r="F25" s="67">
        <f t="shared" si="0"/>
        <v>-3628.9000000000005</v>
      </c>
      <c r="G25" s="62">
        <f t="shared" si="1"/>
        <v>54.397054388257757</v>
      </c>
      <c r="H25" s="141"/>
    </row>
    <row r="26" spans="1:8" ht="15" x14ac:dyDescent="0.25">
      <c r="A26" s="25" t="s">
        <v>2</v>
      </c>
      <c r="B26" s="33" t="s">
        <v>158</v>
      </c>
      <c r="C26" s="83">
        <v>500</v>
      </c>
      <c r="D26" s="42">
        <v>258.5</v>
      </c>
      <c r="E26" s="34">
        <v>233.4</v>
      </c>
      <c r="F26" s="43">
        <f t="shared" si="0"/>
        <v>-25.099999999999994</v>
      </c>
      <c r="G26" s="34">
        <f t="shared" si="1"/>
        <v>90.29013539651838</v>
      </c>
    </row>
    <row r="27" spans="1:8" ht="15" x14ac:dyDescent="0.25">
      <c r="A27" s="25" t="s">
        <v>3</v>
      </c>
      <c r="B27" s="33" t="s">
        <v>93</v>
      </c>
      <c r="C27" s="131">
        <v>1400</v>
      </c>
      <c r="D27" s="33">
        <v>950</v>
      </c>
      <c r="E27" s="25">
        <v>937.8</v>
      </c>
      <c r="F27" s="43">
        <f t="shared" si="0"/>
        <v>-12.200000000000045</v>
      </c>
      <c r="G27" s="34">
        <f t="shared" si="1"/>
        <v>98.715789473684197</v>
      </c>
    </row>
    <row r="28" spans="1:8" ht="15" x14ac:dyDescent="0.25">
      <c r="A28" s="25" t="s">
        <v>4</v>
      </c>
      <c r="B28" s="33" t="s">
        <v>94</v>
      </c>
      <c r="C28" s="131">
        <v>10671.1</v>
      </c>
      <c r="D28" s="131">
        <v>6655.5</v>
      </c>
      <c r="E28" s="25">
        <v>4873.6000000000004</v>
      </c>
      <c r="F28" s="43">
        <f t="shared" si="0"/>
        <v>-1781.8999999999996</v>
      </c>
      <c r="G28" s="34">
        <f t="shared" si="1"/>
        <v>73.22665464653295</v>
      </c>
      <c r="H28" s="28"/>
    </row>
    <row r="29" spans="1:8" ht="15" x14ac:dyDescent="0.25">
      <c r="A29" s="25" t="s">
        <v>5</v>
      </c>
      <c r="B29" s="33" t="s">
        <v>95</v>
      </c>
      <c r="C29" s="131">
        <v>10393.799999999999</v>
      </c>
      <c r="D29" s="33">
        <v>5784.3</v>
      </c>
      <c r="E29" s="25">
        <v>5060</v>
      </c>
      <c r="F29" s="43">
        <f t="shared" si="0"/>
        <v>-724.30000000000018</v>
      </c>
      <c r="G29" s="34">
        <f t="shared" si="1"/>
        <v>87.478173677022284</v>
      </c>
    </row>
    <row r="30" spans="1:8" ht="30" customHeight="1" x14ac:dyDescent="0.25">
      <c r="A30" s="69" t="s">
        <v>6</v>
      </c>
      <c r="B30" s="47" t="s">
        <v>273</v>
      </c>
      <c r="C30" s="131">
        <f>SUM(C31:C33)</f>
        <v>43447.200000000004</v>
      </c>
      <c r="D30" s="33">
        <f>SUM(D31:D33)</f>
        <v>28256.1</v>
      </c>
      <c r="E30" s="33">
        <f>SUM(E31:E33)</f>
        <v>15612.3</v>
      </c>
      <c r="F30" s="43">
        <f t="shared" si="0"/>
        <v>-12643.8</v>
      </c>
      <c r="G30" s="34">
        <f t="shared" si="1"/>
        <v>55.25284805758757</v>
      </c>
    </row>
    <row r="31" spans="1:8" ht="15" x14ac:dyDescent="0.25">
      <c r="A31" s="25" t="s">
        <v>231</v>
      </c>
      <c r="B31" s="48" t="s">
        <v>97</v>
      </c>
      <c r="C31" s="131">
        <v>38566.800000000003</v>
      </c>
      <c r="D31" s="33">
        <v>24704</v>
      </c>
      <c r="E31" s="25">
        <v>14405.5</v>
      </c>
      <c r="F31" s="43">
        <f t="shared" si="0"/>
        <v>-10298.5</v>
      </c>
      <c r="G31" s="34">
        <f>SUM(E31/D31*100)</f>
        <v>58.312419041450781</v>
      </c>
      <c r="H31" s="28"/>
    </row>
    <row r="32" spans="1:8" ht="15" x14ac:dyDescent="0.25">
      <c r="A32" s="25" t="s">
        <v>232</v>
      </c>
      <c r="B32" s="33" t="s">
        <v>159</v>
      </c>
      <c r="C32" s="131">
        <v>3365.8</v>
      </c>
      <c r="D32" s="33">
        <v>2544.8000000000002</v>
      </c>
      <c r="E32" s="25">
        <v>1008.9</v>
      </c>
      <c r="F32" s="43">
        <f>SUM(E32-D32)</f>
        <v>-1535.9</v>
      </c>
      <c r="G32" s="34">
        <f>SUM(E32/D32*100)</f>
        <v>39.645551713297699</v>
      </c>
    </row>
    <row r="33" spans="1:8" ht="15" x14ac:dyDescent="0.25">
      <c r="A33" s="25" t="s">
        <v>234</v>
      </c>
      <c r="B33" s="48" t="s">
        <v>160</v>
      </c>
      <c r="C33" s="131">
        <v>1514.6</v>
      </c>
      <c r="D33" s="48">
        <v>1007.3</v>
      </c>
      <c r="E33" s="70">
        <v>197.9</v>
      </c>
      <c r="F33" s="43">
        <f t="shared" si="0"/>
        <v>-809.4</v>
      </c>
      <c r="G33" s="34">
        <f t="shared" si="1"/>
        <v>19.646579966246403</v>
      </c>
      <c r="H33" s="28"/>
    </row>
    <row r="34" spans="1:8" ht="15.6" thickBot="1" x14ac:dyDescent="0.3">
      <c r="A34" s="70" t="s">
        <v>7</v>
      </c>
      <c r="B34" s="48" t="s">
        <v>236</v>
      </c>
      <c r="C34" s="85">
        <v>1942.7</v>
      </c>
      <c r="D34" s="87">
        <v>928.8</v>
      </c>
      <c r="E34" s="86">
        <v>928.6</v>
      </c>
      <c r="F34" s="71">
        <f t="shared" si="0"/>
        <v>-0.19999999999993179</v>
      </c>
      <c r="G34" s="80">
        <f>SUM(E34/D34*100)</f>
        <v>99.978466838931965</v>
      </c>
    </row>
    <row r="35" spans="1:8" ht="16.2" thickBot="1" x14ac:dyDescent="0.35">
      <c r="A35" s="240" t="s">
        <v>83</v>
      </c>
      <c r="B35" s="241"/>
      <c r="C35" s="136">
        <f>SUM(C8+C9+C26+C27+C28+C29+C30+C34)</f>
        <v>173244.50000000003</v>
      </c>
      <c r="D35" s="136">
        <f>SUM(D8+D9+D26+D27+D28+D29+D30+D34)</f>
        <v>104667.7</v>
      </c>
      <c r="E35" s="136">
        <f>SUM(E8+E9+E26+E27+E28+E29+E30+E34)</f>
        <v>73745.200000000012</v>
      </c>
      <c r="F35" s="72">
        <f>SUM(F8+F9+F26+F27+F28+F29+F30+F34)</f>
        <v>-30922.499999999996</v>
      </c>
      <c r="G35" s="124">
        <f>SUM(E35/D35*100)</f>
        <v>70.45650186256124</v>
      </c>
    </row>
    <row r="37" spans="1:8" x14ac:dyDescent="0.25">
      <c r="D37" s="2"/>
      <c r="E37" s="2"/>
    </row>
  </sheetData>
  <mergeCells count="11">
    <mergeCell ref="F1:G1"/>
    <mergeCell ref="A35:B35"/>
    <mergeCell ref="B2:E2"/>
    <mergeCell ref="A3:G3"/>
    <mergeCell ref="A6:A7"/>
    <mergeCell ref="B6:B7"/>
    <mergeCell ref="C6:C7"/>
    <mergeCell ref="D6:D7"/>
    <mergeCell ref="E6:E7"/>
    <mergeCell ref="F6:G6"/>
    <mergeCell ref="F5:G5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 už patalpų nuomą</vt:lpstr>
      <vt:lpstr>vykdymas pagal asig valdytojus</vt:lpstr>
      <vt:lpstr>vykdymas pagal programas</vt:lpstr>
      <vt:lpstr>vykdymas pagal valstybės funk</vt:lpstr>
      <vt:lpstr>asignavimai pagal valstyb funk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Reda Balčytienė</cp:lastModifiedBy>
  <cp:lastPrinted>2025-07-25T07:07:46Z</cp:lastPrinted>
  <dcterms:created xsi:type="dcterms:W3CDTF">1996-10-14T23:33:28Z</dcterms:created>
  <dcterms:modified xsi:type="dcterms:W3CDTF">2025-07-25T08:11:17Z</dcterms:modified>
</cp:coreProperties>
</file>