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SVP 2025-2027 m\2025-2027 m. SVP DETALIZACIJA\SVP Detalizacija 2025 08 MV-\"/>
    </mc:Choice>
  </mc:AlternateContent>
  <xr:revisionPtr revIDLastSave="0" documentId="13_ncr:1_{6CC8F48C-F161-422C-B7BB-C5058DD07DEC}" xr6:coauthVersionLast="47" xr6:coauthVersionMax="47" xr10:uidLastSave="{00000000-0000-0000-0000-000000000000}"/>
  <bookViews>
    <workbookView xWindow="-23148" yWindow="-828" windowWidth="23256" windowHeight="12576" tabRatio="880" activeTab="1" xr2:uid="{00000000-000D-0000-FFFF-FFFF00000000}"/>
  </bookViews>
  <sheets>
    <sheet name="Vykd " sheetId="48" r:id="rId1"/>
    <sheet name="Det" sheetId="30" r:id="rId2"/>
    <sheet name="Diagrama" sheetId="29" state="hidden" r:id="rId3"/>
  </sheets>
  <definedNames>
    <definedName name="_xlnm._FilterDatabase" localSheetId="1" hidden="1">Det!$A$3:$Q$380</definedName>
    <definedName name="OLE_LINK1">#REF!</definedName>
    <definedName name="_xlnm.Print_Area" localSheetId="1">Det!$B$1:$J$17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73" i="30" l="1"/>
  <c r="K1773" i="30"/>
  <c r="I1773" i="30"/>
  <c r="L1770" i="30"/>
  <c r="K1770" i="30"/>
  <c r="J1770" i="30"/>
  <c r="I1770" i="30"/>
  <c r="L1768" i="30"/>
  <c r="K1768" i="30"/>
  <c r="J1768" i="30"/>
  <c r="I1768" i="30"/>
  <c r="L1766" i="30"/>
  <c r="K1766" i="30"/>
  <c r="J1766" i="30"/>
  <c r="I1766" i="30"/>
  <c r="L1765" i="30"/>
  <c r="K1765" i="30"/>
  <c r="J1765" i="30"/>
  <c r="I1765" i="30"/>
  <c r="L1764" i="30"/>
  <c r="K1764" i="30"/>
  <c r="I1764" i="30"/>
  <c r="L1762" i="30"/>
  <c r="K1762" i="30"/>
  <c r="J1762" i="30"/>
  <c r="I1762" i="30"/>
  <c r="L1761" i="30"/>
  <c r="K1761" i="30"/>
  <c r="J1761" i="30"/>
  <c r="I1761" i="30"/>
  <c r="L1760" i="30"/>
  <c r="K1760" i="30"/>
  <c r="J1760" i="30"/>
  <c r="I1760" i="30"/>
  <c r="L1759" i="30"/>
  <c r="K1759" i="30"/>
  <c r="I1759" i="30"/>
  <c r="L1758" i="30"/>
  <c r="K1758" i="30"/>
  <c r="J1758" i="30"/>
  <c r="L1753" i="30"/>
  <c r="K1753" i="30"/>
  <c r="J1753" i="30"/>
  <c r="I1753" i="30"/>
  <c r="L1751" i="30"/>
  <c r="K1751" i="30"/>
  <c r="J1751" i="30"/>
  <c r="I1751" i="30"/>
  <c r="L1749" i="30"/>
  <c r="K1749" i="30"/>
  <c r="J1749" i="30"/>
  <c r="I1749" i="30"/>
  <c r="J1747" i="30"/>
  <c r="I1747" i="30"/>
  <c r="H1747" i="30"/>
  <c r="L1744" i="30"/>
  <c r="L1747" i="30" s="1"/>
  <c r="K1744" i="30"/>
  <c r="K1706" i="30" s="1"/>
  <c r="K1714" i="30" s="1"/>
  <c r="J1744" i="30"/>
  <c r="L1743" i="30"/>
  <c r="K1743" i="30"/>
  <c r="J1743" i="30"/>
  <c r="I1743" i="30"/>
  <c r="J1742" i="30"/>
  <c r="H1742" i="30"/>
  <c r="L1741" i="30"/>
  <c r="K1741" i="30"/>
  <c r="J1741" i="30"/>
  <c r="I1741" i="30"/>
  <c r="H1741" i="30"/>
  <c r="L1736" i="30"/>
  <c r="K1736" i="30"/>
  <c r="J1736" i="30"/>
  <c r="I1736" i="30"/>
  <c r="H1736" i="30"/>
  <c r="J1734" i="30"/>
  <c r="J1759" i="30" s="1"/>
  <c r="L1732" i="30"/>
  <c r="K1732" i="30"/>
  <c r="J1732" i="30"/>
  <c r="I1732" i="30"/>
  <c r="L1730" i="30"/>
  <c r="K1730" i="30"/>
  <c r="I1730" i="30"/>
  <c r="H1730" i="30"/>
  <c r="J1728" i="30"/>
  <c r="K1726" i="30"/>
  <c r="J1726" i="30"/>
  <c r="J1730" i="30" s="1"/>
  <c r="L1725" i="30"/>
  <c r="K1725" i="30"/>
  <c r="I1725" i="30"/>
  <c r="K1724" i="30"/>
  <c r="J1724" i="30"/>
  <c r="J1725" i="30" s="1"/>
  <c r="H1724" i="30"/>
  <c r="L1723" i="30"/>
  <c r="K1723" i="30"/>
  <c r="J1723" i="30"/>
  <c r="I1723" i="30"/>
  <c r="J1722" i="30"/>
  <c r="J1706" i="30" s="1"/>
  <c r="J1714" i="30" s="1"/>
  <c r="L1721" i="30"/>
  <c r="K1721" i="30"/>
  <c r="J1721" i="30"/>
  <c r="I1721" i="30"/>
  <c r="L1717" i="30"/>
  <c r="K1717" i="30"/>
  <c r="I1717" i="30"/>
  <c r="J1715" i="30"/>
  <c r="J1717" i="30" s="1"/>
  <c r="H1714" i="30"/>
  <c r="L1713" i="30"/>
  <c r="K1713" i="30"/>
  <c r="J1713" i="30"/>
  <c r="I1713" i="30"/>
  <c r="H1713" i="30"/>
  <c r="L1712" i="30"/>
  <c r="K1712" i="30"/>
  <c r="J1712" i="30"/>
  <c r="L1711" i="30"/>
  <c r="K1711" i="30"/>
  <c r="J1711" i="30"/>
  <c r="I1711" i="30"/>
  <c r="H1711" i="30"/>
  <c r="L1710" i="30"/>
  <c r="K1710" i="30"/>
  <c r="J1710" i="30"/>
  <c r="I1710" i="30"/>
  <c r="H1710" i="30"/>
  <c r="L1709" i="30"/>
  <c r="K1709" i="30"/>
  <c r="J1709" i="30"/>
  <c r="I1709" i="30"/>
  <c r="H1709" i="30"/>
  <c r="L1708" i="30"/>
  <c r="K1708" i="30"/>
  <c r="J1708" i="30"/>
  <c r="I1708" i="30"/>
  <c r="L1707" i="30"/>
  <c r="K1707" i="30"/>
  <c r="J1707" i="30"/>
  <c r="I1707" i="30"/>
  <c r="H1707" i="30"/>
  <c r="I1706" i="30"/>
  <c r="I1714" i="30" s="1"/>
  <c r="H1706" i="30"/>
  <c r="L1704" i="30"/>
  <c r="K1704" i="30"/>
  <c r="J1704" i="30"/>
  <c r="I1704" i="30"/>
  <c r="L1702" i="30"/>
  <c r="K1702" i="30"/>
  <c r="J1702" i="30"/>
  <c r="I1702" i="30"/>
  <c r="L1698" i="30"/>
  <c r="K1698" i="30"/>
  <c r="J1698" i="30"/>
  <c r="I1698" i="30"/>
  <c r="L1696" i="30"/>
  <c r="K1696" i="30"/>
  <c r="J1696" i="30"/>
  <c r="I1696" i="30"/>
  <c r="L1694" i="30"/>
  <c r="K1694" i="30"/>
  <c r="J1694" i="30"/>
  <c r="I1694" i="30"/>
  <c r="J1692" i="30"/>
  <c r="I1692" i="30"/>
  <c r="H1692" i="30"/>
  <c r="L1686" i="30"/>
  <c r="L1692" i="30" s="1"/>
  <c r="K1686" i="30"/>
  <c r="K1692" i="30" s="1"/>
  <c r="J1686" i="30"/>
  <c r="L1685" i="30"/>
  <c r="K1685" i="30"/>
  <c r="J1685" i="30"/>
  <c r="I1685" i="30"/>
  <c r="L1683" i="30"/>
  <c r="K1683" i="30"/>
  <c r="J1683" i="30"/>
  <c r="I1683" i="30"/>
  <c r="L1681" i="30"/>
  <c r="K1681" i="30"/>
  <c r="J1681" i="30"/>
  <c r="I1681" i="30"/>
  <c r="L1678" i="30"/>
  <c r="K1678" i="30"/>
  <c r="J1678" i="30"/>
  <c r="I1678" i="30"/>
  <c r="J1676" i="30"/>
  <c r="L1675" i="30"/>
  <c r="I1675" i="30"/>
  <c r="K1674" i="30"/>
  <c r="K1675" i="30" s="1"/>
  <c r="J1674" i="30"/>
  <c r="J1668" i="30" s="1"/>
  <c r="J1673" i="30" s="1"/>
  <c r="H1673" i="30"/>
  <c r="L1672" i="30"/>
  <c r="K1672" i="30"/>
  <c r="J1672" i="30"/>
  <c r="I1672" i="30"/>
  <c r="L1671" i="30"/>
  <c r="K1671" i="30"/>
  <c r="J1671" i="30"/>
  <c r="I1671" i="30"/>
  <c r="I1673" i="30" s="1"/>
  <c r="L1670" i="30"/>
  <c r="K1670" i="30"/>
  <c r="J1670" i="30"/>
  <c r="I1670" i="30"/>
  <c r="H1670" i="30"/>
  <c r="L1669" i="30"/>
  <c r="K1669" i="30"/>
  <c r="J1669" i="30"/>
  <c r="I1669" i="30"/>
  <c r="H1669" i="30"/>
  <c r="L1668" i="30"/>
  <c r="L1673" i="30" s="1"/>
  <c r="I1668" i="30"/>
  <c r="H1668" i="30"/>
  <c r="L1666" i="30"/>
  <c r="K1666" i="30"/>
  <c r="J1666" i="30"/>
  <c r="I1666" i="30"/>
  <c r="H1666" i="30"/>
  <c r="L1664" i="30"/>
  <c r="K1664" i="30"/>
  <c r="J1664" i="30"/>
  <c r="I1664" i="30"/>
  <c r="H1664" i="30"/>
  <c r="K1662" i="30"/>
  <c r="L1661" i="30"/>
  <c r="L1662" i="30" s="1"/>
  <c r="K1661" i="30"/>
  <c r="J1661" i="30"/>
  <c r="J1662" i="30" s="1"/>
  <c r="I1661" i="30"/>
  <c r="I1662" i="30" s="1"/>
  <c r="H1661" i="30"/>
  <c r="H1662" i="30" s="1"/>
  <c r="L1660" i="30"/>
  <c r="K1660" i="30"/>
  <c r="J1660" i="30"/>
  <c r="I1660" i="30"/>
  <c r="L1657" i="30"/>
  <c r="K1657" i="30"/>
  <c r="J1657" i="30"/>
  <c r="I1657" i="30"/>
  <c r="L1655" i="30"/>
  <c r="K1655" i="30"/>
  <c r="J1655" i="30"/>
  <c r="I1655" i="30"/>
  <c r="L1652" i="30"/>
  <c r="K1652" i="30"/>
  <c r="J1652" i="30"/>
  <c r="I1652" i="30"/>
  <c r="L1649" i="30"/>
  <c r="K1649" i="30"/>
  <c r="J1649" i="30"/>
  <c r="I1648" i="30"/>
  <c r="I1649" i="30" s="1"/>
  <c r="L1647" i="30"/>
  <c r="K1647" i="30"/>
  <c r="J1647" i="30"/>
  <c r="I1645" i="30"/>
  <c r="I1647" i="30" s="1"/>
  <c r="L1644" i="30"/>
  <c r="K1644" i="30"/>
  <c r="J1644" i="30"/>
  <c r="I1644" i="30"/>
  <c r="H1644" i="30"/>
  <c r="L1642" i="30"/>
  <c r="K1642" i="30"/>
  <c r="I1642" i="30"/>
  <c r="H1642" i="30"/>
  <c r="J1641" i="30"/>
  <c r="J1642" i="30" s="1"/>
  <c r="L1640" i="30"/>
  <c r="K1640" i="30"/>
  <c r="J1640" i="30"/>
  <c r="I1640" i="30"/>
  <c r="H1640" i="30"/>
  <c r="L1638" i="30"/>
  <c r="K1638" i="30"/>
  <c r="I1638" i="30"/>
  <c r="H1638" i="30"/>
  <c r="J1637" i="30"/>
  <c r="J1638" i="30" s="1"/>
  <c r="L1635" i="30"/>
  <c r="K1635" i="30"/>
  <c r="J1635" i="30"/>
  <c r="I1635" i="30"/>
  <c r="H1635" i="30"/>
  <c r="I1634" i="30"/>
  <c r="L1633" i="30"/>
  <c r="K1633" i="30"/>
  <c r="I1633" i="30"/>
  <c r="H1633" i="30"/>
  <c r="J1632" i="30"/>
  <c r="J1633" i="30" s="1"/>
  <c r="L1631" i="30"/>
  <c r="K1631" i="30"/>
  <c r="J1631" i="30"/>
  <c r="I1631" i="30"/>
  <c r="H1631" i="30"/>
  <c r="J1628" i="30"/>
  <c r="L1627" i="30"/>
  <c r="K1627" i="30"/>
  <c r="K1550" i="30" s="1"/>
  <c r="J1627" i="30"/>
  <c r="I1627" i="30"/>
  <c r="H1627" i="30"/>
  <c r="L1626" i="30"/>
  <c r="L1628" i="30" s="1"/>
  <c r="K1626" i="30"/>
  <c r="K1628" i="30" s="1"/>
  <c r="J1626" i="30"/>
  <c r="I1626" i="30"/>
  <c r="I1628" i="30" s="1"/>
  <c r="H1626" i="30"/>
  <c r="H1628" i="30" s="1"/>
  <c r="L1615" i="30"/>
  <c r="K1615" i="30"/>
  <c r="J1615" i="30"/>
  <c r="I1615" i="30"/>
  <c r="H1615" i="30"/>
  <c r="L1613" i="30"/>
  <c r="K1613" i="30"/>
  <c r="J1613" i="30"/>
  <c r="H1613" i="30"/>
  <c r="J1612" i="30"/>
  <c r="J1611" i="30"/>
  <c r="I1606" i="30"/>
  <c r="I1758" i="30" s="1"/>
  <c r="L1603" i="30"/>
  <c r="K1603" i="30"/>
  <c r="J1603" i="30"/>
  <c r="I1603" i="30"/>
  <c r="H1603" i="30"/>
  <c r="I1600" i="30"/>
  <c r="L1599" i="30"/>
  <c r="K1599" i="30"/>
  <c r="J1599" i="30"/>
  <c r="H1599" i="30"/>
  <c r="I1598" i="30"/>
  <c r="I1597" i="30"/>
  <c r="I1596" i="30"/>
  <c r="I1595" i="30"/>
  <c r="I1593" i="30"/>
  <c r="I1592" i="30"/>
  <c r="I1590" i="30"/>
  <c r="I1599" i="30" s="1"/>
  <c r="L1587" i="30"/>
  <c r="K1587" i="30"/>
  <c r="I1587" i="30"/>
  <c r="H1587" i="30"/>
  <c r="J1586" i="30"/>
  <c r="J1559" i="30" s="1"/>
  <c r="J1585" i="30"/>
  <c r="J1584" i="30"/>
  <c r="J1587" i="30" s="1"/>
  <c r="L1583" i="30"/>
  <c r="K1583" i="30"/>
  <c r="H1583" i="30"/>
  <c r="J1582" i="30"/>
  <c r="J1583" i="30" s="1"/>
  <c r="J1581" i="30"/>
  <c r="I1581" i="30"/>
  <c r="I1583" i="30" s="1"/>
  <c r="L1580" i="30"/>
  <c r="K1580" i="30"/>
  <c r="J1580" i="30"/>
  <c r="I1580" i="30"/>
  <c r="H1580" i="30"/>
  <c r="L1578" i="30"/>
  <c r="K1578" i="30"/>
  <c r="J1578" i="30"/>
  <c r="I1578" i="30"/>
  <c r="H1578" i="30"/>
  <c r="L1575" i="30"/>
  <c r="K1575" i="30"/>
  <c r="J1575" i="30"/>
  <c r="I1575" i="30"/>
  <c r="H1575" i="30"/>
  <c r="L1572" i="30"/>
  <c r="K1572" i="30"/>
  <c r="I1572" i="30"/>
  <c r="H1572" i="30"/>
  <c r="J1571" i="30"/>
  <c r="J1764" i="30" s="1"/>
  <c r="L1568" i="30"/>
  <c r="K1568" i="30"/>
  <c r="J1568" i="30"/>
  <c r="I1568" i="30"/>
  <c r="H1568" i="30"/>
  <c r="L1565" i="30"/>
  <c r="K1565" i="30"/>
  <c r="J1565" i="30"/>
  <c r="I1565" i="30"/>
  <c r="H1565" i="30"/>
  <c r="L1562" i="30"/>
  <c r="K1562" i="30"/>
  <c r="J1562" i="30"/>
  <c r="I1562" i="30"/>
  <c r="H1562" i="30"/>
  <c r="L1559" i="30"/>
  <c r="K1559" i="30"/>
  <c r="I1559" i="30"/>
  <c r="L1558" i="30"/>
  <c r="K1558" i="30"/>
  <c r="J1558" i="30"/>
  <c r="I1558" i="30"/>
  <c r="L1557" i="30"/>
  <c r="L1769" i="30" s="1"/>
  <c r="K1557" i="30"/>
  <c r="K1769" i="30" s="1"/>
  <c r="J1557" i="30"/>
  <c r="J1769" i="30" s="1"/>
  <c r="I1557" i="30"/>
  <c r="I1769" i="30" s="1"/>
  <c r="L1556" i="30"/>
  <c r="K1556" i="30"/>
  <c r="J1556" i="30"/>
  <c r="I1556" i="30"/>
  <c r="L1555" i="30"/>
  <c r="K1555" i="30"/>
  <c r="J1555" i="30"/>
  <c r="I1555" i="30"/>
  <c r="H1555" i="30"/>
  <c r="L1554" i="30"/>
  <c r="L1772" i="30" s="1"/>
  <c r="K1554" i="30"/>
  <c r="K1772" i="30" s="1"/>
  <c r="J1554" i="30"/>
  <c r="J1772" i="30" s="1"/>
  <c r="I1554" i="30"/>
  <c r="I1772" i="30" s="1"/>
  <c r="H1554" i="30"/>
  <c r="L1553" i="30"/>
  <c r="L1771" i="30" s="1"/>
  <c r="K1553" i="30"/>
  <c r="K1771" i="30" s="1"/>
  <c r="H1553" i="30"/>
  <c r="L1552" i="30"/>
  <c r="K1552" i="30"/>
  <c r="J1552" i="30"/>
  <c r="I1552" i="30"/>
  <c r="H1552" i="30"/>
  <c r="L1551" i="30"/>
  <c r="K1551" i="30"/>
  <c r="J1551" i="30"/>
  <c r="I1551" i="30"/>
  <c r="H1551" i="30"/>
  <c r="L1550" i="30"/>
  <c r="J1550" i="30"/>
  <c r="I1550" i="30"/>
  <c r="H1550" i="30"/>
  <c r="L1549" i="30"/>
  <c r="K1549" i="30"/>
  <c r="J1549" i="30"/>
  <c r="I1549" i="30"/>
  <c r="K1548" i="30"/>
  <c r="K1560" i="30" s="1"/>
  <c r="J1548" i="30"/>
  <c r="L1547" i="30"/>
  <c r="I1547" i="30"/>
  <c r="H1547" i="30"/>
  <c r="L1528" i="30"/>
  <c r="L1511" i="30" s="1"/>
  <c r="L1513" i="30" s="1"/>
  <c r="K1528" i="30"/>
  <c r="K1547" i="30" s="1"/>
  <c r="J1528" i="30"/>
  <c r="J1547" i="30" s="1"/>
  <c r="L1527" i="30"/>
  <c r="I1527" i="30"/>
  <c r="H1527" i="30"/>
  <c r="K1517" i="30"/>
  <c r="K1527" i="30" s="1"/>
  <c r="J1517" i="30"/>
  <c r="J1516" i="30"/>
  <c r="J1514" i="30"/>
  <c r="J1527" i="30" s="1"/>
  <c r="I1513" i="30"/>
  <c r="L1512" i="30"/>
  <c r="K1512" i="30"/>
  <c r="J1512" i="30"/>
  <c r="I1512" i="30"/>
  <c r="H1512" i="30"/>
  <c r="K1511" i="30"/>
  <c r="K1513" i="30" s="1"/>
  <c r="I1511" i="30"/>
  <c r="H1511" i="30"/>
  <c r="H1513" i="30" s="1"/>
  <c r="H1505" i="30"/>
  <c r="L1504" i="30"/>
  <c r="L1756" i="30" s="1"/>
  <c r="K1504" i="30"/>
  <c r="K1756" i="30" s="1"/>
  <c r="J1504" i="30"/>
  <c r="J1756" i="30" s="1"/>
  <c r="I1504" i="30"/>
  <c r="I1756" i="30" s="1"/>
  <c r="H1504" i="30"/>
  <c r="L1503" i="30"/>
  <c r="L1505" i="30" s="1"/>
  <c r="K1503" i="30"/>
  <c r="J1503" i="30"/>
  <c r="J1505" i="30" s="1"/>
  <c r="I1503" i="30"/>
  <c r="I1505" i="30" s="1"/>
  <c r="H1503" i="30"/>
  <c r="L1499" i="30"/>
  <c r="L1498" i="30"/>
  <c r="J1498" i="30"/>
  <c r="I1498" i="30"/>
  <c r="L1496" i="30"/>
  <c r="K1496" i="30"/>
  <c r="J1496" i="30"/>
  <c r="L1495" i="30"/>
  <c r="K1495" i="30"/>
  <c r="J1495" i="30"/>
  <c r="I1495" i="30"/>
  <c r="L1491" i="30"/>
  <c r="K1491" i="30"/>
  <c r="J1491" i="30"/>
  <c r="I1491" i="30"/>
  <c r="L1490" i="30"/>
  <c r="K1490" i="30"/>
  <c r="J1490" i="30"/>
  <c r="I1490" i="30"/>
  <c r="L1489" i="30"/>
  <c r="L1500" i="30" s="1"/>
  <c r="L1487" i="30"/>
  <c r="H1487" i="30"/>
  <c r="K1485" i="30"/>
  <c r="J1485" i="30"/>
  <c r="I1484" i="30"/>
  <c r="I1496" i="30" s="1"/>
  <c r="I1483" i="30"/>
  <c r="I1497" i="30" s="1"/>
  <c r="K1482" i="30"/>
  <c r="K1499" i="30" s="1"/>
  <c r="J1482" i="30"/>
  <c r="J1499" i="30" s="1"/>
  <c r="I1482" i="30"/>
  <c r="I1499" i="30" s="1"/>
  <c r="K1481" i="30"/>
  <c r="K1498" i="30" s="1"/>
  <c r="I1481" i="30"/>
  <c r="I1487" i="30" s="1"/>
  <c r="K1480" i="30"/>
  <c r="K1487" i="30" s="1"/>
  <c r="J1480" i="30"/>
  <c r="L1479" i="30"/>
  <c r="K1479" i="30"/>
  <c r="I1479" i="30"/>
  <c r="J1478" i="30"/>
  <c r="K1476" i="30"/>
  <c r="K1489" i="30" s="1"/>
  <c r="J1476" i="30"/>
  <c r="J1479" i="30" s="1"/>
  <c r="L1475" i="30"/>
  <c r="K1475" i="30"/>
  <c r="K1470" i="30" s="1"/>
  <c r="J1475" i="30"/>
  <c r="I1475" i="30"/>
  <c r="H1475" i="30"/>
  <c r="K1471" i="30"/>
  <c r="J1471" i="30"/>
  <c r="L1470" i="30"/>
  <c r="I1470" i="30"/>
  <c r="L1468" i="30"/>
  <c r="K1468" i="30"/>
  <c r="J1468" i="30"/>
  <c r="I1468" i="30"/>
  <c r="H1468" i="30"/>
  <c r="L1466" i="30"/>
  <c r="K1466" i="30"/>
  <c r="J1466" i="30"/>
  <c r="I1466" i="30"/>
  <c r="H1466" i="30"/>
  <c r="J1465" i="30"/>
  <c r="L1464" i="30"/>
  <c r="K1464" i="30"/>
  <c r="J1464" i="30"/>
  <c r="H1464" i="30"/>
  <c r="I1463" i="30"/>
  <c r="I1464" i="30" s="1"/>
  <c r="L1462" i="30"/>
  <c r="K1462" i="30"/>
  <c r="J1462" i="30"/>
  <c r="I1462" i="30"/>
  <c r="H1462" i="30"/>
  <c r="L1459" i="30"/>
  <c r="K1459" i="30"/>
  <c r="J1459" i="30"/>
  <c r="H1459" i="30"/>
  <c r="I1457" i="30"/>
  <c r="I1489" i="30" s="1"/>
  <c r="I1500" i="30" s="1"/>
  <c r="L1456" i="30"/>
  <c r="K1456" i="30"/>
  <c r="J1456" i="30"/>
  <c r="I1456" i="30"/>
  <c r="H1456" i="30"/>
  <c r="J1454" i="30"/>
  <c r="L1453" i="30"/>
  <c r="L1488" i="30" s="1"/>
  <c r="L1501" i="30" s="1"/>
  <c r="K1453" i="30"/>
  <c r="J1453" i="30"/>
  <c r="I1453" i="30"/>
  <c r="J1452" i="30"/>
  <c r="H1452" i="30"/>
  <c r="H1453" i="30" s="1"/>
  <c r="J1451" i="30"/>
  <c r="J1489" i="30" s="1"/>
  <c r="J1500" i="30" s="1"/>
  <c r="L1447" i="30"/>
  <c r="K1447" i="30"/>
  <c r="J1447" i="30"/>
  <c r="I1447" i="30"/>
  <c r="L1446" i="30"/>
  <c r="K1446" i="30"/>
  <c r="J1446" i="30"/>
  <c r="I1446" i="30"/>
  <c r="L1444" i="30"/>
  <c r="K1444" i="30"/>
  <c r="J1444" i="30"/>
  <c r="I1444" i="30"/>
  <c r="L1443" i="30"/>
  <c r="K1443" i="30"/>
  <c r="J1443" i="30"/>
  <c r="I1443" i="30"/>
  <c r="L1442" i="30"/>
  <c r="K1442" i="30"/>
  <c r="J1442" i="30"/>
  <c r="L1441" i="30"/>
  <c r="K1441" i="30"/>
  <c r="J1441" i="30"/>
  <c r="I1441" i="30"/>
  <c r="L1440" i="30"/>
  <c r="K1440" i="30"/>
  <c r="J1440" i="30"/>
  <c r="L1439" i="30"/>
  <c r="K1439" i="30"/>
  <c r="I1439" i="30"/>
  <c r="L1438" i="30"/>
  <c r="L1448" i="30" s="1"/>
  <c r="L1436" i="30"/>
  <c r="L1430" i="30" s="1"/>
  <c r="K1436" i="30"/>
  <c r="J1436" i="30"/>
  <c r="I1436" i="30"/>
  <c r="H1436" i="30"/>
  <c r="K1430" i="30"/>
  <c r="J1430" i="30"/>
  <c r="I1430" i="30"/>
  <c r="L1429" i="30"/>
  <c r="I1429" i="30"/>
  <c r="H1429" i="30"/>
  <c r="L1426" i="30"/>
  <c r="K1426" i="30"/>
  <c r="K1429" i="30" s="1"/>
  <c r="J1426" i="30"/>
  <c r="J1429" i="30" s="1"/>
  <c r="L1419" i="30"/>
  <c r="K1419" i="30"/>
  <c r="I1419" i="30"/>
  <c r="H1419" i="30"/>
  <c r="J1417" i="30"/>
  <c r="J1416" i="30"/>
  <c r="J1419" i="30" s="1"/>
  <c r="L1414" i="30"/>
  <c r="K1414" i="30"/>
  <c r="J1414" i="30"/>
  <c r="I1414" i="30"/>
  <c r="H1414" i="30"/>
  <c r="H1413" i="30"/>
  <c r="L1412" i="30"/>
  <c r="K1412" i="30"/>
  <c r="J1412" i="30"/>
  <c r="I1411" i="30"/>
  <c r="I1412" i="30" s="1"/>
  <c r="I1437" i="30" s="1"/>
  <c r="H1411" i="30"/>
  <c r="H1410" i="30"/>
  <c r="H1412" i="30" s="1"/>
  <c r="H1409" i="30"/>
  <c r="L1408" i="30"/>
  <c r="L1391" i="30" s="1"/>
  <c r="K1408" i="30"/>
  <c r="I1408" i="30"/>
  <c r="H1408" i="30"/>
  <c r="J1407" i="30"/>
  <c r="J1408" i="30" s="1"/>
  <c r="H1407" i="30"/>
  <c r="L1406" i="30"/>
  <c r="K1406" i="30"/>
  <c r="K1391" i="30" s="1"/>
  <c r="J1406" i="30"/>
  <c r="J1391" i="30" s="1"/>
  <c r="I1406" i="30"/>
  <c r="H1406" i="30"/>
  <c r="J1405" i="30"/>
  <c r="J1396" i="30" s="1"/>
  <c r="J1403" i="30"/>
  <c r="K1400" i="30"/>
  <c r="J1400" i="30"/>
  <c r="I1397" i="30"/>
  <c r="L1396" i="30"/>
  <c r="K1396" i="30"/>
  <c r="I1396" i="30"/>
  <c r="L1395" i="30"/>
  <c r="K1395" i="30"/>
  <c r="J1395" i="30"/>
  <c r="I1395" i="30"/>
  <c r="H1395" i="30"/>
  <c r="L1390" i="30"/>
  <c r="K1390" i="30"/>
  <c r="L1389" i="30"/>
  <c r="K1389" i="30"/>
  <c r="J1389" i="30"/>
  <c r="I1389" i="30"/>
  <c r="L1387" i="30"/>
  <c r="K1387" i="30"/>
  <c r="J1387" i="30"/>
  <c r="I1387" i="30"/>
  <c r="H1387" i="30"/>
  <c r="L1384" i="30"/>
  <c r="K1384" i="30"/>
  <c r="J1384" i="30"/>
  <c r="I1384" i="30"/>
  <c r="L1381" i="30"/>
  <c r="K1381" i="30"/>
  <c r="J1381" i="30"/>
  <c r="L1379" i="30"/>
  <c r="K1379" i="30"/>
  <c r="J1379" i="30"/>
  <c r="I1379" i="30"/>
  <c r="K1378" i="30"/>
  <c r="J1378" i="30"/>
  <c r="L1377" i="30"/>
  <c r="L1385" i="30" s="1"/>
  <c r="K1377" i="30"/>
  <c r="K1385" i="30" s="1"/>
  <c r="J1377" i="30"/>
  <c r="I1377" i="30"/>
  <c r="K1375" i="30"/>
  <c r="J1375" i="30"/>
  <c r="I1375" i="30"/>
  <c r="L1374" i="30"/>
  <c r="K1374" i="30"/>
  <c r="K1347" i="30" s="1"/>
  <c r="J1374" i="30"/>
  <c r="I1374" i="30"/>
  <c r="K1372" i="30"/>
  <c r="J1372" i="30"/>
  <c r="L1371" i="30"/>
  <c r="K1371" i="30"/>
  <c r="I1371" i="30"/>
  <c r="I1369" i="30"/>
  <c r="I1351" i="30" s="1"/>
  <c r="J1368" i="30"/>
  <c r="I1368" i="30"/>
  <c r="J1367" i="30"/>
  <c r="J1371" i="30" s="1"/>
  <c r="I1367" i="30"/>
  <c r="L1366" i="30"/>
  <c r="K1366" i="30"/>
  <c r="J1366" i="30"/>
  <c r="I1366" i="30"/>
  <c r="I1347" i="30" s="1"/>
  <c r="I1364" i="30"/>
  <c r="I1442" i="30" s="1"/>
  <c r="L1362" i="30"/>
  <c r="K1362" i="30"/>
  <c r="J1362" i="30"/>
  <c r="I1362" i="30"/>
  <c r="L1352" i="30"/>
  <c r="K1352" i="30"/>
  <c r="J1352" i="30"/>
  <c r="I1352" i="30"/>
  <c r="L1351" i="30"/>
  <c r="K1351" i="30"/>
  <c r="J1351" i="30"/>
  <c r="L1350" i="30"/>
  <c r="K1350" i="30"/>
  <c r="J1350" i="30"/>
  <c r="I1350" i="30"/>
  <c r="L1349" i="30"/>
  <c r="K1349" i="30"/>
  <c r="J1349" i="30"/>
  <c r="L1348" i="30"/>
  <c r="K1348" i="30"/>
  <c r="J1348" i="30"/>
  <c r="I1348" i="30"/>
  <c r="L1345" i="30"/>
  <c r="K1345" i="30"/>
  <c r="J1345" i="30"/>
  <c r="I1345" i="30"/>
  <c r="H1345" i="30"/>
  <c r="J1343" i="30"/>
  <c r="J1341" i="30"/>
  <c r="J1340" i="30"/>
  <c r="I1340" i="30"/>
  <c r="L1339" i="30"/>
  <c r="L1337" i="30" s="1"/>
  <c r="K1339" i="30"/>
  <c r="J1339" i="30"/>
  <c r="I1339" i="30"/>
  <c r="H1339" i="30"/>
  <c r="J1338" i="30"/>
  <c r="I1338" i="30"/>
  <c r="I1438" i="30" s="1"/>
  <c r="K1337" i="30"/>
  <c r="J1337" i="30"/>
  <c r="I1337" i="30"/>
  <c r="L1336" i="30"/>
  <c r="K1336" i="30"/>
  <c r="J1336" i="30"/>
  <c r="I1336" i="30"/>
  <c r="H1335" i="30"/>
  <c r="H1336" i="30" s="1"/>
  <c r="L1334" i="30"/>
  <c r="K1334" i="30"/>
  <c r="J1334" i="30"/>
  <c r="I1334" i="30"/>
  <c r="L1331" i="30"/>
  <c r="K1331" i="30"/>
  <c r="J1331" i="30"/>
  <c r="I1331" i="30"/>
  <c r="H1331" i="30"/>
  <c r="H1329" i="30"/>
  <c r="L1327" i="30"/>
  <c r="K1327" i="30"/>
  <c r="I1327" i="30"/>
  <c r="H1327" i="30"/>
  <c r="J1326" i="30"/>
  <c r="J1327" i="30" s="1"/>
  <c r="L1324" i="30"/>
  <c r="K1324" i="30"/>
  <c r="J1324" i="30"/>
  <c r="I1324" i="30"/>
  <c r="J1323" i="30"/>
  <c r="H1323" i="30"/>
  <c r="H1324" i="30" s="1"/>
  <c r="L1321" i="30"/>
  <c r="K1321" i="30"/>
  <c r="J1321" i="30"/>
  <c r="I1321" i="30"/>
  <c r="H1321" i="30"/>
  <c r="L1318" i="30"/>
  <c r="K1318" i="30"/>
  <c r="I1318" i="30"/>
  <c r="H1318" i="30"/>
  <c r="J1317" i="30"/>
  <c r="H1317" i="30"/>
  <c r="J1316" i="30"/>
  <c r="J1318" i="30" s="1"/>
  <c r="L1315" i="30"/>
  <c r="I1315" i="30"/>
  <c r="H1315" i="30"/>
  <c r="H1314" i="30"/>
  <c r="K1313" i="30"/>
  <c r="K1438" i="30" s="1"/>
  <c r="K1448" i="30" s="1"/>
  <c r="J1313" i="30"/>
  <c r="J1438" i="30" s="1"/>
  <c r="L1312" i="30"/>
  <c r="K1312" i="30"/>
  <c r="J1312" i="30"/>
  <c r="I1312" i="30"/>
  <c r="I1306" i="30" s="1"/>
  <c r="H1312" i="30"/>
  <c r="L1309" i="30"/>
  <c r="L1437" i="30" s="1"/>
  <c r="L1449" i="30" s="1"/>
  <c r="K1309" i="30"/>
  <c r="J1309" i="30"/>
  <c r="I1309" i="30"/>
  <c r="H1309" i="30"/>
  <c r="J1308" i="30"/>
  <c r="J1439" i="30" s="1"/>
  <c r="L1306" i="30"/>
  <c r="L1302" i="30"/>
  <c r="K1302" i="30"/>
  <c r="I1302" i="30"/>
  <c r="L1301" i="30"/>
  <c r="K1301" i="30"/>
  <c r="J1301" i="30"/>
  <c r="I1301" i="30"/>
  <c r="L1300" i="30"/>
  <c r="K1300" i="30"/>
  <c r="J1300" i="30"/>
  <c r="I1300" i="30"/>
  <c r="I1299" i="30"/>
  <c r="J1296" i="30"/>
  <c r="I1296" i="30"/>
  <c r="L1295" i="30"/>
  <c r="K1295" i="30"/>
  <c r="J1295" i="30"/>
  <c r="I1295" i="30"/>
  <c r="I1293" i="30"/>
  <c r="J1289" i="30"/>
  <c r="L1286" i="30"/>
  <c r="K1286" i="30"/>
  <c r="J1286" i="30"/>
  <c r="I1286" i="30"/>
  <c r="J1284" i="30"/>
  <c r="J1283" i="30"/>
  <c r="K1278" i="30"/>
  <c r="J1278" i="30"/>
  <c r="K1277" i="30"/>
  <c r="J1277" i="30"/>
  <c r="J1272" i="30" s="1"/>
  <c r="L1272" i="30"/>
  <c r="L1259" i="30" s="1"/>
  <c r="K1272" i="30"/>
  <c r="K1259" i="30" s="1"/>
  <c r="I1272" i="30"/>
  <c r="L1271" i="30"/>
  <c r="K1271" i="30"/>
  <c r="J1271" i="30"/>
  <c r="J1261" i="30"/>
  <c r="I1261" i="30"/>
  <c r="I1259" i="30" s="1"/>
  <c r="K1256" i="30"/>
  <c r="J1256" i="30"/>
  <c r="J1255" i="30"/>
  <c r="K1253" i="30"/>
  <c r="J1253" i="30"/>
  <c r="K1251" i="30"/>
  <c r="J1251" i="30"/>
  <c r="K1248" i="30"/>
  <c r="K1235" i="30" s="1"/>
  <c r="K1240" i="30" s="1"/>
  <c r="J1248" i="30"/>
  <c r="K1246" i="30"/>
  <c r="J1245" i="30"/>
  <c r="J1238" i="30" s="1"/>
  <c r="J1244" i="30"/>
  <c r="J1237" i="30" s="1"/>
  <c r="J1298" i="30" s="1"/>
  <c r="L1239" i="30"/>
  <c r="K1239" i="30"/>
  <c r="J1239" i="30"/>
  <c r="I1239" i="30"/>
  <c r="L1238" i="30"/>
  <c r="K1238" i="30"/>
  <c r="I1238" i="30"/>
  <c r="L1237" i="30"/>
  <c r="L1298" i="30" s="1"/>
  <c r="K1237" i="30"/>
  <c r="K1298" i="30" s="1"/>
  <c r="I1237" i="30"/>
  <c r="I1298" i="30" s="1"/>
  <c r="L1236" i="30"/>
  <c r="L1240" i="30" s="1"/>
  <c r="K1236" i="30"/>
  <c r="J1236" i="30"/>
  <c r="I1236" i="30"/>
  <c r="L1235" i="30"/>
  <c r="J1235" i="30"/>
  <c r="I1235" i="30"/>
  <c r="I1240" i="30" s="1"/>
  <c r="L1232" i="30"/>
  <c r="K1232" i="30"/>
  <c r="J1232" i="30"/>
  <c r="I1232" i="30"/>
  <c r="L1230" i="30"/>
  <c r="K1230" i="30"/>
  <c r="J1230" i="30"/>
  <c r="I1230" i="30"/>
  <c r="L1228" i="30"/>
  <c r="K1228" i="30"/>
  <c r="J1228" i="30"/>
  <c r="I1228" i="30"/>
  <c r="L1226" i="30"/>
  <c r="L1220" i="30" s="1"/>
  <c r="K1226" i="30"/>
  <c r="K1220" i="30" s="1"/>
  <c r="J1226" i="30"/>
  <c r="I1226" i="30"/>
  <c r="H1226" i="30"/>
  <c r="H1228" i="30" s="1"/>
  <c r="H1230" i="30" s="1"/>
  <c r="J1225" i="30"/>
  <c r="J1218" i="30" s="1"/>
  <c r="L1223" i="30"/>
  <c r="K1223" i="30"/>
  <c r="J1223" i="30"/>
  <c r="J1220" i="30" s="1"/>
  <c r="I1223" i="30"/>
  <c r="I1220" i="30" s="1"/>
  <c r="H1223" i="30"/>
  <c r="J1222" i="30"/>
  <c r="J1221" i="30"/>
  <c r="J1217" i="30" s="1"/>
  <c r="L1219" i="30"/>
  <c r="K1219" i="30"/>
  <c r="J1219" i="30"/>
  <c r="I1219" i="30"/>
  <c r="L1218" i="30"/>
  <c r="K1218" i="30"/>
  <c r="I1218" i="30"/>
  <c r="L1217" i="30"/>
  <c r="K1217" i="30"/>
  <c r="I1217" i="30"/>
  <c r="L1215" i="30"/>
  <c r="K1215" i="30"/>
  <c r="I1215" i="30"/>
  <c r="H1215" i="30"/>
  <c r="J1213" i="30"/>
  <c r="J1302" i="30" s="1"/>
  <c r="I1202" i="30"/>
  <c r="J1197" i="30"/>
  <c r="H1197" i="30"/>
  <c r="L1196" i="30"/>
  <c r="K1196" i="30"/>
  <c r="J1196" i="30"/>
  <c r="I1196" i="30"/>
  <c r="L1195" i="30"/>
  <c r="L1293" i="30" s="1"/>
  <c r="K1195" i="30"/>
  <c r="K1293" i="30" s="1"/>
  <c r="J1195" i="30"/>
  <c r="I1195" i="30"/>
  <c r="L1192" i="30"/>
  <c r="K1192" i="30"/>
  <c r="J1192" i="30"/>
  <c r="I1192" i="30"/>
  <c r="K1189" i="30"/>
  <c r="J1189" i="30"/>
  <c r="I1189" i="30"/>
  <c r="H1189" i="30"/>
  <c r="K1188" i="30"/>
  <c r="J1188" i="30"/>
  <c r="I1188" i="30"/>
  <c r="H1188" i="30"/>
  <c r="K1187" i="30"/>
  <c r="J1187" i="30"/>
  <c r="I1187" i="30"/>
  <c r="K1186" i="30"/>
  <c r="J1186" i="30"/>
  <c r="I1186" i="30"/>
  <c r="H1186" i="30"/>
  <c r="K1185" i="30"/>
  <c r="J1185" i="30"/>
  <c r="I1185" i="30"/>
  <c r="H1185" i="30"/>
  <c r="K1184" i="30"/>
  <c r="J1184" i="30"/>
  <c r="I1184" i="30"/>
  <c r="H1184" i="30"/>
  <c r="K1183" i="30"/>
  <c r="J1183" i="30"/>
  <c r="I1183" i="30"/>
  <c r="H1183" i="30"/>
  <c r="K1182" i="30"/>
  <c r="J1182" i="30"/>
  <c r="I1182" i="30"/>
  <c r="K1181" i="30"/>
  <c r="K1178" i="30" s="1"/>
  <c r="J1181" i="30"/>
  <c r="I1181" i="30"/>
  <c r="K1180" i="30"/>
  <c r="J1180" i="30"/>
  <c r="I1180" i="30"/>
  <c r="H1180" i="30"/>
  <c r="K1179" i="30"/>
  <c r="J1179" i="30"/>
  <c r="J1178" i="30" s="1"/>
  <c r="I1179" i="30"/>
  <c r="I1178" i="30" s="1"/>
  <c r="H1179" i="30"/>
  <c r="L1178" i="30"/>
  <c r="L1176" i="30"/>
  <c r="K1176" i="30"/>
  <c r="K1174" i="30" s="1"/>
  <c r="J1176" i="30"/>
  <c r="J1174" i="30" s="1"/>
  <c r="L1174" i="30"/>
  <c r="I1174" i="30"/>
  <c r="J1169" i="30"/>
  <c r="I1169" i="30"/>
  <c r="H1169" i="30"/>
  <c r="L1168" i="30"/>
  <c r="L1297" i="30" s="1"/>
  <c r="K1168" i="30"/>
  <c r="K1297" i="30" s="1"/>
  <c r="J1168" i="30"/>
  <c r="I1167" i="30"/>
  <c r="H1167" i="30"/>
  <c r="L1163" i="30"/>
  <c r="K1163" i="30"/>
  <c r="J1163" i="30"/>
  <c r="I1163" i="30"/>
  <c r="L1160" i="30"/>
  <c r="K1160" i="30"/>
  <c r="J1160" i="30"/>
  <c r="I1160" i="30"/>
  <c r="H1160" i="30"/>
  <c r="L1156" i="30"/>
  <c r="L1152" i="30" s="1"/>
  <c r="K1156" i="30"/>
  <c r="K1152" i="30" s="1"/>
  <c r="J1156" i="30"/>
  <c r="I1156" i="30"/>
  <c r="L1155" i="30"/>
  <c r="K1155" i="30"/>
  <c r="J1155" i="30"/>
  <c r="I1155" i="30"/>
  <c r="H1155" i="30"/>
  <c r="J1152" i="30"/>
  <c r="I1152" i="30"/>
  <c r="H1152" i="30"/>
  <c r="J1150" i="30"/>
  <c r="L1148" i="30"/>
  <c r="L1089" i="30" s="1"/>
  <c r="J1146" i="30"/>
  <c r="J1090" i="30" s="1"/>
  <c r="J1145" i="30"/>
  <c r="I1145" i="30"/>
  <c r="I1144" i="30" s="1"/>
  <c r="K1144" i="30"/>
  <c r="K1091" i="30" s="1"/>
  <c r="J1144" i="30"/>
  <c r="J1143" i="30"/>
  <c r="K1142" i="30"/>
  <c r="J1142" i="30"/>
  <c r="J1095" i="30" s="1"/>
  <c r="J1139" i="30"/>
  <c r="J1138" i="30"/>
  <c r="J1137" i="30"/>
  <c r="J1136" i="30"/>
  <c r="J1135" i="30"/>
  <c r="J1134" i="30"/>
  <c r="J1133" i="30"/>
  <c r="L1105" i="30"/>
  <c r="L1296" i="30" s="1"/>
  <c r="K1104" i="30"/>
  <c r="L1104" i="30" s="1"/>
  <c r="L1092" i="30" s="1"/>
  <c r="L1102" i="30"/>
  <c r="L1095" i="30" s="1"/>
  <c r="K1102" i="30"/>
  <c r="K1095" i="30" s="1"/>
  <c r="J1101" i="30"/>
  <c r="J1092" i="30" s="1"/>
  <c r="I1095" i="30"/>
  <c r="L1094" i="30"/>
  <c r="K1094" i="30"/>
  <c r="J1094" i="30"/>
  <c r="I1094" i="30"/>
  <c r="J1093" i="30"/>
  <c r="I1093" i="30"/>
  <c r="I1092" i="30"/>
  <c r="L1091" i="30"/>
  <c r="J1091" i="30"/>
  <c r="L1090" i="30"/>
  <c r="K1090" i="30"/>
  <c r="I1090" i="30"/>
  <c r="K1089" i="30"/>
  <c r="K1292" i="30" s="1"/>
  <c r="J1089" i="30"/>
  <c r="I1089" i="30"/>
  <c r="H1089" i="30"/>
  <c r="H1096" i="30" s="1"/>
  <c r="L1084" i="30"/>
  <c r="K1084" i="30"/>
  <c r="K1081" i="30"/>
  <c r="J1081" i="30"/>
  <c r="K1078" i="30"/>
  <c r="J1078" i="30"/>
  <c r="I1078" i="30"/>
  <c r="H1078" i="30"/>
  <c r="L1076" i="30"/>
  <c r="L1078" i="30" s="1"/>
  <c r="K1076" i="30"/>
  <c r="J1076" i="30"/>
  <c r="J1042" i="30" s="1"/>
  <c r="J1050" i="30" s="1"/>
  <c r="I1076" i="30"/>
  <c r="I1073" i="30"/>
  <c r="J1070" i="30"/>
  <c r="J1045" i="30" s="1"/>
  <c r="J1299" i="30" s="1"/>
  <c r="K1069" i="30"/>
  <c r="J1069" i="30"/>
  <c r="K1068" i="30"/>
  <c r="I1068" i="30"/>
  <c r="K1067" i="30"/>
  <c r="K1066" i="30"/>
  <c r="K1064" i="30"/>
  <c r="K1042" i="30" s="1"/>
  <c r="K1050" i="30" s="1"/>
  <c r="J1064" i="30"/>
  <c r="K1062" i="30"/>
  <c r="J1062" i="30"/>
  <c r="K1061" i="30"/>
  <c r="J1061" i="30"/>
  <c r="L1060" i="30"/>
  <c r="K1060" i="30"/>
  <c r="H1060" i="30"/>
  <c r="I1056" i="30"/>
  <c r="I1042" i="30" s="1"/>
  <c r="I1050" i="30" s="1"/>
  <c r="K1055" i="30"/>
  <c r="J1055" i="30"/>
  <c r="L1049" i="30"/>
  <c r="K1049" i="30"/>
  <c r="J1049" i="30"/>
  <c r="I1049" i="30"/>
  <c r="H1049" i="30"/>
  <c r="L1048" i="30"/>
  <c r="K1048" i="30"/>
  <c r="J1048" i="30"/>
  <c r="I1048" i="30"/>
  <c r="L1047" i="30"/>
  <c r="K1047" i="30"/>
  <c r="J1047" i="30"/>
  <c r="J1294" i="30" s="1"/>
  <c r="I1047" i="30"/>
  <c r="I1294" i="30" s="1"/>
  <c r="L1046" i="30"/>
  <c r="K1046" i="30"/>
  <c r="J1046" i="30"/>
  <c r="I1046" i="30"/>
  <c r="L1045" i="30"/>
  <c r="L1299" i="30" s="1"/>
  <c r="K1045" i="30"/>
  <c r="K1299" i="30" s="1"/>
  <c r="I1045" i="30"/>
  <c r="L1043" i="30"/>
  <c r="K1043" i="30"/>
  <c r="J1043" i="30"/>
  <c r="I1043" i="30"/>
  <c r="L1042" i="30"/>
  <c r="L1050" i="30" s="1"/>
  <c r="H1042" i="30"/>
  <c r="L1039" i="30"/>
  <c r="K1039" i="30"/>
  <c r="J1039" i="30"/>
  <c r="I1039" i="30"/>
  <c r="H1039" i="30"/>
  <c r="J1038" i="30"/>
  <c r="J1037" i="30"/>
  <c r="J998" i="30" s="1"/>
  <c r="J1000" i="30" s="1"/>
  <c r="L1036" i="30"/>
  <c r="K1036" i="30"/>
  <c r="J1036" i="30"/>
  <c r="I1036" i="30"/>
  <c r="H1036" i="30"/>
  <c r="L1033" i="30"/>
  <c r="K1033" i="30"/>
  <c r="J1033" i="30"/>
  <c r="I1033" i="30"/>
  <c r="H1033" i="30"/>
  <c r="L1030" i="30"/>
  <c r="K1030" i="30"/>
  <c r="J1030" i="30"/>
  <c r="I1030" i="30"/>
  <c r="H1030" i="30"/>
  <c r="L1027" i="30"/>
  <c r="K1027" i="30"/>
  <c r="J1027" i="30"/>
  <c r="I1027" i="30"/>
  <c r="H1027" i="30"/>
  <c r="L1024" i="30"/>
  <c r="K1024" i="30"/>
  <c r="J1024" i="30"/>
  <c r="I1024" i="30"/>
  <c r="H1024" i="30"/>
  <c r="L1021" i="30"/>
  <c r="K1021" i="30"/>
  <c r="J1021" i="30"/>
  <c r="I1021" i="30"/>
  <c r="H1021" i="30"/>
  <c r="L1018" i="30"/>
  <c r="K1018" i="30"/>
  <c r="J1018" i="30"/>
  <c r="I1018" i="30"/>
  <c r="H1016" i="30"/>
  <c r="H1018" i="30" s="1"/>
  <c r="L1015" i="30"/>
  <c r="K1015" i="30"/>
  <c r="J1015" i="30"/>
  <c r="I1015" i="30"/>
  <c r="H1015" i="30"/>
  <c r="L1012" i="30"/>
  <c r="K1012" i="30"/>
  <c r="J1012" i="30"/>
  <c r="I1012" i="30"/>
  <c r="H1012" i="30"/>
  <c r="L1009" i="30"/>
  <c r="K1009" i="30"/>
  <c r="J1009" i="30"/>
  <c r="I1009" i="30"/>
  <c r="H1009" i="30"/>
  <c r="L1006" i="30"/>
  <c r="K1006" i="30"/>
  <c r="J1006" i="30"/>
  <c r="I1006" i="30"/>
  <c r="H1006" i="30"/>
  <c r="H1004" i="30"/>
  <c r="L1003" i="30"/>
  <c r="K1003" i="30"/>
  <c r="J1003" i="30"/>
  <c r="I1003" i="30"/>
  <c r="H1003" i="30"/>
  <c r="L999" i="30"/>
  <c r="K999" i="30"/>
  <c r="J999" i="30"/>
  <c r="I999" i="30"/>
  <c r="I1000" i="30" s="1"/>
  <c r="H999" i="30"/>
  <c r="L998" i="30"/>
  <c r="L1000" i="30" s="1"/>
  <c r="K998" i="30"/>
  <c r="K1000" i="30" s="1"/>
  <c r="I998" i="30"/>
  <c r="H998" i="30"/>
  <c r="L993" i="30"/>
  <c r="K993" i="30"/>
  <c r="J993" i="30"/>
  <c r="I993" i="30"/>
  <c r="L992" i="30"/>
  <c r="J992" i="30"/>
  <c r="I992" i="30"/>
  <c r="L991" i="30"/>
  <c r="K991" i="30"/>
  <c r="J991" i="30"/>
  <c r="I991" i="30"/>
  <c r="L990" i="30"/>
  <c r="K990" i="30"/>
  <c r="I990" i="30"/>
  <c r="L989" i="30"/>
  <c r="K989" i="30"/>
  <c r="L988" i="30"/>
  <c r="K988" i="30"/>
  <c r="J988" i="30"/>
  <c r="I988" i="30"/>
  <c r="L987" i="30"/>
  <c r="K987" i="30"/>
  <c r="J987" i="30"/>
  <c r="I987" i="30"/>
  <c r="L986" i="30"/>
  <c r="K986" i="30"/>
  <c r="J986" i="30"/>
  <c r="I986" i="30"/>
  <c r="J985" i="30"/>
  <c r="I985" i="30"/>
  <c r="L984" i="30"/>
  <c r="K984" i="30"/>
  <c r="I984" i="30"/>
  <c r="L983" i="30"/>
  <c r="K983" i="30"/>
  <c r="J983" i="30"/>
  <c r="I983" i="30"/>
  <c r="L980" i="30"/>
  <c r="K980" i="30"/>
  <c r="J980" i="30"/>
  <c r="I980" i="30"/>
  <c r="H980" i="30"/>
  <c r="H979" i="30"/>
  <c r="L977" i="30"/>
  <c r="K977" i="30"/>
  <c r="J977" i="30"/>
  <c r="I977" i="30"/>
  <c r="H975" i="30"/>
  <c r="H977" i="30" s="1"/>
  <c r="I972" i="30"/>
  <c r="I965" i="30" s="1"/>
  <c r="I967" i="30"/>
  <c r="J966" i="30"/>
  <c r="L965" i="30"/>
  <c r="L966" i="30" s="1"/>
  <c r="K965" i="30"/>
  <c r="K966" i="30" s="1"/>
  <c r="J965" i="30"/>
  <c r="H965" i="30"/>
  <c r="H966" i="30" s="1"/>
  <c r="L964" i="30"/>
  <c r="K964" i="30"/>
  <c r="J964" i="30"/>
  <c r="I964" i="30"/>
  <c r="H964" i="30"/>
  <c r="H963" i="30"/>
  <c r="L962" i="30"/>
  <c r="K962" i="30"/>
  <c r="K959" i="30" s="1"/>
  <c r="I962" i="30"/>
  <c r="J961" i="30"/>
  <c r="J962" i="30" s="1"/>
  <c r="J959" i="30" s="1"/>
  <c r="H961" i="30"/>
  <c r="H962" i="30" s="1"/>
  <c r="L957" i="30"/>
  <c r="K957" i="30"/>
  <c r="J957" i="30"/>
  <c r="I957" i="30"/>
  <c r="I947" i="30" s="1"/>
  <c r="H955" i="30"/>
  <c r="H957" i="30" s="1"/>
  <c r="L952" i="30"/>
  <c r="L947" i="30" s="1"/>
  <c r="K952" i="30"/>
  <c r="I952" i="30"/>
  <c r="H952" i="30"/>
  <c r="J950" i="30"/>
  <c r="J952" i="30" s="1"/>
  <c r="J947" i="30" s="1"/>
  <c r="H950" i="30"/>
  <c r="K947" i="30"/>
  <c r="L946" i="30"/>
  <c r="K946" i="30"/>
  <c r="J946" i="30"/>
  <c r="I946" i="30"/>
  <c r="H946" i="30"/>
  <c r="L943" i="30"/>
  <c r="K943" i="30"/>
  <c r="J943" i="30"/>
  <c r="I943" i="30"/>
  <c r="H943" i="30"/>
  <c r="L940" i="30"/>
  <c r="J940" i="30"/>
  <c r="I940" i="30"/>
  <c r="H940" i="30"/>
  <c r="L939" i="30"/>
  <c r="L985" i="30" s="1"/>
  <c r="K939" i="30"/>
  <c r="K985" i="30" s="1"/>
  <c r="K938" i="30"/>
  <c r="K940" i="30" s="1"/>
  <c r="L937" i="30"/>
  <c r="K937" i="30"/>
  <c r="J937" i="30"/>
  <c r="I937" i="30"/>
  <c r="H937" i="30"/>
  <c r="L934" i="30"/>
  <c r="J934" i="30"/>
  <c r="I934" i="30"/>
  <c r="H934" i="30"/>
  <c r="K932" i="30"/>
  <c r="K934" i="30" s="1"/>
  <c r="L931" i="30"/>
  <c r="K931" i="30"/>
  <c r="I931" i="30"/>
  <c r="H931" i="30"/>
  <c r="J930" i="30"/>
  <c r="J931" i="30" s="1"/>
  <c r="L927" i="30"/>
  <c r="K927" i="30"/>
  <c r="J927" i="30"/>
  <c r="I927" i="30"/>
  <c r="H927" i="30"/>
  <c r="L924" i="30"/>
  <c r="K924" i="30"/>
  <c r="J924" i="30"/>
  <c r="I924" i="30"/>
  <c r="H924" i="30"/>
  <c r="H921" i="30"/>
  <c r="L920" i="30"/>
  <c r="K920" i="30"/>
  <c r="J920" i="30"/>
  <c r="L919" i="30"/>
  <c r="L921" i="30" s="1"/>
  <c r="K919" i="30"/>
  <c r="J919" i="30"/>
  <c r="L918" i="30"/>
  <c r="K918" i="30"/>
  <c r="K921" i="30" s="1"/>
  <c r="J918" i="30"/>
  <c r="J921" i="30" s="1"/>
  <c r="I918" i="30"/>
  <c r="I921" i="30" s="1"/>
  <c r="L917" i="30"/>
  <c r="K917" i="30"/>
  <c r="I917" i="30"/>
  <c r="H917" i="30"/>
  <c r="J916" i="30"/>
  <c r="J917" i="30" s="1"/>
  <c r="L911" i="30"/>
  <c r="L904" i="30" s="1"/>
  <c r="K911" i="30"/>
  <c r="I911" i="30"/>
  <c r="I904" i="30" s="1"/>
  <c r="J910" i="30"/>
  <c r="J908" i="30"/>
  <c r="J907" i="30"/>
  <c r="J911" i="30" s="1"/>
  <c r="H907" i="30"/>
  <c r="H911" i="30" s="1"/>
  <c r="J905" i="30"/>
  <c r="L903" i="30"/>
  <c r="K903" i="30"/>
  <c r="J903" i="30"/>
  <c r="I903" i="30"/>
  <c r="J900" i="30"/>
  <c r="L899" i="30"/>
  <c r="K899" i="30"/>
  <c r="J899" i="30"/>
  <c r="I899" i="30"/>
  <c r="H899" i="30"/>
  <c r="L896" i="30"/>
  <c r="K896" i="30"/>
  <c r="J896" i="30"/>
  <c r="I896" i="30"/>
  <c r="H896" i="30"/>
  <c r="L894" i="30"/>
  <c r="K894" i="30"/>
  <c r="J894" i="30"/>
  <c r="I894" i="30"/>
  <c r="J893" i="30"/>
  <c r="H891" i="30"/>
  <c r="H894" i="30" s="1"/>
  <c r="I890" i="30"/>
  <c r="I871" i="30" s="1"/>
  <c r="H890" i="30"/>
  <c r="H886" i="30"/>
  <c r="L883" i="30"/>
  <c r="L982" i="30" s="1"/>
  <c r="L994" i="30" s="1"/>
  <c r="K883" i="30"/>
  <c r="K890" i="30" s="1"/>
  <c r="J883" i="30"/>
  <c r="J890" i="30" s="1"/>
  <c r="H883" i="30"/>
  <c r="L882" i="30"/>
  <c r="K882" i="30"/>
  <c r="J882" i="30"/>
  <c r="I882" i="30"/>
  <c r="H882" i="30"/>
  <c r="L880" i="30"/>
  <c r="K880" i="30"/>
  <c r="K871" i="30" s="1"/>
  <c r="J880" i="30"/>
  <c r="I880" i="30"/>
  <c r="H880" i="30"/>
  <c r="L878" i="30"/>
  <c r="K878" i="30"/>
  <c r="J878" i="30"/>
  <c r="I878" i="30"/>
  <c r="H877" i="30"/>
  <c r="J876" i="30"/>
  <c r="H876" i="30"/>
  <c r="H878" i="30" s="1"/>
  <c r="L875" i="30"/>
  <c r="K875" i="30"/>
  <c r="I875" i="30"/>
  <c r="J874" i="30"/>
  <c r="J875" i="30" s="1"/>
  <c r="J871" i="30" s="1"/>
  <c r="J873" i="30"/>
  <c r="H872" i="30"/>
  <c r="H875" i="30" s="1"/>
  <c r="L870" i="30"/>
  <c r="K870" i="30"/>
  <c r="J870" i="30"/>
  <c r="I870" i="30"/>
  <c r="L866" i="30"/>
  <c r="K866" i="30"/>
  <c r="J866" i="30"/>
  <c r="I866" i="30"/>
  <c r="L862" i="30"/>
  <c r="K862" i="30"/>
  <c r="J862" i="30"/>
  <c r="I862" i="30"/>
  <c r="H862" i="30"/>
  <c r="L859" i="30"/>
  <c r="K859" i="30"/>
  <c r="I859" i="30"/>
  <c r="H859" i="30"/>
  <c r="H857" i="30"/>
  <c r="J855" i="30"/>
  <c r="J859" i="30" s="1"/>
  <c r="L852" i="30"/>
  <c r="K852" i="30"/>
  <c r="J852" i="30"/>
  <c r="I852" i="30"/>
  <c r="H851" i="30"/>
  <c r="H852" i="30" s="1"/>
  <c r="L850" i="30"/>
  <c r="K850" i="30"/>
  <c r="J850" i="30"/>
  <c r="I850" i="30"/>
  <c r="H850" i="30"/>
  <c r="L847" i="30"/>
  <c r="K847" i="30"/>
  <c r="J847" i="30"/>
  <c r="I847" i="30"/>
  <c r="H847" i="30"/>
  <c r="L843" i="30"/>
  <c r="K843" i="30"/>
  <c r="J843" i="30"/>
  <c r="I843" i="30"/>
  <c r="H843" i="30"/>
  <c r="L838" i="30"/>
  <c r="K838" i="30"/>
  <c r="J838" i="30"/>
  <c r="H836" i="30"/>
  <c r="I835" i="30"/>
  <c r="I838" i="30" s="1"/>
  <c r="H834" i="30"/>
  <c r="H838" i="30" s="1"/>
  <c r="J830" i="30"/>
  <c r="H830" i="30"/>
  <c r="L829" i="30"/>
  <c r="K829" i="30"/>
  <c r="J829" i="30"/>
  <c r="H829" i="30"/>
  <c r="H828" i="30"/>
  <c r="I826" i="30"/>
  <c r="I829" i="30" s="1"/>
  <c r="J824" i="30"/>
  <c r="L823" i="30"/>
  <c r="L815" i="30" s="1"/>
  <c r="K823" i="30"/>
  <c r="K815" i="30" s="1"/>
  <c r="J823" i="30"/>
  <c r="H821" i="30"/>
  <c r="I818" i="30"/>
  <c r="I823" i="30" s="1"/>
  <c r="J816" i="30"/>
  <c r="H816" i="30"/>
  <c r="H823" i="30" s="1"/>
  <c r="K813" i="30"/>
  <c r="I813" i="30"/>
  <c r="L812" i="30"/>
  <c r="L813" i="30" s="1"/>
  <c r="K812" i="30"/>
  <c r="J812" i="30"/>
  <c r="J813" i="30" s="1"/>
  <c r="L810" i="30"/>
  <c r="K810" i="30"/>
  <c r="J810" i="30"/>
  <c r="I810" i="30"/>
  <c r="H810" i="30"/>
  <c r="L808" i="30"/>
  <c r="K808" i="30"/>
  <c r="I808" i="30"/>
  <c r="H808" i="30"/>
  <c r="J807" i="30"/>
  <c r="J984" i="30" s="1"/>
  <c r="H807" i="30"/>
  <c r="J806" i="30"/>
  <c r="J808" i="30" s="1"/>
  <c r="J803" i="30" s="1"/>
  <c r="L805" i="30"/>
  <c r="K805" i="30"/>
  <c r="K803" i="30" s="1"/>
  <c r="J805" i="30"/>
  <c r="I805" i="30"/>
  <c r="I803" i="30" s="1"/>
  <c r="H805" i="30"/>
  <c r="L802" i="30"/>
  <c r="K802" i="30"/>
  <c r="J802" i="30"/>
  <c r="I802" i="30"/>
  <c r="J801" i="30"/>
  <c r="I801" i="30"/>
  <c r="I989" i="30" s="1"/>
  <c r="L800" i="30"/>
  <c r="K800" i="30"/>
  <c r="J800" i="30"/>
  <c r="I800" i="30"/>
  <c r="H800" i="30"/>
  <c r="H799" i="30"/>
  <c r="L798" i="30"/>
  <c r="K798" i="30"/>
  <c r="J798" i="30"/>
  <c r="I798" i="30"/>
  <c r="J797" i="30"/>
  <c r="H797" i="30"/>
  <c r="H798" i="30" s="1"/>
  <c r="L795" i="30"/>
  <c r="K795" i="30"/>
  <c r="J795" i="30"/>
  <c r="I795" i="30"/>
  <c r="H795" i="30"/>
  <c r="H794" i="30"/>
  <c r="L793" i="30"/>
  <c r="I793" i="30"/>
  <c r="K792" i="30"/>
  <c r="K793" i="30" s="1"/>
  <c r="K776" i="30" s="1"/>
  <c r="J792" i="30"/>
  <c r="H792" i="30"/>
  <c r="J791" i="30"/>
  <c r="J989" i="30" s="1"/>
  <c r="H791" i="30"/>
  <c r="H793" i="30" s="1"/>
  <c r="L787" i="30"/>
  <c r="K787" i="30"/>
  <c r="I787" i="30"/>
  <c r="H787" i="30"/>
  <c r="J786" i="30"/>
  <c r="J787" i="30" s="1"/>
  <c r="H786" i="30"/>
  <c r="L784" i="30"/>
  <c r="K784" i="30"/>
  <c r="I784" i="30"/>
  <c r="H784" i="30"/>
  <c r="J783" i="30"/>
  <c r="J784" i="30" s="1"/>
  <c r="L782" i="30"/>
  <c r="K782" i="30"/>
  <c r="J782" i="30"/>
  <c r="I782" i="30"/>
  <c r="H782" i="30"/>
  <c r="J781" i="30"/>
  <c r="J982" i="30" s="1"/>
  <c r="L780" i="30"/>
  <c r="K780" i="30"/>
  <c r="I780" i="30"/>
  <c r="I776" i="30" s="1"/>
  <c r="H780" i="30"/>
  <c r="J778" i="30"/>
  <c r="J780" i="30" s="1"/>
  <c r="H778" i="30"/>
  <c r="L772" i="30"/>
  <c r="K772" i="30"/>
  <c r="J772" i="30"/>
  <c r="I772" i="30"/>
  <c r="L771" i="30"/>
  <c r="K771" i="30"/>
  <c r="J771" i="30"/>
  <c r="I771" i="30"/>
  <c r="L770" i="30"/>
  <c r="K770" i="30"/>
  <c r="J770" i="30"/>
  <c r="I770" i="30"/>
  <c r="K769" i="30"/>
  <c r="J769" i="30"/>
  <c r="I769" i="30"/>
  <c r="L768" i="30"/>
  <c r="K768" i="30"/>
  <c r="J768" i="30"/>
  <c r="I768" i="30"/>
  <c r="K767" i="30"/>
  <c r="J767" i="30"/>
  <c r="I767" i="30"/>
  <c r="L766" i="30"/>
  <c r="K766" i="30"/>
  <c r="J766" i="30"/>
  <c r="I766" i="30"/>
  <c r="L765" i="30"/>
  <c r="K765" i="30"/>
  <c r="J765" i="30"/>
  <c r="I765" i="30"/>
  <c r="J764" i="30"/>
  <c r="I764" i="30"/>
  <c r="J763" i="30"/>
  <c r="I763" i="30"/>
  <c r="I762" i="30"/>
  <c r="I773" i="30" s="1"/>
  <c r="L760" i="30"/>
  <c r="K760" i="30"/>
  <c r="J760" i="30"/>
  <c r="I760" i="30"/>
  <c r="H760" i="30"/>
  <c r="L757" i="30"/>
  <c r="K757" i="30"/>
  <c r="J757" i="30"/>
  <c r="I757" i="30"/>
  <c r="H757" i="30"/>
  <c r="L754" i="30"/>
  <c r="K754" i="30"/>
  <c r="J754" i="30"/>
  <c r="I754" i="30"/>
  <c r="H754" i="30"/>
  <c r="L752" i="30"/>
  <c r="K752" i="30"/>
  <c r="J752" i="30"/>
  <c r="I752" i="30"/>
  <c r="H752" i="30"/>
  <c r="J746" i="30"/>
  <c r="L741" i="30"/>
  <c r="K741" i="30"/>
  <c r="K717" i="30" s="1"/>
  <c r="J741" i="30"/>
  <c r="I741" i="30"/>
  <c r="H741" i="30"/>
  <c r="L738" i="30"/>
  <c r="K738" i="30"/>
  <c r="J738" i="30"/>
  <c r="I738" i="30"/>
  <c r="H738" i="30"/>
  <c r="J737" i="30"/>
  <c r="L735" i="30"/>
  <c r="K735" i="30"/>
  <c r="I735" i="30"/>
  <c r="H735" i="30"/>
  <c r="J731" i="30"/>
  <c r="J762" i="30" s="1"/>
  <c r="J773" i="30" s="1"/>
  <c r="L729" i="30"/>
  <c r="K729" i="30"/>
  <c r="J729" i="30"/>
  <c r="I729" i="30"/>
  <c r="H729" i="30"/>
  <c r="L722" i="30"/>
  <c r="K722" i="30"/>
  <c r="J722" i="30"/>
  <c r="I722" i="30"/>
  <c r="I717" i="30" s="1"/>
  <c r="H721" i="30"/>
  <c r="H722" i="30" s="1"/>
  <c r="K720" i="30"/>
  <c r="J720" i="30"/>
  <c r="I720" i="30"/>
  <c r="H720" i="30"/>
  <c r="L719" i="30"/>
  <c r="L762" i="30" s="1"/>
  <c r="K719" i="30"/>
  <c r="K762" i="30" s="1"/>
  <c r="J719" i="30"/>
  <c r="L716" i="30"/>
  <c r="K716" i="30"/>
  <c r="J716" i="30"/>
  <c r="I716" i="30"/>
  <c r="L714" i="30"/>
  <c r="K714" i="30"/>
  <c r="J714" i="30"/>
  <c r="I714" i="30"/>
  <c r="L712" i="30"/>
  <c r="K712" i="30"/>
  <c r="I712" i="30"/>
  <c r="J711" i="30"/>
  <c r="L710" i="30"/>
  <c r="L769" i="30" s="1"/>
  <c r="K710" i="30"/>
  <c r="J710" i="30"/>
  <c r="J712" i="30" s="1"/>
  <c r="L709" i="30"/>
  <c r="K709" i="30"/>
  <c r="J709" i="30"/>
  <c r="I709" i="30"/>
  <c r="L706" i="30"/>
  <c r="K706" i="30"/>
  <c r="J706" i="30"/>
  <c r="I706" i="30"/>
  <c r="L703" i="30"/>
  <c r="K703" i="30"/>
  <c r="J703" i="30"/>
  <c r="I703" i="30"/>
  <c r="H703" i="30"/>
  <c r="L699" i="30"/>
  <c r="K699" i="30"/>
  <c r="J699" i="30"/>
  <c r="I699" i="30"/>
  <c r="H699" i="30"/>
  <c r="H698" i="30"/>
  <c r="K696" i="30"/>
  <c r="I696" i="30"/>
  <c r="J693" i="30"/>
  <c r="J696" i="30" s="1"/>
  <c r="L692" i="30"/>
  <c r="L764" i="30" s="1"/>
  <c r="K692" i="30"/>
  <c r="K764" i="30" s="1"/>
  <c r="J692" i="30"/>
  <c r="H692" i="30"/>
  <c r="H696" i="30" s="1"/>
  <c r="L691" i="30"/>
  <c r="K691" i="30"/>
  <c r="J691" i="30"/>
  <c r="I691" i="30"/>
  <c r="H691" i="30"/>
  <c r="L689" i="30"/>
  <c r="K689" i="30"/>
  <c r="J689" i="30"/>
  <c r="I689" i="30"/>
  <c r="H689" i="30"/>
  <c r="L687" i="30"/>
  <c r="K687" i="30"/>
  <c r="J687" i="30"/>
  <c r="I687" i="30"/>
  <c r="H687" i="30"/>
  <c r="K684" i="30"/>
  <c r="I684" i="30"/>
  <c r="H684" i="30"/>
  <c r="L681" i="30"/>
  <c r="L767" i="30" s="1"/>
  <c r="K681" i="30"/>
  <c r="J681" i="30"/>
  <c r="L680" i="30"/>
  <c r="L684" i="30" s="1"/>
  <c r="K680" i="30"/>
  <c r="K763" i="30" s="1"/>
  <c r="J680" i="30"/>
  <c r="J684" i="30" s="1"/>
  <c r="J669" i="30" s="1"/>
  <c r="H679" i="30"/>
  <c r="L678" i="30"/>
  <c r="K678" i="30"/>
  <c r="K669" i="30" s="1"/>
  <c r="J678" i="30"/>
  <c r="I678" i="30"/>
  <c r="H678" i="30"/>
  <c r="L674" i="30"/>
  <c r="K674" i="30"/>
  <c r="J674" i="30"/>
  <c r="I674" i="30"/>
  <c r="H674" i="30"/>
  <c r="L672" i="30"/>
  <c r="K672" i="30"/>
  <c r="J672" i="30"/>
  <c r="I672" i="30"/>
  <c r="I669" i="30" s="1"/>
  <c r="H672" i="30"/>
  <c r="L668" i="30"/>
  <c r="K668" i="30"/>
  <c r="J668" i="30"/>
  <c r="I668" i="30"/>
  <c r="H667" i="30"/>
  <c r="H668" i="30" s="1"/>
  <c r="L666" i="30"/>
  <c r="L661" i="30" s="1"/>
  <c r="K666" i="30"/>
  <c r="J666" i="30"/>
  <c r="I666" i="30"/>
  <c r="I661" i="30" s="1"/>
  <c r="H666" i="30"/>
  <c r="J665" i="30"/>
  <c r="L664" i="30"/>
  <c r="K664" i="30"/>
  <c r="K661" i="30" s="1"/>
  <c r="J664" i="30"/>
  <c r="J661" i="30" s="1"/>
  <c r="I664" i="30"/>
  <c r="I761" i="30" s="1"/>
  <c r="I774" i="30" s="1"/>
  <c r="H664" i="30"/>
  <c r="L657" i="30"/>
  <c r="K657" i="30"/>
  <c r="J657" i="30"/>
  <c r="I657" i="30"/>
  <c r="L656" i="30"/>
  <c r="K656" i="30"/>
  <c r="J656" i="30"/>
  <c r="I656" i="30"/>
  <c r="L655" i="30"/>
  <c r="K655" i="30"/>
  <c r="I655" i="30"/>
  <c r="L654" i="30"/>
  <c r="K654" i="30"/>
  <c r="J654" i="30"/>
  <c r="I654" i="30"/>
  <c r="L653" i="30"/>
  <c r="K653" i="30"/>
  <c r="J653" i="30"/>
  <c r="I653" i="30"/>
  <c r="L652" i="30"/>
  <c r="K652" i="30"/>
  <c r="J652" i="30"/>
  <c r="I652" i="30"/>
  <c r="L651" i="30"/>
  <c r="K651" i="30"/>
  <c r="J651" i="30"/>
  <c r="I651" i="30"/>
  <c r="L650" i="30"/>
  <c r="K650" i="30"/>
  <c r="J650" i="30"/>
  <c r="I650" i="30"/>
  <c r="L649" i="30"/>
  <c r="K649" i="30"/>
  <c r="I649" i="30"/>
  <c r="L648" i="30"/>
  <c r="L658" i="30" s="1"/>
  <c r="K648" i="30"/>
  <c r="K658" i="30" s="1"/>
  <c r="I648" i="30"/>
  <c r="I658" i="30" s="1"/>
  <c r="L646" i="30"/>
  <c r="L647" i="30" s="1"/>
  <c r="L659" i="30" s="1"/>
  <c r="K646" i="30"/>
  <c r="I646" i="30"/>
  <c r="I647" i="30" s="1"/>
  <c r="I659" i="30" s="1"/>
  <c r="H646" i="30"/>
  <c r="J644" i="30"/>
  <c r="J646" i="30" s="1"/>
  <c r="L640" i="30"/>
  <c r="K640" i="30"/>
  <c r="K647" i="30" s="1"/>
  <c r="K659" i="30" s="1"/>
  <c r="J640" i="30"/>
  <c r="I640" i="30"/>
  <c r="H640" i="30"/>
  <c r="L637" i="30"/>
  <c r="K637" i="30"/>
  <c r="J637" i="30"/>
  <c r="I637" i="30"/>
  <c r="H637" i="30"/>
  <c r="J636" i="30"/>
  <c r="Q626" i="30"/>
  <c r="Q627" i="30" s="1"/>
  <c r="L626" i="30"/>
  <c r="K626" i="30"/>
  <c r="J626" i="30"/>
  <c r="J627" i="30" s="1"/>
  <c r="I626" i="30"/>
  <c r="I627" i="30" s="1"/>
  <c r="H626" i="30"/>
  <c r="Q624" i="30"/>
  <c r="L624" i="30"/>
  <c r="L627" i="30" s="1"/>
  <c r="K624" i="30"/>
  <c r="J624" i="30"/>
  <c r="I624" i="30"/>
  <c r="H624" i="30"/>
  <c r="H627" i="30" s="1"/>
  <c r="L622" i="30"/>
  <c r="K622" i="30"/>
  <c r="J622" i="30"/>
  <c r="I622" i="30"/>
  <c r="H622" i="30"/>
  <c r="Q620" i="30"/>
  <c r="L620" i="30"/>
  <c r="K620" i="30"/>
  <c r="J620" i="30"/>
  <c r="I620" i="30"/>
  <c r="H620" i="30"/>
  <c r="J618" i="30"/>
  <c r="Q617" i="30"/>
  <c r="L617" i="30"/>
  <c r="K617" i="30"/>
  <c r="J617" i="30"/>
  <c r="I617" i="30"/>
  <c r="H617" i="30"/>
  <c r="Q615" i="30"/>
  <c r="L615" i="30"/>
  <c r="K615" i="30"/>
  <c r="J615" i="30"/>
  <c r="I615" i="30"/>
  <c r="H615" i="30"/>
  <c r="Q613" i="30"/>
  <c r="L613" i="30"/>
  <c r="K613" i="30"/>
  <c r="J613" i="30"/>
  <c r="I613" i="30"/>
  <c r="H613" i="30"/>
  <c r="Q611" i="30"/>
  <c r="L611" i="30"/>
  <c r="K611" i="30"/>
  <c r="K627" i="30" s="1"/>
  <c r="J611" i="30"/>
  <c r="I611" i="30"/>
  <c r="H611" i="30"/>
  <c r="L609" i="30"/>
  <c r="K609" i="30"/>
  <c r="J609" i="30"/>
  <c r="I609" i="30"/>
  <c r="H609" i="30"/>
  <c r="Q607" i="30"/>
  <c r="L607" i="30"/>
  <c r="K607" i="30"/>
  <c r="K603" i="30" s="1"/>
  <c r="J607" i="30"/>
  <c r="I607" i="30"/>
  <c r="H607" i="30"/>
  <c r="Q605" i="30"/>
  <c r="L605" i="30"/>
  <c r="L603" i="30" s="1"/>
  <c r="K605" i="30"/>
  <c r="J605" i="30"/>
  <c r="J603" i="30" s="1"/>
  <c r="I605" i="30"/>
  <c r="H605" i="30"/>
  <c r="I603" i="30"/>
  <c r="L602" i="30"/>
  <c r="K602" i="30"/>
  <c r="I602" i="30"/>
  <c r="J601" i="30"/>
  <c r="J648" i="30" s="1"/>
  <c r="I601" i="30"/>
  <c r="J600" i="30"/>
  <c r="J602" i="30" s="1"/>
  <c r="L599" i="30"/>
  <c r="K599" i="30"/>
  <c r="J599" i="30"/>
  <c r="I596" i="30"/>
  <c r="I599" i="30" s="1"/>
  <c r="I583" i="30" s="1"/>
  <c r="L595" i="30"/>
  <c r="K595" i="30"/>
  <c r="J595" i="30"/>
  <c r="I595" i="30"/>
  <c r="L593" i="30"/>
  <c r="K593" i="30"/>
  <c r="J593" i="30"/>
  <c r="J583" i="30" s="1"/>
  <c r="I593" i="30"/>
  <c r="H593" i="30"/>
  <c r="H595" i="30" s="1"/>
  <c r="L590" i="30"/>
  <c r="L583" i="30" s="1"/>
  <c r="K590" i="30"/>
  <c r="K583" i="30" s="1"/>
  <c r="J590" i="30"/>
  <c r="I590" i="30"/>
  <c r="H590" i="30"/>
  <c r="I587" i="30"/>
  <c r="L586" i="30"/>
  <c r="K586" i="30"/>
  <c r="J586" i="30"/>
  <c r="I586" i="30"/>
  <c r="L585" i="30"/>
  <c r="K585" i="30"/>
  <c r="J585" i="30"/>
  <c r="I585" i="30"/>
  <c r="L584" i="30"/>
  <c r="K584" i="30"/>
  <c r="J584" i="30"/>
  <c r="I584" i="30"/>
  <c r="L582" i="30"/>
  <c r="K582" i="30"/>
  <c r="J582" i="30"/>
  <c r="I582" i="30"/>
  <c r="I560" i="30" s="1"/>
  <c r="J578" i="30"/>
  <c r="L577" i="30"/>
  <c r="K577" i="30"/>
  <c r="J577" i="30"/>
  <c r="I577" i="30"/>
  <c r="J576" i="30"/>
  <c r="L575" i="30"/>
  <c r="K575" i="30"/>
  <c r="J575" i="30"/>
  <c r="I575" i="30"/>
  <c r="L573" i="30"/>
  <c r="L560" i="30" s="1"/>
  <c r="K573" i="30"/>
  <c r="K560" i="30" s="1"/>
  <c r="I573" i="30"/>
  <c r="J568" i="30"/>
  <c r="J655" i="30" s="1"/>
  <c r="J567" i="30"/>
  <c r="J649" i="30" s="1"/>
  <c r="L566" i="30"/>
  <c r="K566" i="30"/>
  <c r="J566" i="30"/>
  <c r="I566" i="30"/>
  <c r="L565" i="30"/>
  <c r="K565" i="30"/>
  <c r="J565" i="30"/>
  <c r="I565" i="30"/>
  <c r="L564" i="30"/>
  <c r="K564" i="30"/>
  <c r="J564" i="30"/>
  <c r="I564" i="30"/>
  <c r="L563" i="30"/>
  <c r="K563" i="30"/>
  <c r="J563" i="30"/>
  <c r="I563" i="30"/>
  <c r="L562" i="30"/>
  <c r="K562" i="30"/>
  <c r="J562" i="30"/>
  <c r="I562" i="30"/>
  <c r="L561" i="30"/>
  <c r="K561" i="30"/>
  <c r="I561" i="30"/>
  <c r="L555" i="30"/>
  <c r="K555" i="30"/>
  <c r="J555" i="30"/>
  <c r="I555" i="30"/>
  <c r="L554" i="30"/>
  <c r="K554" i="30"/>
  <c r="J554" i="30"/>
  <c r="I554" i="30"/>
  <c r="L552" i="30"/>
  <c r="K552" i="30"/>
  <c r="J552" i="30"/>
  <c r="I552" i="30"/>
  <c r="L550" i="30"/>
  <c r="K550" i="30"/>
  <c r="J550" i="30"/>
  <c r="I550" i="30"/>
  <c r="L549" i="30"/>
  <c r="K549" i="30"/>
  <c r="J549" i="30"/>
  <c r="I549" i="30"/>
  <c r="I548" i="30"/>
  <c r="K544" i="30"/>
  <c r="J544" i="30"/>
  <c r="K543" i="30"/>
  <c r="K541" i="30" s="1"/>
  <c r="K542" i="30" s="1"/>
  <c r="J543" i="30"/>
  <c r="I542" i="30"/>
  <c r="L541" i="30"/>
  <c r="L542" i="30" s="1"/>
  <c r="J541" i="30"/>
  <c r="J542" i="30" s="1"/>
  <c r="K540" i="30"/>
  <c r="K536" i="30"/>
  <c r="I536" i="30"/>
  <c r="I534" i="30" s="1"/>
  <c r="I535" i="30" s="1"/>
  <c r="I533" i="30" s="1"/>
  <c r="L535" i="30"/>
  <c r="L533" i="30" s="1"/>
  <c r="J535" i="30"/>
  <c r="H535" i="30"/>
  <c r="L534" i="30"/>
  <c r="K534" i="30"/>
  <c r="K535" i="30" s="1"/>
  <c r="J534" i="30"/>
  <c r="L531" i="30"/>
  <c r="J531" i="30"/>
  <c r="I531" i="30"/>
  <c r="J530" i="30"/>
  <c r="I530" i="30"/>
  <c r="J528" i="30"/>
  <c r="K527" i="30"/>
  <c r="K520" i="30" s="1"/>
  <c r="J527" i="30"/>
  <c r="J520" i="30" s="1"/>
  <c r="J522" i="30" s="1"/>
  <c r="I527" i="30"/>
  <c r="J525" i="30"/>
  <c r="I523" i="30"/>
  <c r="H522" i="30"/>
  <c r="L521" i="30"/>
  <c r="L556" i="30" s="1"/>
  <c r="K521" i="30"/>
  <c r="K556" i="30" s="1"/>
  <c r="J521" i="30"/>
  <c r="J556" i="30" s="1"/>
  <c r="I521" i="30"/>
  <c r="I556" i="30" s="1"/>
  <c r="L520" i="30"/>
  <c r="L522" i="30" s="1"/>
  <c r="I520" i="30"/>
  <c r="I522" i="30" s="1"/>
  <c r="K519" i="30"/>
  <c r="J519" i="30"/>
  <c r="I519" i="30"/>
  <c r="K518" i="30"/>
  <c r="L516" i="30"/>
  <c r="K516" i="30"/>
  <c r="J516" i="30"/>
  <c r="L515" i="30"/>
  <c r="L510" i="30" s="1"/>
  <c r="L512" i="30" s="1"/>
  <c r="L509" i="30" s="1"/>
  <c r="K515" i="30"/>
  <c r="J515" i="30"/>
  <c r="I515" i="30"/>
  <c r="H512" i="30"/>
  <c r="L511" i="30"/>
  <c r="K511" i="30"/>
  <c r="J511" i="30"/>
  <c r="I511" i="30"/>
  <c r="K510" i="30"/>
  <c r="K512" i="30" s="1"/>
  <c r="J510" i="30"/>
  <c r="J512" i="30" s="1"/>
  <c r="J509" i="30" s="1"/>
  <c r="I510" i="30"/>
  <c r="I512" i="30" s="1"/>
  <c r="L508" i="30"/>
  <c r="K508" i="30"/>
  <c r="J508" i="30"/>
  <c r="I508" i="30"/>
  <c r="I504" i="30" s="1"/>
  <c r="H508" i="30"/>
  <c r="L506" i="30"/>
  <c r="K506" i="30"/>
  <c r="J506" i="30"/>
  <c r="J504" i="30" s="1"/>
  <c r="I506" i="30"/>
  <c r="H506" i="30"/>
  <c r="L504" i="30"/>
  <c r="K504" i="30"/>
  <c r="L502" i="30"/>
  <c r="K502" i="30"/>
  <c r="J502" i="30"/>
  <c r="I502" i="30"/>
  <c r="H502" i="30"/>
  <c r="L500" i="30"/>
  <c r="K500" i="30"/>
  <c r="J500" i="30"/>
  <c r="I500" i="30"/>
  <c r="H500" i="30"/>
  <c r="L497" i="30"/>
  <c r="K497" i="30"/>
  <c r="J497" i="30"/>
  <c r="I497" i="30"/>
  <c r="H497" i="30"/>
  <c r="J496" i="30"/>
  <c r="J494" i="30"/>
  <c r="L493" i="30"/>
  <c r="K493" i="30"/>
  <c r="J493" i="30"/>
  <c r="I493" i="30"/>
  <c r="H493" i="30"/>
  <c r="K491" i="30"/>
  <c r="J491" i="30"/>
  <c r="L490" i="30"/>
  <c r="K490" i="30"/>
  <c r="I490" i="30"/>
  <c r="H490" i="30"/>
  <c r="J488" i="30"/>
  <c r="K487" i="30"/>
  <c r="J487" i="30"/>
  <c r="J490" i="30" s="1"/>
  <c r="I479" i="30"/>
  <c r="I477" i="30" s="1"/>
  <c r="I478" i="30" s="1"/>
  <c r="J478" i="30"/>
  <c r="H478" i="30"/>
  <c r="L477" i="30"/>
  <c r="L478" i="30" s="1"/>
  <c r="K477" i="30"/>
  <c r="K478" i="30" s="1"/>
  <c r="J477" i="30"/>
  <c r="L476" i="30"/>
  <c r="K476" i="30"/>
  <c r="J476" i="30"/>
  <c r="I476" i="30"/>
  <c r="H476" i="30"/>
  <c r="J470" i="30"/>
  <c r="L469" i="30"/>
  <c r="K469" i="30"/>
  <c r="I469" i="30"/>
  <c r="H469" i="30"/>
  <c r="J468" i="30"/>
  <c r="J469" i="30" s="1"/>
  <c r="L465" i="30"/>
  <c r="K465" i="30"/>
  <c r="H465" i="30"/>
  <c r="J464" i="30"/>
  <c r="J465" i="30" s="1"/>
  <c r="I463" i="30"/>
  <c r="I446" i="30" s="1"/>
  <c r="I461" i="30"/>
  <c r="I445" i="30" s="1"/>
  <c r="I449" i="30" s="1"/>
  <c r="L460" i="30"/>
  <c r="K460" i="30"/>
  <c r="J460" i="30"/>
  <c r="I460" i="30"/>
  <c r="H460" i="30"/>
  <c r="L457" i="30"/>
  <c r="K457" i="30"/>
  <c r="K444" i="30" s="1"/>
  <c r="J457" i="30"/>
  <c r="I457" i="30"/>
  <c r="H457" i="30"/>
  <c r="L455" i="30"/>
  <c r="K455" i="30"/>
  <c r="J455" i="30"/>
  <c r="I455" i="30"/>
  <c r="H455" i="30"/>
  <c r="L453" i="30"/>
  <c r="L444" i="30" s="1"/>
  <c r="K453" i="30"/>
  <c r="J453" i="30"/>
  <c r="I453" i="30"/>
  <c r="H453" i="30"/>
  <c r="L451" i="30"/>
  <c r="K451" i="30"/>
  <c r="J451" i="30"/>
  <c r="J444" i="30" s="1"/>
  <c r="I451" i="30"/>
  <c r="H451" i="30"/>
  <c r="K450" i="30"/>
  <c r="J450" i="30"/>
  <c r="I450" i="30"/>
  <c r="H449" i="30"/>
  <c r="L448" i="30"/>
  <c r="K448" i="30"/>
  <c r="I448" i="30"/>
  <c r="L447" i="30"/>
  <c r="K447" i="30"/>
  <c r="J447" i="30"/>
  <c r="I447" i="30"/>
  <c r="L446" i="30"/>
  <c r="K446" i="30"/>
  <c r="J446" i="30"/>
  <c r="L445" i="30"/>
  <c r="L449" i="30" s="1"/>
  <c r="K445" i="30"/>
  <c r="K449" i="30" s="1"/>
  <c r="J445" i="30"/>
  <c r="L443" i="30"/>
  <c r="K443" i="30"/>
  <c r="J443" i="30"/>
  <c r="I443" i="30"/>
  <c r="H443" i="30"/>
  <c r="J442" i="30"/>
  <c r="H442" i="30"/>
  <c r="H440" i="30"/>
  <c r="K438" i="30"/>
  <c r="J438" i="30"/>
  <c r="I438" i="30"/>
  <c r="H438" i="30"/>
  <c r="L437" i="30"/>
  <c r="L438" i="30" s="1"/>
  <c r="L428" i="30" s="1"/>
  <c r="K437" i="30"/>
  <c r="J437" i="30"/>
  <c r="L436" i="30"/>
  <c r="K436" i="30"/>
  <c r="K428" i="30" s="1"/>
  <c r="J436" i="30"/>
  <c r="J428" i="30" s="1"/>
  <c r="I436" i="30"/>
  <c r="H436" i="30"/>
  <c r="L430" i="30"/>
  <c r="K430" i="30"/>
  <c r="J430" i="30"/>
  <c r="I430" i="30"/>
  <c r="H430" i="30"/>
  <c r="I428" i="30"/>
  <c r="L427" i="30"/>
  <c r="K427" i="30"/>
  <c r="J427" i="30"/>
  <c r="I427" i="30"/>
  <c r="L422" i="30"/>
  <c r="K422" i="30"/>
  <c r="J422" i="30"/>
  <c r="I422" i="30"/>
  <c r="H422" i="30"/>
  <c r="J416" i="30"/>
  <c r="L414" i="30"/>
  <c r="J414" i="30"/>
  <c r="K413" i="30"/>
  <c r="J413" i="30"/>
  <c r="L406" i="30"/>
  <c r="L388" i="30" s="1"/>
  <c r="K406" i="30"/>
  <c r="K388" i="30" s="1"/>
  <c r="J405" i="30"/>
  <c r="J401" i="30"/>
  <c r="J400" i="30"/>
  <c r="J399" i="30"/>
  <c r="J389" i="30" s="1"/>
  <c r="J547" i="30" s="1"/>
  <c r="J557" i="30" s="1"/>
  <c r="L396" i="30"/>
  <c r="L389" i="30" s="1"/>
  <c r="K396" i="30"/>
  <c r="J395" i="30"/>
  <c r="J394" i="30"/>
  <c r="H390" i="30"/>
  <c r="K389" i="30"/>
  <c r="I389" i="30"/>
  <c r="I547" i="30" s="1"/>
  <c r="J388" i="30"/>
  <c r="J551" i="30" s="1"/>
  <c r="I388" i="30"/>
  <c r="I551" i="30" s="1"/>
  <c r="L385" i="30"/>
  <c r="K385" i="30"/>
  <c r="J385" i="30"/>
  <c r="I385" i="30"/>
  <c r="H385" i="30"/>
  <c r="L383" i="30"/>
  <c r="K383" i="30"/>
  <c r="J383" i="30"/>
  <c r="I383" i="30"/>
  <c r="H383" i="30"/>
  <c r="I1754" i="30" l="1"/>
  <c r="K1505" i="30"/>
  <c r="J1572" i="30"/>
  <c r="I1613" i="30"/>
  <c r="K1668" i="30"/>
  <c r="K1673" i="30" s="1"/>
  <c r="L1706" i="30"/>
  <c r="L1714" i="30" s="1"/>
  <c r="I1755" i="30"/>
  <c r="I1774" i="30" s="1"/>
  <c r="H1548" i="30"/>
  <c r="H1560" i="30" s="1"/>
  <c r="I1548" i="30"/>
  <c r="I1560" i="30" s="1"/>
  <c r="I1553" i="30"/>
  <c r="I1771" i="30" s="1"/>
  <c r="J1511" i="30"/>
  <c r="J1553" i="30"/>
  <c r="J1771" i="30" s="1"/>
  <c r="J1675" i="30"/>
  <c r="J1773" i="30"/>
  <c r="L1548" i="30"/>
  <c r="L1560" i="30" s="1"/>
  <c r="L1754" i="30" s="1"/>
  <c r="K1747" i="30"/>
  <c r="K1500" i="30"/>
  <c r="I1488" i="30"/>
  <c r="I1501" i="30" s="1"/>
  <c r="K1488" i="30"/>
  <c r="K1501" i="30" s="1"/>
  <c r="J1470" i="30"/>
  <c r="I1459" i="30"/>
  <c r="J1487" i="30"/>
  <c r="J1488" i="30" s="1"/>
  <c r="J1501" i="30" s="1"/>
  <c r="J1347" i="30"/>
  <c r="J1448" i="30"/>
  <c r="I1391" i="30"/>
  <c r="K1437" i="30"/>
  <c r="K1449" i="30" s="1"/>
  <c r="J1315" i="30"/>
  <c r="J1306" i="30" s="1"/>
  <c r="J1437" i="30"/>
  <c r="J1449" i="30" s="1"/>
  <c r="K1315" i="30"/>
  <c r="K1306" i="30" s="1"/>
  <c r="I1349" i="30"/>
  <c r="I1440" i="30"/>
  <c r="I1448" i="30" s="1"/>
  <c r="I1449" i="30" s="1"/>
  <c r="L1347" i="30"/>
  <c r="L1294" i="30"/>
  <c r="J1297" i="30"/>
  <c r="L1291" i="30"/>
  <c r="I1290" i="30"/>
  <c r="I1291" i="30"/>
  <c r="I1303" i="30" s="1"/>
  <c r="L1292" i="30"/>
  <c r="J1293" i="30"/>
  <c r="J1259" i="30"/>
  <c r="K1291" i="30"/>
  <c r="I1096" i="30"/>
  <c r="J1096" i="30"/>
  <c r="I1091" i="30"/>
  <c r="I1297" i="30"/>
  <c r="J1240" i="30"/>
  <c r="K1101" i="30"/>
  <c r="K1092" i="30" s="1"/>
  <c r="K1294" i="30" s="1"/>
  <c r="K1169" i="30"/>
  <c r="J1215" i="30"/>
  <c r="L1093" i="30"/>
  <c r="L1096" i="30" s="1"/>
  <c r="L1169" i="30"/>
  <c r="L1290" i="30" s="1"/>
  <c r="I1292" i="30"/>
  <c r="J1292" i="30"/>
  <c r="K1105" i="30"/>
  <c r="I959" i="30"/>
  <c r="I815" i="30"/>
  <c r="J904" i="30"/>
  <c r="L959" i="30"/>
  <c r="J815" i="30"/>
  <c r="K904" i="30"/>
  <c r="K981" i="30"/>
  <c r="K995" i="30" s="1"/>
  <c r="J776" i="30"/>
  <c r="J981" i="30"/>
  <c r="L803" i="30"/>
  <c r="I982" i="30"/>
  <c r="I994" i="30" s="1"/>
  <c r="I966" i="30"/>
  <c r="L776" i="30"/>
  <c r="J990" i="30"/>
  <c r="J994" i="30" s="1"/>
  <c r="K982" i="30"/>
  <c r="K994" i="30" s="1"/>
  <c r="K992" i="30"/>
  <c r="J793" i="30"/>
  <c r="L890" i="30"/>
  <c r="L871" i="30" s="1"/>
  <c r="I981" i="30"/>
  <c r="I995" i="30" s="1"/>
  <c r="K773" i="30"/>
  <c r="K761" i="30"/>
  <c r="L763" i="30"/>
  <c r="L773" i="30" s="1"/>
  <c r="J761" i="30"/>
  <c r="J774" i="30" s="1"/>
  <c r="J735" i="30"/>
  <c r="J717" i="30" s="1"/>
  <c r="L720" i="30"/>
  <c r="L717" i="30" s="1"/>
  <c r="L696" i="30"/>
  <c r="L761" i="30" s="1"/>
  <c r="L774" i="30" s="1"/>
  <c r="J658" i="30"/>
  <c r="J647" i="30"/>
  <c r="J659" i="30" s="1"/>
  <c r="J561" i="30"/>
  <c r="J573" i="30"/>
  <c r="J560" i="30" s="1"/>
  <c r="L551" i="30"/>
  <c r="L390" i="30"/>
  <c r="L387" i="30" s="1"/>
  <c r="L547" i="30"/>
  <c r="L557" i="30" s="1"/>
  <c r="K551" i="30"/>
  <c r="K390" i="30"/>
  <c r="K387" i="30" s="1"/>
  <c r="K533" i="30"/>
  <c r="J533" i="30"/>
  <c r="I557" i="30"/>
  <c r="L546" i="30"/>
  <c r="L558" i="30" s="1"/>
  <c r="K522" i="30"/>
  <c r="K509" i="30" s="1"/>
  <c r="K547" i="30"/>
  <c r="K557" i="30" s="1"/>
  <c r="I509" i="30"/>
  <c r="I390" i="30"/>
  <c r="I387" i="30" s="1"/>
  <c r="J390" i="30"/>
  <c r="J387" i="30" s="1"/>
  <c r="J448" i="30"/>
  <c r="J449" i="30" s="1"/>
  <c r="I465" i="30"/>
  <c r="I546" i="30" s="1"/>
  <c r="I558" i="30" s="1"/>
  <c r="J1513" i="30" l="1"/>
  <c r="J1755" i="30"/>
  <c r="J1774" i="30" s="1"/>
  <c r="K1754" i="30"/>
  <c r="K1775" i="30" s="1"/>
  <c r="L1755" i="30"/>
  <c r="L1774" i="30" s="1"/>
  <c r="L1775" i="30" s="1"/>
  <c r="K1755" i="30"/>
  <c r="K1774" i="30" s="1"/>
  <c r="J1560" i="30"/>
  <c r="I1775" i="30"/>
  <c r="I1304" i="30"/>
  <c r="L1303" i="30"/>
  <c r="L1304" i="30" s="1"/>
  <c r="K1296" i="30"/>
  <c r="K1093" i="30"/>
  <c r="K1096" i="30" s="1"/>
  <c r="K1303" i="30"/>
  <c r="J1290" i="30"/>
  <c r="J1304" i="30" s="1"/>
  <c r="J1291" i="30"/>
  <c r="J1303" i="30" s="1"/>
  <c r="L981" i="30"/>
  <c r="L995" i="30" s="1"/>
  <c r="J995" i="30"/>
  <c r="K774" i="30"/>
  <c r="L669" i="30"/>
  <c r="I444" i="30"/>
  <c r="K546" i="30"/>
  <c r="K558" i="30" s="1"/>
  <c r="J546" i="30"/>
  <c r="J558" i="30" s="1"/>
  <c r="K368" i="30"/>
  <c r="L368" i="30"/>
  <c r="I368" i="30"/>
  <c r="I367" i="30"/>
  <c r="L223" i="30"/>
  <c r="I223" i="30"/>
  <c r="K223" i="30"/>
  <c r="J223" i="30"/>
  <c r="K258" i="30"/>
  <c r="L258" i="30"/>
  <c r="I258" i="30"/>
  <c r="J256" i="30"/>
  <c r="J258" i="30" s="1"/>
  <c r="J90" i="30"/>
  <c r="J88" i="30"/>
  <c r="J91" i="30"/>
  <c r="J135" i="30"/>
  <c r="J139" i="30"/>
  <c r="J51" i="30"/>
  <c r="J48" i="30"/>
  <c r="J27" i="30"/>
  <c r="J24" i="30"/>
  <c r="J207" i="30"/>
  <c r="J209" i="30"/>
  <c r="J210" i="30"/>
  <c r="J284" i="30"/>
  <c r="J293" i="30"/>
  <c r="J287" i="30"/>
  <c r="J281" i="30"/>
  <c r="J290" i="30"/>
  <c r="J296" i="30"/>
  <c r="J292" i="30"/>
  <c r="J298" i="30"/>
  <c r="J289" i="30"/>
  <c r="J285" i="30"/>
  <c r="J282" i="30"/>
  <c r="J302" i="30"/>
  <c r="J283" i="30"/>
  <c r="J286" i="30"/>
  <c r="J291" i="30"/>
  <c r="J304" i="30"/>
  <c r="J205" i="30"/>
  <c r="J368" i="30" s="1"/>
  <c r="J204" i="30"/>
  <c r="J1754" i="30" l="1"/>
  <c r="J1775" i="30" s="1"/>
  <c r="K1290" i="30"/>
  <c r="K1304" i="30" s="1"/>
  <c r="L358" i="30" l="1"/>
  <c r="K358" i="30"/>
  <c r="J358" i="30"/>
  <c r="I358" i="30"/>
  <c r="H358" i="30"/>
  <c r="J92" i="30" l="1"/>
  <c r="J225" i="30"/>
  <c r="J348" i="30"/>
  <c r="J347" i="30"/>
  <c r="J219" i="30"/>
  <c r="K219" i="30"/>
  <c r="L219" i="30"/>
  <c r="I219" i="30"/>
  <c r="K211" i="30"/>
  <c r="L211" i="30"/>
  <c r="J194" i="30"/>
  <c r="J198" i="30"/>
  <c r="J103" i="30"/>
  <c r="J95" i="30"/>
  <c r="J80" i="30"/>
  <c r="J72" i="30"/>
  <c r="J8" i="30"/>
  <c r="J16" i="30"/>
  <c r="J40" i="30"/>
  <c r="J32" i="30"/>
  <c r="J294" i="30" l="1"/>
  <c r="J288" i="30"/>
  <c r="J301" i="30" l="1"/>
  <c r="K214" i="30"/>
  <c r="J214" i="30"/>
  <c r="K376" i="30" l="1"/>
  <c r="L376" i="30"/>
  <c r="I376" i="30"/>
  <c r="J208" i="30"/>
  <c r="J211" i="30" s="1"/>
  <c r="J229" i="30"/>
  <c r="J230" i="30"/>
  <c r="J136" i="30"/>
  <c r="J128" i="30"/>
  <c r="J127" i="30"/>
  <c r="J120" i="30"/>
  <c r="J119" i="30"/>
  <c r="J104" i="30"/>
  <c r="J81" i="30"/>
  <c r="J57" i="30"/>
  <c r="J56" i="30"/>
  <c r="J9" i="30"/>
  <c r="J17" i="30"/>
  <c r="J49" i="30"/>
  <c r="J33" i="30"/>
  <c r="J376" i="30" l="1"/>
  <c r="T266" i="30"/>
  <c r="K266" i="30" l="1"/>
  <c r="J266" i="30"/>
  <c r="I266" i="30"/>
  <c r="L266" i="30"/>
  <c r="L366" i="30"/>
  <c r="J217" i="30"/>
  <c r="K217" i="30"/>
  <c r="L217" i="30"/>
  <c r="I217" i="30"/>
  <c r="K346" i="30" l="1"/>
  <c r="J346" i="30"/>
  <c r="J202" i="30"/>
  <c r="J201" i="30"/>
  <c r="J200" i="30"/>
  <c r="J297" i="30"/>
  <c r="J299" i="30"/>
  <c r="J300" i="30"/>
  <c r="J303" i="30"/>
  <c r="J295" i="30"/>
  <c r="L191" i="30"/>
  <c r="J243" i="30"/>
  <c r="J238" i="30"/>
  <c r="J147" i="30"/>
  <c r="J131" i="30"/>
  <c r="J123" i="30"/>
  <c r="J115" i="30"/>
  <c r="J155" i="30"/>
  <c r="J107" i="30"/>
  <c r="J99" i="30"/>
  <c r="J84" i="30"/>
  <c r="J76" i="30"/>
  <c r="J68" i="30"/>
  <c r="J61" i="30"/>
  <c r="J12" i="30"/>
  <c r="J45" i="30"/>
  <c r="L369" i="30"/>
  <c r="L323" i="30"/>
  <c r="J372" i="30"/>
  <c r="K372" i="30"/>
  <c r="L372" i="30"/>
  <c r="I372" i="30"/>
  <c r="J325" i="30"/>
  <c r="K325" i="30"/>
  <c r="I325" i="30"/>
  <c r="K361" i="30"/>
  <c r="K225" i="30"/>
  <c r="J377" i="30"/>
  <c r="K377" i="30"/>
  <c r="L377" i="30"/>
  <c r="I377" i="30"/>
  <c r="K317" i="30"/>
  <c r="K366" i="30" s="1"/>
  <c r="J317" i="30"/>
  <c r="J319" i="30" s="1"/>
  <c r="J310" i="30"/>
  <c r="K310" i="30"/>
  <c r="L310" i="30"/>
  <c r="I310" i="30"/>
  <c r="J378" i="30"/>
  <c r="K378" i="30"/>
  <c r="L378" i="30"/>
  <c r="I378" i="30"/>
  <c r="L319" i="30"/>
  <c r="I319" i="30"/>
  <c r="K314" i="30"/>
  <c r="L349" i="30"/>
  <c r="I349" i="30"/>
  <c r="K313" i="30"/>
  <c r="J332" i="30"/>
  <c r="J367" i="30" s="1"/>
  <c r="J331" i="30"/>
  <c r="K331" i="30" s="1"/>
  <c r="L326" i="30"/>
  <c r="K326" i="30"/>
  <c r="L327" i="30"/>
  <c r="K327" i="30"/>
  <c r="L328" i="30"/>
  <c r="K328" i="30"/>
  <c r="L351" i="30"/>
  <c r="K351" i="30"/>
  <c r="L352" i="30"/>
  <c r="K352" i="30"/>
  <c r="J247" i="30"/>
  <c r="K247" i="30"/>
  <c r="L247" i="30"/>
  <c r="I247" i="30"/>
  <c r="J335" i="30"/>
  <c r="J173" i="30"/>
  <c r="I311" i="30"/>
  <c r="J309" i="30"/>
  <c r="L309" i="30"/>
  <c r="I309" i="30"/>
  <c r="I308" i="30"/>
  <c r="L367" i="30" l="1"/>
  <c r="K309" i="30"/>
  <c r="J366" i="30"/>
  <c r="K319" i="30"/>
  <c r="K332" i="30"/>
  <c r="K367" i="30" s="1"/>
  <c r="L325" i="30"/>
  <c r="K329" i="30"/>
  <c r="L307" i="30"/>
  <c r="K345" i="30" l="1"/>
  <c r="J345" i="30"/>
  <c r="K342" i="30"/>
  <c r="J342" i="30"/>
  <c r="K339" i="30"/>
  <c r="J339" i="30"/>
  <c r="J163" i="30"/>
  <c r="K347" i="30" l="1"/>
  <c r="K307" i="30" l="1"/>
  <c r="K349" i="30"/>
  <c r="J307" i="30" l="1"/>
  <c r="J349" i="30"/>
  <c r="L375" i="30" l="1"/>
  <c r="K375" i="30"/>
  <c r="J375" i="30"/>
  <c r="I375" i="30"/>
  <c r="I373" i="30"/>
  <c r="L370" i="30"/>
  <c r="K370" i="30"/>
  <c r="J370" i="30"/>
  <c r="K369" i="30"/>
  <c r="J369" i="30"/>
  <c r="L363" i="30"/>
  <c r="K363" i="30"/>
  <c r="J363" i="30"/>
  <c r="I363" i="30"/>
  <c r="L356" i="30"/>
  <c r="K356" i="30"/>
  <c r="J356" i="30"/>
  <c r="J353" i="30"/>
  <c r="I353" i="30"/>
  <c r="H353" i="30"/>
  <c r="L337" i="30"/>
  <c r="K337" i="30"/>
  <c r="J337" i="30"/>
  <c r="H337" i="30"/>
  <c r="I336" i="30"/>
  <c r="L333" i="30"/>
  <c r="H333" i="30"/>
  <c r="I333" i="30"/>
  <c r="J329" i="30"/>
  <c r="I329" i="30"/>
  <c r="H329" i="30"/>
  <c r="L311" i="30"/>
  <c r="K311" i="30"/>
  <c r="L322" i="30"/>
  <c r="K322" i="30"/>
  <c r="J322" i="30"/>
  <c r="I322" i="30"/>
  <c r="H322" i="30"/>
  <c r="L315" i="30"/>
  <c r="K315" i="30"/>
  <c r="J315" i="30"/>
  <c r="H315" i="30"/>
  <c r="L305" i="30"/>
  <c r="L280" i="30" s="1"/>
  <c r="K305" i="30"/>
  <c r="K280" i="30" s="1"/>
  <c r="J305" i="30"/>
  <c r="J280" i="30" s="1"/>
  <c r="H304" i="30"/>
  <c r="H302" i="30"/>
  <c r="H299" i="30"/>
  <c r="H295" i="30"/>
  <c r="H294" i="30"/>
  <c r="H292" i="30"/>
  <c r="H291" i="30"/>
  <c r="H289" i="30"/>
  <c r="H288" i="30"/>
  <c r="H287" i="30"/>
  <c r="H286" i="30"/>
  <c r="H284" i="30"/>
  <c r="H283" i="30"/>
  <c r="H282" i="30"/>
  <c r="I305" i="30"/>
  <c r="I280" i="30" s="1"/>
  <c r="L279" i="30"/>
  <c r="L276" i="30" s="1"/>
  <c r="K279" i="30"/>
  <c r="K276" i="30" s="1"/>
  <c r="I279" i="30"/>
  <c r="I276" i="30" s="1"/>
  <c r="J277" i="30"/>
  <c r="J365" i="30" s="1"/>
  <c r="H277" i="30"/>
  <c r="H279" i="30" s="1"/>
  <c r="L274" i="30"/>
  <c r="K274" i="30"/>
  <c r="J274" i="30"/>
  <c r="I274" i="30"/>
  <c r="H274" i="30"/>
  <c r="L272" i="30"/>
  <c r="K272" i="30"/>
  <c r="J272" i="30"/>
  <c r="I272" i="30"/>
  <c r="H272" i="30"/>
  <c r="H266" i="30"/>
  <c r="H258" i="30"/>
  <c r="L255" i="30"/>
  <c r="K255" i="30"/>
  <c r="J255" i="30"/>
  <c r="I255" i="30"/>
  <c r="H255" i="30"/>
  <c r="L251" i="30"/>
  <c r="K251" i="30"/>
  <c r="J251" i="30"/>
  <c r="I251" i="30"/>
  <c r="H251" i="30"/>
  <c r="L249" i="30"/>
  <c r="K249" i="30"/>
  <c r="J249" i="30"/>
  <c r="H249" i="30"/>
  <c r="I249" i="30"/>
  <c r="H247" i="30"/>
  <c r="L244" i="30"/>
  <c r="K244" i="30"/>
  <c r="J244" i="30"/>
  <c r="I244" i="30"/>
  <c r="H244" i="30"/>
  <c r="L239" i="30"/>
  <c r="K239" i="30"/>
  <c r="J239" i="30"/>
  <c r="I239" i="30"/>
  <c r="H235" i="30"/>
  <c r="H239" i="30" s="1"/>
  <c r="L234" i="30"/>
  <c r="K234" i="30"/>
  <c r="J234" i="30"/>
  <c r="I234" i="30"/>
  <c r="H234" i="30"/>
  <c r="L231" i="30"/>
  <c r="L224" i="30" s="1"/>
  <c r="K231" i="30"/>
  <c r="K224" i="30" s="1"/>
  <c r="I231" i="30"/>
  <c r="I224" i="30" s="1"/>
  <c r="H227" i="30"/>
  <c r="H226"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L167" i="30"/>
  <c r="K167" i="30"/>
  <c r="J167" i="30"/>
  <c r="I167" i="30"/>
  <c r="H167" i="30"/>
  <c r="I165" i="30"/>
  <c r="H164" i="30"/>
  <c r="L163" i="30"/>
  <c r="L365" i="30" s="1"/>
  <c r="K163" i="30"/>
  <c r="K365" i="30" s="1"/>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70" i="30"/>
  <c r="H19" i="30"/>
  <c r="I23" i="30"/>
  <c r="H16" i="30"/>
  <c r="L15" i="30"/>
  <c r="K15" i="30"/>
  <c r="J15" i="30"/>
  <c r="H14" i="30"/>
  <c r="H13" i="30"/>
  <c r="I15" i="30"/>
  <c r="I365" i="30" l="1"/>
  <c r="J279" i="30"/>
  <c r="J276" i="30" s="1"/>
  <c r="I366" i="30"/>
  <c r="J267" i="30"/>
  <c r="I203" i="30"/>
  <c r="H47" i="30"/>
  <c r="K267" i="30"/>
  <c r="H63" i="30"/>
  <c r="H15" i="30"/>
  <c r="H118" i="30"/>
  <c r="H79" i="30"/>
  <c r="I307" i="30"/>
  <c r="H165" i="30"/>
  <c r="H23" i="30"/>
  <c r="H31" i="30"/>
  <c r="H102" i="30"/>
  <c r="J203" i="30"/>
  <c r="H231" i="30"/>
  <c r="K165" i="30"/>
  <c r="K7" i="30" s="1"/>
  <c r="I171" i="30"/>
  <c r="L165" i="30"/>
  <c r="L7" i="30" s="1"/>
  <c r="K308" i="30"/>
  <c r="L308" i="30"/>
  <c r="J333" i="30"/>
  <c r="J311" i="30"/>
  <c r="J308" i="30"/>
  <c r="I39" i="30"/>
  <c r="I7" i="30" s="1"/>
  <c r="H55" i="30"/>
  <c r="I55" i="30"/>
  <c r="H134" i="30"/>
  <c r="H189" i="30"/>
  <c r="I369" i="30"/>
  <c r="I315" i="30"/>
  <c r="I337" i="30"/>
  <c r="K373" i="30"/>
  <c r="L373" i="30"/>
  <c r="L379" i="30" s="1"/>
  <c r="I356" i="30"/>
  <c r="I364" i="30" s="1"/>
  <c r="I267" i="30"/>
  <c r="L267" i="30"/>
  <c r="I232" i="30"/>
  <c r="J165" i="30"/>
  <c r="J197" i="30"/>
  <c r="J7" i="30" s="1"/>
  <c r="J231" i="30"/>
  <c r="H39" i="30"/>
  <c r="H158" i="30"/>
  <c r="J232" i="30"/>
  <c r="H305" i="30"/>
  <c r="K353" i="30"/>
  <c r="H94" i="30"/>
  <c r="H126" i="30"/>
  <c r="L232" i="30"/>
  <c r="K232" i="30"/>
  <c r="L329" i="30"/>
  <c r="K333" i="30"/>
  <c r="J373" i="30"/>
  <c r="L353" i="30"/>
  <c r="L364" i="30" s="1"/>
  <c r="K364" i="30" l="1"/>
  <c r="J364" i="30"/>
  <c r="L306" i="30"/>
  <c r="K306" i="30"/>
  <c r="J306" i="30"/>
  <c r="I306" i="30"/>
  <c r="J224" i="30"/>
  <c r="L380" i="30"/>
  <c r="J379" i="30"/>
  <c r="K379" i="30"/>
  <c r="I379" i="30"/>
  <c r="I380" i="30" l="1"/>
  <c r="J380" i="30"/>
  <c r="K380"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Vaida Čedavičienė</author>
  </authors>
  <commentList>
    <comment ref="K1724" authorId="0" shapeId="0" xr:uid="{1C92CCB2-3B63-4649-91DC-2B73FE217EE6}">
      <text>
        <r>
          <rPr>
            <b/>
            <sz val="9"/>
            <color indexed="81"/>
            <rFont val="Tahoma"/>
            <charset val="1"/>
          </rPr>
          <t>Vaida Čedavičienė:</t>
        </r>
        <r>
          <rPr>
            <sz val="9"/>
            <color indexed="81"/>
            <rFont val="Tahoma"/>
            <charset val="1"/>
          </rPr>
          <t xml:space="preserve">
362,5 mokyklos sklypui 2026 </t>
        </r>
      </text>
    </comment>
  </commentList>
</comments>
</file>

<file path=xl/sharedStrings.xml><?xml version="1.0" encoding="utf-8"?>
<sst xmlns="http://schemas.openxmlformats.org/spreadsheetml/2006/main" count="7527" uniqueCount="2556">
  <si>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</si>
  <si>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</si>
  <si>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</si>
  <si>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</si>
  <si>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</si>
  <si>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</si>
  <si>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</si>
  <si>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</si>
  <si>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</si>
  <si>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</si>
  <si>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</si>
  <si>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</si>
  <si>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</si>
  <si>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</si>
  <si>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</si>
  <si>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</si>
  <si>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</si>
  <si>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</si>
  <si>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</si>
  <si>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</si>
  <si>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</si>
  <si>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</si>
  <si>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</si>
  <si>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</si>
  <si>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</si>
  <si>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</si>
  <si>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</si>
  <si>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</si>
  <si>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</si>
  <si>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</si>
  <si>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</si>
  <si>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</si>
  <si>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</si>
  <si>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</si>
  <si>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</si>
  <si>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</si>
  <si>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</si>
  <si>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</si>
  <si>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</si>
  <si>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</si>
  <si>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</si>
  <si>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</si>
  <si>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</si>
  <si>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</si>
  <si>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</si>
  <si>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</si>
  <si>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</si>
  <si>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</si>
  <si>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</si>
  <si>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</si>
  <si>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</si>
  <si>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</si>
  <si>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</si>
  <si>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</si>
  <si>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</si>
  <si>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</si>
  <si>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</si>
  <si>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</si>
  <si>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</si>
  <si>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</si>
  <si>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</si>
  <si>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</si>
  <si>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</si>
  <si>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</si>
  <si>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</si>
  <si>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</si>
  <si>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</si>
  <si>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</si>
  <si>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</si>
  <si>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</si>
  <si>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</si>
  <si>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</si>
  <si>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</si>
  <si>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</si>
  <si>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</si>
  <si>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</si>
  <si>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</si>
  <si>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</si>
  <si>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</si>
  <si>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</si>
  <si>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</si>
  <si>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</si>
  <si>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</si>
  <si>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</si>
  <si>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</si>
  <si>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</si>
  <si>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</si>
  <si>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</si>
  <si>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</si>
  <si>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</si>
  <si>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</si>
  <si>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</si>
  <si>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</si>
  <si>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</si>
  <si>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</si>
  <si>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</si>
  <si>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</si>
  <si>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</si>
  <si>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</si>
  <si>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</si>
  <si>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</si>
  <si>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</si>
  <si>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</si>
  <si>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</si>
  <si>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</si>
  <si>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</si>
  <si>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</si>
  <si>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</si>
  <si>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</si>
  <si>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</si>
  <si>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</si>
  <si>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</si>
  <si>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</si>
  <si>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</si>
  <si>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</si>
  <si>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</si>
  <si>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</si>
  <si>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</si>
  <si>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</si>
  <si>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</si>
  <si>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</si>
  <si>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</si>
  <si>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</si>
  <si>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</si>
  <si>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</si>
  <si>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</si>
  <si>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</si>
  <si>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</si>
  <si>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</si>
  <si>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</si>
  <si>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</si>
  <si>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</si>
  <si>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</si>
  <si>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</si>
  <si>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</si>
  <si>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</si>
  <si>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</si>
  <si>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</si>
  <si>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</si>
  <si>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</si>
  <si>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</si>
  <si>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</si>
  <si>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</si>
  <si>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</si>
  <si>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</si>
  <si>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</si>
  <si>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</si>
  <si>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</si>
  <si>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</si>
  <si>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</si>
  <si>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</si>
  <si>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</si>
  <si>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</si>
  <si>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</si>
  <si>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</si>
  <si>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</si>
  <si>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</si>
  <si>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</si>
  <si>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</si>
  <si>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</si>
  <si>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</si>
  <si>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</si>
  <si>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</si>
  <si>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</si>
  <si>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</si>
  <si>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</si>
  <si>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</si>
  <si>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</si>
  <si>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</si>
  <si>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</si>
  <si>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</si>
  <si>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</si>
  <si>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</si>
  <si>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</si>
  <si>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</si>
  <si>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</si>
  <si>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</si>
  <si>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</si>
  <si>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</si>
  <si>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</si>
  <si>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</si>
  <si>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</si>
  <si>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</si>
  <si>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</si>
  <si>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</si>
  <si>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</si>
  <si>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</si>
  <si>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</si>
  <si>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</si>
  <si>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</si>
  <si>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</si>
  <si>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</si>
  <si>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</si>
  <si>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</si>
  <si>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</si>
  <si>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</si>
  <si>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</si>
  <si>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</si>
  <si>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</si>
  <si>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</si>
  <si>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</si>
  <si>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</si>
  <si>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</si>
  <si>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</si>
  <si>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</si>
  <si>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</si>
  <si>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</si>
  <si>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</si>
  <si>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</si>
  <si>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</si>
  <si>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</si>
  <si>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</si>
  <si>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</si>
  <si>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</si>
  <si>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</si>
  <si>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</si>
  <si>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</si>
  <si>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</si>
  <si>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</si>
  <si>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</si>
  <si>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</si>
  <si>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</si>
  <si>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</si>
  <si>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</si>
  <si>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</si>
  <si>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</si>
  <si>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</si>
  <si>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</si>
  <si>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</si>
  <si>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</si>
  <si>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</si>
  <si>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</si>
  <si>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</si>
  <si>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</si>
  <si>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</si>
  <si>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</si>
  <si>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</si>
  <si>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</si>
  <si>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</si>
  <si>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</si>
  <si>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</si>
  <si>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</si>
  <si>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</si>
  <si>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</si>
  <si>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</si>
  <si>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</si>
  <si>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5.1.2.3.</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</si>
  <si>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</si>
  <si>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</si>
  <si>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</si>
  <si>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</si>
  <si>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</si>
  <si>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</si>
  <si>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</si>
  <si>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</si>
  <si>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</si>
  <si>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</si>
  <si>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</si>
  <si>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</si>
  <si>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</si>
  <si>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</si>
  <si>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</si>
  <si>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</si>
  <si>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</si>
  <si>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</si>
  <si>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</si>
  <si>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</si>
  <si>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</si>
  <si>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</si>
  <si>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</si>
  <si>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</si>
  <si>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</si>
  <si>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</si>
  <si>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</si>
  <si>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</si>
  <si>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</si>
  <si>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</si>
  <si>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</si>
  <si>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</si>
  <si>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</si>
  <si>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</si>
  <si>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</si>
  <si>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</si>
  <si>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</si>
  <si>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</si>
  <si>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</si>
  <si>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</si>
  <si>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</si>
  <si>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</si>
  <si>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</si>
  <si>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</si>
  <si>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</si>
  <si>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</si>
  <si>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</si>
  <si>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</si>
  <si>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</si>
  <si>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</si>
  <si>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</si>
  <si>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</si>
  <si>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</si>
  <si>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</si>
  <si>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</si>
  <si>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</si>
  <si>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</si>
  <si>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</si>
  <si>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</si>
  <si>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</si>
  <si>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</si>
  <si>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</si>
  <si>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</si>
  <si>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</si>
  <si>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</si>
  <si>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</si>
  <si>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</si>
  <si>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</si>
  <si>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</si>
  <si>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</si>
  <si>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</si>
  <si>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</si>
  <si>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</si>
  <si>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</si>
  <si>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</si>
  <si>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</si>
  <si>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</si>
  <si>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</si>
  <si>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</si>
  <si>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</si>
  <si>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</si>
  <si>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</si>
  <si>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</si>
  <si>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</si>
  <si>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</si>
  <si>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</si>
  <si>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</si>
  <si>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</si>
  <si>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</si>
  <si>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</si>
  <si>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</si>
  <si>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</si>
  <si>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</si>
  <si>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</si>
  <si>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</si>
  <si>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</si>
  <si>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</si>
  <si>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</si>
  <si>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</si>
  <si>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</si>
  <si>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</si>
  <si>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</si>
  <si>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</si>
  <si>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</si>
  <si>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</si>
  <si>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</si>
  <si>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</si>
  <si>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</si>
  <si>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</si>
  <si>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</si>
  <si>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</si>
  <si>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</si>
  <si>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</si>
  <si>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</si>
  <si>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</si>
  <si>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</si>
  <si>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</si>
  <si>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</si>
  <si>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</si>
  <si>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</si>
  <si>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</si>
  <si>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</si>
  <si>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</si>
  <si>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</si>
  <si>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</si>
  <si>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</si>
  <si>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</si>
  <si>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</si>
  <si>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</si>
  <si>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</si>
  <si>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</si>
  <si>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</si>
  <si>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</si>
  <si>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</si>
  <si>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</si>
  <si>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</si>
  <si>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</si>
  <si>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</si>
  <si>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</si>
  <si>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</si>
  <si>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</si>
  <si>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</si>
  <si>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</si>
  <si>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</si>
  <si>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</si>
  <si>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</si>
  <si>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</si>
  <si>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</si>
  <si>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</si>
  <si>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</si>
  <si>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</si>
  <si>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</si>
  <si>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</si>
  <si>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</si>
  <si>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</si>
  <si>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</si>
  <si>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</si>
  <si>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</si>
  <si>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</si>
  <si>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</si>
  <si>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</si>
  <si>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</si>
  <si>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</si>
  <si>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</si>
  <si>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</si>
  <si>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</si>
  <si>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</si>
  <si>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</si>
  <si>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</si>
  <si>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</si>
  <si>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</si>
  <si>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</si>
  <si>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</si>
  <si>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</si>
  <si>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</si>
  <si>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</si>
  <si>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</si>
  <si>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</si>
  <si>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</si>
  <si>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</si>
  <si>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</si>
  <si>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</si>
  <si>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</si>
  <si>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</si>
  <si>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</si>
  <si>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</si>
  <si>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</si>
  <si>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</si>
  <si>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</si>
  <si>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</si>
  <si>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</si>
  <si>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</si>
  <si>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</si>
  <si>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</si>
  <si>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</si>
  <si>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</si>
  <si>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</si>
  <si>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</si>
  <si>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</si>
  <si>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</si>
  <si>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</si>
  <si>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</si>
  <si>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</si>
  <si>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</si>
  <si>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</si>
  <si>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</si>
  <si>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</si>
  <si>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</si>
  <si>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</si>
  <si>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</si>
  <si>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</si>
  <si>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</si>
  <si>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</si>
  <si>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</si>
  <si>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</si>
  <si>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</si>
  <si>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</si>
  <si>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</si>
  <si>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</si>
  <si>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</si>
  <si>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</si>
  <si>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</si>
  <si>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</si>
  <si>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</si>
  <si>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</si>
  <si>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</si>
  <si>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</si>
  <si>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</si>
  <si>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</si>
  <si>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</si>
  <si>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</si>
  <si>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</si>
  <si>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</si>
  <si>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</si>
  <si>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</si>
  <si>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</si>
  <si>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</si>
  <si>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</si>
  <si>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</si>
  <si>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</si>
  <si>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</si>
  <si>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</si>
  <si>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</si>
  <si>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</si>
  <si>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</si>
  <si>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</si>
  <si>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</si>
  <si>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</si>
  <si>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</si>
  <si>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</si>
  <si>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</si>
  <si>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</si>
  <si>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</si>
  <si>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</si>
  <si>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</si>
  <si>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</si>
  <si>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</si>
  <si>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</si>
  <si>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</si>
  <si>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</si>
  <si>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</si>
  <si>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</si>
  <si>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</si>
  <si>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</si>
  <si>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</si>
  <si>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</si>
  <si>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</si>
  <si>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</si>
  <si>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</si>
  <si>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</si>
  <si>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</si>
  <si>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</si>
  <si>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</si>
  <si>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</si>
  <si>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</si>
  <si>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</si>
  <si>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</si>
  <si>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</si>
  <si>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</si>
  <si>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</si>
  <si>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</si>
  <si>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</si>
  <si>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</si>
  <si>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</si>
  <si>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</si>
  <si>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</si>
  <si>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</si>
  <si>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</si>
  <si>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</si>
  <si>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</si>
  <si>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</si>
  <si>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</si>
  <si>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</si>
  <si>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</si>
  <si>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</si>
  <si>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</si>
  <si>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</si>
  <si>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</si>
  <si>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</si>
  <si>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</si>
  <si>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</si>
  <si>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</si>
  <si>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</si>
  <si>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</si>
  <si>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</si>
  <si>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</si>
  <si>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</si>
  <si>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</si>
  <si>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</si>
  <si>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</si>
  <si>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</si>
  <si>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</si>
  <si>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</si>
  <si>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</si>
  <si>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</si>
  <si>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</si>
  <si>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</si>
  <si>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</si>
  <si>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</si>
  <si>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</si>
  <si>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</si>
  <si>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</si>
  <si>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</si>
  <si>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</si>
  <si>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</si>
  <si>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</si>
  <si>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</si>
  <si>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</si>
  <si>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</si>
  <si>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</si>
  <si>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</si>
  <si>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</si>
  <si>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</si>
  <si>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</si>
  <si>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</si>
  <si>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</si>
  <si>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</si>
  <si>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</si>
  <si>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</si>
  <si>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</si>
  <si>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</si>
  <si>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</si>
  <si>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</si>
  <si>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</si>
  <si>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</si>
  <si>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</si>
  <si>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</si>
  <si>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</si>
  <si>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</si>
  <si>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</si>
  <si>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</si>
  <si>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</si>
  <si>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</si>
  <si>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</si>
  <si>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</si>
  <si>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</si>
  <si>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</si>
  <si>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</si>
  <si>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</si>
  <si>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</si>
  <si>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</si>
  <si>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</si>
  <si>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</si>
  <si>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</si>
  <si>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</si>
  <si>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</si>
  <si>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</si>
  <si>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</si>
  <si>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</si>
  <si>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</si>
  <si>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</si>
  <si>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</si>
  <si>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</si>
  <si>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</si>
  <si>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</si>
  <si>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</si>
  <si>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</si>
  <si>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</si>
  <si>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</si>
  <si>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</si>
  <si>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</si>
  <si>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</si>
  <si>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</si>
  <si>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</si>
  <si>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</si>
  <si>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</si>
  <si>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</si>
  <si>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</si>
  <si>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</si>
  <si>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</si>
  <si>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</si>
  <si>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</si>
  <si>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</si>
  <si>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</si>
  <si>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</si>
  <si>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</si>
  <si>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</si>
  <si>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</si>
  <si>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</si>
  <si>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</si>
  <si>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</si>
  <si>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</si>
  <si>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</si>
  <si>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</si>
  <si>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</si>
  <si>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</si>
  <si>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</si>
  <si>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</si>
  <si>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</si>
  <si>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</si>
  <si>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</si>
  <si>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</si>
  <si>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</si>
  <si>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</si>
  <si>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</si>
  <si>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</si>
  <si>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</si>
  <si>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</si>
  <si>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</si>
  <si>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</si>
  <si>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</si>
  <si>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</si>
  <si>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</si>
  <si>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</si>
  <si>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</si>
  <si>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</si>
  <si>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</si>
  <si>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</si>
  <si>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</si>
  <si>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</si>
  <si>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</si>
  <si>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</si>
  <si>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</si>
  <si>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</si>
  <si>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</si>
  <si>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</si>
  <si>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</si>
  <si>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</si>
  <si>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</si>
  <si>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</si>
  <si>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</si>
  <si>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</si>
  <si>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</si>
  <si>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</si>
  <si>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</si>
  <si>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</si>
  <si>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</si>
  <si>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</si>
  <si>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</si>
  <si>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</si>
  <si>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</si>
  <si>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</si>
  <si>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</si>
  <si>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</si>
  <si>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</si>
  <si>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</si>
  <si>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</si>
  <si>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</si>
  <si>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</si>
  <si>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</si>
  <si>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</si>
  <si>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</si>
  <si>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</si>
  <si>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</si>
  <si>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</si>
  <si>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</si>
  <si>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</si>
  <si>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</si>
  <si>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</si>
  <si>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</si>
  <si>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</si>
  <si>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</si>
  <si>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</si>
  <si>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</si>
  <si>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</si>
  <si>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</si>
  <si>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</si>
  <si>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</si>
  <si>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</si>
  <si>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</si>
  <si>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</si>
  <si>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</si>
  <si>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</si>
  <si>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</si>
  <si>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</si>
  <si>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</si>
  <si>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</si>
  <si>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</si>
  <si>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</si>
  <si>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</si>
  <si>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</si>
  <si>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</si>
  <si>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</si>
  <si>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</si>
  <si>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</si>
  <si>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</si>
  <si>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</si>
  <si>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</si>
  <si>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</si>
  <si>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</si>
  <si>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</si>
  <si>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</si>
  <si>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</si>
  <si>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</si>
  <si>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</si>
  <si>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</si>
  <si>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</si>
  <si>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</si>
  <si>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</si>
  <si>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</si>
  <si>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</si>
  <si>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</si>
  <si>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</si>
  <si>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</si>
  <si>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</si>
  <si>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</si>
  <si>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</si>
  <si>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</si>
  <si>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</si>
  <si>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</si>
  <si>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</si>
  <si>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</si>
  <si>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</si>
  <si>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</si>
  <si>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</si>
  <si>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</si>
  <si>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</si>
  <si>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</si>
  <si>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</si>
  <si>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</si>
  <si>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</si>
  <si>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</si>
  <si>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</si>
  <si>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</si>
  <si>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</si>
  <si>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</si>
  <si>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</si>
  <si>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</si>
  <si>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</si>
  <si>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</si>
  <si>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</si>
  <si>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</si>
  <si>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</si>
  <si>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</si>
  <si>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</si>
  <si>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</si>
  <si>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</si>
  <si>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</si>
  <si>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</si>
  <si>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</si>
  <si>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</si>
  <si>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</si>
  <si>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</si>
  <si>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</si>
  <si>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</si>
  <si>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</si>
  <si>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</si>
  <si>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</si>
  <si>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</si>
  <si>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</si>
  <si>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</si>
  <si>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</si>
  <si>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</si>
  <si>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</si>
  <si>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</si>
  <si>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</si>
  <si>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</si>
  <si>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</si>
  <si>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</si>
  <si>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</si>
  <si>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</si>
  <si>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</si>
  <si>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</si>
  <si>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</si>
  <si>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</si>
  <si>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</si>
  <si>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</si>
  <si>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</si>
  <si>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</si>
  <si>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</si>
  <si>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</si>
  <si>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</si>
  <si>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</si>
  <si>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</si>
  <si>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</si>
  <si>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</si>
  <si>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</si>
  <si>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</si>
  <si>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</si>
  <si>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</si>
  <si>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</si>
  <si>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</si>
  <si>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</si>
  <si>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</si>
  <si>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</si>
  <si>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</si>
  <si>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</si>
  <si>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</si>
  <si>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</si>
  <si>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</si>
  <si>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</si>
  <si>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</si>
  <si>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</si>
  <si>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</si>
  <si>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</si>
  <si>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</si>
  <si>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</si>
  <si>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</si>
  <si>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</si>
  <si>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</si>
  <si>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</si>
  <si>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</si>
  <si>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</si>
  <si>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</si>
  <si>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</si>
  <si>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</si>
  <si>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</si>
  <si>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</si>
  <si>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</si>
  <si>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</si>
  <si>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</si>
  <si>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</si>
  <si>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</si>
  <si>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</si>
  <si>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</si>
  <si>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</si>
  <si>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</si>
  <si>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</si>
  <si>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</si>
  <si>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</si>
  <si>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</si>
  <si>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</si>
  <si>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</si>
  <si>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</si>
  <si>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</si>
  <si>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</si>
  <si>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</si>
  <si>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</si>
  <si>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</si>
  <si>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</si>
  <si>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</si>
  <si>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</si>
  <si>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</si>
  <si>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</si>
  <si>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</si>
  <si>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</si>
  <si>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</si>
  <si>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</si>
  <si>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</si>
  <si>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</si>
  <si>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</si>
  <si>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</si>
  <si>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</si>
  <si>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</si>
  <si>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</si>
  <si>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</si>
  <si>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</si>
  <si>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</si>
  <si>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</si>
  <si>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</si>
  <si>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</si>
  <si>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</si>
  <si>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</si>
  <si>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</si>
  <si>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</si>
  <si>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</si>
  <si>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</si>
  <si>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</si>
  <si>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</si>
  <si>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</si>
  <si>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</si>
  <si>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</si>
  <si>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</si>
  <si>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</si>
  <si>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</si>
  <si>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</si>
  <si>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</si>
  <si>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</si>
  <si>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</si>
  <si>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</si>
  <si>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</si>
  <si>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</si>
  <si>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</si>
  <si>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</si>
  <si>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</si>
  <si>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</si>
  <si>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</si>
  <si>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</si>
  <si>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</si>
  <si>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</si>
  <si>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</si>
  <si>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</si>
  <si>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</si>
  <si>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</si>
  <si>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</si>
  <si>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</si>
  <si>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</si>
  <si>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</si>
  <si>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</si>
  <si>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</si>
  <si>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</si>
  <si>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</si>
  <si>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</si>
  <si>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</si>
  <si>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</si>
  <si>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</si>
  <si>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</si>
  <si>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</si>
  <si>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</si>
  <si>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</si>
  <si>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</si>
  <si>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</si>
  <si>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</si>
  <si>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</si>
  <si>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</si>
  <si>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</si>
  <si>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</si>
  <si>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</si>
  <si>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</si>
  <si>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</si>
  <si>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</si>
  <si>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</si>
  <si>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</si>
  <si>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</si>
  <si>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</si>
  <si>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</si>
  <si>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</si>
  <si>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</si>
  <si>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</si>
  <si>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</si>
  <si>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</si>
  <si>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</si>
  <si>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</si>
  <si>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</si>
  <si>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</si>
  <si>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</si>
  <si>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</si>
  <si>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</si>
  <si>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</si>
  <si>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</si>
  <si>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</si>
  <si>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</si>
  <si>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</si>
  <si>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</si>
  <si>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</si>
  <si>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</si>
  <si>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</si>
  <si>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</si>
  <si>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</si>
  <si>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</si>
  <si>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</si>
  <si>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</si>
  <si>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</si>
  <si>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</si>
  <si>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</si>
  <si>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</si>
  <si>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</si>
  <si>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</si>
  <si>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</si>
  <si>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</si>
  <si>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</si>
  <si>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</si>
  <si>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</si>
  <si>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</si>
  <si>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</si>
  <si>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</si>
  <si>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</si>
  <si>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</si>
  <si>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</si>
  <si>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</si>
  <si>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</si>
  <si>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</si>
  <si>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</si>
  <si>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</si>
  <si>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</si>
  <si>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</si>
  <si>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</si>
  <si>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</si>
  <si>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</si>
  <si>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</si>
  <si>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</si>
  <si>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</si>
  <si>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</si>
  <si>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</si>
  <si>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</si>
  <si>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</si>
  <si>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</si>
  <si>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</si>
  <si>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</si>
  <si>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</si>
  <si>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</si>
  <si>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</si>
  <si>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</si>
  <si>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</si>
  <si>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</si>
  <si>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</si>
  <si>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</si>
  <si>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</si>
  <si>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</si>
  <si>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</si>
  <si>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</si>
  <si>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</si>
  <si>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</si>
  <si>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</si>
  <si>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</si>
  <si>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</si>
  <si>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</si>
  <si>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</si>
  <si>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</si>
  <si>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</si>
  <si>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</si>
  <si>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</si>
  <si>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</si>
  <si>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</si>
  <si>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</si>
  <si>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</si>
  <si>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</si>
  <si>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</si>
  <si>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</si>
  <si>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</si>
  <si>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</si>
  <si>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</si>
  <si>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</si>
  <si>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</si>
  <si>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</si>
  <si>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</si>
  <si>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</si>
  <si>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</si>
  <si>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</si>
  <si>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</si>
  <si>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</si>
  <si>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</si>
  <si>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</si>
  <si>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</si>
  <si>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</si>
  <si>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</si>
  <si>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</si>
  <si>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</si>
  <si>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</si>
  <si>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</si>
  <si>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</si>
  <si>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</si>
  <si>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</si>
  <si>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</si>
  <si>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</si>
  <si>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</si>
  <si>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</si>
  <si>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</si>
  <si>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</si>
  <si>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</si>
  <si>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</si>
  <si>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</si>
  <si>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</si>
  <si>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</si>
  <si>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</si>
  <si>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</si>
  <si>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</si>
  <si>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</si>
  <si>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</si>
  <si>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</si>
  <si>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</si>
  <si>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</si>
  <si>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</si>
  <si>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</si>
  <si>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</si>
  <si>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</si>
  <si>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</si>
  <si>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</si>
  <si>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</si>
  <si>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</si>
  <si>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</si>
  <si>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</si>
  <si>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</si>
  <si>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</si>
  <si>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</si>
  <si>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</si>
  <si>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</si>
  <si>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</si>
  <si>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</si>
  <si>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</si>
  <si>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</si>
  <si>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</si>
  <si>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</si>
  <si>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</si>
  <si>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</si>
  <si>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</si>
  <si>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</si>
  <si>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</si>
  <si>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</si>
  <si>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</si>
  <si>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</si>
  <si>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</si>
  <si>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</si>
  <si>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</si>
  <si>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</si>
  <si>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</si>
  <si>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</si>
  <si>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</si>
  <si>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</si>
  <si>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</si>
  <si>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</si>
  <si>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</si>
  <si>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</si>
  <si>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</si>
  <si>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</si>
  <si>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</si>
  <si>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</si>
  <si>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</si>
  <si>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</si>
  <si>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</si>
  <si>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</si>
  <si>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</si>
  <si>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</si>
  <si>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</si>
  <si>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</si>
  <si>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</si>
  <si>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</si>
  <si>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</si>
  <si>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</si>
  <si>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</si>
  <si>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</si>
  <si>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</si>
  <si>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</si>
  <si>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</si>
  <si>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</si>
  <si>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</si>
  <si>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</si>
  <si>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</si>
  <si>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</si>
  <si>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</si>
  <si>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</si>
  <si>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</si>
  <si>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</si>
  <si>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</si>
  <si>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</si>
  <si>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</si>
  <si>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</si>
  <si>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</si>
  <si>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</si>
  <si>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</si>
  <si>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</si>
  <si>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</si>
  <si>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</si>
  <si>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</si>
  <si>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</si>
  <si>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</si>
  <si>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</si>
  <si>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</si>
  <si>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</si>
  <si>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</si>
  <si>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</si>
  <si>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</si>
  <si>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</si>
  <si>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</si>
  <si>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</si>
  <si>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</si>
  <si>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</si>
  <si>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</si>
  <si>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</si>
  <si>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</si>
  <si>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</si>
  <si>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</si>
  <si>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</si>
  <si>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</si>
  <si>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</si>
  <si>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</si>
  <si>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</si>
  <si>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</si>
  <si>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</si>
  <si>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</si>
  <si>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</si>
  <si>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</si>
  <si>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</si>
  <si>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</si>
  <si>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</si>
  <si>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</si>
  <si>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</si>
  <si>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</si>
  <si>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</si>
  <si>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</si>
  <si>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</si>
  <si>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</si>
  <si>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</si>
  <si>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</si>
  <si>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</si>
  <si>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</si>
  <si>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</si>
  <si>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</si>
  <si>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</si>
  <si>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</si>
  <si>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</si>
  <si>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</si>
  <si>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</si>
  <si>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</si>
  <si>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</si>
  <si>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</si>
  <si>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</si>
  <si>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</si>
  <si>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</si>
  <si>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</si>
  <si>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</si>
  <si>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</si>
  <si>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</si>
  <si>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</si>
  <si>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</si>
  <si>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</si>
  <si>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</si>
  <si>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</si>
  <si>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</si>
  <si>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</si>
  <si>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</si>
  <si>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</si>
  <si>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</si>
  <si>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</si>
  <si>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</si>
  <si>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</si>
  <si>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</si>
  <si>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</si>
  <si>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</si>
  <si>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</si>
  <si>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</si>
  <si>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</si>
  <si>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</si>
  <si>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</si>
  <si>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</si>
  <si>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</si>
  <si>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</si>
  <si>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</si>
  <si>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</si>
  <si>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</si>
  <si>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</si>
  <si>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</si>
  <si>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</si>
  <si>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</si>
  <si>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</si>
  <si>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</si>
  <si>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</si>
  <si>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</si>
  <si>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</si>
  <si>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</si>
  <si>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</si>
  <si>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</si>
  <si>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</si>
  <si>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</si>
  <si>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</si>
  <si>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</si>
  <si>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</si>
  <si>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</si>
  <si>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</si>
  <si>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</si>
  <si>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</si>
  <si>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</si>
  <si>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</si>
  <si>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</si>
  <si>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</si>
  <si>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</si>
  <si>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</si>
  <si>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</si>
  <si>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</si>
  <si>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</si>
  <si>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</si>
  <si>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</si>
  <si>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</si>
  <si>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</si>
  <si>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</si>
  <si>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</si>
  <si>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</si>
  <si>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</si>
  <si>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</si>
  <si>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</si>
  <si>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</si>
  <si>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</si>
  <si>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</si>
  <si>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</si>
  <si>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</si>
  <si>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</si>
  <si>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</si>
  <si>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</si>
  <si>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</si>
  <si>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</si>
  <si>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</si>
  <si>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</si>
  <si>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</si>
  <si>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</si>
  <si>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</si>
  <si>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</si>
  <si>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</si>
  <si>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</si>
  <si>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</si>
  <si>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</si>
  <si>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</si>
  <si>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</si>
  <si>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</si>
  <si>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</si>
  <si>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</si>
  <si>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</si>
  <si>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</si>
  <si>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</si>
  <si>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</si>
  <si>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</si>
  <si>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</si>
  <si>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</si>
  <si>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</si>
  <si>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</si>
  <si>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</si>
  <si>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</si>
  <si>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</si>
  <si>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</si>
  <si>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</si>
  <si>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</si>
  <si>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</si>
  <si>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</si>
  <si>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</si>
  <si>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</si>
  <si>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</si>
  <si>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</si>
  <si>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</si>
  <si>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</si>
  <si>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</si>
  <si>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</si>
  <si>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</si>
  <si>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</si>
  <si>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</si>
  <si>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</si>
  <si>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</si>
  <si>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</si>
  <si>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</si>
  <si>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</si>
  <si>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</si>
  <si>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</si>
  <si>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</si>
  <si>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</si>
  <si>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</si>
  <si>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</si>
  <si>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</si>
  <si>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</si>
  <si>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</si>
  <si>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</si>
  <si>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</si>
  <si>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</si>
  <si>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</si>
  <si>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</si>
  <si>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</si>
  <si>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</si>
  <si>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</si>
  <si>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</si>
  <si>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</si>
  <si>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</si>
  <si>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</si>
  <si>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</si>
  <si>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</si>
  <si>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</si>
  <si>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</si>
  <si>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</si>
  <si>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</si>
  <si>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</si>
  <si>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</si>
  <si>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</si>
  <si>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</si>
  <si>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</si>
  <si>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</si>
  <si>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</si>
  <si>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</si>
  <si>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</si>
  <si>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</si>
  <si>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</si>
  <si>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</si>
  <si>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</si>
  <si>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</si>
  <si>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</si>
  <si>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</si>
  <si>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</si>
  <si>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</si>
  <si>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</si>
  <si>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</si>
  <si>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</si>
  <si>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</si>
  <si>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</si>
  <si>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</si>
  <si>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</si>
  <si>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</si>
  <si>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</si>
  <si>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</si>
  <si>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</si>
  <si>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</si>
  <si>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</si>
  <si>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</si>
  <si>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</si>
  <si>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</si>
  <si>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</si>
  <si>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</si>
  <si>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</si>
  <si>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</si>
  <si>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</si>
  <si>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</si>
  <si>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</si>
  <si>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</si>
  <si>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</si>
  <si>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</si>
  <si>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</si>
  <si>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</si>
  <si>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</si>
  <si>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</si>
  <si>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</si>
  <si>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</si>
  <si>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</si>
  <si>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</si>
  <si>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</si>
  <si>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</si>
  <si>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</si>
  <si>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</si>
  <si>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</si>
  <si>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</si>
  <si>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</si>
  <si>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</si>
  <si>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</si>
  <si>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</si>
  <si>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</si>
  <si>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</si>
  <si>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</si>
  <si>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</si>
  <si>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</si>
  <si>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</si>
  <si>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</si>
  <si>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</si>
  <si>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</si>
  <si>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</si>
  <si>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</si>
  <si>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</si>
  <si>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</si>
  <si>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</si>
  <si>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</si>
  <si>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</si>
  <si>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</si>
  <si>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</si>
  <si>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</si>
  <si>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</si>
  <si>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</si>
  <si>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</si>
  <si>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</si>
  <si>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</si>
  <si>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</si>
  <si>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</si>
  <si>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</si>
  <si>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</si>
  <si>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</si>
  <si>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</si>
  <si>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</si>
  <si>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</si>
  <si>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</si>
  <si>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</si>
  <si>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</si>
  <si>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</si>
  <si>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</si>
  <si>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</si>
  <si>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</si>
  <si>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</si>
  <si>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</si>
  <si>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</si>
  <si>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</si>
  <si>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</si>
  <si>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</si>
  <si>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</si>
  <si>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</si>
  <si>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</si>
  <si>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</si>
  <si>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</si>
  <si>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</si>
  <si>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</si>
  <si>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</si>
  <si>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</si>
  <si>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</si>
  <si>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</si>
  <si>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</si>
  <si>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</si>
  <si>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</si>
  <si>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</si>
  <si>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</si>
  <si>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</si>
  <si>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</si>
  <si>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</si>
  <si>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</si>
  <si>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</si>
  <si>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</si>
  <si>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</si>
  <si>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</si>
  <si>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</si>
  <si>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</si>
  <si>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</si>
  <si>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</si>
  <si>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</si>
  <si>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</si>
  <si>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</si>
  <si>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</si>
  <si>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</si>
  <si>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</si>
  <si>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</si>
  <si>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</si>
  <si>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</si>
  <si>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</si>
  <si>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</si>
  <si>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</si>
  <si>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</si>
  <si>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</si>
  <si>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</si>
  <si>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</si>
  <si>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</si>
  <si>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</si>
  <si>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</si>
  <si>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</si>
  <si>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</si>
  <si>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</si>
  <si>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</si>
  <si>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</si>
  <si>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</si>
  <si>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</si>
  <si>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</si>
  <si>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</si>
  <si>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</si>
  <si>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</si>
  <si>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</si>
  <si>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</si>
  <si>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</si>
  <si>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</si>
  <si>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</si>
  <si>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</si>
  <si>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</si>
  <si>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</si>
  <si>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</si>
  <si>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</si>
  <si>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</si>
  <si>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</si>
  <si>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</si>
  <si>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</si>
  <si>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</si>
  <si>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</si>
  <si>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</si>
  <si>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</si>
  <si>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</si>
  <si>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</si>
  <si>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</si>
  <si>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</si>
  <si>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</si>
  <si>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</si>
  <si>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</si>
  <si>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</si>
  <si>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</si>
  <si>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</si>
  <si>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</si>
  <si>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</si>
  <si>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</si>
  <si>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</si>
  <si>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</si>
  <si>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</si>
  <si>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</si>
  <si>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</si>
  <si>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</si>
  <si>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</si>
  <si>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</si>
  <si>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</si>
  <si>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</si>
  <si>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</si>
  <si>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</si>
  <si>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</si>
  <si>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</si>
  <si>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</si>
  <si>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</si>
  <si>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</si>
  <si>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</si>
  <si>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</si>
  <si>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</si>
  <si>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</si>
  <si>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</si>
  <si>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</si>
  <si>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</si>
  <si>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</si>
  <si>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</si>
  <si>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</si>
  <si>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</si>
  <si>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</si>
  <si>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</si>
  <si>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</si>
  <si>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</si>
  <si>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</si>
  <si>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</si>
  <si>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</si>
  <si>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</si>
  <si>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</si>
  <si>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</si>
  <si>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</si>
  <si>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</si>
  <si>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</si>
  <si>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</si>
  <si>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</si>
  <si>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</si>
  <si>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</si>
  <si>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</si>
  <si>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</si>
  <si>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</si>
  <si>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</si>
  <si>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</si>
  <si>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</si>
  <si>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</si>
  <si>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</si>
  <si>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</si>
  <si>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</si>
  <si>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</si>
  <si>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</si>
  <si>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</si>
  <si>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</si>
  <si>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</si>
  <si>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</si>
  <si>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</si>
  <si>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</si>
  <si>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</si>
  <si>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</si>
  <si>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</si>
  <si>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</si>
  <si>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</si>
  <si>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</si>
  <si>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</si>
  <si>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</si>
  <si>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</si>
  <si>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</si>
  <si>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</si>
  <si>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</si>
  <si>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</si>
  <si>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</si>
  <si>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r>
      <t xml:space="preserve">Klaipėdos raj., </t>
    </r>
    <r>
      <rPr>
        <b/>
        <sz val="8"/>
        <rFont val="Arial"/>
        <family val="2"/>
        <charset val="186"/>
      </rPr>
      <t>Priekulės sen. Rokų g. (Nr.m KL8471), Butkų g. (Nr. KL1341) ir Santakos g</t>
    </r>
    <r>
      <rPr>
        <sz val="8"/>
        <rFont val="Arial"/>
        <family val="2"/>
        <charset val="186"/>
      </rPr>
      <t>. (Nr. KL1297) kapitalinis remontas projektavimas, ekspertizė</t>
    </r>
  </si>
  <si>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</si>
  <si>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</si>
  <si>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</si>
  <si>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</si>
  <si>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</si>
  <si>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</si>
  <si>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</si>
  <si>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</si>
  <si>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</si>
  <si>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</si>
  <si>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</si>
  <si>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</si>
  <si>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</si>
  <si>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</si>
  <si>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</si>
  <si>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</si>
  <si>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</si>
  <si>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</si>
  <si>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</si>
  <si>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</si>
  <si>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</si>
  <si>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</si>
  <si>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</si>
  <si>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</si>
  <si>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</si>
  <si>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</si>
  <si>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</si>
  <si>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</si>
  <si>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</si>
  <si>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</si>
  <si>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</si>
  <si>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</si>
  <si>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</si>
  <si>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</si>
  <si>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</si>
  <si>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</si>
  <si>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</si>
  <si>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</si>
  <si>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</si>
  <si>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</si>
  <si>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</si>
  <si>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</si>
  <si>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</si>
  <si>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</si>
  <si>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</si>
  <si>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</si>
  <si>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</si>
  <si>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</si>
  <si>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</si>
  <si>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</si>
  <si>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</si>
  <si>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</si>
  <si>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</si>
  <si>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</si>
  <si>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</si>
  <si>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</si>
  <si>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</si>
  <si>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</si>
  <si>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</si>
  <si>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</si>
  <si>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</si>
  <si>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</si>
  <si>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</si>
  <si>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</si>
  <si>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</si>
  <si>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</si>
  <si>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</si>
  <si>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</si>
  <si>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</si>
  <si>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</si>
  <si>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</si>
  <si>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</si>
  <si>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Buitinių nuotekų tinklų projektavimas ir statyba Endriejavo mstl. Žemaičių g., Liepų g., Paežerio g.</t>
  </si>
  <si>
    <t>6-6-1-7</t>
  </si>
  <si>
    <t>Buitinių nuotekų tinklų projektavimas ir statyba Girininkų k.</t>
  </si>
  <si>
    <t>6-6-1-8</t>
  </si>
  <si>
    <t>Vandentiekio ir buitinių nuotekų tinklų projektavimas ir  statyba 176 gyvenamųjų namų kvartale, Gargžduose</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</si>
  <si>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</si>
  <si>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</si>
  <si>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</si>
  <si>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</si>
  <si>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</si>
  <si>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</si>
  <si>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</si>
  <si>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</si>
  <si>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</si>
  <si>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</si>
  <si>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</si>
  <si>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</si>
  <si>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</si>
  <si>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</si>
  <si>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</si>
  <si>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</si>
  <si>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</si>
  <si>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</si>
  <si>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</si>
  <si>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</si>
  <si>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</si>
  <si>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</si>
  <si>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</si>
  <si>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</si>
  <si>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</si>
  <si>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</si>
  <si>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</si>
  <si>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</si>
  <si>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</si>
  <si>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</si>
  <si>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</si>
  <si>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</si>
  <si>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</si>
  <si>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</si>
  <si>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</si>
  <si>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</si>
  <si>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</si>
  <si>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</si>
  <si>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</si>
  <si>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</si>
  <si>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</si>
  <si>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</si>
  <si>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</si>
  <si>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</si>
  <si>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</si>
  <si>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</si>
  <si>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</si>
  <si>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</si>
  <si>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</si>
  <si>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</si>
  <si>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</si>
  <si>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</si>
  <si>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</si>
  <si>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</si>
  <si>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</si>
  <si>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</si>
  <si>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</si>
  <si>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</si>
  <si>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</si>
  <si>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</si>
  <si>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</si>
  <si>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</si>
  <si>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</si>
  <si>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A. Indzelė, F. Žemgulys, M. Kernagienė</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</si>
  <si>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</si>
  <si>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</si>
  <si>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</si>
  <si>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</si>
  <si>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</si>
  <si>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</si>
  <si>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</si>
  <si>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</si>
  <si>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</si>
  <si>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</si>
  <si>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</si>
  <si>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</si>
  <si>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</si>
  <si>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</si>
  <si>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</si>
  <si>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</si>
  <si>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</si>
  <si>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</si>
  <si>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</si>
  <si>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</si>
  <si>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</si>
  <si>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</si>
  <si>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</si>
  <si>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</si>
  <si>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</si>
  <si>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</si>
  <si>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</si>
  <si>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</si>
  <si>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</si>
  <si>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</si>
  <si>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</si>
  <si>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</si>
  <si>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</si>
  <si>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</si>
  <si>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</si>
  <si>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</si>
  <si>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</si>
  <si>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</si>
  <si>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</si>
  <si>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</si>
  <si>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</si>
  <si>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</si>
  <si>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</si>
  <si>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</si>
  <si>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</si>
  <si>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</si>
  <si>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</si>
  <si>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</si>
  <si>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</si>
  <si>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</si>
  <si>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</si>
  <si>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</si>
  <si>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</si>
  <si>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</si>
  <si>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</si>
  <si>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</si>
  <si>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</si>
  <si>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</si>
  <si>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</si>
  <si>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</si>
  <si>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</si>
  <si>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</si>
  <si>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</si>
  <si>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</si>
  <si>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</si>
  <si>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</si>
  <si>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</si>
  <si>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</si>
  <si>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</si>
  <si>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</si>
  <si>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</si>
  <si>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</si>
  <si>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</si>
  <si>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</si>
  <si>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</si>
  <si>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</si>
  <si>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</si>
  <si>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</si>
  <si>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</si>
  <si>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</si>
  <si>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</si>
  <si>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</si>
  <si>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</si>
  <si>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</si>
  <si>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</si>
  <si>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</si>
  <si>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</si>
  <si>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</si>
  <si>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</si>
  <si>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</si>
  <si>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</si>
  <si>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</si>
  <si>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</si>
  <si>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</si>
  <si>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</si>
  <si>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</si>
  <si>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</si>
  <si>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</si>
  <si>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</si>
  <si>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</si>
  <si>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</si>
  <si>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</si>
  <si>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</si>
  <si>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</si>
  <si>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</si>
  <si>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</si>
  <si>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</si>
  <si>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</si>
  <si>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</si>
  <si>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</si>
  <si>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</si>
  <si>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</si>
  <si>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</si>
  <si>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</si>
  <si>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</si>
  <si>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</si>
  <si>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</si>
  <si>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</si>
  <si>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</si>
  <si>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</si>
  <si>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</si>
  <si>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</si>
  <si>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</si>
  <si>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</si>
  <si>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</si>
  <si>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</si>
  <si>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</si>
  <si>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</si>
  <si>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</si>
  <si>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</si>
  <si>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</si>
  <si>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</si>
  <si>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</si>
  <si>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</si>
  <si>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</si>
  <si>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</si>
  <si>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</si>
  <si>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</si>
  <si>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</si>
  <si>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</si>
  <si>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</si>
  <si>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</si>
  <si>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</si>
  <si>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</si>
  <si>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</si>
  <si>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</si>
  <si>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</si>
  <si>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</si>
  <si>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</si>
  <si>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</si>
  <si>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</si>
  <si>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</si>
  <si>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</si>
  <si>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</si>
  <si>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</si>
  <si>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</si>
  <si>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</si>
  <si>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</si>
  <si>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</si>
  <si>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</si>
  <si>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</si>
  <si>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</si>
  <si>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</si>
  <si>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</si>
  <si>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</si>
  <si>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</si>
  <si>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</si>
  <si>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</si>
  <si>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</si>
  <si>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</si>
  <si>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</si>
  <si>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</si>
  <si>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</si>
  <si>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</si>
  <si>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</si>
  <si>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</si>
  <si>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</si>
  <si>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</si>
  <si>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</si>
  <si>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</si>
  <si>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</si>
  <si>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</si>
  <si>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</si>
  <si>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</si>
  <si>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</si>
  <si>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</si>
  <si>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</si>
  <si>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</si>
  <si>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</si>
  <si>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</si>
  <si>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</si>
  <si>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</si>
  <si>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</si>
  <si>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</si>
  <si>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</si>
  <si>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</si>
  <si>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</si>
  <si>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</si>
  <si>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</si>
  <si>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</si>
  <si>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</si>
  <si>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</si>
  <si>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</si>
  <si>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</si>
  <si>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</si>
  <si>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</si>
  <si>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</si>
  <si>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</si>
  <si>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</si>
  <si>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</si>
  <si>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</si>
  <si>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</si>
  <si>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</si>
  <si>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</si>
  <si>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</si>
  <si>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</si>
  <si>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</si>
  <si>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</si>
  <si>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</si>
  <si>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</si>
  <si>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</si>
  <si>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</si>
  <si>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</si>
  <si>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</si>
  <si>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</si>
  <si>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</si>
  <si>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</si>
  <si>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</si>
  <si>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</si>
  <si>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</si>
  <si>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</si>
  <si>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</si>
  <si>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</si>
  <si>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</si>
  <si>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</si>
  <si>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</si>
  <si>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</si>
  <si>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</si>
  <si>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</si>
  <si>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</si>
  <si>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</si>
  <si>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</si>
  <si>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</si>
  <si>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</si>
  <si>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</si>
  <si>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</si>
  <si>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</si>
  <si>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</si>
  <si>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</si>
  <si>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</si>
  <si>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</si>
  <si>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</si>
  <si>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</si>
  <si>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</si>
  <si>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</si>
  <si>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</si>
  <si>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</si>
  <si>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</si>
  <si>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</si>
  <si>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</si>
  <si>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</si>
  <si>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</si>
  <si>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</si>
  <si>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</si>
  <si>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</si>
  <si>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</si>
  <si>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</si>
  <si>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</si>
  <si>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</si>
  <si>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</si>
  <si>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</si>
  <si>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</si>
  <si>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</si>
  <si>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</si>
  <si>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</si>
  <si>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</si>
  <si>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</si>
  <si>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</si>
  <si>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</si>
  <si>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</si>
  <si>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</si>
  <si>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</si>
  <si>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</si>
  <si>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</si>
  <si>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</si>
  <si>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</si>
  <si>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</si>
  <si>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</si>
  <si>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</si>
  <si>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</si>
  <si>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</si>
  <si>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</si>
  <si>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</si>
  <si>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</si>
  <si>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</si>
  <si>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</si>
  <si>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</si>
  <si>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</si>
  <si>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</si>
  <si>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</si>
  <si>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</si>
  <si>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</si>
  <si>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</si>
  <si>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</si>
  <si>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</si>
  <si>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</si>
  <si>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</si>
  <si>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</si>
  <si>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</si>
  <si>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</si>
  <si>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</si>
  <si>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</si>
  <si>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</si>
  <si>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</si>
  <si>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</si>
  <si>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</si>
  <si>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</si>
  <si>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</si>
  <si>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</si>
  <si>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</si>
  <si>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</si>
  <si>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</si>
  <si>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</si>
  <si>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</si>
  <si>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</si>
  <si>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</si>
  <si>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</si>
  <si>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</si>
  <si>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</si>
  <si>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</si>
  <si>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</si>
  <si>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</si>
  <si>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</si>
  <si>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</si>
  <si>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</si>
  <si>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</si>
  <si>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</si>
  <si>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</si>
  <si>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</si>
  <si>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</si>
  <si>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</si>
  <si>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</si>
  <si>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</si>
  <si>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</si>
  <si>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</si>
  <si>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</si>
  <si>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</si>
  <si>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</si>
  <si>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</si>
  <si>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</si>
  <si>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</si>
  <si>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</si>
  <si>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</si>
  <si>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</si>
  <si>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</si>
  <si>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</si>
  <si>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</si>
  <si>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</si>
  <si>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</si>
  <si>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</si>
  <si>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</si>
  <si>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</si>
  <si>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</si>
  <si>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</si>
  <si>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</si>
  <si>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</si>
  <si>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</si>
  <si>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</si>
  <si>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</si>
  <si>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</si>
  <si>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</si>
  <si>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</si>
  <si>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</si>
  <si>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</si>
  <si>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</si>
  <si>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</si>
  <si>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</si>
  <si>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</si>
  <si>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</si>
  <si>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</si>
  <si>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</si>
  <si>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</si>
  <si>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</si>
  <si>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</si>
  <si>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</si>
  <si>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</si>
  <si>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</si>
  <si>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</si>
  <si>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</si>
  <si>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</si>
  <si>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</si>
  <si>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</si>
  <si>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</si>
  <si>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</si>
  <si>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</si>
  <si>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</si>
  <si>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</si>
  <si>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</si>
  <si>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</si>
  <si>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</si>
  <si>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</si>
  <si>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</si>
  <si>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</si>
  <si>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</si>
  <si>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</si>
  <si>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</si>
  <si>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</si>
  <si>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</si>
  <si>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</si>
  <si>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</si>
  <si>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</si>
  <si>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</si>
  <si>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</si>
  <si>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</si>
  <si>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</si>
  <si>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</si>
  <si>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</si>
  <si>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</si>
  <si>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</si>
  <si>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</si>
  <si>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</si>
  <si>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</si>
  <si>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</si>
  <si>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</si>
  <si>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</si>
  <si>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</si>
  <si>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</si>
  <si>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</si>
  <si>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</si>
  <si>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</si>
  <si>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</si>
  <si>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</si>
  <si>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</si>
  <si>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</si>
  <si>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</si>
  <si>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</si>
  <si>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</si>
  <si>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</si>
  <si>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</si>
  <si>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</si>
  <si>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</si>
  <si>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</si>
  <si>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</si>
  <si>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</si>
  <si>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</si>
  <si>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</si>
  <si>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</si>
  <si>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</si>
  <si>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</si>
  <si>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</si>
  <si>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</si>
  <si>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</si>
  <si>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</si>
  <si>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</si>
  <si>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</si>
  <si>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</si>
  <si>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</si>
  <si>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</si>
  <si>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</si>
  <si>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</si>
  <si>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</si>
  <si>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</si>
  <si>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</si>
  <si>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</si>
  <si>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</si>
  <si>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</si>
  <si>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</si>
  <si>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</si>
  <si>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</si>
  <si>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</si>
  <si>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</si>
  <si>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</si>
  <si>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</si>
  <si>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</si>
  <si>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</si>
  <si>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</si>
  <si>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</si>
  <si>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</si>
  <si>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</si>
  <si>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</si>
  <si>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</si>
  <si>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</si>
  <si>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</si>
  <si>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</si>
  <si>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</si>
  <si>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</si>
  <si>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</si>
  <si>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</si>
  <si>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</si>
  <si>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</si>
  <si>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</si>
  <si>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</si>
  <si>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</si>
  <si>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</si>
  <si>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</si>
  <si>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</si>
  <si>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</si>
  <si>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</si>
  <si>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</si>
  <si>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</si>
  <si>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</si>
  <si>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</si>
  <si>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</si>
  <si>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</si>
  <si>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</si>
  <si>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</si>
  <si>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</si>
  <si>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</si>
  <si>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</si>
  <si>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</si>
  <si>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</si>
  <si>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</si>
  <si>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</si>
  <si>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</si>
  <si>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</si>
  <si>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</si>
  <si>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</si>
  <si>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</si>
  <si>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</si>
  <si>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</si>
  <si>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</si>
  <si>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</si>
  <si>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</si>
  <si>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</si>
  <si>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</si>
  <si>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</si>
  <si>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</si>
  <si>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</si>
  <si>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</si>
  <si>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</si>
  <si>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</si>
  <si>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</si>
  <si>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</si>
  <si>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</si>
  <si>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</si>
  <si>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</si>
  <si>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</si>
  <si>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</si>
  <si>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</si>
  <si>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</si>
  <si>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</si>
  <si>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</si>
  <si>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</si>
  <si>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</si>
  <si>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</si>
  <si>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</si>
  <si>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</si>
  <si>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</si>
  <si>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</si>
  <si>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</si>
  <si>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</si>
  <si>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</si>
  <si>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</si>
  <si>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</si>
  <si>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</si>
  <si>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</si>
  <si>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</si>
  <si>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</si>
  <si>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</si>
  <si>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</si>
  <si>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</si>
  <si>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</si>
  <si>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</si>
  <si>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</si>
  <si>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</si>
  <si>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</si>
  <si>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</si>
  <si>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</si>
  <si>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</si>
  <si>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</si>
  <si>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</si>
  <si>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</si>
  <si>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</si>
  <si>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</si>
  <si>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</si>
  <si>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</si>
  <si>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</si>
  <si>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</si>
  <si>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</si>
  <si>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</si>
  <si>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</si>
  <si>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</si>
  <si>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</si>
  <si>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</si>
  <si>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</si>
  <si>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</si>
  <si>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</si>
  <si>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</si>
  <si>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</si>
  <si>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</si>
  <si>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</si>
  <si>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</si>
  <si>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</si>
  <si>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</si>
  <si>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</si>
  <si>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</si>
  <si>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</si>
  <si>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</si>
  <si>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</si>
  <si>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</si>
  <si>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</si>
  <si>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</si>
  <si>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</si>
  <si>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</si>
  <si>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</si>
  <si>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</si>
  <si>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</si>
  <si>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</si>
  <si>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</si>
  <si>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</si>
  <si>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</si>
  <si>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</si>
  <si>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</si>
  <si>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</si>
  <si>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</si>
  <si>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</si>
  <si>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</si>
  <si>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</si>
  <si>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</si>
  <si>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</si>
  <si>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</si>
  <si>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</si>
  <si>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</si>
  <si>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</si>
  <si>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</si>
  <si>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</si>
  <si>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</si>
  <si>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</si>
  <si>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</si>
  <si>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</si>
  <si>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</si>
  <si>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</si>
  <si>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Klaipėdos rajono dviračių ir pėsčiųjų takų infrastruktūros atnaujinimas, remontas, plėtra</t>
  </si>
  <si>
    <t>Klaipėdos rajono dviračių ir pėsčiųjų takų projektavimo ir įrengimo darbai</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</si>
  <si>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</si>
  <si>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</si>
  <si>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</si>
  <si>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</si>
  <si>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</si>
  <si>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</si>
  <si>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</si>
  <si>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</si>
  <si>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</si>
  <si>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</si>
  <si>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</si>
  <si>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</si>
  <si>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</si>
  <si>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</si>
  <si>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</si>
  <si>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</si>
  <si>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</si>
  <si>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</si>
  <si>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</si>
  <si>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</si>
  <si>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</si>
  <si>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</si>
  <si>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</si>
  <si>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</si>
  <si>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</si>
  <si>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</si>
  <si>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</si>
  <si>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</si>
  <si>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</si>
  <si>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</si>
  <si>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</si>
  <si>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</si>
  <si>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</si>
  <si>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</si>
  <si>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</si>
  <si>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</si>
  <si>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</si>
  <si>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</si>
  <si>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</si>
  <si>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</si>
  <si>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</si>
  <si>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</si>
  <si>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</si>
  <si>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</si>
  <si>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</si>
  <si>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</si>
  <si>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</si>
  <si>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</si>
  <si>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</si>
  <si>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</si>
  <si>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</si>
  <si>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</si>
  <si>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</si>
  <si>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</si>
  <si>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</si>
  <si>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</si>
  <si>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</si>
  <si>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</si>
  <si>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</si>
  <si>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</si>
  <si>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</si>
  <si>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</si>
  <si>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</si>
  <si>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</si>
  <si>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</si>
  <si>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</si>
  <si>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</si>
  <si>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</si>
  <si>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</si>
  <si>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</si>
  <si>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</si>
  <si>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</si>
  <si>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</si>
  <si>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</si>
  <si>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</si>
  <si>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</si>
  <si>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"Vaivorykštės" gimnazijai, antreprenerystės klasės įrengimui</t>
  </si>
  <si>
    <t>1-1-1-34</t>
  </si>
  <si>
    <t>1.1.3.25.</t>
  </si>
  <si>
    <t>Visos dienos mokyklos paslaugų prieinamumo didinimas Klaipėdos rajono savivaldybėje</t>
  </si>
  <si>
    <t>F. Žemgulys
A. Ronkus</t>
  </si>
  <si>
    <t>Nupirkti rangos darbai, vnt.
Privažiavimo aikštelės įrengimas (už 6000 Eur), vnt.</t>
  </si>
  <si>
    <t>6.3.3.24.29.</t>
  </si>
  <si>
    <t>Atliktas pralaidos remontas, vnt.
Atliktas šachtinės pralaidos polių įrengimas, vnt.</t>
  </si>
  <si>
    <t>Projekte dalyvaujančių mokinių skaičius, vnt.</t>
  </si>
  <si>
    <t>5-4-1-5</t>
  </si>
  <si>
    <t>5.2.1.3.</t>
  </si>
  <si>
    <t xml:space="preserve"> Projektas "Gebėjimų stiprinimas ir nevyriausybinių organizacijų veiklos internacionalizavimas Liepojos mieste ir Klaipėdos rajone"</t>
  </si>
  <si>
    <t>8-1-7</t>
  </si>
  <si>
    <t>8.5.1.25.</t>
  </si>
  <si>
    <t>ŠSS, U.Tamošauskienė</t>
  </si>
  <si>
    <t>Viešosios įstaigos krepšinio klubo „Gargždai“ 2025 metų programos „Gargždų „Gargždai“ krepšinio komandos dalyvavimas Lietuvos krepšinio lygoje“ dalinis finansavimas</t>
  </si>
  <si>
    <t xml:space="preserve">Finansuota programa, vnt. </t>
  </si>
  <si>
    <t>6.4.1.3.29.</t>
  </si>
  <si>
    <t>Nupirkta Melioratorių g. dviračių takų projekto korektūra, vnt.</t>
  </si>
  <si>
    <t>3.1.1.79.29.</t>
  </si>
  <si>
    <t>Dviračių ir pėsčiųjų takų remontas ir statyba prie AB "Via Lietuva" kelių</t>
  </si>
  <si>
    <t>Parengti priešprojektiniai pasiūlymai dėl Vėžaičių mst. pėsčiųjų tako statybos Gargždų g. nuo Samališkės iki Užtvankos g., vnt.</t>
  </si>
  <si>
    <t>V. Lengvinaitė</t>
  </si>
  <si>
    <t>SKPS, K. Jokubaitytė</t>
  </si>
  <si>
    <t xml:space="preserve">Nupirkti projektavimo darbai, vnt. </t>
  </si>
  <si>
    <t>Paviršinių nuotekų šalinimo tinklų nauja statyba Agluonėnų mstl. Ievos Simonaitytės g. projekto parengimas</t>
  </si>
  <si>
    <t>PATVIRTINTA 
Klaipėdos rajono savivaldybės mero 2025 m. vasario 6  d. potvarkiu Nr. MV-128 (Klaipėdos rajono savivaldybės mero 2025-08- potvarkio Nr. MV- redakcija)</t>
  </si>
  <si>
    <t>Klaipėdos rajono savivaldybės 2025-2027 m. strateginio veiklos plano programų detalizacija</t>
  </si>
  <si>
    <t xml:space="preserve">Analizės ir tyrimo parengimas bei veiksmų plano sudarymas (rinkinys), 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</si>
</sst>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103"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
      <sz val="9"/>
      <color indexed="81"/>
      <name val="Tahoma"/>
      <charset val="1"/>
    </font>
    <font>
      <b/>
      <sz val="9"/>
      <color indexed="81"/>
      <name val="Tahoma"/>
      <charset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4" fillId="0" borderId="1" applyNumberFormat="0" applyFill="0" applyAlignment="0" applyProtection="0"/>
    <xf numFmtId="0" fontId="35" fillId="0" borderId="2" applyNumberFormat="0" applyFill="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7" fillId="0" borderId="3" applyNumberFormat="0" applyFill="0" applyAlignment="0" applyProtection="0"/>
    <xf numFmtId="0" fontId="37" fillId="0" borderId="0" applyNumberFormat="0" applyFill="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9" fillId="0" borderId="0" applyNumberFormat="0" applyFill="0" applyBorder="0" applyAlignment="0" applyProtection="0"/>
    <xf numFmtId="0" fontId="40" fillId="3" borderId="0" applyNumberFormat="0" applyBorder="0" applyAlignment="0" applyProtection="0"/>
    <xf numFmtId="0" fontId="41" fillId="4" borderId="0" applyNumberFormat="0" applyBorder="0" applyAlignment="0" applyProtection="0"/>
    <xf numFmtId="0" fontId="43" fillId="20" borderId="6" applyNumberFormat="0" applyAlignment="0" applyProtection="0"/>
    <xf numFmtId="0" fontId="42" fillId="0" borderId="0" applyNumberFormat="0" applyFill="0" applyBorder="0" applyAlignment="0" applyProtection="0"/>
    <xf numFmtId="0" fontId="44" fillId="7" borderId="4" applyNumberFormat="0" applyAlignment="0" applyProtection="0"/>
    <xf numFmtId="0" fontId="45" fillId="22" borderId="0" applyNumberFormat="0" applyBorder="0" applyAlignment="0" applyProtection="0"/>
    <xf numFmtId="0" fontId="33" fillId="0" borderId="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46" fillId="23" borderId="8" applyNumberFormat="0" applyFont="0" applyAlignment="0" applyProtection="0"/>
    <xf numFmtId="0" fontId="47" fillId="0" borderId="0" applyNumberFormat="0" applyFill="0" applyBorder="0" applyAlignment="0" applyProtection="0"/>
    <xf numFmtId="0" fontId="48" fillId="20" borderId="4" applyNumberFormat="0" applyAlignment="0" applyProtection="0"/>
    <xf numFmtId="0" fontId="49" fillId="0" borderId="9" applyNumberFormat="0" applyFill="0" applyAlignment="0" applyProtection="0"/>
    <xf numFmtId="0" fontId="50" fillId="0" borderId="7" applyNumberFormat="0" applyFill="0" applyAlignment="0" applyProtection="0"/>
    <xf numFmtId="0" fontId="51" fillId="21" borderId="5" applyNumberFormat="0" applyAlignment="0" applyProtection="0"/>
    <xf numFmtId="0" fontId="46" fillId="0" borderId="0"/>
    <xf numFmtId="0" fontId="46" fillId="0" borderId="0"/>
    <xf numFmtId="0" fontId="33" fillId="23" borderId="8" applyNumberFormat="0" applyFont="0" applyAlignment="0" applyProtection="0"/>
    <xf numFmtId="0" fontId="33" fillId="0" borderId="0"/>
    <xf numFmtId="0" fontId="33" fillId="0" borderId="0"/>
    <xf numFmtId="0" fontId="32" fillId="0" borderId="0"/>
    <xf numFmtId="0" fontId="57" fillId="31" borderId="0" applyNumberFormat="0" applyBorder="0" applyAlignment="0" applyProtection="0"/>
    <xf numFmtId="0" fontId="36" fillId="0" borderId="0"/>
    <xf numFmtId="0" fontId="32" fillId="0" borderId="0"/>
    <xf numFmtId="0" fontId="36" fillId="0" borderId="0"/>
    <xf numFmtId="168" fontId="33" fillId="0" borderId="0" applyFont="0" applyFill="0" applyBorder="0" applyAlignment="0" applyProtection="0"/>
    <xf numFmtId="0" fontId="33" fillId="0" borderId="0"/>
    <xf numFmtId="43" fontId="33" fillId="0" borderId="0" applyFont="0" applyFill="0" applyBorder="0" applyAlignment="0" applyProtection="0"/>
    <xf numFmtId="0" fontId="31" fillId="0" borderId="0"/>
    <xf numFmtId="0" fontId="30" fillId="0" borderId="0"/>
    <xf numFmtId="0" fontId="29" fillId="0" borderId="0"/>
    <xf numFmtId="9" fontId="33" fillId="0" borderId="0" applyFont="0" applyFill="0" applyBorder="0" applyAlignment="0" applyProtection="0"/>
    <xf numFmtId="0" fontId="29" fillId="0" borderId="0"/>
    <xf numFmtId="0" fontId="28"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6" fillId="0" borderId="0"/>
    <xf numFmtId="9" fontId="26" fillId="0" borderId="0" applyFont="0" applyFill="0" applyBorder="0" applyAlignment="0" applyProtection="0"/>
    <xf numFmtId="0" fontId="66" fillId="0" borderId="0" applyNumberFormat="0" applyFill="0" applyBorder="0" applyAlignment="0" applyProtection="0"/>
    <xf numFmtId="0" fontId="73" fillId="0" borderId="0"/>
    <xf numFmtId="0" fontId="33" fillId="0" borderId="0"/>
    <xf numFmtId="0" fontId="24" fillId="0" borderId="0"/>
    <xf numFmtId="0" fontId="36" fillId="0" borderId="0"/>
    <xf numFmtId="0" fontId="24" fillId="0" borderId="0"/>
    <xf numFmtId="0" fontId="24" fillId="0" borderId="0"/>
    <xf numFmtId="0" fontId="33" fillId="0" borderId="0"/>
    <xf numFmtId="0" fontId="24" fillId="0" borderId="0"/>
    <xf numFmtId="0" fontId="33" fillId="0" borderId="0"/>
    <xf numFmtId="0" fontId="23" fillId="0" borderId="0"/>
    <xf numFmtId="0" fontId="23" fillId="0" borderId="0"/>
    <xf numFmtId="9" fontId="23"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43" fontId="33"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cellStyleXfs>
  <cellXfs count="1526">
    <xf numFmtId="0" fontId="0" fillId="0" borderId="0" xfId="0"/>
    <xf numFmtId="0" fontId="54" fillId="0" borderId="0" xfId="0" applyFont="1"/>
    <xf numFmtId="166" fontId="53" fillId="0" borderId="14" xfId="0" applyNumberFormat="1" applyFont="1" applyBorder="1" applyAlignment="1">
      <alignment horizontal="center" vertical="center" wrapText="1"/>
    </xf>
    <xf numFmtId="166" fontId="54" fillId="0" borderId="14" xfId="0" applyNumberFormat="1" applyFont="1" applyBorder="1" applyAlignment="1">
      <alignment horizontal="center" vertical="center" wrapText="1"/>
    </xf>
    <xf numFmtId="0" fontId="54" fillId="0" borderId="16" xfId="0" applyFont="1" applyBorder="1" applyAlignment="1">
      <alignment horizontal="center" vertical="center" wrapText="1"/>
    </xf>
    <xf numFmtId="0" fontId="0" fillId="0" borderId="0" xfId="0" applyAlignment="1">
      <alignment wrapText="1"/>
    </xf>
    <xf numFmtId="166" fontId="54" fillId="0" borderId="14" xfId="46" applyNumberFormat="1" applyFont="1" applyBorder="1" applyAlignment="1">
      <alignment horizontal="center" vertical="center"/>
    </xf>
    <xf numFmtId="166" fontId="54" fillId="0" borderId="14" xfId="0" applyNumberFormat="1" applyFont="1" applyBorder="1" applyAlignment="1">
      <alignment horizontal="center" vertical="center"/>
    </xf>
    <xf numFmtId="166" fontId="53" fillId="0" borderId="14" xfId="0" applyNumberFormat="1" applyFont="1" applyBorder="1" applyAlignment="1">
      <alignment horizontal="center" vertical="center"/>
    </xf>
    <xf numFmtId="166" fontId="53" fillId="0" borderId="16" xfId="0" applyNumberFormat="1" applyFont="1" applyBorder="1" applyAlignment="1">
      <alignment horizontal="center" vertical="center"/>
    </xf>
    <xf numFmtId="166" fontId="53" fillId="27" borderId="14" xfId="0" applyNumberFormat="1" applyFont="1" applyFill="1" applyBorder="1" applyAlignment="1">
      <alignment horizontal="center" vertical="center"/>
    </xf>
    <xf numFmtId="166" fontId="54" fillId="0" borderId="0" xfId="46" applyNumberFormat="1" applyFont="1" applyAlignment="1">
      <alignment horizontal="center" vertical="center" wrapText="1"/>
    </xf>
    <xf numFmtId="166" fontId="54" fillId="0" borderId="23" xfId="46" applyNumberFormat="1" applyFont="1" applyBorder="1" applyAlignment="1">
      <alignment horizontal="center" vertical="center" wrapText="1"/>
    </xf>
    <xf numFmtId="166" fontId="54" fillId="0" borderId="17" xfId="46" applyNumberFormat="1" applyFont="1" applyBorder="1" applyAlignment="1">
      <alignment horizontal="center" vertical="center" wrapText="1"/>
    </xf>
    <xf numFmtId="166" fontId="54" fillId="27" borderId="23" xfId="46" applyNumberFormat="1" applyFont="1" applyFill="1" applyBorder="1" applyAlignment="1">
      <alignment horizontal="center" vertical="center" wrapText="1"/>
    </xf>
    <xf numFmtId="166" fontId="54" fillId="27" borderId="17" xfId="46" applyNumberFormat="1" applyFont="1" applyFill="1" applyBorder="1" applyAlignment="1">
      <alignment horizontal="center" vertical="center" wrapText="1"/>
    </xf>
    <xf numFmtId="166" fontId="54" fillId="27" borderId="14" xfId="46" applyNumberFormat="1" applyFont="1" applyFill="1" applyBorder="1" applyAlignment="1">
      <alignment horizontal="center" vertical="center" wrapText="1"/>
    </xf>
    <xf numFmtId="166" fontId="55" fillId="27" borderId="14" xfId="46" applyNumberFormat="1" applyFont="1" applyFill="1" applyBorder="1" applyAlignment="1">
      <alignment horizontal="center" vertical="center" wrapText="1"/>
    </xf>
    <xf numFmtId="166" fontId="54" fillId="0" borderId="10" xfId="46" applyNumberFormat="1" applyFont="1" applyBorder="1" applyAlignment="1">
      <alignment horizontal="center" vertical="center" wrapText="1"/>
    </xf>
    <xf numFmtId="166" fontId="54" fillId="27" borderId="10" xfId="46" applyNumberFormat="1" applyFont="1" applyFill="1" applyBorder="1" applyAlignment="1">
      <alignment horizontal="center" vertical="center" wrapText="1"/>
    </xf>
    <xf numFmtId="165" fontId="54" fillId="0" borderId="14" xfId="46" quotePrefix="1" applyNumberFormat="1" applyFont="1" applyBorder="1" applyAlignment="1">
      <alignment horizontal="center" vertical="center" wrapText="1"/>
    </xf>
    <xf numFmtId="166" fontId="53" fillId="0" borderId="14" xfId="46" applyNumberFormat="1" applyFont="1" applyBorder="1" applyAlignment="1">
      <alignment horizontal="center" vertical="center" wrapText="1"/>
    </xf>
    <xf numFmtId="166" fontId="53" fillId="0" borderId="17" xfId="46" applyNumberFormat="1" applyFont="1" applyBorder="1" applyAlignment="1">
      <alignment horizontal="center" vertical="center" wrapText="1"/>
    </xf>
    <xf numFmtId="166" fontId="53" fillId="0" borderId="25" xfId="46" applyNumberFormat="1" applyFont="1" applyBorder="1" applyAlignment="1">
      <alignment horizontal="center" vertical="center" wrapText="1"/>
    </xf>
    <xf numFmtId="166" fontId="54" fillId="27" borderId="14" xfId="46" applyNumberFormat="1" applyFont="1" applyFill="1" applyBorder="1" applyAlignment="1">
      <alignment horizontal="center" vertical="center"/>
    </xf>
    <xf numFmtId="166" fontId="54" fillId="27" borderId="16" xfId="46" applyNumberFormat="1" applyFont="1" applyFill="1" applyBorder="1" applyAlignment="1">
      <alignment horizontal="center" vertical="center"/>
    </xf>
    <xf numFmtId="166" fontId="54" fillId="27" borderId="17" xfId="46" applyNumberFormat="1" applyFont="1" applyFill="1" applyBorder="1" applyAlignment="1">
      <alignment horizontal="center" vertical="center"/>
    </xf>
    <xf numFmtId="166" fontId="54" fillId="0" borderId="23" xfId="46" applyNumberFormat="1" applyFont="1" applyBorder="1" applyAlignment="1">
      <alignment horizontal="center" vertical="center"/>
    </xf>
    <xf numFmtId="166" fontId="54" fillId="0" borderId="14" xfId="52" applyNumberFormat="1" applyFont="1" applyBorder="1" applyAlignment="1">
      <alignment horizontal="center" vertical="center" wrapText="1"/>
    </xf>
    <xf numFmtId="166" fontId="54" fillId="27" borderId="14" xfId="52" applyNumberFormat="1" applyFont="1" applyFill="1" applyBorder="1" applyAlignment="1">
      <alignment horizontal="center" vertical="center" wrapText="1"/>
    </xf>
    <xf numFmtId="0" fontId="54" fillId="0" borderId="14" xfId="52" quotePrefix="1" applyFont="1" applyBorder="1" applyAlignment="1">
      <alignment horizontal="center" vertical="center" wrapText="1"/>
    </xf>
    <xf numFmtId="0" fontId="54" fillId="27" borderId="14" xfId="52" applyFont="1" applyFill="1" applyBorder="1" applyAlignment="1">
      <alignment horizontal="center" vertical="center" wrapText="1"/>
    </xf>
    <xf numFmtId="166" fontId="54" fillId="27" borderId="16" xfId="46" applyNumberFormat="1" applyFont="1" applyFill="1" applyBorder="1" applyAlignment="1">
      <alignment horizontal="center" vertical="center" wrapText="1"/>
    </xf>
    <xf numFmtId="0" fontId="54" fillId="24" borderId="14" xfId="46" applyFont="1" applyFill="1" applyBorder="1" applyAlignment="1">
      <alignment vertical="center" wrapText="1"/>
    </xf>
    <xf numFmtId="0" fontId="58" fillId="27" borderId="14" xfId="46" applyFont="1" applyFill="1" applyBorder="1" applyAlignment="1">
      <alignment horizontal="center" vertical="center" wrapText="1"/>
    </xf>
    <xf numFmtId="0" fontId="54" fillId="27" borderId="14" xfId="46" applyFont="1" applyFill="1" applyBorder="1" applyAlignment="1">
      <alignment vertical="center" wrapText="1"/>
    </xf>
    <xf numFmtId="166" fontId="54" fillId="33" borderId="14" xfId="46" applyNumberFormat="1" applyFont="1" applyFill="1" applyBorder="1" applyAlignment="1">
      <alignment horizontal="center" vertical="center"/>
    </xf>
    <xf numFmtId="166" fontId="54" fillId="0" borderId="14" xfId="46" applyNumberFormat="1" applyFont="1" applyBorder="1" applyAlignment="1">
      <alignment horizontal="center" vertical="center" wrapText="1"/>
    </xf>
    <xf numFmtId="0" fontId="54" fillId="0" borderId="0" xfId="0" applyFont="1" applyAlignment="1">
      <alignment horizontal="center" vertical="center"/>
    </xf>
    <xf numFmtId="0" fontId="54" fillId="0" borderId="23" xfId="46" applyFont="1" applyBorder="1" applyAlignment="1">
      <alignment horizontal="center" vertical="center" wrapText="1"/>
    </xf>
    <xf numFmtId="0" fontId="54" fillId="0" borderId="14" xfId="46" applyFont="1" applyBorder="1" applyAlignment="1">
      <alignment horizontal="center" vertical="center" wrapText="1"/>
    </xf>
    <xf numFmtId="0" fontId="54" fillId="0" borderId="17" xfId="46" applyFont="1" applyBorder="1" applyAlignment="1">
      <alignment horizontal="center" vertical="center" wrapText="1"/>
    </xf>
    <xf numFmtId="49" fontId="54" fillId="0" borderId="16" xfId="46" applyNumberFormat="1" applyFont="1" applyBorder="1" applyAlignment="1">
      <alignment horizontal="center" vertical="center" wrapText="1"/>
    </xf>
    <xf numFmtId="0" fontId="54" fillId="0" borderId="16" xfId="46" applyFont="1" applyBorder="1" applyAlignment="1">
      <alignment horizontal="center" vertical="center" wrapText="1"/>
    </xf>
    <xf numFmtId="49" fontId="54" fillId="0" borderId="14" xfId="46" applyNumberFormat="1" applyFont="1" applyBorder="1" applyAlignment="1">
      <alignment horizontal="center" vertical="center" wrapText="1"/>
    </xf>
    <xf numFmtId="49" fontId="54" fillId="0" borderId="23" xfId="46" applyNumberFormat="1" applyFont="1" applyBorder="1" applyAlignment="1">
      <alignment horizontal="center" vertical="center" wrapText="1"/>
    </xf>
    <xf numFmtId="166" fontId="54" fillId="0" borderId="16" xfId="46" applyNumberFormat="1" applyFont="1" applyBorder="1" applyAlignment="1">
      <alignment horizontal="center" vertical="center" wrapText="1"/>
    </xf>
    <xf numFmtId="166" fontId="54" fillId="0" borderId="27" xfId="46" applyNumberFormat="1" applyFont="1" applyBorder="1" applyAlignment="1">
      <alignment horizontal="center" vertical="center" wrapText="1"/>
    </xf>
    <xf numFmtId="0" fontId="54" fillId="0" borderId="14" xfId="46" applyFont="1" applyBorder="1" applyAlignment="1">
      <alignment vertical="center" wrapText="1"/>
    </xf>
    <xf numFmtId="49" fontId="58" fillId="0" borderId="14" xfId="46" applyNumberFormat="1" applyFont="1" applyBorder="1" applyAlignment="1">
      <alignment horizontal="center" vertical="center"/>
    </xf>
    <xf numFmtId="0" fontId="54" fillId="0" borderId="14" xfId="52" applyFont="1" applyBorder="1" applyAlignment="1">
      <alignment horizontal="center" vertical="center" wrapText="1"/>
    </xf>
    <xf numFmtId="49" fontId="54" fillId="0" borderId="14" xfId="52" applyNumberFormat="1" applyFont="1" applyBorder="1" applyAlignment="1">
      <alignment horizontal="center" vertical="center" wrapText="1"/>
    </xf>
    <xf numFmtId="0" fontId="54" fillId="24" borderId="14" xfId="46" applyFont="1" applyFill="1" applyBorder="1" applyAlignment="1">
      <alignment horizontal="left" vertical="center" wrapText="1"/>
    </xf>
    <xf numFmtId="0" fontId="54" fillId="24" borderId="14" xfId="46" applyFont="1" applyFill="1" applyBorder="1" applyAlignment="1">
      <alignment horizontal="center" vertical="center" wrapText="1"/>
    </xf>
    <xf numFmtId="166" fontId="58" fillId="0" borderId="14" xfId="46" applyNumberFormat="1" applyFont="1" applyBorder="1" applyAlignment="1">
      <alignment horizontal="center" vertical="center"/>
    </xf>
    <xf numFmtId="166" fontId="58" fillId="27" borderId="14" xfId="46" applyNumberFormat="1" applyFont="1" applyFill="1" applyBorder="1" applyAlignment="1">
      <alignment horizontal="center" vertical="center"/>
    </xf>
    <xf numFmtId="0" fontId="54" fillId="0" borderId="23" xfId="46" applyFont="1" applyBorder="1" applyAlignment="1">
      <alignment horizontal="left" vertical="center" wrapText="1"/>
    </xf>
    <xf numFmtId="166" fontId="53" fillId="0" borderId="16" xfId="46" applyNumberFormat="1" applyFont="1" applyBorder="1" applyAlignment="1">
      <alignment horizontal="center" vertical="center" wrapText="1"/>
    </xf>
    <xf numFmtId="0" fontId="54" fillId="0" borderId="34" xfId="0" applyFont="1" applyBorder="1"/>
    <xf numFmtId="166" fontId="54" fillId="0" borderId="14" xfId="0" applyNumberFormat="1" applyFont="1" applyBorder="1"/>
    <xf numFmtId="0" fontId="0" fillId="0" borderId="0" xfId="0" applyAlignment="1">
      <alignment horizontal="left"/>
    </xf>
    <xf numFmtId="164" fontId="54" fillId="0" borderId="0" xfId="59" applyNumberFormat="1" applyFont="1" applyFill="1"/>
    <xf numFmtId="164" fontId="0" fillId="0" borderId="0" xfId="0" applyNumberFormat="1"/>
    <xf numFmtId="166" fontId="54" fillId="27" borderId="14" xfId="0" applyNumberFormat="1" applyFont="1" applyFill="1" applyBorder="1" applyAlignment="1">
      <alignment horizontal="center" vertical="center"/>
    </xf>
    <xf numFmtId="166" fontId="25" fillId="27" borderId="14" xfId="46" applyNumberFormat="1" applyFont="1" applyFill="1" applyBorder="1" applyAlignment="1">
      <alignment horizontal="center" vertical="center" wrapText="1"/>
    </xf>
    <xf numFmtId="0" fontId="54" fillId="0" borderId="17" xfId="46" applyFont="1" applyBorder="1" applyAlignment="1">
      <alignment vertical="center" wrapText="1"/>
    </xf>
    <xf numFmtId="49" fontId="54" fillId="27" borderId="14" xfId="46" applyNumberFormat="1" applyFont="1" applyFill="1" applyBorder="1" applyAlignment="1">
      <alignment horizontal="center" vertical="center" wrapText="1"/>
    </xf>
    <xf numFmtId="49" fontId="54" fillId="24" borderId="14" xfId="46" applyNumberFormat="1" applyFont="1" applyFill="1" applyBorder="1" applyAlignment="1">
      <alignment horizontal="center" vertical="center" wrapText="1"/>
    </xf>
    <xf numFmtId="0" fontId="54" fillId="27" borderId="23" xfId="46" applyFont="1" applyFill="1" applyBorder="1" applyAlignment="1">
      <alignment horizontal="center" vertical="center" wrapText="1"/>
    </xf>
    <xf numFmtId="0" fontId="54" fillId="27" borderId="14" xfId="46" applyFont="1" applyFill="1" applyBorder="1" applyAlignment="1">
      <alignment horizontal="center" vertical="center" wrapText="1"/>
    </xf>
    <xf numFmtId="2" fontId="54" fillId="0" borderId="14" xfId="46" applyNumberFormat="1" applyFont="1" applyBorder="1" applyAlignment="1">
      <alignment horizontal="center" vertical="center" wrapText="1"/>
    </xf>
    <xf numFmtId="1" fontId="54" fillId="0" borderId="14" xfId="46" applyNumberFormat="1" applyFont="1" applyBorder="1" applyAlignment="1">
      <alignment horizontal="center" vertical="center" wrapText="1"/>
    </xf>
    <xf numFmtId="49" fontId="54" fillId="0" borderId="17" xfId="46" applyNumberFormat="1" applyFont="1" applyBorder="1" applyAlignment="1">
      <alignment horizontal="center" vertical="center" wrapText="1"/>
    </xf>
    <xf numFmtId="0" fontId="54" fillId="0" borderId="14" xfId="46" applyFont="1" applyBorder="1" applyAlignment="1">
      <alignment horizontal="center" vertical="center"/>
    </xf>
    <xf numFmtId="0" fontId="54" fillId="0" borderId="14" xfId="46" applyFont="1" applyBorder="1" applyAlignment="1">
      <alignment horizontal="left" vertical="center" wrapText="1"/>
    </xf>
    <xf numFmtId="0" fontId="54" fillId="27" borderId="14" xfId="46" applyFont="1" applyFill="1" applyBorder="1" applyAlignment="1">
      <alignment horizontal="left" vertical="center" wrapText="1"/>
    </xf>
    <xf numFmtId="0" fontId="54" fillId="27" borderId="14" xfId="46" applyFont="1" applyFill="1" applyBorder="1" applyAlignment="1">
      <alignment horizontal="center" vertical="center"/>
    </xf>
    <xf numFmtId="0" fontId="58" fillId="0" borderId="14" xfId="46" applyFont="1" applyBorder="1" applyAlignment="1">
      <alignment horizontal="center" vertical="center" wrapText="1"/>
    </xf>
    <xf numFmtId="0" fontId="54" fillId="0" borderId="23" xfId="0" applyFont="1" applyBorder="1" applyAlignment="1">
      <alignment horizontal="left" vertical="center" wrapText="1"/>
    </xf>
    <xf numFmtId="0" fontId="54" fillId="0" borderId="14" xfId="52" applyFont="1" applyBorder="1" applyAlignment="1">
      <alignment horizontal="left" vertical="center" wrapText="1"/>
    </xf>
    <xf numFmtId="0" fontId="54" fillId="0" borderId="14" xfId="52" applyFont="1" applyBorder="1" applyAlignment="1">
      <alignment horizontal="center" vertical="center"/>
    </xf>
    <xf numFmtId="0" fontId="54" fillId="0" borderId="14" xfId="0" applyFont="1" applyBorder="1" applyAlignment="1">
      <alignment horizontal="center" vertical="center" wrapText="1"/>
    </xf>
    <xf numFmtId="0" fontId="54" fillId="0" borderId="14" xfId="0" applyFont="1" applyBorder="1" applyAlignment="1">
      <alignment vertical="center" wrapText="1"/>
    </xf>
    <xf numFmtId="0" fontId="54" fillId="32" borderId="14" xfId="0" applyFont="1" applyFill="1" applyBorder="1" applyAlignment="1">
      <alignment horizontal="center" vertical="center" wrapText="1"/>
    </xf>
    <xf numFmtId="0" fontId="54" fillId="0" borderId="23" xfId="0" applyFont="1" applyBorder="1" applyAlignment="1">
      <alignment horizontal="center" vertical="center" wrapText="1"/>
    </xf>
    <xf numFmtId="49" fontId="54" fillId="0" borderId="14" xfId="0" applyNumberFormat="1" applyFont="1" applyBorder="1" applyAlignment="1">
      <alignment horizontal="center" vertical="center" wrapText="1"/>
    </xf>
    <xf numFmtId="0" fontId="54" fillId="24" borderId="14" xfId="46" applyFont="1" applyFill="1" applyBorder="1" applyAlignment="1">
      <alignment horizontal="center" vertical="center"/>
    </xf>
    <xf numFmtId="49" fontId="58" fillId="27" borderId="14" xfId="46" applyNumberFormat="1" applyFont="1" applyFill="1" applyBorder="1" applyAlignment="1">
      <alignment horizontal="center" vertical="center"/>
    </xf>
    <xf numFmtId="0" fontId="54" fillId="27" borderId="14" xfId="0" applyFont="1" applyFill="1" applyBorder="1" applyAlignment="1">
      <alignment horizontal="center" vertical="center" wrapText="1"/>
    </xf>
    <xf numFmtId="0" fontId="54" fillId="0" borderId="14" xfId="0" applyFont="1" applyBorder="1" applyAlignment="1">
      <alignment horizontal="left" vertical="center" wrapText="1"/>
    </xf>
    <xf numFmtId="0" fontId="54" fillId="0" borderId="14" xfId="0" applyFont="1" applyBorder="1" applyAlignment="1">
      <alignment horizontal="center" vertical="center" textRotation="90" wrapText="1"/>
    </xf>
    <xf numFmtId="0" fontId="54" fillId="27" borderId="14" xfId="0" applyFont="1" applyFill="1" applyBorder="1" applyAlignment="1">
      <alignment horizontal="left" vertical="center" wrapText="1"/>
    </xf>
    <xf numFmtId="0" fontId="54" fillId="27" borderId="14" xfId="0" applyFont="1" applyFill="1" applyBorder="1" applyAlignment="1">
      <alignment vertical="center" wrapText="1"/>
    </xf>
    <xf numFmtId="0" fontId="53"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horizontal="left" vertical="center" wrapText="1"/>
    </xf>
    <xf numFmtId="0" fontId="54" fillId="0" borderId="0" xfId="0" applyFont="1" applyProtection="1">
      <protection locked="0"/>
    </xf>
    <xf numFmtId="0" fontId="54" fillId="0" borderId="0" xfId="0" applyFont="1" applyAlignment="1">
      <alignment wrapText="1"/>
    </xf>
    <xf numFmtId="0" fontId="54" fillId="0" borderId="0" xfId="0" applyFont="1" applyAlignment="1">
      <alignment vertical="center"/>
    </xf>
    <xf numFmtId="164" fontId="54" fillId="0" borderId="0" xfId="0" applyNumberFormat="1" applyFont="1" applyAlignment="1">
      <alignment horizontal="center" vertical="center"/>
    </xf>
    <xf numFmtId="3" fontId="54" fillId="0" borderId="14" xfId="0" applyNumberFormat="1" applyFont="1" applyBorder="1" applyAlignment="1">
      <alignment horizontal="center" vertical="center" textRotation="90" wrapText="1"/>
    </xf>
    <xf numFmtId="3" fontId="54" fillId="0" borderId="14" xfId="0" applyNumberFormat="1" applyFont="1" applyBorder="1" applyAlignment="1">
      <alignment horizontal="center" vertical="center" wrapText="1"/>
    </xf>
    <xf numFmtId="3" fontId="54" fillId="0" borderId="14" xfId="0" applyNumberFormat="1" applyFont="1" applyBorder="1" applyAlignment="1">
      <alignment vertical="center" wrapText="1"/>
    </xf>
    <xf numFmtId="3" fontId="54" fillId="0" borderId="0" xfId="0" applyNumberFormat="1" applyFont="1" applyAlignment="1">
      <alignment horizontal="center" vertical="center" wrapText="1"/>
    </xf>
    <xf numFmtId="3" fontId="67" fillId="35" borderId="14" xfId="0" applyNumberFormat="1" applyFont="1" applyFill="1" applyBorder="1" applyAlignment="1">
      <alignment horizontal="center" vertical="center" wrapText="1"/>
    </xf>
    <xf numFmtId="3" fontId="67" fillId="35" borderId="14" xfId="0" applyNumberFormat="1" applyFont="1" applyFill="1" applyBorder="1" applyAlignment="1" applyProtection="1">
      <alignment horizontal="center" vertical="center" wrapText="1"/>
      <protection locked="0"/>
    </xf>
    <xf numFmtId="0" fontId="54" fillId="36" borderId="14" xfId="0" applyFont="1" applyFill="1" applyBorder="1" applyAlignment="1">
      <alignment horizontal="center" vertical="center" textRotation="90" wrapText="1"/>
    </xf>
    <xf numFmtId="0" fontId="54" fillId="36" borderId="14" xfId="0" applyFont="1" applyFill="1" applyBorder="1" applyAlignment="1">
      <alignment vertical="center" wrapText="1"/>
    </xf>
    <xf numFmtId="3" fontId="54" fillId="36" borderId="14" xfId="0" applyNumberFormat="1" applyFont="1" applyFill="1" applyBorder="1" applyAlignment="1">
      <alignment horizontal="center" vertical="center" wrapText="1"/>
    </xf>
    <xf numFmtId="3" fontId="54" fillId="36" borderId="14" xfId="0" applyNumberFormat="1" applyFont="1" applyFill="1" applyBorder="1" applyAlignment="1">
      <alignment horizontal="center" vertical="center" textRotation="90" wrapText="1"/>
    </xf>
    <xf numFmtId="0" fontId="54" fillId="37" borderId="14" xfId="0" applyFont="1" applyFill="1" applyBorder="1" applyAlignment="1" applyProtection="1">
      <alignment wrapText="1"/>
      <protection locked="0"/>
    </xf>
    <xf numFmtId="49" fontId="54" fillId="38" borderId="14" xfId="0" quotePrefix="1" applyNumberFormat="1" applyFont="1" applyFill="1" applyBorder="1" applyAlignment="1">
      <alignment horizontal="center" vertical="center" wrapText="1"/>
    </xf>
    <xf numFmtId="0" fontId="54" fillId="39" borderId="14" xfId="0" applyFont="1" applyFill="1" applyBorder="1" applyAlignment="1">
      <alignment vertical="center" wrapText="1"/>
    </xf>
    <xf numFmtId="3" fontId="54" fillId="40" borderId="14" xfId="0" applyNumberFormat="1" applyFont="1" applyFill="1" applyBorder="1" applyAlignment="1">
      <alignment horizontal="center" vertical="center" textRotation="90" wrapText="1"/>
    </xf>
    <xf numFmtId="14" fontId="54" fillId="0" borderId="14" xfId="0" quotePrefix="1" applyNumberFormat="1" applyFont="1" applyBorder="1" applyAlignment="1">
      <alignment horizontal="center" vertical="center" wrapText="1"/>
    </xf>
    <xf numFmtId="166" fontId="54" fillId="41" borderId="14" xfId="46" applyNumberFormat="1" applyFont="1" applyFill="1" applyBorder="1" applyAlignment="1">
      <alignment horizontal="center" vertical="center" wrapText="1"/>
    </xf>
    <xf numFmtId="166" fontId="54" fillId="0" borderId="14" xfId="46" applyNumberFormat="1" applyFont="1" applyBorder="1" applyAlignment="1">
      <alignment vertical="center" wrapText="1"/>
    </xf>
    <xf numFmtId="164" fontId="54" fillId="42" borderId="14" xfId="0" applyNumberFormat="1" applyFont="1" applyFill="1" applyBorder="1" applyAlignment="1">
      <alignment horizontal="left" vertical="center" wrapText="1"/>
    </xf>
    <xf numFmtId="0" fontId="54" fillId="42" borderId="14" xfId="0" applyFont="1" applyFill="1" applyBorder="1" applyAlignment="1">
      <alignment horizontal="center" vertical="center" wrapText="1"/>
    </xf>
    <xf numFmtId="164" fontId="54" fillId="42" borderId="14" xfId="0" applyNumberFormat="1" applyFont="1" applyFill="1" applyBorder="1" applyAlignment="1">
      <alignment horizontal="center" vertical="center" wrapText="1"/>
    </xf>
    <xf numFmtId="0" fontId="54" fillId="43" borderId="14" xfId="0" applyFont="1" applyFill="1" applyBorder="1" applyAlignment="1">
      <alignment horizontal="center" vertical="center" wrapText="1"/>
    </xf>
    <xf numFmtId="166" fontId="53" fillId="43" borderId="14" xfId="46" applyNumberFormat="1" applyFont="1" applyFill="1" applyBorder="1" applyAlignment="1">
      <alignment horizontal="center" vertical="center" wrapText="1"/>
    </xf>
    <xf numFmtId="166" fontId="54" fillId="43" borderId="14" xfId="46" applyNumberFormat="1" applyFont="1" applyFill="1" applyBorder="1" applyAlignment="1">
      <alignment horizontal="center" vertical="center" wrapText="1"/>
    </xf>
    <xf numFmtId="166" fontId="54" fillId="29" borderId="14" xfId="46" applyNumberFormat="1" applyFont="1" applyFill="1" applyBorder="1" applyAlignment="1">
      <alignment horizontal="center" vertical="center" wrapText="1"/>
    </xf>
    <xf numFmtId="166" fontId="55" fillId="29" borderId="14" xfId="46" applyNumberFormat="1" applyFont="1" applyFill="1" applyBorder="1" applyAlignment="1">
      <alignment horizontal="center" vertical="center" wrapText="1"/>
    </xf>
    <xf numFmtId="0" fontId="54" fillId="30" borderId="14" xfId="46" applyFont="1" applyFill="1" applyBorder="1" applyAlignment="1">
      <alignment horizontal="center" vertical="center" wrapText="1"/>
    </xf>
    <xf numFmtId="166" fontId="54" fillId="30" borderId="14" xfId="46" applyNumberFormat="1" applyFont="1" applyFill="1" applyBorder="1" applyAlignment="1">
      <alignment horizontal="center" vertical="center" wrapText="1"/>
    </xf>
    <xf numFmtId="166" fontId="54" fillId="27" borderId="14" xfId="46" applyNumberFormat="1" applyFont="1" applyFill="1" applyBorder="1" applyAlignment="1">
      <alignment vertical="center" wrapText="1"/>
    </xf>
    <xf numFmtId="164" fontId="55" fillId="0" borderId="14" xfId="0" applyNumberFormat="1" applyFont="1" applyBorder="1" applyAlignment="1">
      <alignment horizontal="center" vertical="center" wrapText="1"/>
    </xf>
    <xf numFmtId="0" fontId="69" fillId="0" borderId="0" xfId="0" applyFont="1" applyAlignment="1">
      <alignment wrapText="1"/>
    </xf>
    <xf numFmtId="0" fontId="54" fillId="30" borderId="14" xfId="46" applyFont="1" applyFill="1" applyBorder="1" applyAlignment="1">
      <alignment vertical="center" wrapText="1"/>
    </xf>
    <xf numFmtId="164" fontId="54" fillId="0" borderId="14" xfId="0" applyNumberFormat="1" applyFont="1" applyBorder="1" applyAlignment="1">
      <alignment horizontal="center" vertical="center" wrapText="1"/>
    </xf>
    <xf numFmtId="166" fontId="62" fillId="41" borderId="14" xfId="46" applyNumberFormat="1" applyFont="1" applyFill="1" applyBorder="1" applyAlignment="1">
      <alignment horizontal="center" vertical="center" wrapText="1"/>
    </xf>
    <xf numFmtId="166" fontId="54" fillId="30" borderId="14" xfId="46" applyNumberFormat="1" applyFont="1" applyFill="1" applyBorder="1" applyAlignment="1">
      <alignment vertical="center" wrapText="1"/>
    </xf>
    <xf numFmtId="166" fontId="54" fillId="41" borderId="14" xfId="46" applyNumberFormat="1" applyFont="1" applyFill="1" applyBorder="1" applyAlignment="1">
      <alignment vertical="center" wrapText="1"/>
    </xf>
    <xf numFmtId="49" fontId="54" fillId="0" borderId="14" xfId="46" applyNumberFormat="1" applyFont="1" applyBorder="1" applyAlignment="1">
      <alignment vertical="center" wrapText="1"/>
    </xf>
    <xf numFmtId="166" fontId="62" fillId="29" borderId="14" xfId="46" applyNumberFormat="1" applyFont="1" applyFill="1" applyBorder="1" applyAlignment="1">
      <alignment horizontal="center" vertical="center" wrapText="1"/>
    </xf>
    <xf numFmtId="1" fontId="54" fillId="24" borderId="14" xfId="46" applyNumberFormat="1" applyFont="1" applyFill="1" applyBorder="1" applyAlignment="1">
      <alignment horizontal="center" vertical="center" wrapText="1"/>
    </xf>
    <xf numFmtId="49" fontId="54" fillId="0" borderId="14" xfId="46" applyNumberFormat="1" applyFont="1" applyBorder="1" applyAlignment="1">
      <alignment horizontal="center" vertical="center"/>
    </xf>
    <xf numFmtId="0" fontId="70" fillId="0" borderId="35" xfId="0" applyFont="1" applyBorder="1" applyAlignment="1">
      <alignment wrapText="1"/>
    </xf>
    <xf numFmtId="164" fontId="54" fillId="43" borderId="14" xfId="0" applyNumberFormat="1" applyFont="1" applyFill="1" applyBorder="1" applyAlignment="1">
      <alignment horizontal="center" vertical="center" wrapText="1"/>
    </xf>
    <xf numFmtId="49" fontId="54" fillId="46" borderId="14" xfId="0" quotePrefix="1" applyNumberFormat="1" applyFont="1" applyFill="1" applyBorder="1" applyAlignment="1">
      <alignment horizontal="center" vertical="center" wrapText="1"/>
    </xf>
    <xf numFmtId="0" fontId="54" fillId="40" borderId="14" xfId="0" applyFont="1" applyFill="1" applyBorder="1" applyAlignment="1">
      <alignment vertical="center" wrapText="1"/>
    </xf>
    <xf numFmtId="166" fontId="53" fillId="41" borderId="14" xfId="46" applyNumberFormat="1" applyFont="1" applyFill="1" applyBorder="1" applyAlignment="1">
      <alignment horizontal="center" vertical="center" wrapText="1"/>
    </xf>
    <xf numFmtId="164" fontId="54" fillId="0" borderId="14" xfId="0" applyNumberFormat="1" applyFont="1" applyBorder="1" applyAlignment="1">
      <alignment horizontal="left" vertical="center" wrapText="1"/>
    </xf>
    <xf numFmtId="0" fontId="54" fillId="0" borderId="14" xfId="0" applyFont="1" applyBorder="1"/>
    <xf numFmtId="1" fontId="54" fillId="24" borderId="14" xfId="46" quotePrefix="1" applyNumberFormat="1" applyFont="1" applyFill="1" applyBorder="1" applyAlignment="1">
      <alignment horizontal="center" vertical="center" wrapText="1"/>
    </xf>
    <xf numFmtId="0" fontId="54" fillId="0" borderId="14" xfId="0" quotePrefix="1" applyFont="1" applyBorder="1" applyAlignment="1">
      <alignment horizontal="center" vertical="center" wrapText="1"/>
    </xf>
    <xf numFmtId="166" fontId="54" fillId="0" borderId="14" xfId="46" applyNumberFormat="1" applyFont="1" applyBorder="1" applyAlignment="1">
      <alignment horizontal="left" vertical="center" wrapText="1"/>
    </xf>
    <xf numFmtId="165" fontId="54" fillId="0" borderId="14" xfId="46" quotePrefix="1" applyNumberFormat="1" applyFont="1" applyBorder="1" applyAlignment="1">
      <alignment vertical="center" wrapText="1"/>
    </xf>
    <xf numFmtId="166" fontId="54" fillId="39" borderId="14" xfId="46" applyNumberFormat="1" applyFont="1" applyFill="1" applyBorder="1" applyAlignment="1">
      <alignment horizontal="center" vertical="center" wrapText="1"/>
    </xf>
    <xf numFmtId="166" fontId="54" fillId="48" borderId="14" xfId="46" applyNumberFormat="1" applyFont="1" applyFill="1" applyBorder="1" applyAlignment="1">
      <alignment horizontal="center" vertical="center" wrapText="1"/>
    </xf>
    <xf numFmtId="1" fontId="54" fillId="0" borderId="14" xfId="46" applyNumberFormat="1" applyFont="1" applyBorder="1" applyAlignment="1">
      <alignment vertical="center" wrapText="1"/>
    </xf>
    <xf numFmtId="0" fontId="54" fillId="47" borderId="14" xfId="46" applyFont="1" applyFill="1" applyBorder="1" applyAlignment="1">
      <alignment horizontal="center" vertical="center" wrapText="1"/>
    </xf>
    <xf numFmtId="0" fontId="54" fillId="0" borderId="14" xfId="46" applyFont="1" applyBorder="1" applyAlignment="1">
      <alignment horizontal="right" vertical="center" wrapText="1"/>
    </xf>
    <xf numFmtId="49" fontId="54" fillId="39" borderId="14" xfId="0" quotePrefix="1" applyNumberFormat="1" applyFont="1" applyFill="1" applyBorder="1" applyAlignment="1">
      <alignment horizontal="center" vertical="center" wrapText="1"/>
    </xf>
    <xf numFmtId="0" fontId="54" fillId="39" borderId="14" xfId="0" applyFont="1" applyFill="1" applyBorder="1" applyAlignment="1">
      <alignment horizontal="center" vertical="center" wrapText="1"/>
    </xf>
    <xf numFmtId="166" fontId="53" fillId="39" borderId="14" xfId="0" applyNumberFormat="1" applyFont="1" applyFill="1" applyBorder="1" applyAlignment="1">
      <alignment horizontal="center" vertical="center" wrapText="1"/>
    </xf>
    <xf numFmtId="49" fontId="54" fillId="0" borderId="14" xfId="0" quotePrefix="1" applyNumberFormat="1" applyFont="1" applyBorder="1" applyAlignment="1">
      <alignment horizontal="left" vertical="center" wrapText="1"/>
    </xf>
    <xf numFmtId="49" fontId="54" fillId="0" borderId="14" xfId="0" quotePrefix="1" applyNumberFormat="1" applyFont="1" applyBorder="1" applyAlignment="1">
      <alignment horizontal="center" vertical="center" wrapText="1"/>
    </xf>
    <xf numFmtId="166" fontId="54" fillId="41" borderId="14" xfId="0" applyNumberFormat="1" applyFont="1" applyFill="1" applyBorder="1" applyAlignment="1">
      <alignment horizontal="center" vertical="center" wrapText="1"/>
    </xf>
    <xf numFmtId="49" fontId="54" fillId="41" borderId="14" xfId="0" quotePrefix="1" applyNumberFormat="1" applyFont="1" applyFill="1" applyBorder="1" applyAlignment="1">
      <alignment horizontal="center" vertical="center" wrapText="1"/>
    </xf>
    <xf numFmtId="14" fontId="54" fillId="27" borderId="14" xfId="46" applyNumberFormat="1" applyFont="1" applyFill="1" applyBorder="1" applyAlignment="1">
      <alignment horizontal="center" vertical="center" wrapText="1"/>
    </xf>
    <xf numFmtId="166" fontId="54" fillId="44" borderId="14" xfId="46" applyNumberFormat="1" applyFont="1" applyFill="1" applyBorder="1" applyAlignment="1">
      <alignment horizontal="center" vertical="center" wrapText="1"/>
    </xf>
    <xf numFmtId="0" fontId="54" fillId="0" borderId="14" xfId="0" applyFont="1" applyBorder="1" applyAlignment="1">
      <alignment horizontal="center"/>
    </xf>
    <xf numFmtId="166" fontId="71" fillId="29" borderId="14" xfId="0" applyNumberFormat="1" applyFont="1" applyFill="1" applyBorder="1" applyAlignment="1">
      <alignment horizontal="center" vertical="center"/>
    </xf>
    <xf numFmtId="166" fontId="54" fillId="29" borderId="14" xfId="0" applyNumberFormat="1" applyFont="1" applyFill="1" applyBorder="1" applyAlignment="1">
      <alignment horizontal="center" vertical="center"/>
    </xf>
    <xf numFmtId="0" fontId="54" fillId="27" borderId="0" xfId="0" applyFont="1" applyFill="1" applyAlignment="1">
      <alignment horizontal="center" vertical="center"/>
    </xf>
    <xf numFmtId="166" fontId="62" fillId="41" borderId="14" xfId="0" applyNumberFormat="1" applyFont="1" applyFill="1" applyBorder="1" applyAlignment="1">
      <alignment horizontal="center" vertical="center"/>
    </xf>
    <xf numFmtId="166" fontId="62" fillId="0" borderId="14" xfId="0" applyNumberFormat="1" applyFont="1" applyBorder="1" applyAlignment="1">
      <alignment horizontal="center" vertical="center"/>
    </xf>
    <xf numFmtId="166" fontId="62" fillId="27" borderId="14" xfId="46" applyNumberFormat="1" applyFont="1" applyFill="1" applyBorder="1" applyAlignment="1">
      <alignment horizontal="center" vertical="center" wrapText="1"/>
    </xf>
    <xf numFmtId="166" fontId="62" fillId="0" borderId="14" xfId="46" applyNumberFormat="1" applyFont="1" applyBorder="1" applyAlignment="1">
      <alignment vertical="center" wrapText="1"/>
    </xf>
    <xf numFmtId="0" fontId="54" fillId="27" borderId="14" xfId="0" applyFont="1" applyFill="1" applyBorder="1" applyAlignment="1">
      <alignment horizontal="center" wrapText="1"/>
    </xf>
    <xf numFmtId="166" fontId="54" fillId="29" borderId="14" xfId="0" applyNumberFormat="1" applyFont="1" applyFill="1" applyBorder="1" applyAlignment="1">
      <alignment horizontal="center" vertical="center" wrapText="1"/>
    </xf>
    <xf numFmtId="166" fontId="55" fillId="41" borderId="14" xfId="0" applyNumberFormat="1" applyFont="1" applyFill="1" applyBorder="1" applyAlignment="1">
      <alignment vertical="center"/>
    </xf>
    <xf numFmtId="166" fontId="54" fillId="41" borderId="14" xfId="0" applyNumberFormat="1" applyFont="1" applyFill="1" applyBorder="1" applyAlignment="1">
      <alignment horizontal="center" vertical="center"/>
    </xf>
    <xf numFmtId="166" fontId="54" fillId="41" borderId="16" xfId="46" applyNumberFormat="1" applyFont="1" applyFill="1" applyBorder="1" applyAlignment="1">
      <alignment horizontal="center" vertical="center" wrapText="1"/>
    </xf>
    <xf numFmtId="166" fontId="54" fillId="0" borderId="34" xfId="0" applyNumberFormat="1" applyFont="1" applyBorder="1" applyAlignment="1">
      <alignment horizontal="center"/>
    </xf>
    <xf numFmtId="166" fontId="54" fillId="27" borderId="34" xfId="46" applyNumberFormat="1" applyFont="1" applyFill="1" applyBorder="1" applyAlignment="1">
      <alignment horizontal="center" vertical="center" wrapText="1"/>
    </xf>
    <xf numFmtId="166" fontId="54" fillId="43" borderId="23" xfId="46" applyNumberFormat="1" applyFont="1" applyFill="1" applyBorder="1" applyAlignment="1">
      <alignment horizontal="center" vertical="center" wrapText="1"/>
    </xf>
    <xf numFmtId="0" fontId="54" fillId="0" borderId="14" xfId="0" applyFont="1" applyBorder="1" applyAlignment="1">
      <alignment horizontal="center" wrapText="1"/>
    </xf>
    <xf numFmtId="0" fontId="54" fillId="42" borderId="17" xfId="0" applyFont="1" applyFill="1" applyBorder="1" applyAlignment="1">
      <alignment horizontal="center" vertical="center" wrapText="1"/>
    </xf>
    <xf numFmtId="0" fontId="54" fillId="32" borderId="17" xfId="0" applyFont="1" applyFill="1" applyBorder="1" applyAlignment="1">
      <alignment horizontal="center" vertical="center" wrapText="1"/>
    </xf>
    <xf numFmtId="0" fontId="54" fillId="27" borderId="14" xfId="0" applyFont="1" applyFill="1" applyBorder="1" applyAlignment="1">
      <alignment horizontal="right" vertical="center" wrapText="1"/>
    </xf>
    <xf numFmtId="166" fontId="53" fillId="25" borderId="14" xfId="46" applyNumberFormat="1" applyFont="1" applyFill="1" applyBorder="1" applyAlignment="1">
      <alignment horizontal="center" vertical="center" wrapText="1"/>
    </xf>
    <xf numFmtId="166" fontId="53" fillId="27" borderId="36" xfId="46" applyNumberFormat="1" applyFont="1" applyFill="1" applyBorder="1" applyAlignment="1">
      <alignment horizontal="center" vertical="center" wrapText="1"/>
    </xf>
    <xf numFmtId="0" fontId="54" fillId="0" borderId="0" xfId="0" applyFont="1" applyAlignment="1">
      <alignment horizontal="center" vertical="center" wrapText="1"/>
    </xf>
    <xf numFmtId="0" fontId="68" fillId="40" borderId="14" xfId="0" applyFont="1" applyFill="1" applyBorder="1" applyAlignment="1">
      <alignment horizontal="left" vertical="center" wrapText="1"/>
    </xf>
    <xf numFmtId="3" fontId="54" fillId="0" borderId="14" xfId="72" applyNumberFormat="1" applyFont="1" applyBorder="1" applyAlignment="1">
      <alignment horizontal="left" vertical="center" wrapText="1"/>
    </xf>
    <xf numFmtId="3" fontId="54" fillId="0" borderId="14" xfId="72" applyNumberFormat="1" applyFont="1" applyBorder="1" applyAlignment="1">
      <alignment horizontal="center" vertical="center" wrapText="1"/>
    </xf>
    <xf numFmtId="0" fontId="54" fillId="40" borderId="14" xfId="0" applyFont="1" applyFill="1" applyBorder="1" applyAlignment="1">
      <alignment horizontal="left" vertical="center" wrapText="1"/>
    </xf>
    <xf numFmtId="0" fontId="54" fillId="0" borderId="14" xfId="0" applyFont="1" applyBorder="1" applyAlignment="1">
      <alignment horizontal="center" vertical="center"/>
    </xf>
    <xf numFmtId="166" fontId="72" fillId="0" borderId="14" xfId="46" applyNumberFormat="1" applyFont="1" applyBorder="1" applyAlignment="1">
      <alignment horizontal="left" vertical="center" wrapText="1"/>
    </xf>
    <xf numFmtId="0" fontId="25" fillId="49" borderId="14" xfId="0" applyFont="1" applyFill="1" applyBorder="1" applyAlignment="1">
      <alignment horizontal="center" vertical="center" wrapText="1"/>
    </xf>
    <xf numFmtId="0" fontId="75" fillId="0" borderId="35" xfId="0" applyFont="1" applyBorder="1" applyAlignment="1">
      <alignment vertical="center" wrapText="1"/>
    </xf>
    <xf numFmtId="0" fontId="25" fillId="0" borderId="14" xfId="0" applyFont="1" applyBorder="1" applyAlignment="1">
      <alignment horizontal="center" vertical="center" wrapText="1"/>
    </xf>
    <xf numFmtId="0" fontId="25" fillId="0" borderId="14" xfId="0" applyFont="1" applyBorder="1" applyAlignment="1">
      <alignment vertical="center" wrapText="1"/>
    </xf>
    <xf numFmtId="0" fontId="25" fillId="50" borderId="14" xfId="0" applyFont="1" applyFill="1" applyBorder="1" applyAlignment="1">
      <alignment horizontal="center" vertical="center" wrapText="1"/>
    </xf>
    <xf numFmtId="164" fontId="25" fillId="50" borderId="14" xfId="0" applyNumberFormat="1" applyFont="1" applyFill="1" applyBorder="1" applyAlignment="1">
      <alignment horizontal="center" vertical="center" wrapText="1"/>
    </xf>
    <xf numFmtId="164" fontId="62" fillId="49" borderId="14" xfId="0" applyNumberFormat="1" applyFont="1" applyFill="1" applyBorder="1" applyAlignment="1">
      <alignment horizontal="center" vertical="center" wrapText="1"/>
    </xf>
    <xf numFmtId="0" fontId="68" fillId="0" borderId="14" xfId="0" applyFont="1" applyBorder="1" applyAlignment="1">
      <alignment horizontal="left" vertical="center" wrapText="1"/>
    </xf>
    <xf numFmtId="0" fontId="25" fillId="0" borderId="14" xfId="0" applyFont="1" applyBorder="1" applyAlignment="1">
      <alignment horizontal="left" vertical="center" wrapText="1"/>
    </xf>
    <xf numFmtId="0" fontId="55" fillId="0" borderId="14" xfId="46" applyFont="1" applyBorder="1" applyAlignment="1">
      <alignment horizontal="left" vertical="center" wrapText="1"/>
    </xf>
    <xf numFmtId="0" fontId="54" fillId="49" borderId="14" xfId="0" applyFont="1" applyFill="1" applyBorder="1" applyAlignment="1">
      <alignment horizontal="center" vertical="center" wrapText="1"/>
    </xf>
    <xf numFmtId="0" fontId="25" fillId="0" borderId="35" xfId="0" applyFont="1" applyBorder="1" applyAlignment="1">
      <alignment horizontal="left" vertical="center" wrapText="1"/>
    </xf>
    <xf numFmtId="164" fontId="55" fillId="49" borderId="14" xfId="0" applyNumberFormat="1" applyFont="1" applyFill="1" applyBorder="1" applyAlignment="1">
      <alignment horizontal="center" vertical="center" wrapText="1"/>
    </xf>
    <xf numFmtId="0" fontId="62" fillId="0" borderId="14" xfId="0" applyFont="1" applyBorder="1" applyAlignment="1">
      <alignment horizontal="left" vertical="center" wrapText="1"/>
    </xf>
    <xf numFmtId="0" fontId="25" fillId="0" borderId="35" xfId="0" applyFont="1" applyBorder="1" applyAlignment="1">
      <alignment wrapText="1"/>
    </xf>
    <xf numFmtId="0" fontId="55" fillId="49" borderId="14" xfId="0" applyFont="1" applyFill="1" applyBorder="1" applyAlignment="1">
      <alignment horizontal="center" vertical="center" wrapText="1"/>
    </xf>
    <xf numFmtId="0" fontId="62" fillId="0" borderId="14" xfId="0" applyFont="1" applyBorder="1" applyAlignment="1">
      <alignment horizontal="center" vertical="center" wrapText="1"/>
    </xf>
    <xf numFmtId="0" fontId="62" fillId="0" borderId="14" xfId="0" applyFont="1" applyBorder="1" applyAlignment="1">
      <alignment vertical="center" wrapText="1"/>
    </xf>
    <xf numFmtId="0" fontId="62" fillId="50" borderId="14" xfId="0" applyFont="1" applyFill="1" applyBorder="1" applyAlignment="1">
      <alignment horizontal="center" vertical="center" wrapText="1"/>
    </xf>
    <xf numFmtId="164" fontId="62" fillId="50" borderId="14" xfId="0" applyNumberFormat="1" applyFont="1" applyFill="1" applyBorder="1" applyAlignment="1">
      <alignment horizontal="center" vertical="center" wrapText="1"/>
    </xf>
    <xf numFmtId="0" fontId="25" fillId="49" borderId="17" xfId="0" applyFont="1" applyFill="1" applyBorder="1" applyAlignment="1">
      <alignment horizontal="center" vertical="center" wrapText="1"/>
    </xf>
    <xf numFmtId="0" fontId="68" fillId="0" borderId="0" xfId="0" applyFont="1" applyAlignment="1">
      <alignment vertical="top" wrapText="1"/>
    </xf>
    <xf numFmtId="0" fontId="62" fillId="0" borderId="17" xfId="0" applyFont="1" applyBorder="1" applyAlignment="1">
      <alignment horizontal="center" vertical="center" wrapText="1"/>
    </xf>
    <xf numFmtId="0" fontId="62" fillId="0" borderId="17" xfId="0" applyFont="1" applyBorder="1" applyAlignment="1">
      <alignment vertical="center" wrapText="1"/>
    </xf>
    <xf numFmtId="0" fontId="62" fillId="50" borderId="17" xfId="0" applyFont="1" applyFill="1" applyBorder="1" applyAlignment="1">
      <alignment horizontal="center" vertical="center" wrapText="1"/>
    </xf>
    <xf numFmtId="164" fontId="62" fillId="50" borderId="17" xfId="0" applyNumberFormat="1" applyFont="1" applyFill="1" applyBorder="1" applyAlignment="1">
      <alignment horizontal="center" vertical="center" wrapText="1"/>
    </xf>
    <xf numFmtId="164" fontId="62" fillId="49" borderId="17" xfId="0" applyNumberFormat="1" applyFont="1" applyFill="1" applyBorder="1" applyAlignment="1">
      <alignment horizontal="center" vertical="center" wrapText="1"/>
    </xf>
    <xf numFmtId="49" fontId="54" fillId="0" borderId="37" xfId="46" applyNumberFormat="1" applyFont="1" applyBorder="1" applyAlignment="1">
      <alignment horizontal="center" vertical="center" wrapText="1"/>
    </xf>
    <xf numFmtId="0" fontId="25" fillId="49" borderId="37" xfId="0" applyFont="1" applyFill="1" applyBorder="1" applyAlignment="1">
      <alignment horizontal="center" vertical="center" wrapText="1"/>
    </xf>
    <xf numFmtId="0" fontId="62" fillId="0" borderId="37" xfId="0" applyFont="1" applyBorder="1" applyAlignment="1">
      <alignment vertical="top" wrapText="1"/>
    </xf>
    <xf numFmtId="0" fontId="62" fillId="0" borderId="37" xfId="0" applyFont="1" applyBorder="1" applyAlignment="1">
      <alignment horizontal="center" vertical="center" wrapText="1"/>
    </xf>
    <xf numFmtId="0" fontId="62" fillId="0" borderId="37" xfId="0" applyFont="1" applyBorder="1" applyAlignment="1">
      <alignment vertical="center" wrapText="1"/>
    </xf>
    <xf numFmtId="0" fontId="62" fillId="50" borderId="37" xfId="0" applyFont="1" applyFill="1" applyBorder="1" applyAlignment="1">
      <alignment horizontal="center" vertical="center" wrapText="1"/>
    </xf>
    <xf numFmtId="164" fontId="62" fillId="50" borderId="37" xfId="0" applyNumberFormat="1" applyFont="1" applyFill="1" applyBorder="1" applyAlignment="1">
      <alignment horizontal="center" vertical="center" wrapText="1"/>
    </xf>
    <xf numFmtId="2" fontId="62" fillId="49" borderId="37" xfId="0" applyNumberFormat="1" applyFont="1" applyFill="1" applyBorder="1" applyAlignment="1">
      <alignment horizontal="center" vertical="center" wrapText="1"/>
    </xf>
    <xf numFmtId="0" fontId="54" fillId="0" borderId="37" xfId="0" applyFont="1" applyBorder="1" applyAlignment="1">
      <alignment horizontal="center" vertical="center"/>
    </xf>
    <xf numFmtId="0" fontId="25" fillId="0" borderId="37" xfId="0" applyFont="1" applyBorder="1" applyAlignment="1">
      <alignment horizontal="center" vertical="center" wrapText="1"/>
    </xf>
    <xf numFmtId="0" fontId="25" fillId="0" borderId="37" xfId="0" applyFont="1" applyBorder="1" applyAlignment="1">
      <alignment vertical="top" wrapText="1"/>
    </xf>
    <xf numFmtId="0" fontId="25" fillId="0" borderId="37" xfId="0" applyFont="1" applyBorder="1" applyAlignment="1">
      <alignment vertical="center" wrapText="1"/>
    </xf>
    <xf numFmtId="0" fontId="25" fillId="50" borderId="37" xfId="0" applyFont="1" applyFill="1" applyBorder="1" applyAlignment="1">
      <alignment horizontal="center" vertical="center" wrapText="1"/>
    </xf>
    <xf numFmtId="164" fontId="25" fillId="50" borderId="37" xfId="0" applyNumberFormat="1" applyFont="1" applyFill="1" applyBorder="1" applyAlignment="1">
      <alignment horizontal="center" vertical="center" wrapText="1"/>
    </xf>
    <xf numFmtId="2" fontId="55" fillId="49" borderId="37" xfId="0" applyNumberFormat="1" applyFont="1" applyFill="1" applyBorder="1" applyAlignment="1">
      <alignment horizontal="center" vertical="center" wrapText="1"/>
    </xf>
    <xf numFmtId="164" fontId="62" fillId="49" borderId="37" xfId="0" applyNumberFormat="1" applyFont="1" applyFill="1" applyBorder="1" applyAlignment="1">
      <alignment horizontal="center" vertical="center" wrapText="1"/>
    </xf>
    <xf numFmtId="49" fontId="54" fillId="0" borderId="34" xfId="46" applyNumberFormat="1" applyFont="1" applyBorder="1" applyAlignment="1">
      <alignment horizontal="center" vertical="center" wrapText="1"/>
    </xf>
    <xf numFmtId="0" fontId="54" fillId="49" borderId="34" xfId="0" applyFont="1" applyFill="1" applyBorder="1" applyAlignment="1">
      <alignment horizontal="center" vertical="center" wrapText="1"/>
    </xf>
    <xf numFmtId="0" fontId="54" fillId="0" borderId="34" xfId="0" applyFont="1" applyBorder="1" applyAlignment="1">
      <alignment horizontal="center" vertical="center" wrapText="1"/>
    </xf>
    <xf numFmtId="0" fontId="54" fillId="0" borderId="34" xfId="0" applyFont="1" applyBorder="1" applyAlignment="1">
      <alignment vertical="center" wrapText="1"/>
    </xf>
    <xf numFmtId="0" fontId="62" fillId="49" borderId="34" xfId="0" applyFont="1" applyFill="1" applyBorder="1" applyAlignment="1">
      <alignment horizontal="center" vertical="center" wrapText="1"/>
    </xf>
    <xf numFmtId="0" fontId="25" fillId="50" borderId="34" xfId="0" applyFont="1" applyFill="1" applyBorder="1" applyAlignment="1">
      <alignment horizontal="center" vertical="center" wrapText="1"/>
    </xf>
    <xf numFmtId="164" fontId="25" fillId="50" borderId="34" xfId="0" applyNumberFormat="1" applyFont="1" applyFill="1" applyBorder="1" applyAlignment="1">
      <alignment horizontal="center" vertical="center" wrapText="1"/>
    </xf>
    <xf numFmtId="164" fontId="25" fillId="49" borderId="34" xfId="0" applyNumberFormat="1" applyFont="1" applyFill="1" applyBorder="1" applyAlignment="1">
      <alignment horizontal="center" vertical="center" wrapText="1"/>
    </xf>
    <xf numFmtId="0" fontId="54" fillId="0" borderId="34" xfId="0" applyFont="1" applyBorder="1" applyAlignment="1">
      <alignment horizontal="center" vertical="center"/>
    </xf>
    <xf numFmtId="0" fontId="54" fillId="0" borderId="34" xfId="0" applyFont="1" applyBorder="1" applyAlignment="1">
      <alignment horizontal="left" vertical="center" wrapText="1"/>
    </xf>
    <xf numFmtId="0" fontId="54" fillId="0" borderId="34" xfId="46" applyFont="1" applyBorder="1" applyAlignment="1">
      <alignment horizontal="left" vertical="center" wrapText="1"/>
    </xf>
    <xf numFmtId="0" fontId="54" fillId="49" borderId="23" xfId="0" applyFont="1" applyFill="1" applyBorder="1" applyAlignment="1">
      <alignment horizontal="center" vertical="center" wrapText="1"/>
    </xf>
    <xf numFmtId="0" fontId="25" fillId="0" borderId="23" xfId="0" applyFont="1" applyBorder="1" applyAlignment="1">
      <alignment wrapText="1"/>
    </xf>
    <xf numFmtId="0" fontId="54" fillId="0" borderId="23" xfId="0" applyFont="1" applyBorder="1" applyAlignment="1">
      <alignment vertical="center" wrapText="1"/>
    </xf>
    <xf numFmtId="0" fontId="62" fillId="49" borderId="23" xfId="0" applyFont="1" applyFill="1" applyBorder="1" applyAlignment="1">
      <alignment horizontal="center" vertical="center" wrapText="1"/>
    </xf>
    <xf numFmtId="0" fontId="62" fillId="50" borderId="23" xfId="0" applyFont="1" applyFill="1" applyBorder="1" applyAlignment="1">
      <alignment horizontal="center" vertical="center" wrapText="1"/>
    </xf>
    <xf numFmtId="164" fontId="62" fillId="50" borderId="23" xfId="0" applyNumberFormat="1" applyFont="1" applyFill="1" applyBorder="1" applyAlignment="1">
      <alignment horizontal="center" vertical="center" wrapText="1"/>
    </xf>
    <xf numFmtId="164" fontId="25" fillId="49" borderId="23" xfId="0" applyNumberFormat="1" applyFont="1" applyFill="1" applyBorder="1" applyAlignment="1">
      <alignment horizontal="center" vertical="center" wrapText="1"/>
    </xf>
    <xf numFmtId="0" fontId="25" fillId="0" borderId="14" xfId="0" applyFont="1" applyBorder="1" applyAlignment="1">
      <alignment vertical="top" wrapText="1"/>
    </xf>
    <xf numFmtId="0" fontId="62" fillId="49" borderId="14" xfId="0" applyFont="1" applyFill="1" applyBorder="1" applyAlignment="1">
      <alignment horizontal="center" vertical="center" wrapText="1"/>
    </xf>
    <xf numFmtId="0" fontId="54" fillId="50" borderId="14" xfId="0" applyFont="1" applyFill="1" applyBorder="1" applyAlignment="1">
      <alignment horizontal="center" vertical="center" wrapText="1"/>
    </xf>
    <xf numFmtId="164" fontId="54" fillId="50" borderId="14" xfId="0" applyNumberFormat="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62" fillId="0" borderId="14" xfId="0" applyFont="1" applyBorder="1" applyAlignment="1">
      <alignment vertical="top" wrapText="1"/>
    </xf>
    <xf numFmtId="164" fontId="62" fillId="0" borderId="14" xfId="0" applyNumberFormat="1" applyFont="1" applyBorder="1" applyAlignment="1">
      <alignment horizontal="center" vertical="center" wrapText="1"/>
    </xf>
    <xf numFmtId="0" fontId="68" fillId="0" borderId="14" xfId="0" applyFont="1" applyBorder="1" applyAlignment="1">
      <alignment vertical="top" wrapText="1"/>
    </xf>
    <xf numFmtId="0" fontId="54" fillId="0" borderId="23" xfId="73" applyFont="1" applyBorder="1" applyAlignment="1">
      <alignment horizontal="center" vertical="center" wrapText="1"/>
    </xf>
    <xf numFmtId="0" fontId="62" fillId="49" borderId="14" xfId="73" applyFont="1" applyFill="1" applyBorder="1" applyAlignment="1">
      <alignment horizontal="center" vertical="center" wrapText="1"/>
    </xf>
    <xf numFmtId="0" fontId="68" fillId="0" borderId="14" xfId="0" applyFont="1" applyBorder="1" applyAlignment="1">
      <alignment vertical="center" wrapText="1"/>
    </xf>
    <xf numFmtId="0" fontId="62" fillId="0" borderId="14" xfId="73" applyFont="1" applyBorder="1" applyAlignment="1">
      <alignment horizontal="center" vertical="center" wrapText="1"/>
    </xf>
    <xf numFmtId="0" fontId="62" fillId="0" borderId="14" xfId="73" applyFont="1" applyBorder="1" applyAlignment="1">
      <alignment vertical="center" wrapText="1"/>
    </xf>
    <xf numFmtId="0" fontId="62" fillId="0" borderId="23" xfId="0" applyFont="1" applyBorder="1" applyAlignment="1">
      <alignment horizontal="center" vertical="center" wrapText="1"/>
    </xf>
    <xf numFmtId="0" fontId="62" fillId="49" borderId="23" xfId="73" applyFont="1" applyFill="1" applyBorder="1" applyAlignment="1">
      <alignment horizontal="center" vertical="center" wrapText="1"/>
    </xf>
    <xf numFmtId="0" fontId="68" fillId="0" borderId="23" xfId="0" applyFont="1" applyBorder="1" applyAlignment="1">
      <alignment vertical="center" wrapText="1"/>
    </xf>
    <xf numFmtId="0" fontId="62" fillId="0" borderId="23" xfId="73" applyFont="1" applyBorder="1" applyAlignment="1">
      <alignment horizontal="center" vertical="center" wrapText="1"/>
    </xf>
    <xf numFmtId="0" fontId="62" fillId="0" borderId="23" xfId="73" applyFont="1" applyBorder="1" applyAlignment="1">
      <alignment vertical="center" wrapText="1"/>
    </xf>
    <xf numFmtId="49" fontId="62" fillId="0" borderId="23" xfId="46" applyNumberFormat="1" applyFont="1" applyBorder="1" applyAlignment="1">
      <alignment horizontal="center" vertical="center" wrapText="1"/>
    </xf>
    <xf numFmtId="0" fontId="62" fillId="0" borderId="23" xfId="46" applyFont="1" applyBorder="1" applyAlignment="1">
      <alignment horizontal="center" vertical="center" wrapText="1"/>
    </xf>
    <xf numFmtId="0" fontId="62" fillId="0" borderId="23" xfId="46" applyFont="1" applyBorder="1" applyAlignment="1">
      <alignment vertical="center" wrapText="1"/>
    </xf>
    <xf numFmtId="0" fontId="62" fillId="27" borderId="23" xfId="46" applyFont="1" applyFill="1" applyBorder="1" applyAlignment="1">
      <alignment horizontal="center" vertical="center" wrapText="1"/>
    </xf>
    <xf numFmtId="164" fontId="62" fillId="0" borderId="23" xfId="46" applyNumberFormat="1" applyFont="1" applyBorder="1" applyAlignment="1">
      <alignment horizontal="center" vertical="center" wrapText="1"/>
    </xf>
    <xf numFmtId="164" fontId="62" fillId="41" borderId="23" xfId="46" applyNumberFormat="1" applyFont="1" applyFill="1" applyBorder="1" applyAlignment="1">
      <alignment horizontal="center" vertical="center" wrapText="1"/>
    </xf>
    <xf numFmtId="164" fontId="62" fillId="0" borderId="14" xfId="46" applyNumberFormat="1" applyFont="1" applyBorder="1" applyAlignment="1">
      <alignment horizontal="center" vertical="center" wrapText="1"/>
    </xf>
    <xf numFmtId="166" fontId="62" fillId="0" borderId="14" xfId="46" applyNumberFormat="1" applyFont="1" applyBorder="1" applyAlignment="1">
      <alignment horizontal="left" vertical="center" wrapText="1"/>
    </xf>
    <xf numFmtId="49" fontId="62" fillId="0" borderId="14" xfId="46" applyNumberFormat="1" applyFont="1" applyBorder="1" applyAlignment="1">
      <alignment horizontal="center" vertical="center" wrapText="1"/>
    </xf>
    <xf numFmtId="0" fontId="62" fillId="0" borderId="14" xfId="46" applyFont="1" applyBorder="1" applyAlignment="1">
      <alignment vertical="center" wrapText="1"/>
    </xf>
    <xf numFmtId="0" fontId="62" fillId="0" borderId="14" xfId="46" applyFont="1" applyBorder="1" applyAlignment="1">
      <alignment horizontal="center" vertical="center" wrapText="1"/>
    </xf>
    <xf numFmtId="164" fontId="62" fillId="41" borderId="14" xfId="46" applyNumberFormat="1" applyFont="1" applyFill="1" applyBorder="1" applyAlignment="1">
      <alignment horizontal="center" vertical="center" wrapText="1"/>
    </xf>
    <xf numFmtId="166" fontId="68" fillId="0" borderId="14" xfId="46" applyNumberFormat="1" applyFont="1" applyBorder="1" applyAlignment="1">
      <alignment horizontal="left" vertical="center" wrapText="1"/>
    </xf>
    <xf numFmtId="0" fontId="62" fillId="43" borderId="14" xfId="0" applyFont="1" applyFill="1" applyBorder="1" applyAlignment="1">
      <alignment horizontal="center" vertical="center" wrapText="1"/>
    </xf>
    <xf numFmtId="166" fontId="62" fillId="43" borderId="14" xfId="46" applyNumberFormat="1" applyFont="1" applyFill="1" applyBorder="1" applyAlignment="1">
      <alignment horizontal="center" vertical="center" wrapText="1"/>
    </xf>
    <xf numFmtId="0" fontId="68" fillId="0" borderId="14" xfId="46" applyFont="1" applyBorder="1" applyAlignment="1">
      <alignment vertical="center" wrapText="1"/>
    </xf>
    <xf numFmtId="0" fontId="62" fillId="27" borderId="14" xfId="0" applyFont="1" applyFill="1" applyBorder="1" applyAlignment="1">
      <alignment horizontal="center" vertical="center" wrapText="1"/>
    </xf>
    <xf numFmtId="166" fontId="62" fillId="0" borderId="14" xfId="46" applyNumberFormat="1" applyFont="1" applyBorder="1" applyAlignment="1">
      <alignment horizontal="center" vertical="center" wrapText="1"/>
    </xf>
    <xf numFmtId="0" fontId="55" fillId="0" borderId="14" xfId="46" applyFont="1" applyBorder="1" applyAlignment="1">
      <alignment horizontal="center" vertical="center" wrapText="1"/>
    </xf>
    <xf numFmtId="166" fontId="62" fillId="50" borderId="14" xfId="0" applyNumberFormat="1" applyFont="1" applyFill="1" applyBorder="1" applyAlignment="1">
      <alignment horizontal="center" vertical="center" wrapText="1"/>
    </xf>
    <xf numFmtId="0" fontId="72" fillId="0" borderId="14" xfId="46" applyFont="1" applyBorder="1" applyAlignment="1">
      <alignment vertical="center" wrapText="1"/>
    </xf>
    <xf numFmtId="0" fontId="54" fillId="0" borderId="21" xfId="0" applyFont="1" applyBorder="1" applyAlignment="1">
      <alignment vertical="center" wrapText="1"/>
    </xf>
    <xf numFmtId="166" fontId="25" fillId="41" borderId="14" xfId="46" applyNumberFormat="1" applyFont="1" applyFill="1" applyBorder="1" applyAlignment="1">
      <alignment horizontal="center" vertical="center" wrapText="1"/>
    </xf>
    <xf numFmtId="0" fontId="54" fillId="51" borderId="14" xfId="0" applyFont="1" applyFill="1" applyBorder="1" applyAlignment="1">
      <alignment horizontal="center" vertical="center" wrapText="1"/>
    </xf>
    <xf numFmtId="166" fontId="54" fillId="51" borderId="14" xfId="46" applyNumberFormat="1" applyFont="1" applyFill="1" applyBorder="1" applyAlignment="1">
      <alignment horizontal="center" vertical="center" wrapText="1"/>
    </xf>
    <xf numFmtId="0" fontId="54" fillId="27" borderId="14" xfId="0" applyFont="1" applyFill="1" applyBorder="1" applyAlignment="1">
      <alignment horizontal="center" vertical="center"/>
    </xf>
    <xf numFmtId="0" fontId="54" fillId="27" borderId="14" xfId="0" applyFont="1" applyFill="1" applyBorder="1" applyAlignment="1">
      <alignment horizontal="left" vertical="center"/>
    </xf>
    <xf numFmtId="166" fontId="54" fillId="27" borderId="14" xfId="46" applyNumberFormat="1" applyFont="1" applyFill="1" applyBorder="1" applyAlignment="1">
      <alignment horizontal="left" vertical="center" wrapText="1"/>
    </xf>
    <xf numFmtId="166" fontId="54" fillId="27" borderId="14" xfId="0" applyNumberFormat="1" applyFont="1" applyFill="1" applyBorder="1" applyAlignment="1">
      <alignment horizontal="center" vertical="center" wrapText="1"/>
    </xf>
    <xf numFmtId="166" fontId="53" fillId="27" borderId="14" xfId="46" applyNumberFormat="1" applyFont="1" applyFill="1" applyBorder="1" applyAlignment="1">
      <alignment horizontal="center" vertical="center" wrapText="1"/>
    </xf>
    <xf numFmtId="166" fontId="25" fillId="0" borderId="14" xfId="46" applyNumberFormat="1" applyFont="1" applyBorder="1" applyAlignment="1">
      <alignment horizontal="left" vertical="center" wrapText="1"/>
    </xf>
    <xf numFmtId="166" fontId="55" fillId="0" borderId="14" xfId="46" applyNumberFormat="1" applyFont="1" applyBorder="1" applyAlignment="1">
      <alignment horizontal="left" vertical="center" wrapText="1"/>
    </xf>
    <xf numFmtId="166" fontId="64" fillId="27" borderId="14" xfId="46" applyNumberFormat="1" applyFont="1" applyFill="1" applyBorder="1" applyAlignment="1">
      <alignment horizontal="center" vertical="center" wrapText="1"/>
    </xf>
    <xf numFmtId="0" fontId="54" fillId="27" borderId="14" xfId="0" applyFont="1" applyFill="1" applyBorder="1" applyAlignment="1">
      <alignment horizontal="right" vertical="top" wrapText="1"/>
    </xf>
    <xf numFmtId="0" fontId="25" fillId="0" borderId="14" xfId="0" applyFont="1" applyBorder="1" applyAlignment="1">
      <alignment horizontal="right"/>
    </xf>
    <xf numFmtId="0" fontId="25" fillId="0" borderId="14" xfId="0" applyFont="1" applyBorder="1" applyAlignment="1">
      <alignment horizontal="right" wrapText="1"/>
    </xf>
    <xf numFmtId="166" fontId="62" fillId="27" borderId="16" xfId="46" applyNumberFormat="1" applyFont="1" applyFill="1" applyBorder="1" applyAlignment="1">
      <alignment horizontal="center" vertical="center" wrapText="1"/>
    </xf>
    <xf numFmtId="166" fontId="53" fillId="0" borderId="34" xfId="46" applyNumberFormat="1" applyFont="1" applyBorder="1" applyAlignment="1">
      <alignment horizontal="center" vertical="center" wrapText="1"/>
    </xf>
    <xf numFmtId="0" fontId="25" fillId="0" borderId="14" xfId="0" applyFont="1" applyBorder="1" applyAlignment="1">
      <alignment horizontal="left"/>
    </xf>
    <xf numFmtId="0" fontId="25" fillId="27" borderId="14" xfId="0" applyFont="1" applyFill="1" applyBorder="1" applyAlignment="1">
      <alignment horizontal="left"/>
    </xf>
    <xf numFmtId="0" fontId="0" fillId="0" borderId="34" xfId="0" applyBorder="1" applyAlignment="1">
      <alignment horizontal="left"/>
    </xf>
    <xf numFmtId="0" fontId="54" fillId="0" borderId="27" xfId="46" applyFont="1" applyBorder="1" applyAlignment="1">
      <alignment horizontal="center" vertical="center" wrapText="1"/>
    </xf>
    <xf numFmtId="166" fontId="54" fillId="0" borderId="23" xfId="46" applyNumberFormat="1" applyFont="1" applyBorder="1" applyAlignment="1">
      <alignment horizontal="left" vertical="center" wrapText="1"/>
    </xf>
    <xf numFmtId="0" fontId="54" fillId="32" borderId="14" xfId="0" applyFont="1" applyFill="1" applyBorder="1" applyAlignment="1">
      <alignment horizontal="left" vertical="center" wrapText="1"/>
    </xf>
    <xf numFmtId="166" fontId="54" fillId="29" borderId="14" xfId="46" applyNumberFormat="1" applyFont="1" applyFill="1" applyBorder="1" applyAlignment="1">
      <alignment vertical="center" wrapText="1"/>
    </xf>
    <xf numFmtId="166" fontId="54" fillId="0" borderId="27" xfId="46" applyNumberFormat="1" applyFont="1" applyBorder="1" applyAlignment="1">
      <alignment vertical="center" wrapText="1"/>
    </xf>
    <xf numFmtId="0" fontId="54" fillId="27" borderId="27" xfId="0" applyFont="1" applyFill="1" applyBorder="1" applyAlignment="1">
      <alignment vertical="center" wrapText="1"/>
    </xf>
    <xf numFmtId="0" fontId="68" fillId="27" borderId="14" xfId="0" applyFont="1" applyFill="1" applyBorder="1" applyAlignment="1">
      <alignment horizontal="right" vertical="center" wrapText="1"/>
    </xf>
    <xf numFmtId="0" fontId="54" fillId="0" borderId="14" xfId="0" applyFont="1" applyBorder="1" applyAlignment="1">
      <alignment horizontal="right" wrapText="1"/>
    </xf>
    <xf numFmtId="166" fontId="54" fillId="0" borderId="38" xfId="46" applyNumberFormat="1" applyFont="1" applyBorder="1" applyAlignment="1">
      <alignment horizontal="center" vertical="center" wrapText="1"/>
    </xf>
    <xf numFmtId="0" fontId="54" fillId="0" borderId="14" xfId="0" applyFont="1" applyBorder="1" applyAlignment="1">
      <alignment horizontal="right" vertical="center" wrapText="1"/>
    </xf>
    <xf numFmtId="0" fontId="72" fillId="0" borderId="14" xfId="46" applyFont="1" applyBorder="1" applyAlignment="1">
      <alignment horizontal="center" vertical="center" wrapText="1"/>
    </xf>
    <xf numFmtId="166" fontId="53" fillId="41" borderId="16" xfId="46" applyNumberFormat="1" applyFont="1" applyFill="1" applyBorder="1" applyAlignment="1">
      <alignment horizontal="center" vertical="center" wrapText="1"/>
    </xf>
    <xf numFmtId="49" fontId="54" fillId="0" borderId="27" xfId="46" applyNumberFormat="1" applyFont="1" applyBorder="1" applyAlignment="1">
      <alignment horizontal="center" vertical="center" wrapText="1"/>
    </xf>
    <xf numFmtId="0" fontId="54" fillId="27" borderId="0" xfId="0" applyFont="1" applyFill="1" applyAlignment="1">
      <alignment vertical="center"/>
    </xf>
    <xf numFmtId="3" fontId="54" fillId="0" borderId="14" xfId="0" applyNumberFormat="1" applyFont="1" applyBorder="1" applyAlignment="1">
      <alignment horizontal="left" vertical="center" wrapText="1"/>
    </xf>
    <xf numFmtId="0" fontId="54" fillId="0" borderId="14" xfId="46" applyFont="1" applyBorder="1" applyAlignment="1">
      <alignment horizontal="left"/>
    </xf>
    <xf numFmtId="0" fontId="54" fillId="0" borderId="14" xfId="0" applyFont="1" applyBorder="1" applyAlignment="1">
      <alignment wrapText="1"/>
    </xf>
    <xf numFmtId="166" fontId="54" fillId="41" borderId="14" xfId="46" applyNumberFormat="1" applyFont="1" applyFill="1" applyBorder="1" applyAlignment="1">
      <alignment horizontal="center" vertical="center"/>
    </xf>
    <xf numFmtId="166" fontId="54" fillId="29" borderId="14" xfId="46" applyNumberFormat="1" applyFont="1" applyFill="1" applyBorder="1" applyAlignment="1">
      <alignment horizontal="center" vertical="center"/>
    </xf>
    <xf numFmtId="0" fontId="79" fillId="0" borderId="14" xfId="0" applyFont="1" applyBorder="1" applyAlignment="1">
      <alignment vertical="center" wrapText="1"/>
    </xf>
    <xf numFmtId="49" fontId="53" fillId="39" borderId="14" xfId="46" applyNumberFormat="1" applyFont="1" applyFill="1" applyBorder="1" applyAlignment="1">
      <alignment horizontal="center" vertical="center" wrapText="1"/>
    </xf>
    <xf numFmtId="0" fontId="53" fillId="39" borderId="14" xfId="0" applyFont="1" applyFill="1" applyBorder="1" applyAlignment="1">
      <alignment horizontal="center" vertical="center"/>
    </xf>
    <xf numFmtId="0" fontId="53" fillId="39" borderId="14" xfId="0" applyFont="1" applyFill="1" applyBorder="1" applyAlignment="1">
      <alignment horizontal="center" vertical="center" wrapText="1"/>
    </xf>
    <xf numFmtId="166" fontId="53" fillId="39" borderId="14" xfId="46" applyNumberFormat="1" applyFont="1" applyFill="1" applyBorder="1" applyAlignment="1">
      <alignment horizontal="center" vertical="center" wrapText="1"/>
    </xf>
    <xf numFmtId="0" fontId="54" fillId="0" borderId="14" xfId="46" applyFont="1" applyBorder="1"/>
    <xf numFmtId="0" fontId="58" fillId="41" borderId="14" xfId="46" applyFont="1" applyFill="1" applyBorder="1" applyAlignment="1">
      <alignment horizontal="center" vertical="center" wrapText="1"/>
    </xf>
    <xf numFmtId="166" fontId="54" fillId="0" borderId="14" xfId="46" applyNumberFormat="1" applyFont="1" applyBorder="1" applyAlignment="1">
      <alignment horizontal="left" vertical="center"/>
    </xf>
    <xf numFmtId="49" fontId="54" fillId="41" borderId="14" xfId="46" applyNumberFormat="1" applyFont="1" applyFill="1" applyBorder="1" applyAlignment="1">
      <alignment horizontal="center" vertical="center"/>
    </xf>
    <xf numFmtId="0" fontId="54" fillId="41" borderId="14" xfId="0" applyFont="1" applyFill="1" applyBorder="1"/>
    <xf numFmtId="166" fontId="53" fillId="41" borderId="14" xfId="46" applyNumberFormat="1" applyFont="1" applyFill="1" applyBorder="1" applyAlignment="1">
      <alignment horizontal="center" vertical="center"/>
    </xf>
    <xf numFmtId="0" fontId="54" fillId="0" borderId="14" xfId="0" applyFont="1" applyBorder="1" applyAlignment="1">
      <alignment vertical="center"/>
    </xf>
    <xf numFmtId="49" fontId="25" fillId="0" borderId="14" xfId="46" applyNumberFormat="1" applyFont="1" applyBorder="1" applyAlignment="1">
      <alignment horizontal="center" vertical="center"/>
    </xf>
    <xf numFmtId="0" fontId="54" fillId="27" borderId="14" xfId="0" applyFont="1" applyFill="1" applyBorder="1"/>
    <xf numFmtId="166" fontId="54" fillId="24" borderId="14" xfId="74" applyNumberFormat="1" applyFont="1" applyFill="1" applyBorder="1" applyAlignment="1">
      <alignment horizontal="center" vertical="center"/>
    </xf>
    <xf numFmtId="166" fontId="54" fillId="0" borderId="14" xfId="74" applyNumberFormat="1" applyFont="1" applyBorder="1" applyAlignment="1">
      <alignment horizontal="center" vertical="center" wrapText="1"/>
    </xf>
    <xf numFmtId="49" fontId="54" fillId="27" borderId="14" xfId="46" applyNumberFormat="1" applyFont="1" applyFill="1" applyBorder="1" applyAlignment="1">
      <alignment horizontal="center" vertical="center"/>
    </xf>
    <xf numFmtId="166" fontId="54" fillId="41" borderId="16" xfId="46" applyNumberFormat="1" applyFont="1" applyFill="1" applyBorder="1" applyAlignment="1">
      <alignment horizontal="center" vertical="center"/>
    </xf>
    <xf numFmtId="0" fontId="54" fillId="0" borderId="14" xfId="75" applyFont="1" applyBorder="1" applyAlignment="1">
      <alignment horizontal="center" vertical="center"/>
    </xf>
    <xf numFmtId="49" fontId="54" fillId="0" borderId="14" xfId="75" applyNumberFormat="1" applyFont="1" applyBorder="1" applyAlignment="1">
      <alignment horizontal="center" vertical="center"/>
    </xf>
    <xf numFmtId="0" fontId="54" fillId="0" borderId="14" xfId="75" applyFont="1" applyBorder="1" applyAlignment="1">
      <alignment vertical="center" wrapText="1"/>
    </xf>
    <xf numFmtId="166" fontId="54" fillId="29" borderId="14" xfId="75" applyNumberFormat="1" applyFont="1" applyFill="1" applyBorder="1" applyAlignment="1">
      <alignment vertical="center"/>
    </xf>
    <xf numFmtId="166" fontId="58" fillId="0" borderId="14" xfId="75" applyNumberFormat="1" applyFont="1" applyBorder="1" applyAlignment="1">
      <alignment horizontal="center" vertical="center"/>
    </xf>
    <xf numFmtId="0" fontId="54" fillId="0" borderId="14" xfId="75" applyFont="1" applyBorder="1"/>
    <xf numFmtId="0" fontId="54" fillId="0" borderId="14" xfId="75" applyFont="1" applyBorder="1" applyAlignment="1">
      <alignment horizontal="center"/>
    </xf>
    <xf numFmtId="0" fontId="54" fillId="0" borderId="14" xfId="75" applyFont="1" applyBorder="1" applyAlignment="1">
      <alignment horizontal="left" vertical="center"/>
    </xf>
    <xf numFmtId="166" fontId="58" fillId="29" borderId="14" xfId="46" applyNumberFormat="1" applyFont="1" applyFill="1" applyBorder="1" applyAlignment="1">
      <alignment vertical="center"/>
    </xf>
    <xf numFmtId="166" fontId="58" fillId="41" borderId="14" xfId="46" applyNumberFormat="1" applyFont="1" applyFill="1" applyBorder="1" applyAlignment="1">
      <alignment horizontal="center" vertical="center"/>
    </xf>
    <xf numFmtId="0" fontId="54" fillId="0" borderId="14" xfId="46" applyFont="1" applyBorder="1" applyAlignment="1">
      <alignment horizontal="center"/>
    </xf>
    <xf numFmtId="0" fontId="54" fillId="27" borderId="14" xfId="75" applyFont="1" applyFill="1" applyBorder="1" applyAlignment="1">
      <alignment vertical="center" wrapText="1"/>
    </xf>
    <xf numFmtId="166" fontId="54" fillId="29" borderId="14" xfId="75" applyNumberFormat="1" applyFont="1" applyFill="1" applyBorder="1" applyAlignment="1">
      <alignment horizontal="center" vertical="center"/>
    </xf>
    <xf numFmtId="166" fontId="58" fillId="41" borderId="14" xfId="75" applyNumberFormat="1" applyFont="1" applyFill="1" applyBorder="1" applyAlignment="1">
      <alignment horizontal="center" vertical="center"/>
    </xf>
    <xf numFmtId="0" fontId="80" fillId="27" borderId="14" xfId="75" applyFont="1" applyFill="1" applyBorder="1" applyAlignment="1">
      <alignment vertical="center" wrapText="1"/>
    </xf>
    <xf numFmtId="166" fontId="54" fillId="0" borderId="14" xfId="75" applyNumberFormat="1" applyFont="1" applyBorder="1" applyAlignment="1">
      <alignment horizontal="center" vertical="center"/>
    </xf>
    <xf numFmtId="166" fontId="54" fillId="0" borderId="14" xfId="75" applyNumberFormat="1" applyFont="1" applyBorder="1" applyAlignment="1">
      <alignment vertical="center"/>
    </xf>
    <xf numFmtId="49" fontId="54" fillId="0" borderId="14" xfId="75" applyNumberFormat="1" applyFont="1" applyBorder="1" applyAlignment="1">
      <alignment horizontal="center" vertical="center" wrapText="1"/>
    </xf>
    <xf numFmtId="0" fontId="54" fillId="0" borderId="14" xfId="75" applyFont="1" applyBorder="1" applyAlignment="1">
      <alignment horizontal="center" wrapText="1"/>
    </xf>
    <xf numFmtId="0" fontId="54" fillId="0" borderId="14" xfId="75" applyFont="1" applyBorder="1" applyAlignment="1">
      <alignment horizontal="center" vertical="center" wrapText="1"/>
    </xf>
    <xf numFmtId="164" fontId="54" fillId="0" borderId="14" xfId="75" applyNumberFormat="1" applyFont="1" applyBorder="1" applyAlignment="1">
      <alignment horizontal="center"/>
    </xf>
    <xf numFmtId="164" fontId="54" fillId="29" borderId="14" xfId="75" applyNumberFormat="1" applyFont="1" applyFill="1" applyBorder="1" applyAlignment="1">
      <alignment horizontal="center" vertical="center"/>
    </xf>
    <xf numFmtId="0" fontId="59" fillId="0" borderId="14" xfId="75" applyFont="1" applyBorder="1" applyAlignment="1">
      <alignment vertical="center" wrapText="1"/>
    </xf>
    <xf numFmtId="166" fontId="58" fillId="27" borderId="14" xfId="75" applyNumberFormat="1" applyFont="1" applyFill="1" applyBorder="1" applyAlignment="1">
      <alignment horizontal="center" vertical="center"/>
    </xf>
    <xf numFmtId="0" fontId="54" fillId="0" borderId="23" xfId="0" applyFont="1" applyBorder="1"/>
    <xf numFmtId="164" fontId="54" fillId="0" borderId="14" xfId="76" applyNumberFormat="1" applyFont="1" applyBorder="1" applyAlignment="1">
      <alignment horizontal="center" vertical="center"/>
    </xf>
    <xf numFmtId="0" fontId="54" fillId="0" borderId="14" xfId="76" applyFont="1" applyBorder="1" applyAlignment="1">
      <alignment horizontal="center" vertical="center"/>
    </xf>
    <xf numFmtId="49" fontId="54" fillId="0" borderId="14" xfId="75" applyNumberFormat="1" applyFont="1" applyBorder="1" applyAlignment="1">
      <alignment horizontal="center" vertical="center" shrinkToFit="1"/>
    </xf>
    <xf numFmtId="0" fontId="0" fillId="0" borderId="14" xfId="0" applyBorder="1"/>
    <xf numFmtId="49" fontId="54" fillId="0" borderId="16" xfId="75" applyNumberFormat="1" applyFont="1" applyBorder="1" applyAlignment="1">
      <alignment horizontal="center" vertical="center"/>
    </xf>
    <xf numFmtId="49" fontId="54" fillId="27" borderId="27" xfId="75" applyNumberFormat="1" applyFont="1" applyFill="1" applyBorder="1" applyAlignment="1">
      <alignment horizontal="center" vertical="center"/>
    </xf>
    <xf numFmtId="166" fontId="68" fillId="0" borderId="14" xfId="0" applyNumberFormat="1" applyFont="1" applyBorder="1" applyAlignment="1">
      <alignment horizontal="center" vertical="center"/>
    </xf>
    <xf numFmtId="0" fontId="54" fillId="27" borderId="14" xfId="75" applyFont="1" applyFill="1" applyBorder="1" applyAlignment="1">
      <alignment horizontal="left" vertical="center"/>
    </xf>
    <xf numFmtId="0" fontId="54" fillId="0" borderId="17" xfId="75" applyFont="1" applyBorder="1" applyAlignment="1">
      <alignment horizontal="left" vertical="center" wrapText="1"/>
    </xf>
    <xf numFmtId="0" fontId="54" fillId="0" borderId="16" xfId="75" applyFont="1" applyBorder="1" applyAlignment="1">
      <alignment horizontal="left" vertical="center"/>
    </xf>
    <xf numFmtId="0" fontId="54" fillId="0" borderId="27" xfId="75" applyFont="1" applyBorder="1" applyAlignment="1">
      <alignment horizontal="center" vertical="center"/>
    </xf>
    <xf numFmtId="0" fontId="54" fillId="0" borderId="34" xfId="75" applyFont="1" applyBorder="1" applyAlignment="1">
      <alignment horizontal="left" vertical="center" wrapText="1"/>
    </xf>
    <xf numFmtId="0" fontId="68" fillId="0" borderId="0" xfId="0" applyFont="1" applyAlignment="1">
      <alignment wrapText="1"/>
    </xf>
    <xf numFmtId="166" fontId="54" fillId="43" borderId="37" xfId="46" applyNumberFormat="1" applyFont="1" applyFill="1" applyBorder="1" applyAlignment="1">
      <alignment horizontal="center" vertical="center" wrapText="1"/>
    </xf>
    <xf numFmtId="166" fontId="53" fillId="25" borderId="23" xfId="46" applyNumberFormat="1" applyFont="1" applyFill="1" applyBorder="1" applyAlignment="1">
      <alignment horizontal="center" vertical="center" wrapText="1"/>
    </xf>
    <xf numFmtId="166" fontId="54" fillId="43" borderId="0" xfId="46" applyNumberFormat="1" applyFont="1" applyFill="1" applyAlignment="1">
      <alignment horizontal="center" vertical="center" wrapText="1"/>
    </xf>
    <xf numFmtId="0" fontId="54" fillId="0" borderId="23" xfId="0" applyFont="1" applyBorder="1" applyAlignment="1">
      <alignment horizontal="center" wrapText="1"/>
    </xf>
    <xf numFmtId="0" fontId="54" fillId="0" borderId="23" xfId="75" applyFont="1" applyBorder="1" applyAlignment="1">
      <alignment horizontal="left" vertical="center" wrapText="1"/>
    </xf>
    <xf numFmtId="49" fontId="54" fillId="36" borderId="14" xfId="0" applyNumberFormat="1" applyFont="1" applyFill="1" applyBorder="1" applyAlignment="1">
      <alignment horizontal="center" vertical="center" textRotation="90" wrapText="1"/>
    </xf>
    <xf numFmtId="49" fontId="54" fillId="39" borderId="14" xfId="46" applyNumberFormat="1" applyFont="1" applyFill="1" applyBorder="1" applyAlignment="1">
      <alignment horizontal="center" vertical="center" wrapText="1"/>
    </xf>
    <xf numFmtId="0" fontId="54" fillId="39" borderId="14" xfId="46" applyFont="1" applyFill="1" applyBorder="1" applyAlignment="1">
      <alignment vertical="center" wrapText="1"/>
    </xf>
    <xf numFmtId="1" fontId="54" fillId="0" borderId="14" xfId="46" quotePrefix="1" applyNumberFormat="1" applyFont="1" applyBorder="1" applyAlignment="1">
      <alignment horizontal="center" vertical="center" wrapText="1"/>
    </xf>
    <xf numFmtId="0" fontId="54" fillId="0" borderId="14" xfId="46" applyFont="1" applyBorder="1" applyAlignment="1">
      <alignment wrapText="1"/>
    </xf>
    <xf numFmtId="166" fontId="54" fillId="0" borderId="14" xfId="46" applyNumberFormat="1" applyFont="1" applyBorder="1"/>
    <xf numFmtId="166" fontId="54" fillId="0" borderId="14" xfId="46" applyNumberFormat="1" applyFont="1" applyBorder="1" applyAlignment="1">
      <alignment wrapText="1"/>
    </xf>
    <xf numFmtId="16" fontId="54" fillId="0" borderId="14" xfId="46" quotePrefix="1" applyNumberFormat="1" applyFont="1" applyBorder="1" applyAlignment="1">
      <alignment horizontal="center" vertical="center" wrapText="1"/>
    </xf>
    <xf numFmtId="0" fontId="54" fillId="0" borderId="14" xfId="46" quotePrefix="1" applyFont="1" applyBorder="1" applyAlignment="1">
      <alignment horizontal="center" vertical="center" wrapText="1"/>
    </xf>
    <xf numFmtId="0" fontId="54" fillId="0" borderId="14" xfId="46" applyFont="1" applyBorder="1" applyAlignment="1">
      <alignment vertical="top" wrapText="1"/>
    </xf>
    <xf numFmtId="166" fontId="54" fillId="27" borderId="14" xfId="46" applyNumberFormat="1" applyFont="1" applyFill="1" applyBorder="1" applyAlignment="1">
      <alignment wrapText="1"/>
    </xf>
    <xf numFmtId="164" fontId="54" fillId="0" borderId="14" xfId="46" applyNumberFormat="1" applyFont="1" applyBorder="1" applyAlignment="1">
      <alignment horizontal="center" vertical="center"/>
    </xf>
    <xf numFmtId="166" fontId="54" fillId="0" borderId="14" xfId="46" applyNumberFormat="1" applyFont="1" applyBorder="1" applyAlignment="1">
      <alignment vertical="center"/>
    </xf>
    <xf numFmtId="3" fontId="54" fillId="27" borderId="14" xfId="78" applyNumberFormat="1" applyFont="1" applyFill="1" applyBorder="1" applyAlignment="1">
      <alignment horizontal="left" vertical="center" wrapText="1"/>
    </xf>
    <xf numFmtId="0" fontId="54" fillId="27" borderId="14" xfId="78" applyFont="1" applyFill="1" applyBorder="1" applyAlignment="1">
      <alignment horizontal="center" vertical="center" wrapText="1"/>
    </xf>
    <xf numFmtId="0" fontId="54" fillId="0" borderId="14" xfId="46" applyFont="1" applyBorder="1" applyAlignment="1">
      <alignment horizontal="left" vertical="center"/>
    </xf>
    <xf numFmtId="166" fontId="54" fillId="53" borderId="14" xfId="46" applyNumberFormat="1" applyFont="1" applyFill="1" applyBorder="1" applyAlignment="1">
      <alignment horizontal="center" vertical="center" wrapText="1"/>
    </xf>
    <xf numFmtId="166" fontId="54" fillId="0" borderId="14" xfId="79" applyNumberFormat="1" applyFont="1" applyBorder="1" applyAlignment="1">
      <alignment horizontal="center" vertical="center" wrapText="1"/>
    </xf>
    <xf numFmtId="0" fontId="54" fillId="27" borderId="14" xfId="72" applyFont="1" applyFill="1" applyBorder="1" applyAlignment="1">
      <alignment horizontal="left" vertical="center" wrapText="1"/>
    </xf>
    <xf numFmtId="0" fontId="54" fillId="0" borderId="14" xfId="72" applyFont="1" applyBorder="1" applyAlignment="1">
      <alignment horizontal="left" vertical="center" wrapText="1"/>
    </xf>
    <xf numFmtId="0" fontId="54" fillId="27" borderId="17" xfId="0" applyFont="1" applyFill="1" applyBorder="1" applyAlignment="1">
      <alignment horizontal="center" vertical="center"/>
    </xf>
    <xf numFmtId="166" fontId="54" fillId="41" borderId="23" xfId="46" applyNumberFormat="1" applyFont="1" applyFill="1" applyBorder="1" applyAlignment="1">
      <alignment horizontal="center" vertical="center" wrapText="1"/>
    </xf>
    <xf numFmtId="0" fontId="72" fillId="0" borderId="14" xfId="0" applyFont="1" applyBorder="1" applyAlignment="1">
      <alignment horizontal="left" vertical="center" wrapText="1"/>
    </xf>
    <xf numFmtId="0" fontId="72" fillId="0" borderId="14" xfId="0" applyFont="1" applyBorder="1" applyAlignment="1">
      <alignment horizontal="center" vertical="center" wrapText="1"/>
    </xf>
    <xf numFmtId="1" fontId="72" fillId="0" borderId="14" xfId="79" applyNumberFormat="1" applyFont="1" applyBorder="1" applyAlignment="1">
      <alignment horizontal="center" vertical="center" wrapText="1"/>
    </xf>
    <xf numFmtId="49" fontId="83" fillId="36" borderId="14" xfId="0" applyNumberFormat="1" applyFont="1" applyFill="1" applyBorder="1" applyAlignment="1">
      <alignment horizontal="center" vertical="center" textRotation="90" wrapText="1"/>
    </xf>
    <xf numFmtId="0" fontId="72" fillId="36" borderId="14" xfId="0" applyFont="1" applyFill="1" applyBorder="1" applyAlignment="1">
      <alignment horizontal="left" vertical="center" wrapText="1"/>
    </xf>
    <xf numFmtId="0" fontId="83" fillId="36" borderId="14" xfId="52" applyFont="1" applyFill="1" applyBorder="1" applyAlignment="1">
      <alignment horizontal="center"/>
    </xf>
    <xf numFmtId="0" fontId="83" fillId="36" borderId="14" xfId="0" applyFont="1" applyFill="1" applyBorder="1" applyAlignment="1">
      <alignment horizontal="center" textRotation="90" wrapText="1"/>
    </xf>
    <xf numFmtId="3" fontId="83" fillId="36" borderId="14" xfId="0" applyNumberFormat="1" applyFont="1" applyFill="1" applyBorder="1" applyAlignment="1">
      <alignment horizontal="center" vertical="center" textRotation="90" wrapText="1"/>
    </xf>
    <xf numFmtId="3" fontId="83" fillId="36" borderId="14" xfId="0" applyNumberFormat="1" applyFont="1" applyFill="1" applyBorder="1" applyAlignment="1">
      <alignment horizontal="center" vertical="center" wrapText="1"/>
    </xf>
    <xf numFmtId="166" fontId="83" fillId="36" borderId="14" xfId="46" applyNumberFormat="1" applyFont="1" applyFill="1" applyBorder="1" applyAlignment="1">
      <alignment horizontal="center" vertical="center" wrapText="1"/>
    </xf>
    <xf numFmtId="0" fontId="83" fillId="0" borderId="14" xfId="0" applyFont="1" applyBorder="1" applyAlignment="1">
      <alignment horizontal="left" vertical="center" wrapText="1"/>
    </xf>
    <xf numFmtId="49" fontId="83" fillId="0" borderId="14" xfId="0" applyNumberFormat="1" applyFont="1" applyBorder="1" applyAlignment="1">
      <alignment horizontal="center" vertical="center" wrapText="1"/>
    </xf>
    <xf numFmtId="49" fontId="72" fillId="46" borderId="14" xfId="0" quotePrefix="1" applyNumberFormat="1" applyFont="1" applyFill="1" applyBorder="1" applyAlignment="1">
      <alignment horizontal="center" vertical="center" wrapText="1"/>
    </xf>
    <xf numFmtId="49" fontId="77" fillId="46" borderId="14" xfId="0" quotePrefix="1" applyNumberFormat="1" applyFont="1" applyFill="1" applyBorder="1" applyAlignment="1">
      <alignment horizontal="left" vertical="center" wrapText="1"/>
    </xf>
    <xf numFmtId="49" fontId="77" fillId="46" borderId="14" xfId="0" applyNumberFormat="1" applyFont="1" applyFill="1" applyBorder="1" applyAlignment="1">
      <alignment horizontal="center" vertical="center" wrapText="1"/>
    </xf>
    <xf numFmtId="0" fontId="72" fillId="0" borderId="14" xfId="0" applyFont="1" applyBorder="1" applyAlignment="1">
      <alignment vertical="center" wrapText="1"/>
    </xf>
    <xf numFmtId="49" fontId="72" fillId="0" borderId="14" xfId="0" applyNumberFormat="1" applyFont="1" applyBorder="1" applyAlignment="1">
      <alignment horizontal="center" vertical="center" wrapText="1"/>
    </xf>
    <xf numFmtId="49" fontId="72" fillId="0" borderId="14" xfId="79" applyNumberFormat="1" applyFont="1" applyBorder="1" applyAlignment="1">
      <alignment horizontal="center" vertical="center" wrapText="1"/>
    </xf>
    <xf numFmtId="49" fontId="75" fillId="0" borderId="14" xfId="77" applyNumberFormat="1" applyFont="1" applyBorder="1" applyAlignment="1">
      <alignment horizontal="center"/>
    </xf>
    <xf numFmtId="166" fontId="72" fillId="0" borderId="14" xfId="79" applyNumberFormat="1" applyFont="1" applyBorder="1" applyAlignment="1">
      <alignment horizontal="left" vertical="center" wrapText="1"/>
    </xf>
    <xf numFmtId="166" fontId="72" fillId="0" borderId="14" xfId="79" applyNumberFormat="1" applyFont="1" applyBorder="1" applyAlignment="1">
      <alignment horizontal="center" wrapText="1"/>
    </xf>
    <xf numFmtId="0" fontId="75" fillId="0" borderId="14" xfId="77" applyFont="1" applyBorder="1" applyAlignment="1">
      <alignment horizontal="center"/>
    </xf>
    <xf numFmtId="166" fontId="53" fillId="43" borderId="14" xfId="79" applyNumberFormat="1" applyFont="1" applyFill="1" applyBorder="1" applyAlignment="1">
      <alignment horizontal="center" vertical="center" wrapText="1"/>
    </xf>
    <xf numFmtId="166" fontId="75" fillId="0" borderId="14" xfId="79" applyNumberFormat="1" applyFont="1" applyBorder="1" applyAlignment="1">
      <alignment horizontal="center" vertical="center" wrapText="1"/>
    </xf>
    <xf numFmtId="166" fontId="75" fillId="0" borderId="14" xfId="79" applyNumberFormat="1" applyFont="1" applyBorder="1" applyAlignment="1">
      <alignment horizontal="left" vertical="center" wrapText="1"/>
    </xf>
    <xf numFmtId="166" fontId="53" fillId="51" borderId="14" xfId="79" applyNumberFormat="1" applyFont="1" applyFill="1" applyBorder="1" applyAlignment="1">
      <alignment horizontal="center" vertical="center" wrapText="1"/>
    </xf>
    <xf numFmtId="1" fontId="72" fillId="0" borderId="14" xfId="79" applyNumberFormat="1" applyFont="1" applyBorder="1" applyAlignment="1">
      <alignment horizontal="center" wrapText="1"/>
    </xf>
    <xf numFmtId="166" fontId="72" fillId="29" borderId="14" xfId="79" applyNumberFormat="1" applyFont="1" applyFill="1" applyBorder="1" applyAlignment="1">
      <alignment horizontal="center" vertical="center" wrapText="1"/>
    </xf>
    <xf numFmtId="166" fontId="72" fillId="41" borderId="14" xfId="79" applyNumberFormat="1" applyFont="1" applyFill="1" applyBorder="1" applyAlignment="1">
      <alignment horizontal="center" vertical="center" wrapText="1"/>
    </xf>
    <xf numFmtId="166" fontId="72" fillId="27" borderId="14" xfId="79" applyNumberFormat="1" applyFont="1" applyFill="1" applyBorder="1" applyAlignment="1">
      <alignment horizontal="center" vertical="center" wrapText="1"/>
    </xf>
    <xf numFmtId="166" fontId="72" fillId="0" borderId="14" xfId="79" applyNumberFormat="1" applyFont="1" applyBorder="1" applyAlignment="1">
      <alignment horizontal="center" vertical="center" wrapText="1"/>
    </xf>
    <xf numFmtId="0" fontId="72" fillId="43" borderId="14" xfId="0" applyFont="1" applyFill="1" applyBorder="1" applyAlignment="1">
      <alignment horizontal="center" vertical="center" wrapText="1"/>
    </xf>
    <xf numFmtId="166" fontId="72" fillId="43" borderId="14" xfId="46" applyNumberFormat="1" applyFont="1" applyFill="1" applyBorder="1" applyAlignment="1">
      <alignment horizontal="center" vertical="center" wrapText="1"/>
    </xf>
    <xf numFmtId="166" fontId="75" fillId="0" borderId="14" xfId="79" applyNumberFormat="1" applyFont="1" applyBorder="1" applyAlignment="1">
      <alignment horizontal="left" vertical="center"/>
    </xf>
    <xf numFmtId="166" fontId="75" fillId="0" borderId="14" xfId="79" applyNumberFormat="1" applyFont="1" applyBorder="1" applyAlignment="1">
      <alignment horizontal="center" vertical="center"/>
    </xf>
    <xf numFmtId="49" fontId="72" fillId="0" borderId="14" xfId="79" applyNumberFormat="1" applyFont="1" applyBorder="1" applyAlignment="1">
      <alignment horizontal="center" vertical="center"/>
    </xf>
    <xf numFmtId="0" fontId="72" fillId="0" borderId="0" xfId="0" applyFont="1" applyAlignment="1">
      <alignment vertical="top" wrapText="1"/>
    </xf>
    <xf numFmtId="166" fontId="81" fillId="41" borderId="14" xfId="79" applyNumberFormat="1" applyFont="1" applyFill="1" applyBorder="1" applyAlignment="1">
      <alignment horizontal="center" vertical="center" wrapText="1"/>
    </xf>
    <xf numFmtId="1" fontId="83" fillId="36" borderId="14" xfId="79" applyNumberFormat="1" applyFont="1" applyFill="1" applyBorder="1" applyAlignment="1">
      <alignment horizontal="center" wrapText="1"/>
    </xf>
    <xf numFmtId="166" fontId="83" fillId="36" borderId="14" xfId="79" applyNumberFormat="1" applyFont="1" applyFill="1" applyBorder="1" applyAlignment="1">
      <alignment horizontal="center" wrapText="1"/>
    </xf>
    <xf numFmtId="166" fontId="83" fillId="36" borderId="14" xfId="79" applyNumberFormat="1" applyFont="1" applyFill="1" applyBorder="1" applyAlignment="1">
      <alignment horizontal="center" vertical="center" wrapText="1"/>
    </xf>
    <xf numFmtId="166" fontId="83" fillId="36" borderId="14" xfId="79" applyNumberFormat="1" applyFont="1" applyFill="1" applyBorder="1" applyAlignment="1">
      <alignment horizontal="center" vertical="center"/>
    </xf>
    <xf numFmtId="166" fontId="85" fillId="0" borderId="14" xfId="79" applyNumberFormat="1" applyFont="1" applyBorder="1" applyAlignment="1">
      <alignment horizontal="left" vertical="center"/>
    </xf>
    <xf numFmtId="166" fontId="85" fillId="0" borderId="14" xfId="79" applyNumberFormat="1" applyFont="1" applyBorder="1" applyAlignment="1">
      <alignment horizontal="center" vertical="center"/>
    </xf>
    <xf numFmtId="49" fontId="77" fillId="46" borderId="14" xfId="0" quotePrefix="1" applyNumberFormat="1" applyFont="1" applyFill="1" applyBorder="1" applyAlignment="1">
      <alignment horizontal="center" vertical="center" wrapText="1"/>
    </xf>
    <xf numFmtId="166" fontId="72" fillId="0" borderId="17" xfId="79" applyNumberFormat="1" applyFont="1" applyBorder="1" applyAlignment="1">
      <alignment horizontal="left" vertical="center" wrapText="1"/>
    </xf>
    <xf numFmtId="166" fontId="72" fillId="0" borderId="14" xfId="0" applyNumberFormat="1" applyFont="1" applyBorder="1" applyAlignment="1">
      <alignment horizontal="center" vertical="center"/>
    </xf>
    <xf numFmtId="166" fontId="53" fillId="0" borderId="14" xfId="79" applyNumberFormat="1" applyFont="1" applyBorder="1" applyAlignment="1">
      <alignment horizontal="center" vertical="center" wrapText="1"/>
    </xf>
    <xf numFmtId="166" fontId="72" fillId="41" borderId="14" xfId="0" applyNumberFormat="1" applyFont="1" applyFill="1" applyBorder="1" applyAlignment="1">
      <alignment horizontal="center" vertical="center"/>
    </xf>
    <xf numFmtId="166" fontId="72" fillId="0" borderId="14" xfId="79" applyNumberFormat="1" applyFont="1" applyBorder="1" applyAlignment="1">
      <alignment horizontal="center" vertical="center"/>
    </xf>
    <xf numFmtId="166" fontId="72" fillId="0" borderId="14" xfId="46" applyNumberFormat="1" applyFont="1" applyBorder="1" applyAlignment="1">
      <alignment horizontal="center" vertical="center" wrapText="1"/>
    </xf>
    <xf numFmtId="0" fontId="72" fillId="0" borderId="14" xfId="0" applyFont="1" applyBorder="1" applyAlignment="1">
      <alignment horizontal="center" vertical="center"/>
    </xf>
    <xf numFmtId="166" fontId="75" fillId="0" borderId="27" xfId="79" applyNumberFormat="1" applyFont="1" applyBorder="1" applyAlignment="1">
      <alignment vertical="center"/>
    </xf>
    <xf numFmtId="0" fontId="72" fillId="0" borderId="14" xfId="0" applyFont="1" applyBorder="1" applyAlignment="1">
      <alignment horizontal="left"/>
    </xf>
    <xf numFmtId="166" fontId="72" fillId="41" borderId="14" xfId="46" applyNumberFormat="1" applyFont="1" applyFill="1" applyBorder="1" applyAlignment="1">
      <alignment horizontal="center" vertical="center" wrapText="1"/>
    </xf>
    <xf numFmtId="49" fontId="72" fillId="0" borderId="17" xfId="79" applyNumberFormat="1" applyFont="1" applyBorder="1" applyAlignment="1">
      <alignment horizontal="center" vertical="center" wrapText="1"/>
    </xf>
    <xf numFmtId="1" fontId="72" fillId="0" borderId="17" xfId="79" applyNumberFormat="1" applyFont="1" applyBorder="1" applyAlignment="1">
      <alignment horizontal="center" vertical="center" wrapText="1"/>
    </xf>
    <xf numFmtId="166" fontId="72" fillId="0" borderId="17" xfId="79" applyNumberFormat="1" applyFont="1" applyBorder="1" applyAlignment="1">
      <alignment horizontal="center" vertical="center"/>
    </xf>
    <xf numFmtId="0" fontId="72" fillId="0" borderId="17" xfId="0" applyFont="1" applyBorder="1" applyAlignment="1">
      <alignment horizontal="center" vertical="center"/>
    </xf>
    <xf numFmtId="166" fontId="72" fillId="0" borderId="17" xfId="0" applyNumberFormat="1" applyFont="1" applyBorder="1" applyAlignment="1">
      <alignment horizontal="center" vertical="center"/>
    </xf>
    <xf numFmtId="166" fontId="72" fillId="0" borderId="34" xfId="0" applyNumberFormat="1" applyFont="1" applyBorder="1" applyAlignment="1">
      <alignment horizontal="center" vertical="center"/>
    </xf>
    <xf numFmtId="49" fontId="72" fillId="0" borderId="34" xfId="79" applyNumberFormat="1" applyFont="1" applyBorder="1" applyAlignment="1">
      <alignment horizontal="center" vertical="center" wrapText="1"/>
    </xf>
    <xf numFmtId="1" fontId="72" fillId="0" borderId="34" xfId="79" applyNumberFormat="1" applyFont="1" applyBorder="1" applyAlignment="1">
      <alignment horizontal="center" vertical="center" wrapText="1"/>
    </xf>
    <xf numFmtId="166" fontId="72" fillId="0" borderId="34" xfId="79" applyNumberFormat="1" applyFont="1" applyBorder="1" applyAlignment="1">
      <alignment horizontal="center" vertical="center"/>
    </xf>
    <xf numFmtId="0" fontId="72" fillId="0" borderId="34" xfId="0" applyFont="1" applyBorder="1" applyAlignment="1">
      <alignment horizontal="center" vertical="center"/>
    </xf>
    <xf numFmtId="166" fontId="72" fillId="0" borderId="34" xfId="79" applyNumberFormat="1" applyFont="1" applyBorder="1" applyAlignment="1">
      <alignment horizontal="center" vertical="center" wrapText="1"/>
    </xf>
    <xf numFmtId="166" fontId="74" fillId="29" borderId="34" xfId="79" applyNumberFormat="1" applyFont="1" applyFill="1" applyBorder="1" applyAlignment="1">
      <alignment horizontal="center" vertical="center" wrapText="1"/>
    </xf>
    <xf numFmtId="166" fontId="72" fillId="0" borderId="17" xfId="79" applyNumberFormat="1" applyFont="1" applyBorder="1" applyAlignment="1">
      <alignment horizontal="center" vertical="center" wrapText="1"/>
    </xf>
    <xf numFmtId="0" fontId="72" fillId="0" borderId="17" xfId="0" applyFont="1" applyBorder="1" applyAlignment="1">
      <alignment horizontal="center" vertical="center" wrapText="1"/>
    </xf>
    <xf numFmtId="49" fontId="72" fillId="0" borderId="16" xfId="79" applyNumberFormat="1" applyFont="1" applyBorder="1" applyAlignment="1">
      <alignment horizontal="center" vertical="center" wrapText="1"/>
    </xf>
    <xf numFmtId="0" fontId="72" fillId="0" borderId="34" xfId="0" applyFont="1" applyBorder="1" applyAlignment="1">
      <alignment horizontal="center" vertical="center" wrapText="1"/>
    </xf>
    <xf numFmtId="0" fontId="72" fillId="0" borderId="34" xfId="77" applyFont="1" applyBorder="1" applyAlignment="1">
      <alignment horizontal="center" vertical="center"/>
    </xf>
    <xf numFmtId="0" fontId="72" fillId="27" borderId="34" xfId="0" applyFont="1" applyFill="1" applyBorder="1" applyAlignment="1">
      <alignment horizontal="center" vertical="center"/>
    </xf>
    <xf numFmtId="49" fontId="72" fillId="0" borderId="10" xfId="79" applyNumberFormat="1" applyFont="1" applyBorder="1" applyAlignment="1">
      <alignment horizontal="center" vertical="center" wrapText="1"/>
    </xf>
    <xf numFmtId="1" fontId="72" fillId="0" borderId="39" xfId="79" applyNumberFormat="1" applyFont="1" applyBorder="1" applyAlignment="1">
      <alignment horizontal="center" vertical="center" wrapText="1"/>
    </xf>
    <xf numFmtId="166" fontId="72" fillId="0" borderId="39" xfId="79" applyNumberFormat="1" applyFont="1" applyBorder="1" applyAlignment="1">
      <alignment horizontal="center" vertical="center"/>
    </xf>
    <xf numFmtId="166" fontId="72" fillId="26" borderId="39" xfId="79" applyNumberFormat="1" applyFont="1" applyFill="1" applyBorder="1" applyAlignment="1">
      <alignment horizontal="center" vertical="center"/>
    </xf>
    <xf numFmtId="166" fontId="75" fillId="0" borderId="34" xfId="79" applyNumberFormat="1" applyFont="1" applyBorder="1" applyAlignment="1">
      <alignment horizontal="left" vertical="center" wrapText="1"/>
    </xf>
    <xf numFmtId="166" fontId="72" fillId="26" borderId="34" xfId="79" applyNumberFormat="1" applyFont="1" applyFill="1" applyBorder="1" applyAlignment="1">
      <alignment horizontal="center" vertical="center"/>
    </xf>
    <xf numFmtId="166" fontId="72" fillId="41" borderId="34" xfId="46" applyNumberFormat="1" applyFont="1" applyFill="1" applyBorder="1" applyAlignment="1">
      <alignment horizontal="center" vertical="center" wrapText="1"/>
    </xf>
    <xf numFmtId="1" fontId="72" fillId="0" borderId="34" xfId="79" applyNumberFormat="1" applyFont="1" applyBorder="1" applyAlignment="1">
      <alignment horizontal="center" wrapText="1"/>
    </xf>
    <xf numFmtId="0" fontId="72" fillId="0" borderId="34" xfId="0" applyFont="1" applyBorder="1" applyAlignment="1">
      <alignment wrapText="1"/>
    </xf>
    <xf numFmtId="1" fontId="72" fillId="0" borderId="22" xfId="79" applyNumberFormat="1" applyFont="1" applyBorder="1" applyAlignment="1">
      <alignment horizontal="center" vertical="center" wrapText="1"/>
    </xf>
    <xf numFmtId="0" fontId="72" fillId="0" borderId="23" xfId="77" applyFont="1" applyBorder="1" applyAlignment="1">
      <alignment horizontal="center" vertical="center"/>
    </xf>
    <xf numFmtId="0" fontId="72" fillId="0" borderId="23" xfId="0" applyFont="1" applyBorder="1" applyAlignment="1">
      <alignment horizontal="center" vertical="center"/>
    </xf>
    <xf numFmtId="166" fontId="72" fillId="0" borderId="23" xfId="0" applyNumberFormat="1" applyFont="1" applyBorder="1" applyAlignment="1">
      <alignment horizontal="center" vertical="center"/>
    </xf>
    <xf numFmtId="0" fontId="68" fillId="0" borderId="34" xfId="0" applyFont="1" applyBorder="1" applyAlignment="1">
      <alignment wrapText="1"/>
    </xf>
    <xf numFmtId="1" fontId="72" fillId="0" borderId="27" xfId="79" applyNumberFormat="1" applyFont="1" applyBorder="1" applyAlignment="1">
      <alignment horizontal="center" vertical="center" wrapText="1"/>
    </xf>
    <xf numFmtId="0" fontId="72" fillId="27" borderId="14" xfId="0" applyFont="1" applyFill="1" applyBorder="1" applyAlignment="1">
      <alignment horizontal="center" vertical="center"/>
    </xf>
    <xf numFmtId="0" fontId="72" fillId="0" borderId="14" xfId="0" applyFont="1" applyBorder="1"/>
    <xf numFmtId="166" fontId="72" fillId="26" borderId="14" xfId="79" applyNumberFormat="1" applyFont="1" applyFill="1" applyBorder="1" applyAlignment="1">
      <alignment horizontal="center" vertical="center"/>
    </xf>
    <xf numFmtId="0" fontId="72" fillId="0" borderId="14" xfId="0" applyFont="1" applyBorder="1" applyAlignment="1">
      <alignment horizontal="right" vertical="center" wrapText="1"/>
    </xf>
    <xf numFmtId="0" fontId="72" fillId="0" borderId="17" xfId="0" applyFont="1" applyBorder="1" applyAlignment="1">
      <alignment horizontal="right" vertical="center" wrapText="1"/>
    </xf>
    <xf numFmtId="0" fontId="72" fillId="0" borderId="34" xfId="0" applyFont="1" applyBorder="1" applyAlignment="1">
      <alignment horizontal="right" vertical="center" wrapText="1"/>
    </xf>
    <xf numFmtId="166" fontId="72" fillId="43" borderId="23" xfId="79" applyNumberFormat="1" applyFont="1" applyFill="1" applyBorder="1" applyAlignment="1">
      <alignment horizontal="center" vertical="center" wrapText="1"/>
    </xf>
    <xf numFmtId="166" fontId="72" fillId="43" borderId="23" xfId="79" applyNumberFormat="1" applyFont="1" applyFill="1" applyBorder="1" applyAlignment="1">
      <alignment horizontal="center" vertical="center"/>
    </xf>
    <xf numFmtId="166" fontId="68" fillId="43" borderId="23" xfId="79" applyNumberFormat="1" applyFont="1" applyFill="1" applyBorder="1" applyAlignment="1">
      <alignment horizontal="center" vertical="center" wrapText="1"/>
    </xf>
    <xf numFmtId="166" fontId="72" fillId="43" borderId="14" xfId="79" applyNumberFormat="1" applyFont="1" applyFill="1" applyBorder="1" applyAlignment="1">
      <alignment horizontal="center" vertical="center" wrapText="1"/>
    </xf>
    <xf numFmtId="166" fontId="72" fillId="43" borderId="14" xfId="79" applyNumberFormat="1" applyFont="1" applyFill="1" applyBorder="1" applyAlignment="1">
      <alignment horizontal="center" vertical="center"/>
    </xf>
    <xf numFmtId="166" fontId="54" fillId="43" borderId="14" xfId="79" applyNumberFormat="1" applyFont="1" applyFill="1" applyBorder="1" applyAlignment="1">
      <alignment horizontal="center" vertical="center"/>
    </xf>
    <xf numFmtId="166" fontId="81" fillId="43" borderId="14" xfId="79" applyNumberFormat="1" applyFont="1" applyFill="1" applyBorder="1" applyAlignment="1">
      <alignment horizontal="center" vertical="center" wrapText="1"/>
    </xf>
    <xf numFmtId="49" fontId="72" fillId="27" borderId="14" xfId="79" applyNumberFormat="1" applyFont="1" applyFill="1" applyBorder="1" applyAlignment="1">
      <alignment horizontal="center" vertical="center" wrapText="1"/>
    </xf>
    <xf numFmtId="49" fontId="72" fillId="27" borderId="27" xfId="79" applyNumberFormat="1" applyFont="1" applyFill="1" applyBorder="1" applyAlignment="1">
      <alignment horizontal="center" vertical="center" wrapText="1"/>
    </xf>
    <xf numFmtId="14" fontId="54" fillId="27" borderId="14" xfId="0" applyNumberFormat="1" applyFont="1" applyFill="1" applyBorder="1" applyAlignment="1">
      <alignment wrapText="1"/>
    </xf>
    <xf numFmtId="0" fontId="54" fillId="27" borderId="27" xfId="0" applyFont="1" applyFill="1" applyBorder="1" applyAlignment="1">
      <alignment wrapText="1"/>
    </xf>
    <xf numFmtId="166" fontId="72" fillId="27" borderId="14" xfId="79" applyNumberFormat="1" applyFont="1" applyFill="1" applyBorder="1" applyAlignment="1">
      <alignment horizontal="center" vertical="center"/>
    </xf>
    <xf numFmtId="1" fontId="68" fillId="0" borderId="14" xfId="79" applyNumberFormat="1" applyFont="1" applyBorder="1" applyAlignment="1">
      <alignment horizontal="center" vertical="center" wrapText="1"/>
    </xf>
    <xf numFmtId="49" fontId="68" fillId="0" borderId="14" xfId="79" applyNumberFormat="1" applyFont="1" applyBorder="1" applyAlignment="1">
      <alignment horizontal="center" vertical="center" wrapText="1"/>
    </xf>
    <xf numFmtId="0" fontId="68" fillId="0" borderId="14" xfId="0" applyFont="1" applyBorder="1" applyAlignment="1">
      <alignment horizontal="center" vertical="center"/>
    </xf>
    <xf numFmtId="166" fontId="75" fillId="0" borderId="27" xfId="79" applyNumberFormat="1" applyFont="1" applyBorder="1" applyAlignment="1">
      <alignment vertical="center" wrapText="1"/>
    </xf>
    <xf numFmtId="166" fontId="72" fillId="24" borderId="14" xfId="79" applyNumberFormat="1" applyFont="1" applyFill="1" applyBorder="1" applyAlignment="1">
      <alignment horizontal="center" wrapText="1"/>
    </xf>
    <xf numFmtId="166" fontId="72" fillId="0" borderId="14" xfId="79" applyNumberFormat="1" applyFont="1" applyBorder="1" applyAlignment="1">
      <alignment horizontal="right" vertical="center" wrapText="1"/>
    </xf>
    <xf numFmtId="0" fontId="54" fillId="36" borderId="14" xfId="0" applyFont="1" applyFill="1" applyBorder="1" applyAlignment="1">
      <alignment horizontal="left" vertical="center" wrapText="1"/>
    </xf>
    <xf numFmtId="49" fontId="77" fillId="40" borderId="14" xfId="0" applyNumberFormat="1" applyFont="1" applyFill="1" applyBorder="1" applyAlignment="1">
      <alignment horizontal="center" vertical="center" wrapText="1"/>
    </xf>
    <xf numFmtId="166" fontId="54" fillId="40" borderId="14" xfId="79" applyNumberFormat="1" applyFont="1" applyFill="1" applyBorder="1" applyAlignment="1">
      <alignment horizontal="center" vertical="center"/>
    </xf>
    <xf numFmtId="166" fontId="72" fillId="40" borderId="14" xfId="79" applyNumberFormat="1" applyFont="1" applyFill="1" applyBorder="1" applyAlignment="1">
      <alignment horizontal="center" vertical="center" wrapText="1"/>
    </xf>
    <xf numFmtId="166" fontId="81" fillId="40" borderId="14" xfId="46" applyNumberFormat="1" applyFont="1" applyFill="1" applyBorder="1" applyAlignment="1">
      <alignment horizontal="center" vertical="center" wrapText="1"/>
    </xf>
    <xf numFmtId="0" fontId="86" fillId="0" borderId="14" xfId="0" applyFont="1" applyBorder="1" applyAlignment="1">
      <alignment vertical="center" wrapText="1"/>
    </xf>
    <xf numFmtId="49" fontId="54" fillId="0" borderId="14" xfId="79" applyNumberFormat="1" applyFont="1" applyBorder="1" applyAlignment="1">
      <alignment horizontal="center" vertical="center" wrapText="1"/>
    </xf>
    <xf numFmtId="0" fontId="72" fillId="27" borderId="14" xfId="0" applyFont="1" applyFill="1" applyBorder="1" applyAlignment="1">
      <alignment vertical="center" wrapText="1"/>
    </xf>
    <xf numFmtId="166" fontId="54" fillId="40" borderId="14" xfId="79" applyNumberFormat="1" applyFont="1" applyFill="1" applyBorder="1" applyAlignment="1">
      <alignment horizontal="center" vertical="center" wrapText="1"/>
    </xf>
    <xf numFmtId="166" fontId="72" fillId="40" borderId="14" xfId="79" applyNumberFormat="1" applyFont="1" applyFill="1" applyBorder="1" applyAlignment="1">
      <alignment horizontal="center" vertical="center"/>
    </xf>
    <xf numFmtId="49" fontId="72" fillId="27" borderId="14" xfId="0" quotePrefix="1" applyNumberFormat="1" applyFont="1" applyFill="1" applyBorder="1" applyAlignment="1">
      <alignment horizontal="center" vertical="center" wrapText="1"/>
    </xf>
    <xf numFmtId="49" fontId="72" fillId="27" borderId="14" xfId="0" quotePrefix="1" applyNumberFormat="1" applyFont="1" applyFill="1" applyBorder="1" applyAlignment="1">
      <alignment horizontal="left" vertical="center" wrapText="1"/>
    </xf>
    <xf numFmtId="1" fontId="72" fillId="27" borderId="14" xfId="79" applyNumberFormat="1" applyFont="1" applyFill="1" applyBorder="1" applyAlignment="1">
      <alignment horizontal="center" wrapText="1"/>
    </xf>
    <xf numFmtId="166" fontId="72" fillId="27" borderId="14" xfId="79" applyNumberFormat="1" applyFont="1" applyFill="1" applyBorder="1" applyAlignment="1">
      <alignment horizontal="center" wrapText="1"/>
    </xf>
    <xf numFmtId="0" fontId="77" fillId="43" borderId="14" xfId="0" applyFont="1" applyFill="1" applyBorder="1" applyAlignment="1">
      <alignment horizontal="center" vertical="center" wrapText="1"/>
    </xf>
    <xf numFmtId="166" fontId="77" fillId="26" borderId="14" xfId="79" applyNumberFormat="1" applyFont="1" applyFill="1" applyBorder="1" applyAlignment="1">
      <alignment horizontal="center" vertical="center"/>
    </xf>
    <xf numFmtId="166" fontId="77" fillId="43" borderId="14" xfId="46" applyNumberFormat="1" applyFont="1" applyFill="1" applyBorder="1" applyAlignment="1">
      <alignment horizontal="center" vertical="center" wrapText="1"/>
    </xf>
    <xf numFmtId="166" fontId="72" fillId="27" borderId="14" xfId="79" applyNumberFormat="1" applyFont="1" applyFill="1" applyBorder="1" applyAlignment="1">
      <alignment horizontal="left" vertical="center" wrapText="1"/>
    </xf>
    <xf numFmtId="166" fontId="72" fillId="29" borderId="14" xfId="79" applyNumberFormat="1" applyFont="1" applyFill="1" applyBorder="1" applyAlignment="1">
      <alignment horizontal="center" vertical="center"/>
    </xf>
    <xf numFmtId="1" fontId="72" fillId="0" borderId="14" xfId="79" applyNumberFormat="1" applyFont="1" applyBorder="1" applyAlignment="1">
      <alignment horizontal="center" vertical="center"/>
    </xf>
    <xf numFmtId="1" fontId="72" fillId="0" borderId="14" xfId="79" applyNumberFormat="1" applyFont="1" applyBorder="1" applyAlignment="1">
      <alignment horizontal="center"/>
    </xf>
    <xf numFmtId="166" fontId="72" fillId="0" borderId="14" xfId="79" applyNumberFormat="1" applyFont="1" applyBorder="1" applyAlignment="1">
      <alignment horizontal="center"/>
    </xf>
    <xf numFmtId="1" fontId="72" fillId="27" borderId="14" xfId="79" applyNumberFormat="1" applyFont="1" applyFill="1" applyBorder="1" applyAlignment="1">
      <alignment horizontal="center" vertical="center"/>
    </xf>
    <xf numFmtId="166" fontId="81" fillId="41" borderId="14" xfId="46" applyNumberFormat="1" applyFont="1" applyFill="1" applyBorder="1" applyAlignment="1">
      <alignment horizontal="center" vertical="center" wrapText="1"/>
    </xf>
    <xf numFmtId="166" fontId="72" fillId="0" borderId="14" xfId="79" applyNumberFormat="1" applyFont="1" applyBorder="1" applyAlignment="1">
      <alignment horizontal="left" vertical="center" wrapText="1" shrinkToFit="1"/>
    </xf>
    <xf numFmtId="0" fontId="72" fillId="0" borderId="14" xfId="0" applyFont="1" applyBorder="1" applyAlignment="1">
      <alignment wrapText="1"/>
    </xf>
    <xf numFmtId="0" fontId="72" fillId="54" borderId="14" xfId="0" applyFont="1" applyFill="1" applyBorder="1" applyAlignment="1">
      <alignment wrapText="1"/>
    </xf>
    <xf numFmtId="166" fontId="83" fillId="36" borderId="17" xfId="79" applyNumberFormat="1" applyFont="1" applyFill="1" applyBorder="1" applyAlignment="1">
      <alignment horizontal="center" vertical="center" wrapText="1"/>
    </xf>
    <xf numFmtId="166" fontId="83" fillId="36" borderId="17" xfId="79" applyNumberFormat="1" applyFont="1" applyFill="1" applyBorder="1" applyAlignment="1">
      <alignment horizontal="center" vertical="center"/>
    </xf>
    <xf numFmtId="166" fontId="83" fillId="36" borderId="17" xfId="46" applyNumberFormat="1" applyFont="1" applyFill="1" applyBorder="1" applyAlignment="1">
      <alignment horizontal="center" vertical="center" wrapText="1"/>
    </xf>
    <xf numFmtId="0" fontId="53" fillId="40" borderId="14" xfId="0" applyFont="1" applyFill="1" applyBorder="1" applyAlignment="1">
      <alignment horizontal="center"/>
    </xf>
    <xf numFmtId="0" fontId="53" fillId="40" borderId="14" xfId="0" applyFont="1" applyFill="1" applyBorder="1" applyAlignment="1">
      <alignment horizontal="center" wrapText="1"/>
    </xf>
    <xf numFmtId="166" fontId="53" fillId="40" borderId="14" xfId="0" applyNumberFormat="1" applyFont="1" applyFill="1" applyBorder="1" applyAlignment="1">
      <alignment horizontal="center" wrapText="1"/>
    </xf>
    <xf numFmtId="0" fontId="64" fillId="40" borderId="14" xfId="0" applyFont="1" applyFill="1" applyBorder="1" applyAlignment="1">
      <alignment horizontal="center" wrapText="1"/>
    </xf>
    <xf numFmtId="49" fontId="68" fillId="0" borderId="14" xfId="0" applyNumberFormat="1" applyFont="1" applyBorder="1" applyAlignment="1">
      <alignment horizontal="center"/>
    </xf>
    <xf numFmtId="0" fontId="68" fillId="0" borderId="14" xfId="0" applyFont="1" applyBorder="1" applyAlignment="1">
      <alignment horizontal="center" wrapText="1"/>
    </xf>
    <xf numFmtId="0" fontId="68" fillId="0" borderId="14" xfId="0" applyFont="1" applyBorder="1" applyAlignment="1">
      <alignment horizontal="center"/>
    </xf>
    <xf numFmtId="0" fontId="68" fillId="49" borderId="14" xfId="0" applyFont="1" applyFill="1" applyBorder="1" applyAlignment="1">
      <alignment horizontal="center" wrapText="1"/>
    </xf>
    <xf numFmtId="49" fontId="68" fillId="0" borderId="17" xfId="0" applyNumberFormat="1" applyFont="1" applyBorder="1" applyAlignment="1">
      <alignment horizontal="center"/>
    </xf>
    <xf numFmtId="49" fontId="87" fillId="0" borderId="14" xfId="0" applyNumberFormat="1" applyFont="1" applyBorder="1" applyAlignment="1">
      <alignment horizontal="center"/>
    </xf>
    <xf numFmtId="0" fontId="68" fillId="0" borderId="17" xfId="0" applyFont="1" applyBorder="1" applyAlignment="1">
      <alignment horizontal="center"/>
    </xf>
    <xf numFmtId="0" fontId="68" fillId="0" borderId="17" xfId="0" applyFont="1" applyBorder="1" applyAlignment="1">
      <alignment horizontal="center" wrapText="1"/>
    </xf>
    <xf numFmtId="0" fontId="68" fillId="49" borderId="17" xfId="0" applyFont="1" applyFill="1" applyBorder="1" applyAlignment="1">
      <alignment horizontal="center" wrapText="1"/>
    </xf>
    <xf numFmtId="49" fontId="68" fillId="0" borderId="34" xfId="0" applyNumberFormat="1" applyFont="1" applyBorder="1" applyAlignment="1">
      <alignment horizontal="center"/>
    </xf>
    <xf numFmtId="49" fontId="87" fillId="0" borderId="17" xfId="0" applyNumberFormat="1" applyFont="1" applyBorder="1" applyAlignment="1">
      <alignment horizontal="center"/>
    </xf>
    <xf numFmtId="0" fontId="68" fillId="0" borderId="34" xfId="0" applyFont="1" applyBorder="1" applyAlignment="1">
      <alignment horizontal="center"/>
    </xf>
    <xf numFmtId="0" fontId="68" fillId="0" borderId="34" xfId="0" applyFont="1" applyBorder="1" applyAlignment="1">
      <alignment horizontal="center" wrapText="1"/>
    </xf>
    <xf numFmtId="0" fontId="68" fillId="49" borderId="34" xfId="0" applyFont="1" applyFill="1" applyBorder="1" applyAlignment="1">
      <alignment horizontal="center" wrapText="1"/>
    </xf>
    <xf numFmtId="49" fontId="68" fillId="0" borderId="37" xfId="0" applyNumberFormat="1" applyFont="1" applyBorder="1" applyAlignment="1">
      <alignment horizontal="center"/>
    </xf>
    <xf numFmtId="0" fontId="68" fillId="0" borderId="37" xfId="0" applyFont="1" applyBorder="1" applyAlignment="1">
      <alignment horizontal="center"/>
    </xf>
    <xf numFmtId="0" fontId="68" fillId="0" borderId="37" xfId="0" applyFont="1" applyBorder="1" applyAlignment="1">
      <alignment horizontal="center" wrapText="1"/>
    </xf>
    <xf numFmtId="0" fontId="68" fillId="49" borderId="37" xfId="0" applyFont="1" applyFill="1" applyBorder="1" applyAlignment="1">
      <alignment horizontal="center" wrapText="1"/>
    </xf>
    <xf numFmtId="49" fontId="87" fillId="0" borderId="34" xfId="0" applyNumberFormat="1" applyFont="1" applyBorder="1" applyAlignment="1">
      <alignment horizontal="center"/>
    </xf>
    <xf numFmtId="49" fontId="68" fillId="0" borderId="38" xfId="0" applyNumberFormat="1" applyFont="1" applyBorder="1" applyAlignment="1">
      <alignment horizontal="center"/>
    </xf>
    <xf numFmtId="49" fontId="68" fillId="0" borderId="42" xfId="0" applyNumberFormat="1" applyFont="1" applyBorder="1" applyAlignment="1">
      <alignment horizontal="center"/>
    </xf>
    <xf numFmtId="49" fontId="72" fillId="0" borderId="34" xfId="0" applyNumberFormat="1" applyFont="1" applyBorder="1" applyAlignment="1">
      <alignment horizontal="center"/>
    </xf>
    <xf numFmtId="0" fontId="72" fillId="0" borderId="34" xfId="0" applyFont="1" applyBorder="1" applyAlignment="1">
      <alignment horizontal="center"/>
    </xf>
    <xf numFmtId="0" fontId="72" fillId="0" borderId="34" xfId="0" applyFont="1" applyBorder="1" applyAlignment="1">
      <alignment horizontal="center" wrapText="1"/>
    </xf>
    <xf numFmtId="0" fontId="72" fillId="0" borderId="43" xfId="0" applyFont="1" applyBorder="1" applyAlignment="1">
      <alignment horizontal="center"/>
    </xf>
    <xf numFmtId="0" fontId="72" fillId="0" borderId="37" xfId="0" applyFont="1" applyBorder="1" applyAlignment="1">
      <alignment horizontal="center" wrapText="1"/>
    </xf>
    <xf numFmtId="0" fontId="72" fillId="0" borderId="37" xfId="0" applyFont="1" applyBorder="1" applyAlignment="1">
      <alignment horizontal="center"/>
    </xf>
    <xf numFmtId="49" fontId="72" fillId="46" borderId="14" xfId="0" applyNumberFormat="1" applyFont="1" applyFill="1" applyBorder="1" applyAlignment="1">
      <alignment horizontal="center" wrapText="1"/>
    </xf>
    <xf numFmtId="0" fontId="72" fillId="46" borderId="14" xfId="0" applyFont="1" applyFill="1" applyBorder="1" applyAlignment="1">
      <alignment horizontal="center" wrapText="1"/>
    </xf>
    <xf numFmtId="166" fontId="81" fillId="46" borderId="14" xfId="0" applyNumberFormat="1" applyFont="1" applyFill="1" applyBorder="1" applyAlignment="1">
      <alignment horizontal="center" wrapText="1"/>
    </xf>
    <xf numFmtId="0" fontId="72" fillId="46" borderId="14" xfId="0" applyFont="1" applyFill="1" applyBorder="1" applyAlignment="1">
      <alignment wrapText="1"/>
    </xf>
    <xf numFmtId="0" fontId="54" fillId="46" borderId="14" xfId="0" applyFont="1" applyFill="1" applyBorder="1" applyAlignment="1">
      <alignment horizontal="center" wrapText="1"/>
    </xf>
    <xf numFmtId="49" fontId="72" fillId="0" borderId="14" xfId="0" applyNumberFormat="1" applyFont="1" applyBorder="1" applyAlignment="1">
      <alignment horizontal="center"/>
    </xf>
    <xf numFmtId="0" fontId="72" fillId="0" borderId="14" xfId="0" applyFont="1" applyBorder="1" applyAlignment="1">
      <alignment horizontal="center"/>
    </xf>
    <xf numFmtId="0" fontId="74" fillId="55" borderId="14" xfId="0" applyFont="1" applyFill="1" applyBorder="1" applyAlignment="1">
      <alignment horizontal="center"/>
    </xf>
    <xf numFmtId="49" fontId="72" fillId="52" borderId="14" xfId="0" applyNumberFormat="1" applyFont="1" applyFill="1" applyBorder="1" applyAlignment="1">
      <alignment horizontal="center"/>
    </xf>
    <xf numFmtId="0" fontId="72" fillId="52" borderId="14" xfId="0" applyFont="1" applyFill="1" applyBorder="1" applyAlignment="1">
      <alignment horizontal="center"/>
    </xf>
    <xf numFmtId="166" fontId="72" fillId="52" borderId="14" xfId="0" applyNumberFormat="1" applyFont="1" applyFill="1" applyBorder="1" applyAlignment="1">
      <alignment horizontal="center" wrapText="1"/>
    </xf>
    <xf numFmtId="0" fontId="72" fillId="0" borderId="14" xfId="0" applyFont="1" applyBorder="1" applyAlignment="1">
      <alignment horizontal="right" wrapText="1"/>
    </xf>
    <xf numFmtId="0" fontId="72" fillId="56" borderId="14" xfId="0" applyFont="1" applyFill="1" applyBorder="1" applyAlignment="1">
      <alignment horizontal="center" wrapText="1"/>
    </xf>
    <xf numFmtId="0" fontId="68" fillId="0" borderId="14" xfId="0" applyFont="1" applyBorder="1" applyAlignment="1">
      <alignment horizontal="right" wrapText="1"/>
    </xf>
    <xf numFmtId="0" fontId="68" fillId="56" borderId="14" xfId="0" applyFont="1" applyFill="1" applyBorder="1" applyAlignment="1">
      <alignment horizontal="center" wrapText="1"/>
    </xf>
    <xf numFmtId="49" fontId="77" fillId="52" borderId="14" xfId="0" applyNumberFormat="1" applyFont="1" applyFill="1" applyBorder="1" applyAlignment="1">
      <alignment horizontal="center"/>
    </xf>
    <xf numFmtId="49" fontId="72" fillId="49" borderId="14" xfId="0" applyNumberFormat="1" applyFont="1" applyFill="1" applyBorder="1" applyAlignment="1">
      <alignment horizontal="center"/>
    </xf>
    <xf numFmtId="0" fontId="72" fillId="49" borderId="14" xfId="0" applyFont="1" applyFill="1" applyBorder="1" applyAlignment="1">
      <alignment horizontal="center"/>
    </xf>
    <xf numFmtId="0" fontId="72" fillId="0" borderId="0" xfId="0" applyFont="1" applyAlignment="1">
      <alignment horizontal="right" wrapText="1"/>
    </xf>
    <xf numFmtId="0" fontId="72" fillId="0" borderId="14" xfId="0" applyFont="1" applyBorder="1" applyAlignment="1">
      <alignment horizontal="center" wrapText="1"/>
    </xf>
    <xf numFmtId="0" fontId="72" fillId="55" borderId="14" xfId="0" applyFont="1" applyFill="1" applyBorder="1" applyAlignment="1">
      <alignment horizontal="center" wrapText="1"/>
    </xf>
    <xf numFmtId="0" fontId="72" fillId="27" borderId="14" xfId="0" applyFont="1" applyFill="1" applyBorder="1" applyAlignment="1">
      <alignment wrapText="1"/>
    </xf>
    <xf numFmtId="0" fontId="72" fillId="27" borderId="14" xfId="77" applyFont="1" applyFill="1" applyBorder="1" applyAlignment="1">
      <alignment horizontal="center" vertical="center"/>
    </xf>
    <xf numFmtId="166" fontId="72" fillId="27" borderId="23" xfId="79" applyNumberFormat="1" applyFont="1" applyFill="1" applyBorder="1" applyAlignment="1">
      <alignment horizontal="center" vertical="center" wrapText="1"/>
    </xf>
    <xf numFmtId="1" fontId="72" fillId="27" borderId="14" xfId="79" applyNumberFormat="1" applyFont="1" applyFill="1" applyBorder="1" applyAlignment="1">
      <alignment horizontal="center" vertical="center" wrapText="1"/>
    </xf>
    <xf numFmtId="49" fontId="72" fillId="0" borderId="14" xfId="46" applyNumberFormat="1" applyFont="1" applyBorder="1" applyAlignment="1">
      <alignment horizontal="center" vertical="center"/>
    </xf>
    <xf numFmtId="49" fontId="72" fillId="27" borderId="14" xfId="46" applyNumberFormat="1" applyFont="1" applyFill="1" applyBorder="1" applyAlignment="1">
      <alignment horizontal="center" vertical="center"/>
    </xf>
    <xf numFmtId="0" fontId="72" fillId="27" borderId="14" xfId="46" applyFont="1" applyFill="1" applyBorder="1" applyAlignment="1">
      <alignment horizontal="center" vertical="center"/>
    </xf>
    <xf numFmtId="0" fontId="72" fillId="0" borderId="14" xfId="46" applyFont="1" applyBorder="1" applyAlignment="1">
      <alignment horizontal="center" vertical="center"/>
    </xf>
    <xf numFmtId="166" fontId="81" fillId="25" borderId="14" xfId="46" applyNumberFormat="1" applyFont="1" applyFill="1" applyBorder="1" applyAlignment="1">
      <alignment horizontal="center" vertical="center" wrapText="1"/>
    </xf>
    <xf numFmtId="166" fontId="72" fillId="44" borderId="14" xfId="46" applyNumberFormat="1" applyFont="1" applyFill="1" applyBorder="1" applyAlignment="1">
      <alignment horizontal="center" vertical="center" wrapText="1"/>
    </xf>
    <xf numFmtId="166" fontId="75" fillId="0" borderId="14" xfId="46" applyNumberFormat="1" applyFont="1" applyBorder="1" applyAlignment="1">
      <alignment horizontal="left" vertical="center"/>
    </xf>
    <xf numFmtId="3" fontId="75" fillId="0" borderId="14" xfId="46" applyNumberFormat="1" applyFont="1" applyBorder="1" applyAlignment="1">
      <alignment horizontal="center" vertical="center"/>
    </xf>
    <xf numFmtId="0" fontId="72" fillId="0" borderId="16" xfId="46" applyFont="1" applyBorder="1" applyAlignment="1">
      <alignment horizontal="center" vertical="center"/>
    </xf>
    <xf numFmtId="166" fontId="72" fillId="0" borderId="27" xfId="46" applyNumberFormat="1" applyFont="1" applyBorder="1" applyAlignment="1">
      <alignment horizontal="center" vertical="center" wrapText="1"/>
    </xf>
    <xf numFmtId="0" fontId="72" fillId="0" borderId="23" xfId="0" applyFont="1" applyBorder="1" applyAlignment="1">
      <alignment horizontal="center" vertical="center" wrapText="1"/>
    </xf>
    <xf numFmtId="166" fontId="81" fillId="0" borderId="14" xfId="46" applyNumberFormat="1" applyFont="1" applyBorder="1" applyAlignment="1">
      <alignment horizontal="center" vertical="center" wrapText="1"/>
    </xf>
    <xf numFmtId="0" fontId="54" fillId="36" borderId="14" xfId="52" applyFont="1" applyFill="1" applyBorder="1"/>
    <xf numFmtId="166" fontId="54" fillId="36" borderId="14" xfId="46" applyNumberFormat="1" applyFont="1" applyFill="1" applyBorder="1" applyAlignment="1">
      <alignment horizontal="center" vertical="center" wrapText="1"/>
    </xf>
    <xf numFmtId="0" fontId="54" fillId="0" borderId="14" xfId="52" applyFont="1" applyBorder="1" applyAlignment="1">
      <alignment horizontal="center" vertical="center" textRotation="90" wrapText="1"/>
    </xf>
    <xf numFmtId="0" fontId="54" fillId="0" borderId="14" xfId="52" applyFont="1" applyBorder="1" applyAlignment="1">
      <alignment vertical="center" wrapText="1"/>
    </xf>
    <xf numFmtId="0" fontId="54" fillId="0" borderId="14" xfId="52" applyFont="1" applyBorder="1"/>
    <xf numFmtId="0" fontId="54" fillId="24" borderId="14" xfId="52" applyFont="1" applyFill="1" applyBorder="1" applyAlignment="1">
      <alignment horizontal="center" vertical="center" wrapText="1"/>
    </xf>
    <xf numFmtId="0" fontId="54" fillId="27" borderId="14" xfId="52" applyFont="1" applyFill="1" applyBorder="1" applyAlignment="1">
      <alignment horizontal="left" vertical="center" wrapText="1"/>
    </xf>
    <xf numFmtId="0" fontId="54" fillId="27" borderId="14" xfId="52" applyFont="1" applyFill="1" applyBorder="1" applyAlignment="1">
      <alignment vertical="center" wrapText="1"/>
    </xf>
    <xf numFmtId="0" fontId="72" fillId="0" borderId="14" xfId="52" applyFont="1" applyBorder="1" applyAlignment="1">
      <alignment vertical="center" wrapText="1"/>
    </xf>
    <xf numFmtId="166" fontId="54" fillId="24" borderId="14" xfId="52" applyNumberFormat="1" applyFont="1" applyFill="1" applyBorder="1" applyAlignment="1">
      <alignment horizontal="center" vertical="center" wrapText="1"/>
    </xf>
    <xf numFmtId="164" fontId="54" fillId="0" borderId="14" xfId="52" applyNumberFormat="1" applyFont="1" applyBorder="1" applyAlignment="1">
      <alignment horizontal="center" vertical="center" wrapText="1"/>
    </xf>
    <xf numFmtId="164" fontId="54" fillId="27" borderId="14" xfId="52" applyNumberFormat="1" applyFont="1" applyFill="1" applyBorder="1" applyAlignment="1">
      <alignment horizontal="center" vertical="center" wrapText="1"/>
    </xf>
    <xf numFmtId="49" fontId="54" fillId="0" borderId="14" xfId="52" quotePrefix="1" applyNumberFormat="1" applyFont="1" applyBorder="1" applyAlignment="1">
      <alignment horizontal="center" vertical="center" wrapText="1"/>
    </xf>
    <xf numFmtId="0" fontId="54" fillId="41" borderId="14" xfId="52" applyFont="1" applyFill="1" applyBorder="1" applyAlignment="1">
      <alignment horizontal="center" vertical="center" wrapText="1"/>
    </xf>
    <xf numFmtId="166" fontId="54" fillId="41" borderId="14" xfId="52" applyNumberFormat="1" applyFont="1" applyFill="1" applyBorder="1" applyAlignment="1">
      <alignment horizontal="center" vertical="center" wrapText="1"/>
    </xf>
    <xf numFmtId="166" fontId="54" fillId="0" borderId="14" xfId="52" applyNumberFormat="1" applyFont="1" applyBorder="1" applyAlignment="1">
      <alignment horizontal="left" vertical="center" wrapText="1"/>
    </xf>
    <xf numFmtId="166" fontId="54" fillId="0" borderId="14" xfId="52" applyNumberFormat="1" applyFont="1" applyBorder="1"/>
    <xf numFmtId="0" fontId="54" fillId="27" borderId="14" xfId="52" applyFont="1" applyFill="1" applyBorder="1" applyAlignment="1">
      <alignment horizontal="center" vertical="center"/>
    </xf>
    <xf numFmtId="0" fontId="88" fillId="0" borderId="14" xfId="52" applyFont="1" applyBorder="1" applyAlignment="1">
      <alignment horizontal="left" vertical="center" wrapText="1"/>
    </xf>
    <xf numFmtId="0" fontId="88" fillId="0" borderId="14" xfId="52" applyFont="1" applyBorder="1" applyAlignment="1">
      <alignment horizontal="left" wrapText="1"/>
    </xf>
    <xf numFmtId="166" fontId="79" fillId="0" borderId="14" xfId="52" applyNumberFormat="1" applyFont="1" applyBorder="1" applyAlignment="1">
      <alignment horizontal="center" vertical="center" wrapText="1"/>
    </xf>
    <xf numFmtId="49" fontId="89" fillId="0" borderId="14" xfId="52" quotePrefix="1" applyNumberFormat="1" applyFont="1" applyBorder="1" applyAlignment="1">
      <alignment horizontal="center" vertical="center" wrapText="1"/>
    </xf>
    <xf numFmtId="0" fontId="54" fillId="39" borderId="14" xfId="0" applyFont="1" applyFill="1" applyBorder="1" applyAlignment="1">
      <alignment horizontal="left" vertical="center" wrapText="1"/>
    </xf>
    <xf numFmtId="0" fontId="60" fillId="0" borderId="14" xfId="52" applyFont="1" applyBorder="1" applyAlignment="1">
      <alignment horizontal="left" vertical="center" wrapText="1"/>
    </xf>
    <xf numFmtId="49" fontId="62" fillId="0" borderId="14" xfId="52" applyNumberFormat="1" applyFont="1" applyBorder="1" applyAlignment="1">
      <alignment horizontal="center" vertical="center" wrapText="1"/>
    </xf>
    <xf numFmtId="0" fontId="62" fillId="0" borderId="14" xfId="52" applyFont="1" applyBorder="1" applyAlignment="1">
      <alignment vertical="center" wrapText="1"/>
    </xf>
    <xf numFmtId="166" fontId="62" fillId="0" borderId="14" xfId="52" applyNumberFormat="1" applyFont="1" applyBorder="1" applyAlignment="1">
      <alignment horizontal="center" vertical="center" wrapText="1"/>
    </xf>
    <xf numFmtId="0" fontId="36" fillId="0" borderId="14" xfId="52" applyBorder="1"/>
    <xf numFmtId="0" fontId="60" fillId="0" borderId="14" xfId="52" applyFont="1" applyBorder="1" applyAlignment="1">
      <alignment vertical="center" wrapText="1"/>
    </xf>
    <xf numFmtId="0" fontId="60" fillId="0" borderId="14" xfId="52" applyFont="1" applyBorder="1" applyAlignment="1">
      <alignment horizontal="center" vertical="center"/>
    </xf>
    <xf numFmtId="0" fontId="60" fillId="0" borderId="14" xfId="52" applyFont="1" applyBorder="1"/>
    <xf numFmtId="0" fontId="60" fillId="0" borderId="14" xfId="52" quotePrefix="1" applyFont="1" applyBorder="1" applyAlignment="1">
      <alignment horizontal="center" vertical="center"/>
    </xf>
    <xf numFmtId="0" fontId="54" fillId="0" borderId="27" xfId="0" applyFont="1" applyBorder="1" applyAlignment="1">
      <alignment wrapText="1"/>
    </xf>
    <xf numFmtId="0" fontId="62" fillId="0" borderId="27" xfId="0" applyFont="1" applyBorder="1" applyAlignment="1">
      <alignment wrapText="1"/>
    </xf>
    <xf numFmtId="0" fontId="62" fillId="0" borderId="27" xfId="0" applyFont="1" applyBorder="1"/>
    <xf numFmtId="0" fontId="87" fillId="0" borderId="39" xfId="0" applyFont="1" applyBorder="1" applyAlignment="1">
      <alignment horizontal="left" vertical="center" wrapText="1"/>
    </xf>
    <xf numFmtId="164" fontId="62" fillId="0" borderId="27" xfId="0" applyNumberFormat="1" applyFont="1" applyBorder="1" applyAlignment="1">
      <alignment horizontal="center" vertical="center" wrapText="1"/>
    </xf>
    <xf numFmtId="0" fontId="60" fillId="0" borderId="14" xfId="52" applyFont="1" applyBorder="1" applyAlignment="1">
      <alignment horizontal="center" vertical="center" wrapText="1"/>
    </xf>
    <xf numFmtId="0" fontId="53" fillId="0" borderId="14" xfId="52" applyFont="1" applyBorder="1" applyAlignment="1">
      <alignment horizontal="left" vertical="center" wrapText="1"/>
    </xf>
    <xf numFmtId="0" fontId="53" fillId="0" borderId="14" xfId="52" applyFont="1" applyBorder="1" applyAlignment="1">
      <alignment horizontal="center" vertical="center"/>
    </xf>
    <xf numFmtId="0" fontId="54" fillId="0" borderId="14" xfId="52" applyFont="1" applyBorder="1" applyAlignment="1">
      <alignment horizontal="left"/>
    </xf>
    <xf numFmtId="0" fontId="62" fillId="0" borderId="14" xfId="52" quotePrefix="1" applyFont="1" applyBorder="1" applyAlignment="1">
      <alignment horizontal="center" vertical="center" wrapText="1"/>
    </xf>
    <xf numFmtId="0" fontId="62" fillId="0" borderId="14" xfId="52" applyFont="1" applyBorder="1" applyAlignment="1">
      <alignment horizontal="center" vertical="center" wrapText="1"/>
    </xf>
    <xf numFmtId="49" fontId="54" fillId="0" borderId="14" xfId="52" applyNumberFormat="1" applyFont="1" applyBorder="1" applyAlignment="1">
      <alignment horizontal="center" vertical="center"/>
    </xf>
    <xf numFmtId="166" fontId="54" fillId="52" borderId="14" xfId="52" applyNumberFormat="1" applyFont="1" applyFill="1" applyBorder="1" applyAlignment="1">
      <alignment horizontal="center" vertical="center" wrapText="1"/>
    </xf>
    <xf numFmtId="0" fontId="54" fillId="0" borderId="14" xfId="0" applyFont="1" applyBorder="1" applyAlignment="1">
      <alignment horizontal="center" vertical="center" textRotation="255" wrapText="1"/>
    </xf>
    <xf numFmtId="49" fontId="54" fillId="42" borderId="14" xfId="0" applyNumberFormat="1" applyFont="1" applyFill="1" applyBorder="1" applyAlignment="1">
      <alignment horizontal="center" vertical="center" wrapText="1"/>
    </xf>
    <xf numFmtId="0" fontId="25" fillId="0" borderId="14" xfId="0" applyFont="1" applyBorder="1" applyAlignment="1">
      <alignment horizontal="center" vertical="center"/>
    </xf>
    <xf numFmtId="49" fontId="54" fillId="27" borderId="14" xfId="0" quotePrefix="1" applyNumberFormat="1" applyFont="1" applyFill="1" applyBorder="1" applyAlignment="1">
      <alignment horizontal="center" vertical="center" wrapText="1"/>
    </xf>
    <xf numFmtId="1" fontId="54" fillId="0" borderId="14" xfId="0" quotePrefix="1" applyNumberFormat="1" applyFont="1" applyBorder="1" applyAlignment="1">
      <alignment horizontal="center" vertical="center" wrapText="1"/>
    </xf>
    <xf numFmtId="0" fontId="25" fillId="0" borderId="14" xfId="71" applyFont="1" applyBorder="1" applyAlignment="1" applyProtection="1">
      <alignment vertical="center" wrapText="1"/>
    </xf>
    <xf numFmtId="0" fontId="0" fillId="0" borderId="14" xfId="0" applyBorder="1" applyAlignment="1">
      <alignment horizontal="left"/>
    </xf>
    <xf numFmtId="167" fontId="54" fillId="0" borderId="14" xfId="0" applyNumberFormat="1" applyFont="1" applyBorder="1" applyAlignment="1">
      <alignment horizontal="center" vertical="center"/>
    </xf>
    <xf numFmtId="166" fontId="25" fillId="0" borderId="14" xfId="0" applyNumberFormat="1" applyFont="1" applyBorder="1" applyAlignment="1">
      <alignment horizontal="center" vertical="center"/>
    </xf>
    <xf numFmtId="166" fontId="75" fillId="0" borderId="14" xfId="0" applyNumberFormat="1" applyFont="1" applyBorder="1" applyAlignment="1">
      <alignment horizontal="center" vertical="center"/>
    </xf>
    <xf numFmtId="166" fontId="90" fillId="0" borderId="14" xfId="0" applyNumberFormat="1" applyFont="1" applyBorder="1" applyAlignment="1">
      <alignment horizontal="center" vertical="center"/>
    </xf>
    <xf numFmtId="0" fontId="91" fillId="0" borderId="14" xfId="0" applyFont="1" applyBorder="1" applyAlignment="1">
      <alignment vertical="center" wrapText="1"/>
    </xf>
    <xf numFmtId="49" fontId="54" fillId="0" borderId="14" xfId="0" applyNumberFormat="1" applyFont="1" applyBorder="1" applyAlignment="1">
      <alignment horizontal="center" vertical="center"/>
    </xf>
    <xf numFmtId="0" fontId="92" fillId="0" borderId="14" xfId="71" applyFont="1" applyBorder="1" applyAlignment="1" applyProtection="1">
      <alignment vertical="center" wrapText="1"/>
    </xf>
    <xf numFmtId="0" fontId="54" fillId="0" borderId="14" xfId="71" applyFont="1" applyBorder="1" applyAlignment="1" applyProtection="1">
      <alignment vertical="center" wrapText="1"/>
    </xf>
    <xf numFmtId="164" fontId="54" fillId="27" borderId="14" xfId="0" applyNumberFormat="1" applyFont="1" applyFill="1" applyBorder="1" applyAlignment="1">
      <alignment horizontal="left" vertical="center" wrapText="1"/>
    </xf>
    <xf numFmtId="0" fontId="25" fillId="0" borderId="14" xfId="76" applyFont="1" applyBorder="1" applyAlignment="1">
      <alignment horizontal="center" vertical="center"/>
    </xf>
    <xf numFmtId="0" fontId="53" fillId="36" borderId="14" xfId="0" applyFont="1" applyFill="1" applyBorder="1" applyAlignment="1">
      <alignment horizontal="center" vertical="center" textRotation="90" wrapText="1"/>
    </xf>
    <xf numFmtId="0" fontId="53" fillId="36" borderId="14" xfId="0" applyFont="1" applyFill="1" applyBorder="1" applyAlignment="1">
      <alignment vertical="center" wrapText="1"/>
    </xf>
    <xf numFmtId="49" fontId="53" fillId="46" borderId="14" xfId="0" quotePrefix="1" applyNumberFormat="1" applyFont="1" applyFill="1" applyBorder="1" applyAlignment="1">
      <alignment horizontal="center" vertical="center" wrapText="1"/>
    </xf>
    <xf numFmtId="0" fontId="53" fillId="40" borderId="14" xfId="0" applyFont="1" applyFill="1" applyBorder="1" applyAlignment="1">
      <alignment horizontal="left" vertical="center" wrapText="1"/>
    </xf>
    <xf numFmtId="3" fontId="54" fillId="0" borderId="14" xfId="0" applyNumberFormat="1" applyFont="1" applyBorder="1" applyAlignment="1">
      <alignment horizontal="center" wrapText="1"/>
    </xf>
    <xf numFmtId="0" fontId="25" fillId="0" borderId="14" xfId="76" applyFont="1" applyBorder="1" applyAlignment="1">
      <alignment horizontal="center"/>
    </xf>
    <xf numFmtId="166" fontId="76" fillId="27" borderId="14" xfId="76" applyNumberFormat="1" applyFont="1" applyFill="1" applyBorder="1" applyAlignment="1">
      <alignment horizontal="center" vertical="center"/>
    </xf>
    <xf numFmtId="0" fontId="25" fillId="0" borderId="14" xfId="76" applyFont="1" applyBorder="1" applyAlignment="1">
      <alignment vertical="center" wrapText="1"/>
    </xf>
    <xf numFmtId="49" fontId="25" fillId="0" borderId="14" xfId="76" applyNumberFormat="1" applyFont="1" applyBorder="1"/>
    <xf numFmtId="0" fontId="53" fillId="57" borderId="14" xfId="0" applyFont="1" applyFill="1" applyBorder="1" applyAlignment="1">
      <alignment horizontal="center" vertical="center" wrapText="1"/>
    </xf>
    <xf numFmtId="166" fontId="53" fillId="57" borderId="14" xfId="46" applyNumberFormat="1" applyFont="1" applyFill="1" applyBorder="1" applyAlignment="1">
      <alignment horizontal="center" vertical="center" wrapText="1"/>
    </xf>
    <xf numFmtId="0" fontId="25" fillId="27" borderId="14" xfId="76" applyFont="1" applyFill="1" applyBorder="1" applyAlignment="1">
      <alignment horizontal="center"/>
    </xf>
    <xf numFmtId="0" fontId="25" fillId="27" borderId="14" xfId="76" applyFont="1" applyFill="1" applyBorder="1" applyAlignment="1">
      <alignment horizontal="center" vertical="center"/>
    </xf>
    <xf numFmtId="166" fontId="25" fillId="27" borderId="14" xfId="76" applyNumberFormat="1" applyFont="1" applyFill="1" applyBorder="1" applyAlignment="1">
      <alignment horizontal="center" vertical="center"/>
    </xf>
    <xf numFmtId="0" fontId="54" fillId="27" borderId="14" xfId="46" applyFont="1" applyFill="1" applyBorder="1" applyAlignment="1">
      <alignment horizontal="center" wrapText="1"/>
    </xf>
    <xf numFmtId="0" fontId="54" fillId="24" borderId="14" xfId="46" applyFont="1" applyFill="1" applyBorder="1" applyAlignment="1">
      <alignment horizontal="right" vertical="center"/>
    </xf>
    <xf numFmtId="166" fontId="25" fillId="0" borderId="14" xfId="76" applyNumberFormat="1" applyFont="1" applyBorder="1" applyAlignment="1">
      <alignment horizontal="center" vertical="center"/>
    </xf>
    <xf numFmtId="166" fontId="25" fillId="33" borderId="14" xfId="76" applyNumberFormat="1" applyFont="1" applyFill="1" applyBorder="1" applyAlignment="1">
      <alignment horizontal="center" vertical="center"/>
    </xf>
    <xf numFmtId="0" fontId="25" fillId="0" borderId="14" xfId="76" applyFont="1" applyBorder="1" applyAlignment="1">
      <alignment vertical="center"/>
    </xf>
    <xf numFmtId="0" fontId="53" fillId="41" borderId="14" xfId="0" applyFont="1" applyFill="1" applyBorder="1" applyAlignment="1">
      <alignment horizontal="center" vertical="center" wrapText="1"/>
    </xf>
    <xf numFmtId="166" fontId="25" fillId="28" borderId="14" xfId="76" applyNumberFormat="1" applyFont="1" applyFill="1" applyBorder="1" applyAlignment="1">
      <alignment horizontal="center" vertical="center"/>
    </xf>
    <xf numFmtId="166" fontId="76" fillId="33" borderId="14" xfId="76" applyNumberFormat="1" applyFont="1" applyFill="1" applyBorder="1" applyAlignment="1">
      <alignment horizontal="center" vertical="center"/>
    </xf>
    <xf numFmtId="166" fontId="25" fillId="0" borderId="14" xfId="76" applyNumberFormat="1" applyFont="1" applyBorder="1" applyAlignment="1">
      <alignment vertical="center" wrapText="1"/>
    </xf>
    <xf numFmtId="0" fontId="54" fillId="27" borderId="14" xfId="46" applyFont="1" applyFill="1" applyBorder="1" applyAlignment="1">
      <alignment horizontal="center"/>
    </xf>
    <xf numFmtId="0" fontId="53" fillId="43" borderId="14" xfId="0" applyFont="1" applyFill="1" applyBorder="1" applyAlignment="1">
      <alignment horizontal="center" vertical="center" wrapText="1"/>
    </xf>
    <xf numFmtId="0" fontId="54" fillId="27" borderId="14" xfId="46" applyFont="1" applyFill="1" applyBorder="1" applyAlignment="1">
      <alignment horizontal="center" shrinkToFit="1"/>
    </xf>
    <xf numFmtId="0" fontId="25" fillId="0" borderId="14" xfId="76" applyFont="1" applyBorder="1" applyAlignment="1">
      <alignment horizontal="right" vertical="center" wrapText="1"/>
    </xf>
    <xf numFmtId="3" fontId="54" fillId="0" borderId="14" xfId="46" applyNumberFormat="1" applyFont="1" applyBorder="1" applyAlignment="1">
      <alignment vertical="center" wrapText="1"/>
    </xf>
    <xf numFmtId="3" fontId="54" fillId="27" borderId="14" xfId="0" applyNumberFormat="1" applyFont="1" applyFill="1" applyBorder="1" applyAlignment="1">
      <alignment vertical="center" wrapText="1"/>
    </xf>
    <xf numFmtId="3" fontId="54" fillId="27" borderId="14" xfId="46" applyNumberFormat="1" applyFont="1" applyFill="1" applyBorder="1" applyAlignment="1">
      <alignment vertical="center" wrapText="1"/>
    </xf>
    <xf numFmtId="3" fontId="54" fillId="0" borderId="14" xfId="73" applyNumberFormat="1" applyFont="1" applyBorder="1" applyAlignment="1">
      <alignment vertical="center" wrapText="1"/>
    </xf>
    <xf numFmtId="3" fontId="54" fillId="0" borderId="14" xfId="80" applyNumberFormat="1" applyFont="1" applyBorder="1" applyAlignment="1">
      <alignment vertical="center" wrapText="1"/>
    </xf>
    <xf numFmtId="0" fontId="53" fillId="41" borderId="14" xfId="46" applyFont="1" applyFill="1" applyBorder="1" applyAlignment="1">
      <alignment horizontal="center" vertical="center" wrapText="1"/>
    </xf>
    <xf numFmtId="3" fontId="54" fillId="0" borderId="14" xfId="72" applyNumberFormat="1" applyFont="1" applyBorder="1" applyAlignment="1">
      <alignment vertical="center" wrapText="1"/>
    </xf>
    <xf numFmtId="0" fontId="54" fillId="27" borderId="14" xfId="72" applyFont="1" applyFill="1" applyBorder="1" applyAlignment="1">
      <alignment vertical="center" wrapText="1"/>
    </xf>
    <xf numFmtId="3" fontId="62" fillId="0" borderId="14" xfId="78" applyNumberFormat="1" applyFont="1" applyBorder="1" applyAlignment="1">
      <alignment vertical="center" wrapText="1"/>
    </xf>
    <xf numFmtId="3" fontId="25" fillId="0" borderId="14" xfId="78" applyNumberFormat="1" applyFont="1" applyBorder="1" applyAlignment="1">
      <alignment vertical="center" wrapText="1"/>
    </xf>
    <xf numFmtId="49" fontId="25" fillId="0" borderId="14" xfId="76" applyNumberFormat="1" applyFont="1" applyBorder="1" applyAlignment="1">
      <alignment horizontal="center" vertical="center"/>
    </xf>
    <xf numFmtId="0" fontId="76" fillId="27" borderId="14" xfId="76" applyFont="1" applyFill="1" applyBorder="1" applyAlignment="1">
      <alignment horizontal="center"/>
    </xf>
    <xf numFmtId="0" fontId="76" fillId="0" borderId="14" xfId="76" applyFont="1" applyBorder="1" applyAlignment="1">
      <alignment horizontal="center"/>
    </xf>
    <xf numFmtId="3" fontId="25" fillId="0" borderId="14" xfId="0" applyNumberFormat="1" applyFont="1" applyBorder="1" applyAlignment="1">
      <alignment vertical="center" wrapText="1"/>
    </xf>
    <xf numFmtId="0" fontId="25" fillId="0" borderId="14" xfId="76" applyFont="1" applyBorder="1"/>
    <xf numFmtId="49" fontId="54" fillId="27" borderId="14" xfId="46" applyNumberFormat="1" applyFont="1" applyFill="1" applyBorder="1" applyAlignment="1">
      <alignment horizontal="center" wrapText="1"/>
    </xf>
    <xf numFmtId="0" fontId="54" fillId="0" borderId="14" xfId="46" applyFont="1" applyBorder="1" applyAlignment="1">
      <alignment horizontal="center" wrapText="1"/>
    </xf>
    <xf numFmtId="49" fontId="54" fillId="27" borderId="14" xfId="46" applyNumberFormat="1" applyFont="1" applyFill="1" applyBorder="1" applyAlignment="1">
      <alignment horizontal="center"/>
    </xf>
    <xf numFmtId="0" fontId="54" fillId="27" borderId="14" xfId="76" applyFont="1" applyFill="1" applyBorder="1" applyAlignment="1">
      <alignment horizontal="center"/>
    </xf>
    <xf numFmtId="0" fontId="24" fillId="0" borderId="14" xfId="76" applyBorder="1" applyAlignment="1">
      <alignment wrapText="1"/>
    </xf>
    <xf numFmtId="0" fontId="24" fillId="0" borderId="14" xfId="76" applyBorder="1"/>
    <xf numFmtId="0" fontId="25" fillId="0" borderId="14" xfId="76" applyFont="1" applyBorder="1" applyAlignment="1">
      <alignment horizontal="left" vertical="center"/>
    </xf>
    <xf numFmtId="0" fontId="25" fillId="27" borderId="14" xfId="76" applyFont="1" applyFill="1" applyBorder="1" applyAlignment="1">
      <alignment vertical="center" wrapText="1"/>
    </xf>
    <xf numFmtId="0" fontId="53" fillId="0" borderId="14" xfId="0" applyFont="1" applyBorder="1" applyAlignment="1">
      <alignment horizontal="center" vertical="center" wrapText="1"/>
    </xf>
    <xf numFmtId="0" fontId="53" fillId="0" borderId="14" xfId="0" applyFont="1" applyBorder="1" applyAlignment="1">
      <alignment horizontal="center" vertical="center"/>
    </xf>
    <xf numFmtId="166" fontId="54" fillId="34" borderId="14" xfId="46" applyNumberFormat="1" applyFont="1" applyFill="1" applyBorder="1" applyAlignment="1">
      <alignment horizontal="center" vertical="center" wrapText="1"/>
    </xf>
    <xf numFmtId="0" fontId="54" fillId="34" borderId="14" xfId="0" applyFont="1" applyFill="1" applyBorder="1" applyAlignment="1">
      <alignment vertical="center" wrapText="1"/>
    </xf>
    <xf numFmtId="0" fontId="25" fillId="58" borderId="14" xfId="0" applyFont="1" applyFill="1" applyBorder="1" applyAlignment="1">
      <alignment horizontal="center" vertical="center" wrapText="1"/>
    </xf>
    <xf numFmtId="0" fontId="62" fillId="58" borderId="14" xfId="0" applyFont="1" applyFill="1" applyBorder="1" applyAlignment="1">
      <alignment horizontal="center" vertical="center" wrapText="1"/>
    </xf>
    <xf numFmtId="0" fontId="62" fillId="58" borderId="17" xfId="0" applyFont="1" applyFill="1" applyBorder="1" applyAlignment="1">
      <alignment horizontal="center" vertical="center" wrapText="1"/>
    </xf>
    <xf numFmtId="0" fontId="62" fillId="58" borderId="37" xfId="0" applyFont="1" applyFill="1" applyBorder="1" applyAlignment="1">
      <alignment horizontal="center" vertical="center" wrapText="1"/>
    </xf>
    <xf numFmtId="0" fontId="25" fillId="58" borderId="37" xfId="0" applyFont="1" applyFill="1" applyBorder="1" applyAlignment="1">
      <alignment horizontal="center" vertical="center" wrapText="1"/>
    </xf>
    <xf numFmtId="0" fontId="62" fillId="27" borderId="14" xfId="46" applyFont="1" applyFill="1" applyBorder="1" applyAlignment="1">
      <alignment horizontal="center" vertical="center" wrapText="1"/>
    </xf>
    <xf numFmtId="14" fontId="54" fillId="27" borderId="14" xfId="0" quotePrefix="1" applyNumberFormat="1" applyFont="1" applyFill="1" applyBorder="1" applyAlignment="1">
      <alignment horizontal="center" vertical="center" wrapText="1"/>
    </xf>
    <xf numFmtId="166" fontId="68" fillId="34" borderId="14" xfId="0" applyNumberFormat="1" applyFont="1" applyFill="1" applyBorder="1" applyAlignment="1">
      <alignment horizontal="center" vertical="center"/>
    </xf>
    <xf numFmtId="0" fontId="54" fillId="0" borderId="23" xfId="46" applyFont="1" applyBorder="1" applyAlignment="1">
      <alignment vertical="center" wrapText="1"/>
    </xf>
    <xf numFmtId="1" fontId="54" fillId="0" borderId="23" xfId="46" applyNumberFormat="1" applyFont="1" applyBorder="1" applyAlignment="1">
      <alignment horizontal="center" vertical="center" wrapText="1"/>
    </xf>
    <xf numFmtId="0" fontId="54" fillId="0" borderId="14" xfId="75" applyFont="1" applyBorder="1" applyAlignment="1">
      <alignment horizontal="left" vertical="center" wrapText="1"/>
    </xf>
    <xf numFmtId="0" fontId="54" fillId="0" borderId="14" xfId="0" applyFont="1" applyBorder="1" applyAlignment="1">
      <alignment horizontal="left" vertical="center"/>
    </xf>
    <xf numFmtId="166" fontId="54" fillId="0" borderId="17" xfId="79" applyNumberFormat="1" applyFont="1" applyBorder="1" applyAlignment="1">
      <alignment horizontal="left" vertical="center" wrapText="1"/>
    </xf>
    <xf numFmtId="0" fontId="54" fillId="0" borderId="17" xfId="0" applyFont="1" applyBorder="1" applyAlignment="1">
      <alignment horizontal="left" vertical="center"/>
    </xf>
    <xf numFmtId="0" fontId="54" fillId="0" borderId="34" xfId="0" applyFont="1" applyBorder="1" applyAlignment="1">
      <alignment horizontal="left" vertical="center"/>
    </xf>
    <xf numFmtId="166" fontId="54" fillId="27" borderId="34" xfId="79" applyNumberFormat="1" applyFont="1" applyFill="1" applyBorder="1" applyAlignment="1">
      <alignment horizontal="left" vertical="center" wrapText="1"/>
    </xf>
    <xf numFmtId="0" fontId="54" fillId="0" borderId="34" xfId="0" applyFont="1" applyBorder="1" applyAlignment="1">
      <alignment wrapText="1"/>
    </xf>
    <xf numFmtId="0" fontId="62" fillId="0" borderId="34" xfId="0" applyFont="1" applyBorder="1" applyAlignment="1">
      <alignment wrapText="1"/>
    </xf>
    <xf numFmtId="0" fontId="53" fillId="0" borderId="14" xfId="0" applyFont="1" applyBorder="1" applyAlignment="1">
      <alignment vertical="center" wrapText="1"/>
    </xf>
    <xf numFmtId="0" fontId="54" fillId="41" borderId="14" xfId="0" applyFont="1" applyFill="1" applyBorder="1" applyAlignment="1">
      <alignment vertical="center" wrapText="1"/>
    </xf>
    <xf numFmtId="166" fontId="84" fillId="0" borderId="14" xfId="79" applyNumberFormat="1" applyFont="1" applyBorder="1" applyAlignment="1">
      <alignment horizontal="left" vertical="center" wrapText="1"/>
    </xf>
    <xf numFmtId="0" fontId="53" fillId="0" borderId="23" xfId="0" applyFont="1" applyBorder="1"/>
    <xf numFmtId="4" fontId="53" fillId="0" borderId="22" xfId="0" applyNumberFormat="1" applyFont="1" applyBorder="1" applyAlignment="1">
      <alignment wrapText="1"/>
    </xf>
    <xf numFmtId="0" fontId="53" fillId="0" borderId="22" xfId="0" applyFont="1" applyBorder="1" applyAlignment="1">
      <alignment wrapText="1"/>
    </xf>
    <xf numFmtId="0" fontId="54" fillId="30" borderId="0" xfId="0" applyFont="1" applyFill="1" applyAlignment="1">
      <alignment readingOrder="1"/>
    </xf>
    <xf numFmtId="0" fontId="54" fillId="0" borderId="14" xfId="75" applyFont="1" applyBorder="1" applyAlignment="1">
      <alignment wrapText="1"/>
    </xf>
    <xf numFmtId="0" fontId="54" fillId="0" borderId="22" xfId="0" applyFont="1" applyBorder="1" applyAlignment="1">
      <alignment wrapText="1"/>
    </xf>
    <xf numFmtId="0" fontId="54" fillId="49" borderId="22" xfId="0" applyFont="1" applyFill="1" applyBorder="1"/>
    <xf numFmtId="0" fontId="54" fillId="0" borderId="22" xfId="0" applyFont="1" applyBorder="1"/>
    <xf numFmtId="0" fontId="54" fillId="0" borderId="23" xfId="0" applyFont="1" applyBorder="1" applyAlignment="1">
      <alignment wrapText="1"/>
    </xf>
    <xf numFmtId="0" fontId="33" fillId="0" borderId="14" xfId="0" applyFont="1" applyBorder="1"/>
    <xf numFmtId="0" fontId="54" fillId="0" borderId="23" xfId="75" applyFont="1" applyBorder="1" applyAlignment="1">
      <alignment vertical="center" wrapText="1"/>
    </xf>
    <xf numFmtId="166" fontId="54" fillId="41" borderId="14" xfId="75" applyNumberFormat="1" applyFont="1" applyFill="1" applyBorder="1" applyAlignment="1">
      <alignment horizontal="center" vertical="center"/>
    </xf>
    <xf numFmtId="49" fontId="54" fillId="27" borderId="14" xfId="75" applyNumberFormat="1" applyFont="1" applyFill="1" applyBorder="1" applyAlignment="1">
      <alignment horizontal="center" vertical="center"/>
    </xf>
    <xf numFmtId="0" fontId="54" fillId="0" borderId="17" xfId="75" applyFont="1" applyBorder="1" applyAlignment="1">
      <alignment horizontal="center" vertical="center" wrapText="1"/>
    </xf>
    <xf numFmtId="166" fontId="54" fillId="0" borderId="17" xfId="75" applyNumberFormat="1" applyFont="1" applyBorder="1" applyAlignment="1">
      <alignment horizontal="center" vertical="center"/>
    </xf>
    <xf numFmtId="166" fontId="54" fillId="41" borderId="17" xfId="75" applyNumberFormat="1" applyFont="1" applyFill="1" applyBorder="1" applyAlignment="1">
      <alignment horizontal="center" vertical="center"/>
    </xf>
    <xf numFmtId="166" fontId="54" fillId="0" borderId="17" xfId="0" applyNumberFormat="1" applyFont="1" applyBorder="1" applyAlignment="1">
      <alignment horizontal="center" vertical="center"/>
    </xf>
    <xf numFmtId="0" fontId="54" fillId="0" borderId="35" xfId="75" applyFont="1" applyBorder="1" applyAlignment="1">
      <alignment horizontal="left" vertical="center" wrapText="1"/>
    </xf>
    <xf numFmtId="0" fontId="54" fillId="0" borderId="16" xfId="75" applyFont="1" applyBorder="1" applyAlignment="1">
      <alignment horizontal="center" vertical="center" wrapText="1"/>
    </xf>
    <xf numFmtId="166" fontId="54" fillId="0" borderId="34" xfId="75" applyNumberFormat="1" applyFont="1" applyBorder="1" applyAlignment="1">
      <alignment horizontal="center" vertical="center"/>
    </xf>
    <xf numFmtId="166" fontId="54" fillId="41" borderId="34" xfId="75" applyNumberFormat="1" applyFont="1" applyFill="1" applyBorder="1" applyAlignment="1">
      <alignment horizontal="center" vertical="center"/>
    </xf>
    <xf numFmtId="4" fontId="93" fillId="0" borderId="34" xfId="0" applyNumberFormat="1" applyFont="1" applyBorder="1"/>
    <xf numFmtId="0" fontId="54" fillId="43" borderId="37" xfId="0" applyFont="1" applyFill="1" applyBorder="1" applyAlignment="1">
      <alignment horizontal="center" vertical="center" wrapText="1"/>
    </xf>
    <xf numFmtId="166" fontId="33" fillId="0" borderId="14" xfId="46" applyNumberFormat="1" applyBorder="1"/>
    <xf numFmtId="3" fontId="54" fillId="0" borderId="14" xfId="78" applyNumberFormat="1" applyFont="1" applyBorder="1" applyAlignment="1">
      <alignment horizontal="left" vertical="center" wrapText="1"/>
    </xf>
    <xf numFmtId="0" fontId="72" fillId="34" borderId="14" xfId="0" applyFont="1" applyFill="1" applyBorder="1" applyAlignment="1">
      <alignment horizontal="center" wrapText="1"/>
    </xf>
    <xf numFmtId="166" fontId="72" fillId="34" borderId="14" xfId="46" applyNumberFormat="1" applyFont="1" applyFill="1" applyBorder="1" applyAlignment="1">
      <alignment horizontal="center" vertical="center" wrapText="1"/>
    </xf>
    <xf numFmtId="166" fontId="68" fillId="34" borderId="14" xfId="0" applyNumberFormat="1" applyFont="1" applyFill="1" applyBorder="1" applyAlignment="1">
      <alignment horizontal="center" wrapText="1"/>
    </xf>
    <xf numFmtId="166" fontId="25" fillId="34" borderId="14" xfId="76" applyNumberFormat="1" applyFont="1" applyFill="1" applyBorder="1" applyAlignment="1">
      <alignment horizontal="center" vertical="center"/>
    </xf>
    <xf numFmtId="166" fontId="54" fillId="34" borderId="14" xfId="46" applyNumberFormat="1" applyFont="1" applyFill="1" applyBorder="1" applyAlignment="1">
      <alignment horizontal="center" vertical="center"/>
    </xf>
    <xf numFmtId="0" fontId="54" fillId="0" borderId="16" xfId="46" applyFont="1" applyBorder="1" applyAlignment="1">
      <alignment horizontal="center" vertical="center"/>
    </xf>
    <xf numFmtId="0" fontId="54" fillId="0" borderId="34" xfId="46" applyFont="1" applyBorder="1" applyAlignment="1">
      <alignment horizontal="left"/>
    </xf>
    <xf numFmtId="0" fontId="0" fillId="0" borderId="34" xfId="0" applyBorder="1"/>
    <xf numFmtId="164" fontId="54" fillId="42" borderId="34" xfId="0" applyNumberFormat="1" applyFont="1" applyFill="1" applyBorder="1" applyAlignment="1">
      <alignment horizontal="left" vertical="center" wrapText="1"/>
    </xf>
    <xf numFmtId="166" fontId="54" fillId="0" borderId="34" xfId="46" applyNumberFormat="1" applyFont="1" applyBorder="1" applyAlignment="1">
      <alignment horizontal="left" vertical="center"/>
    </xf>
    <xf numFmtId="166" fontId="54" fillId="0" borderId="34" xfId="46" applyNumberFormat="1" applyFont="1" applyBorder="1" applyAlignment="1">
      <alignment horizontal="left" vertical="center" wrapText="1"/>
    </xf>
    <xf numFmtId="166" fontId="54" fillId="27" borderId="34" xfId="46" applyNumberFormat="1" applyFont="1" applyFill="1" applyBorder="1" applyAlignment="1">
      <alignment horizontal="left" vertical="center"/>
    </xf>
    <xf numFmtId="0" fontId="54" fillId="42" borderId="16" xfId="0" applyFont="1" applyFill="1" applyBorder="1" applyAlignment="1">
      <alignment horizontal="center" vertical="center" wrapText="1"/>
    </xf>
    <xf numFmtId="0" fontId="54" fillId="0" borderId="17" xfId="46" applyFont="1" applyBorder="1" applyAlignment="1">
      <alignment horizontal="left"/>
    </xf>
    <xf numFmtId="0" fontId="77" fillId="27" borderId="34" xfId="0" applyFont="1" applyFill="1" applyBorder="1"/>
    <xf numFmtId="0" fontId="77" fillId="0" borderId="34" xfId="0" applyFont="1" applyBorder="1"/>
    <xf numFmtId="49" fontId="54" fillId="0" borderId="16" xfId="52" applyNumberFormat="1" applyFont="1" applyBorder="1" applyAlignment="1">
      <alignment horizontal="center" vertical="center" wrapText="1"/>
    </xf>
    <xf numFmtId="0" fontId="54" fillId="0" borderId="34" xfId="52" applyFont="1" applyBorder="1"/>
    <xf numFmtId="0" fontId="54" fillId="0" borderId="16" xfId="52" applyFont="1" applyBorder="1" applyAlignment="1">
      <alignment horizontal="center" vertical="center"/>
    </xf>
    <xf numFmtId="0" fontId="54" fillId="0" borderId="17" xfId="52" applyFont="1" applyBorder="1"/>
    <xf numFmtId="0" fontId="54" fillId="0" borderId="16" xfId="52" quotePrefix="1" applyFont="1" applyBorder="1" applyAlignment="1">
      <alignment horizontal="center" vertical="center"/>
    </xf>
    <xf numFmtId="0" fontId="60" fillId="0" borderId="16" xfId="52" applyFont="1" applyBorder="1" applyAlignment="1">
      <alignment horizontal="center" vertical="center"/>
    </xf>
    <xf numFmtId="0" fontId="54" fillId="0" borderId="27" xfId="0" applyFont="1" applyBorder="1" applyAlignment="1">
      <alignment horizontal="center" vertical="center"/>
    </xf>
    <xf numFmtId="0" fontId="0" fillId="0" borderId="17" xfId="0" applyBorder="1"/>
    <xf numFmtId="0" fontId="54" fillId="27" borderId="34" xfId="46" applyFont="1" applyFill="1" applyBorder="1" applyAlignment="1">
      <alignment vertical="center" wrapText="1"/>
    </xf>
    <xf numFmtId="49" fontId="72" fillId="27" borderId="23" xfId="0" quotePrefix="1" applyNumberFormat="1" applyFont="1" applyFill="1" applyBorder="1" applyAlignment="1">
      <alignment horizontal="center" vertical="center" wrapText="1"/>
    </xf>
    <xf numFmtId="49" fontId="81" fillId="27" borderId="23" xfId="0" quotePrefix="1" applyNumberFormat="1" applyFont="1" applyFill="1" applyBorder="1" applyAlignment="1">
      <alignment horizontal="left" vertical="center" wrapText="1"/>
    </xf>
    <xf numFmtId="1" fontId="72" fillId="27" borderId="23" xfId="79" applyNumberFormat="1" applyFont="1" applyFill="1" applyBorder="1" applyAlignment="1">
      <alignment horizontal="center" vertical="center" wrapText="1"/>
    </xf>
    <xf numFmtId="0" fontId="72" fillId="27" borderId="14" xfId="0" applyFont="1" applyFill="1" applyBorder="1"/>
    <xf numFmtId="166" fontId="72" fillId="27" borderId="14" xfId="79" applyNumberFormat="1" applyFont="1" applyFill="1" applyBorder="1" applyAlignment="1">
      <alignment horizontal="center"/>
    </xf>
    <xf numFmtId="49" fontId="72" fillId="27" borderId="14" xfId="79" applyNumberFormat="1" applyFont="1" applyFill="1" applyBorder="1" applyAlignment="1">
      <alignment horizontal="center" vertical="center"/>
    </xf>
    <xf numFmtId="49" fontId="72" fillId="27" borderId="14" xfId="0" quotePrefix="1" applyNumberFormat="1" applyFont="1" applyFill="1" applyBorder="1" applyAlignment="1">
      <alignment horizontal="center" wrapText="1"/>
    </xf>
    <xf numFmtId="0" fontId="72" fillId="27" borderId="14" xfId="0" applyFont="1" applyFill="1" applyBorder="1" applyAlignment="1">
      <alignment horizontal="center" wrapText="1"/>
    </xf>
    <xf numFmtId="0" fontId="68" fillId="27" borderId="14" xfId="0" applyFont="1" applyFill="1" applyBorder="1" applyAlignment="1">
      <alignment horizontal="center" wrapText="1"/>
    </xf>
    <xf numFmtId="49" fontId="72" fillId="27" borderId="14" xfId="0" applyNumberFormat="1" applyFont="1" applyFill="1" applyBorder="1" applyAlignment="1">
      <alignment horizontal="center" wrapText="1"/>
    </xf>
    <xf numFmtId="3" fontId="67" fillId="35" borderId="23" xfId="0" applyNumberFormat="1" applyFont="1" applyFill="1" applyBorder="1" applyAlignment="1">
      <alignment horizontal="center" vertical="center" wrapText="1"/>
    </xf>
    <xf numFmtId="0" fontId="94" fillId="0" borderId="0" xfId="0" applyFont="1" applyAlignment="1">
      <alignment wrapText="1"/>
    </xf>
    <xf numFmtId="0" fontId="54" fillId="0" borderId="17" xfId="75" applyFont="1" applyBorder="1" applyAlignment="1">
      <alignment horizontal="left" vertical="center"/>
    </xf>
    <xf numFmtId="0" fontId="54" fillId="0" borderId="23" xfId="75" applyFont="1" applyBorder="1" applyAlignment="1">
      <alignment horizontal="left" vertical="center"/>
    </xf>
    <xf numFmtId="166" fontId="54" fillId="41" borderId="34" xfId="46" applyNumberFormat="1" applyFont="1" applyFill="1" applyBorder="1" applyAlignment="1">
      <alignment horizontal="center" vertical="center" wrapText="1"/>
    </xf>
    <xf numFmtId="166" fontId="54" fillId="41" borderId="17" xfId="46" applyNumberFormat="1" applyFont="1" applyFill="1" applyBorder="1" applyAlignment="1">
      <alignment horizontal="center" vertical="center" wrapText="1"/>
    </xf>
    <xf numFmtId="166" fontId="54" fillId="51" borderId="23" xfId="46" applyNumberFormat="1" applyFont="1" applyFill="1" applyBorder="1" applyAlignment="1">
      <alignment horizontal="center" vertical="center" wrapText="1"/>
    </xf>
    <xf numFmtId="0" fontId="54" fillId="0" borderId="17" xfId="0" applyFont="1" applyBorder="1" applyAlignment="1">
      <alignment horizontal="right" vertical="center" wrapText="1"/>
    </xf>
    <xf numFmtId="166" fontId="54" fillId="27" borderId="17" xfId="0" applyNumberFormat="1" applyFont="1" applyFill="1" applyBorder="1" applyAlignment="1">
      <alignment horizontal="center" vertical="center"/>
    </xf>
    <xf numFmtId="0" fontId="0" fillId="0" borderId="0" xfId="0" applyAlignment="1">
      <alignment horizontal="center"/>
    </xf>
    <xf numFmtId="0" fontId="72" fillId="27" borderId="14" xfId="0" applyFont="1" applyFill="1" applyBorder="1" applyAlignment="1">
      <alignment horizontal="center"/>
    </xf>
    <xf numFmtId="4" fontId="93" fillId="0" borderId="37" xfId="0" applyNumberFormat="1" applyFont="1" applyBorder="1"/>
    <xf numFmtId="0" fontId="68" fillId="27" borderId="14" xfId="0" applyFont="1" applyFill="1" applyBorder="1" applyAlignment="1">
      <alignment horizontal="center" vertical="center"/>
    </xf>
    <xf numFmtId="0" fontId="68" fillId="27" borderId="23" xfId="0" applyFont="1" applyFill="1" applyBorder="1" applyAlignment="1">
      <alignment horizontal="center" vertical="center"/>
    </xf>
    <xf numFmtId="0" fontId="72" fillId="27" borderId="23" xfId="0" applyFont="1" applyFill="1" applyBorder="1" applyAlignment="1">
      <alignment horizontal="center" vertical="center" wrapText="1"/>
    </xf>
    <xf numFmtId="0" fontId="72" fillId="27" borderId="23" xfId="0" applyFont="1" applyFill="1" applyBorder="1" applyAlignment="1">
      <alignment horizontal="center" vertical="center"/>
    </xf>
    <xf numFmtId="0" fontId="72" fillId="27" borderId="31" xfId="0" applyFont="1" applyFill="1" applyBorder="1" applyAlignment="1">
      <alignment horizontal="center" vertical="center"/>
    </xf>
    <xf numFmtId="0" fontId="72" fillId="27" borderId="17" xfId="0" applyFont="1" applyFill="1" applyBorder="1" applyAlignment="1">
      <alignment horizontal="center" vertical="center" wrapText="1"/>
    </xf>
    <xf numFmtId="0" fontId="68" fillId="27" borderId="34" xfId="0" applyFont="1" applyFill="1" applyBorder="1" applyAlignment="1">
      <alignment horizontal="center" vertical="center" wrapText="1"/>
    </xf>
    <xf numFmtId="0" fontId="72" fillId="27" borderId="39" xfId="0" applyFont="1" applyFill="1" applyBorder="1" applyAlignment="1">
      <alignment horizontal="center" vertical="center"/>
    </xf>
    <xf numFmtId="0" fontId="72" fillId="27" borderId="14" xfId="0" applyFont="1" applyFill="1" applyBorder="1" applyAlignment="1">
      <alignment horizontal="center" vertical="center" wrapText="1"/>
    </xf>
    <xf numFmtId="0" fontId="68" fillId="27" borderId="23" xfId="0" applyFont="1" applyFill="1" applyBorder="1" applyAlignment="1">
      <alignment horizontal="center" vertical="center" wrapText="1"/>
    </xf>
    <xf numFmtId="0" fontId="54" fillId="27" borderId="27" xfId="0" applyFont="1" applyFill="1" applyBorder="1" applyAlignment="1">
      <alignment horizontal="center" vertical="center" wrapText="1"/>
    </xf>
    <xf numFmtId="166" fontId="54" fillId="29" borderId="0" xfId="46" applyNumberFormat="1" applyFont="1" applyFill="1" applyAlignment="1">
      <alignment horizontal="center" vertical="center" wrapText="1"/>
    </xf>
    <xf numFmtId="0" fontId="54" fillId="0" borderId="34" xfId="46" applyFont="1" applyBorder="1" applyAlignment="1">
      <alignment horizontal="center" vertical="center" wrapText="1"/>
    </xf>
    <xf numFmtId="0" fontId="68" fillId="0" borderId="17" xfId="46" applyFont="1" applyBorder="1" applyAlignment="1">
      <alignment horizontal="right" vertical="center" wrapText="1"/>
    </xf>
    <xf numFmtId="0" fontId="54" fillId="0" borderId="39" xfId="0" applyFont="1" applyBorder="1" applyAlignment="1">
      <alignment horizontal="center" vertical="center"/>
    </xf>
    <xf numFmtId="0" fontId="72" fillId="59" borderId="14" xfId="0" applyFont="1" applyFill="1" applyBorder="1" applyAlignment="1">
      <alignment horizontal="center" vertical="center"/>
    </xf>
    <xf numFmtId="166" fontId="72" fillId="59" borderId="14" xfId="0" applyNumberFormat="1" applyFont="1" applyFill="1" applyBorder="1" applyAlignment="1">
      <alignment horizontal="center" vertical="center"/>
    </xf>
    <xf numFmtId="49" fontId="77" fillId="46" borderId="23" xfId="0" applyNumberFormat="1" applyFont="1" applyFill="1" applyBorder="1" applyAlignment="1">
      <alignment horizontal="center" vertical="center" wrapText="1"/>
    </xf>
    <xf numFmtId="166" fontId="72" fillId="0" borderId="16" xfId="79" applyNumberFormat="1" applyFont="1" applyBorder="1" applyAlignment="1">
      <alignment horizontal="center" vertical="center"/>
    </xf>
    <xf numFmtId="166" fontId="72" fillId="41" borderId="37" xfId="46" applyNumberFormat="1" applyFont="1" applyFill="1" applyBorder="1" applyAlignment="1">
      <alignment horizontal="center" vertical="center" wrapText="1"/>
    </xf>
    <xf numFmtId="166" fontId="54" fillId="27" borderId="27" xfId="0" applyNumberFormat="1" applyFont="1" applyFill="1" applyBorder="1" applyAlignment="1">
      <alignment horizontal="center" wrapText="1"/>
    </xf>
    <xf numFmtId="0" fontId="54" fillId="0" borderId="27" xfId="46" applyFont="1" applyBorder="1" applyAlignment="1">
      <alignment vertical="center" wrapText="1"/>
    </xf>
    <xf numFmtId="0" fontId="54" fillId="27" borderId="14" xfId="0" applyFont="1" applyFill="1" applyBorder="1" applyAlignment="1">
      <alignment wrapText="1"/>
    </xf>
    <xf numFmtId="166" fontId="75" fillId="27" borderId="34" xfId="79" applyNumberFormat="1" applyFont="1" applyFill="1" applyBorder="1" applyAlignment="1">
      <alignment horizontal="left" vertical="center" wrapText="1"/>
    </xf>
    <xf numFmtId="0" fontId="53" fillId="27" borderId="34" xfId="0" applyFont="1" applyFill="1" applyBorder="1" applyAlignment="1">
      <alignment wrapText="1"/>
    </xf>
    <xf numFmtId="4" fontId="53" fillId="27" borderId="34" xfId="0" applyNumberFormat="1" applyFont="1" applyFill="1" applyBorder="1" applyAlignment="1">
      <alignment wrapText="1"/>
    </xf>
    <xf numFmtId="166" fontId="84" fillId="27" borderId="34" xfId="79" applyNumberFormat="1" applyFont="1" applyFill="1" applyBorder="1" applyAlignment="1">
      <alignment horizontal="center" vertical="center" wrapText="1"/>
    </xf>
    <xf numFmtId="0" fontId="53" fillId="27" borderId="17" xfId="0" applyFont="1" applyFill="1" applyBorder="1" applyAlignment="1">
      <alignment wrapText="1"/>
    </xf>
    <xf numFmtId="4" fontId="53" fillId="27" borderId="33" xfId="0" applyNumberFormat="1" applyFont="1" applyFill="1" applyBorder="1" applyAlignment="1">
      <alignment wrapText="1"/>
    </xf>
    <xf numFmtId="166" fontId="85" fillId="0" borderId="17" xfId="79" applyNumberFormat="1" applyFont="1" applyBorder="1" applyAlignment="1">
      <alignment horizontal="left" vertical="center"/>
    </xf>
    <xf numFmtId="166" fontId="54" fillId="0" borderId="27" xfId="0" applyNumberFormat="1" applyFont="1" applyBorder="1" applyAlignment="1">
      <alignment horizontal="center" vertical="center" wrapText="1"/>
    </xf>
    <xf numFmtId="0" fontId="54" fillId="0" borderId="27" xfId="0" applyFont="1" applyBorder="1" applyAlignment="1">
      <alignment horizontal="center" vertical="center" wrapText="1"/>
    </xf>
    <xf numFmtId="164" fontId="54" fillId="42" borderId="27" xfId="0" applyNumberFormat="1" applyFont="1" applyFill="1" applyBorder="1" applyAlignment="1">
      <alignment horizontal="left" vertical="center" wrapText="1"/>
    </xf>
    <xf numFmtId="166" fontId="54" fillId="0" borderId="17" xfId="46" applyNumberFormat="1" applyFont="1" applyBorder="1" applyAlignment="1">
      <alignment vertical="center" wrapText="1"/>
    </xf>
    <xf numFmtId="166" fontId="54" fillId="0" borderId="23" xfId="46" applyNumberFormat="1" applyFont="1" applyBorder="1" applyAlignment="1">
      <alignment vertical="center" wrapText="1"/>
    </xf>
    <xf numFmtId="0" fontId="54" fillId="0" borderId="17" xfId="46" applyFont="1" applyBorder="1" applyAlignment="1">
      <alignment horizontal="center" vertical="center"/>
    </xf>
    <xf numFmtId="164" fontId="54" fillId="27" borderId="27" xfId="0" applyNumberFormat="1" applyFont="1" applyFill="1" applyBorder="1" applyAlignment="1">
      <alignment horizontal="center" vertical="center" wrapText="1"/>
    </xf>
    <xf numFmtId="0" fontId="54" fillId="0" borderId="16" xfId="46" applyFont="1" applyBorder="1" applyAlignment="1">
      <alignment vertical="center" wrapText="1"/>
    </xf>
    <xf numFmtId="0" fontId="54" fillId="43" borderId="27" xfId="0" applyFont="1" applyFill="1" applyBorder="1" applyAlignment="1">
      <alignment horizontal="center" vertical="center" wrapText="1"/>
    </xf>
    <xf numFmtId="0" fontId="54" fillId="41" borderId="23" xfId="46" applyFont="1" applyFill="1" applyBorder="1" applyAlignment="1">
      <alignment horizontal="center" vertical="center"/>
    </xf>
    <xf numFmtId="0" fontId="54" fillId="41" borderId="23" xfId="46" applyFont="1" applyFill="1" applyBorder="1" applyAlignment="1">
      <alignment horizontal="center" vertical="center" wrapText="1"/>
    </xf>
    <xf numFmtId="0" fontId="54" fillId="0" borderId="44" xfId="46" applyFont="1" applyBorder="1" applyAlignment="1">
      <alignment horizontal="center" vertical="center"/>
    </xf>
    <xf numFmtId="0" fontId="54" fillId="0" borderId="33" xfId="46" applyFont="1" applyBorder="1" applyAlignment="1">
      <alignment horizontal="center" vertical="center"/>
    </xf>
    <xf numFmtId="0" fontId="54" fillId="0" borderId="37" xfId="46" applyFont="1" applyBorder="1" applyAlignment="1">
      <alignment horizontal="center" vertical="center"/>
    </xf>
    <xf numFmtId="166" fontId="54" fillId="0" borderId="27" xfId="46" applyNumberFormat="1" applyFont="1" applyBorder="1" applyAlignment="1">
      <alignment horizontal="left" vertical="center" wrapText="1"/>
    </xf>
    <xf numFmtId="166" fontId="54" fillId="0" borderId="17" xfId="46" applyNumberFormat="1" applyFont="1" applyBorder="1" applyAlignment="1">
      <alignment horizontal="left" vertical="center" wrapText="1"/>
    </xf>
    <xf numFmtId="0" fontId="54" fillId="27" borderId="0" xfId="0" applyFont="1" applyFill="1" applyAlignment="1">
      <alignment wrapText="1"/>
    </xf>
    <xf numFmtId="0" fontId="54" fillId="43" borderId="34" xfId="0" applyFont="1" applyFill="1" applyBorder="1" applyAlignment="1">
      <alignment horizontal="center" vertical="center" wrapText="1"/>
    </xf>
    <xf numFmtId="166" fontId="54" fillId="43" borderId="34" xfId="46" applyNumberFormat="1" applyFont="1" applyFill="1" applyBorder="1" applyAlignment="1">
      <alignment horizontal="center" vertical="center" wrapText="1"/>
    </xf>
    <xf numFmtId="166" fontId="54" fillId="0" borderId="37" xfId="75" applyNumberFormat="1" applyFont="1" applyBorder="1" applyAlignment="1">
      <alignment horizontal="center" vertical="center"/>
    </xf>
    <xf numFmtId="166" fontId="54" fillId="41" borderId="37" xfId="75" applyNumberFormat="1" applyFont="1" applyFill="1" applyBorder="1" applyAlignment="1">
      <alignment horizontal="center" vertical="center"/>
    </xf>
    <xf numFmtId="166" fontId="54" fillId="0" borderId="37" xfId="0" applyNumberFormat="1" applyFont="1" applyBorder="1" applyAlignment="1">
      <alignment horizontal="center"/>
    </xf>
    <xf numFmtId="164" fontId="77" fillId="46" borderId="14" xfId="0" applyNumberFormat="1" applyFont="1" applyFill="1" applyBorder="1" applyAlignment="1">
      <alignment horizontal="center" vertical="center" wrapText="1"/>
    </xf>
    <xf numFmtId="0" fontId="54" fillId="52" borderId="14" xfId="0" applyFont="1" applyFill="1" applyBorder="1" applyAlignment="1">
      <alignment vertical="center" wrapText="1"/>
    </xf>
    <xf numFmtId="0" fontId="54" fillId="52" borderId="14" xfId="0" applyFont="1" applyFill="1" applyBorder="1" applyAlignment="1">
      <alignment horizontal="center" vertical="center" wrapText="1"/>
    </xf>
    <xf numFmtId="0" fontId="68" fillId="0" borderId="39" xfId="0" applyFont="1" applyBorder="1" applyAlignment="1">
      <alignment wrapText="1"/>
    </xf>
    <xf numFmtId="166" fontId="72" fillId="27" borderId="34" xfId="79" applyNumberFormat="1" applyFont="1" applyFill="1" applyBorder="1" applyAlignment="1">
      <alignment horizontal="center" vertical="center"/>
    </xf>
    <xf numFmtId="164" fontId="53" fillId="0" borderId="14" xfId="0" quotePrefix="1" applyNumberFormat="1" applyFont="1" applyBorder="1" applyAlignment="1">
      <alignment horizontal="center" vertical="center" wrapText="1"/>
    </xf>
    <xf numFmtId="0" fontId="54" fillId="27" borderId="14" xfId="75" applyFont="1" applyFill="1" applyBorder="1" applyAlignment="1">
      <alignment horizontal="left" vertical="center" wrapText="1"/>
    </xf>
    <xf numFmtId="166" fontId="62" fillId="27" borderId="14" xfId="0" applyNumberFormat="1" applyFont="1" applyFill="1" applyBorder="1" applyAlignment="1">
      <alignment horizontal="center" vertical="center"/>
    </xf>
    <xf numFmtId="166" fontId="55" fillId="0" borderId="27" xfId="46" applyNumberFormat="1" applyFont="1" applyBorder="1" applyAlignment="1">
      <alignment horizontal="left" vertical="center" wrapText="1"/>
    </xf>
    <xf numFmtId="0" fontId="54" fillId="27" borderId="22" xfId="0" applyFont="1" applyFill="1" applyBorder="1" applyAlignment="1">
      <alignment vertical="center" wrapText="1"/>
    </xf>
    <xf numFmtId="166" fontId="54" fillId="0" borderId="33" xfId="46" applyNumberFormat="1" applyFont="1" applyBorder="1" applyAlignment="1">
      <alignment vertical="center" wrapText="1"/>
    </xf>
    <xf numFmtId="166" fontId="54" fillId="0" borderId="22" xfId="46" applyNumberFormat="1" applyFont="1" applyBorder="1" applyAlignment="1">
      <alignment vertical="center" wrapText="1"/>
    </xf>
    <xf numFmtId="0" fontId="54" fillId="0" borderId="27" xfId="46" applyFont="1" applyBorder="1" applyAlignment="1">
      <alignment horizontal="left" vertical="center" wrapText="1"/>
    </xf>
    <xf numFmtId="166" fontId="55" fillId="0" borderId="17" xfId="46" applyNumberFormat="1" applyFont="1" applyBorder="1" applyAlignment="1">
      <alignment horizontal="left" vertical="center" wrapText="1"/>
    </xf>
    <xf numFmtId="166" fontId="55" fillId="0" borderId="23" xfId="46" applyNumberFormat="1" applyFont="1" applyBorder="1" applyAlignment="1">
      <alignment horizontal="left" vertical="center" wrapText="1"/>
    </xf>
    <xf numFmtId="0" fontId="68" fillId="27" borderId="14" xfId="0" applyFont="1" applyFill="1" applyBorder="1" applyAlignment="1">
      <alignment horizontal="center"/>
    </xf>
    <xf numFmtId="0" fontId="68" fillId="27" borderId="17" xfId="0" applyFont="1" applyFill="1" applyBorder="1" applyAlignment="1">
      <alignment horizontal="center"/>
    </xf>
    <xf numFmtId="0" fontId="68" fillId="27" borderId="34" xfId="0" applyFont="1" applyFill="1" applyBorder="1" applyAlignment="1">
      <alignment horizontal="center"/>
    </xf>
    <xf numFmtId="0" fontId="68" fillId="27" borderId="37" xfId="0" applyFont="1" applyFill="1" applyBorder="1" applyAlignment="1">
      <alignment horizontal="center"/>
    </xf>
    <xf numFmtId="166" fontId="53" fillId="34" borderId="14" xfId="79" applyNumberFormat="1" applyFont="1" applyFill="1" applyBorder="1" applyAlignment="1">
      <alignment horizontal="center" vertical="center" wrapText="1"/>
    </xf>
    <xf numFmtId="166" fontId="72" fillId="34" borderId="14" xfId="0" applyNumberFormat="1" applyFont="1" applyFill="1" applyBorder="1" applyAlignment="1">
      <alignment horizontal="center" vertical="center"/>
    </xf>
    <xf numFmtId="166" fontId="72" fillId="34" borderId="17" xfId="0" applyNumberFormat="1" applyFont="1" applyFill="1" applyBorder="1" applyAlignment="1">
      <alignment horizontal="center" vertical="center"/>
    </xf>
    <xf numFmtId="166" fontId="72" fillId="34" borderId="34" xfId="0" applyNumberFormat="1" applyFont="1" applyFill="1" applyBorder="1" applyAlignment="1">
      <alignment horizontal="center" vertical="center"/>
    </xf>
    <xf numFmtId="166" fontId="68" fillId="34" borderId="34" xfId="79" applyNumberFormat="1" applyFont="1" applyFill="1" applyBorder="1" applyAlignment="1">
      <alignment horizontal="center" vertical="center" wrapText="1"/>
    </xf>
    <xf numFmtId="166" fontId="72" fillId="34" borderId="34" xfId="46" applyNumberFormat="1" applyFont="1" applyFill="1" applyBorder="1" applyAlignment="1">
      <alignment horizontal="center" vertical="center" wrapText="1"/>
    </xf>
    <xf numFmtId="166" fontId="72" fillId="34" borderId="39" xfId="46" applyNumberFormat="1" applyFont="1" applyFill="1" applyBorder="1" applyAlignment="1">
      <alignment horizontal="center" vertical="center" wrapText="1"/>
    </xf>
    <xf numFmtId="166" fontId="72" fillId="34" borderId="23" xfId="0" applyNumberFormat="1" applyFont="1" applyFill="1" applyBorder="1" applyAlignment="1">
      <alignment horizontal="center" vertical="center"/>
    </xf>
    <xf numFmtId="166" fontId="72" fillId="34" borderId="14" xfId="79" applyNumberFormat="1" applyFont="1" applyFill="1" applyBorder="1" applyAlignment="1">
      <alignment horizontal="center" vertical="center" wrapText="1"/>
    </xf>
    <xf numFmtId="166" fontId="68" fillId="34" borderId="17" xfId="0" applyNumberFormat="1" applyFont="1" applyFill="1" applyBorder="1" applyAlignment="1">
      <alignment horizontal="center" wrapText="1"/>
    </xf>
    <xf numFmtId="166" fontId="68" fillId="34" borderId="34" xfId="0" applyNumberFormat="1" applyFont="1" applyFill="1" applyBorder="1" applyAlignment="1">
      <alignment horizontal="center" wrapText="1"/>
    </xf>
    <xf numFmtId="166" fontId="68" fillId="34" borderId="37" xfId="0" applyNumberFormat="1" applyFont="1" applyFill="1" applyBorder="1" applyAlignment="1">
      <alignment horizontal="center" wrapText="1"/>
    </xf>
    <xf numFmtId="166" fontId="72" fillId="34" borderId="34" xfId="0" applyNumberFormat="1" applyFont="1" applyFill="1" applyBorder="1" applyAlignment="1">
      <alignment horizontal="center" wrapText="1"/>
    </xf>
    <xf numFmtId="166" fontId="72" fillId="34" borderId="37" xfId="0" applyNumberFormat="1" applyFont="1" applyFill="1" applyBorder="1" applyAlignment="1">
      <alignment horizontal="center" wrapText="1"/>
    </xf>
    <xf numFmtId="166" fontId="72" fillId="34" borderId="14" xfId="0" applyNumberFormat="1" applyFont="1" applyFill="1" applyBorder="1" applyAlignment="1">
      <alignment horizontal="center" wrapText="1"/>
    </xf>
    <xf numFmtId="0" fontId="53" fillId="27" borderId="14" xfId="0" applyFont="1" applyFill="1" applyBorder="1" applyAlignment="1">
      <alignment horizontal="center" vertical="center"/>
    </xf>
    <xf numFmtId="0" fontId="54" fillId="27" borderId="22" xfId="0" applyFont="1" applyFill="1" applyBorder="1" applyAlignment="1">
      <alignment wrapText="1"/>
    </xf>
    <xf numFmtId="166" fontId="54" fillId="0" borderId="14" xfId="0" applyNumberFormat="1" applyFont="1" applyBorder="1" applyAlignment="1">
      <alignment horizontal="center" wrapText="1"/>
    </xf>
    <xf numFmtId="166" fontId="54" fillId="0" borderId="27" xfId="0" applyNumberFormat="1" applyFont="1" applyBorder="1" applyAlignment="1">
      <alignment horizontal="center" wrapText="1"/>
    </xf>
    <xf numFmtId="0" fontId="54" fillId="0" borderId="27" xfId="0" applyFont="1" applyBorder="1" applyAlignment="1">
      <alignment horizontal="center" wrapText="1"/>
    </xf>
    <xf numFmtId="164" fontId="54" fillId="0" borderId="27" xfId="0" applyNumberFormat="1" applyFont="1" applyBorder="1" applyAlignment="1">
      <alignment horizontal="center" wrapText="1"/>
    </xf>
    <xf numFmtId="164" fontId="54" fillId="49" borderId="27" xfId="0" applyNumberFormat="1" applyFont="1" applyFill="1" applyBorder="1" applyAlignment="1">
      <alignment horizontal="center" vertical="center" wrapText="1"/>
    </xf>
    <xf numFmtId="166" fontId="54" fillId="49" borderId="27" xfId="0" applyNumberFormat="1" applyFont="1" applyFill="1" applyBorder="1" applyAlignment="1">
      <alignment horizontal="center" wrapText="1"/>
    </xf>
    <xf numFmtId="0" fontId="54" fillId="49" borderId="14" xfId="0" applyFont="1" applyFill="1" applyBorder="1" applyAlignment="1">
      <alignment horizontal="center" wrapText="1"/>
    </xf>
    <xf numFmtId="0" fontId="54" fillId="49" borderId="27" xfId="0" applyFont="1" applyFill="1" applyBorder="1" applyAlignment="1">
      <alignment horizontal="center" wrapText="1"/>
    </xf>
    <xf numFmtId="166" fontId="84" fillId="27" borderId="17" xfId="79" applyNumberFormat="1" applyFont="1" applyFill="1" applyBorder="1" applyAlignment="1">
      <alignment horizontal="left" vertical="center" wrapText="1"/>
    </xf>
    <xf numFmtId="164" fontId="83" fillId="36" borderId="14" xfId="46" applyNumberFormat="1" applyFont="1" applyFill="1" applyBorder="1" applyAlignment="1">
      <alignment horizontal="center" vertical="center" wrapText="1"/>
    </xf>
    <xf numFmtId="164" fontId="53" fillId="43" borderId="14" xfId="79" applyNumberFormat="1" applyFont="1" applyFill="1" applyBorder="1" applyAlignment="1">
      <alignment horizontal="center" vertical="center" wrapText="1"/>
    </xf>
    <xf numFmtId="164" fontId="53" fillId="51" borderId="14" xfId="79" applyNumberFormat="1" applyFont="1" applyFill="1" applyBorder="1" applyAlignment="1">
      <alignment horizontal="center" vertical="center" wrapText="1"/>
    </xf>
    <xf numFmtId="164" fontId="68" fillId="27" borderId="14" xfId="79" applyNumberFormat="1" applyFont="1" applyFill="1" applyBorder="1" applyAlignment="1">
      <alignment horizontal="center" vertical="center" wrapText="1"/>
    </xf>
    <xf numFmtId="164" fontId="72" fillId="27" borderId="14" xfId="79" applyNumberFormat="1" applyFont="1" applyFill="1" applyBorder="1" applyAlignment="1">
      <alignment horizontal="center" vertical="center" wrapText="1"/>
    </xf>
    <xf numFmtId="164" fontId="72" fillId="43" borderId="14" xfId="46" applyNumberFormat="1" applyFont="1" applyFill="1" applyBorder="1" applyAlignment="1">
      <alignment horizontal="center" vertical="center" wrapText="1"/>
    </xf>
    <xf numFmtId="164" fontId="81" fillId="0" borderId="14" xfId="79" applyNumberFormat="1" applyFont="1" applyBorder="1" applyAlignment="1">
      <alignment horizontal="center" vertical="center" wrapText="1"/>
    </xf>
    <xf numFmtId="164" fontId="81" fillId="27" borderId="14" xfId="79" applyNumberFormat="1" applyFont="1" applyFill="1" applyBorder="1" applyAlignment="1">
      <alignment horizontal="center" vertical="center" wrapText="1"/>
    </xf>
    <xf numFmtId="164" fontId="83" fillId="36" borderId="14" xfId="79" applyNumberFormat="1" applyFont="1" applyFill="1" applyBorder="1" applyAlignment="1">
      <alignment horizontal="center" vertical="center"/>
    </xf>
    <xf numFmtId="164" fontId="54" fillId="0" borderId="14" xfId="79" applyNumberFormat="1" applyFont="1" applyBorder="1" applyAlignment="1">
      <alignment horizontal="center" vertical="center" wrapText="1"/>
    </xf>
    <xf numFmtId="164" fontId="53" fillId="0" borderId="14" xfId="79" applyNumberFormat="1" applyFont="1" applyBorder="1" applyAlignment="1">
      <alignment horizontal="center" vertical="center" wrapText="1"/>
    </xf>
    <xf numFmtId="164" fontId="72" fillId="0" borderId="14" xfId="46" applyNumberFormat="1" applyFont="1" applyBorder="1" applyAlignment="1">
      <alignment horizontal="center" vertical="center" wrapText="1"/>
    </xf>
    <xf numFmtId="164" fontId="72" fillId="0" borderId="17" xfId="46" applyNumberFormat="1" applyFont="1" applyBorder="1" applyAlignment="1">
      <alignment horizontal="center" vertical="center" wrapText="1"/>
    </xf>
    <xf numFmtId="164" fontId="72" fillId="0" borderId="16" xfId="46" applyNumberFormat="1" applyFont="1" applyBorder="1" applyAlignment="1">
      <alignment horizontal="center" vertical="center" wrapText="1"/>
    </xf>
    <xf numFmtId="164" fontId="72" fillId="0" borderId="34" xfId="46" applyNumberFormat="1" applyFont="1" applyBorder="1" applyAlignment="1">
      <alignment horizontal="center" vertical="center" wrapText="1"/>
    </xf>
    <xf numFmtId="164" fontId="72" fillId="27" borderId="14" xfId="46" applyNumberFormat="1" applyFont="1" applyFill="1" applyBorder="1" applyAlignment="1">
      <alignment horizontal="center" vertical="center" wrapText="1"/>
    </xf>
    <xf numFmtId="164" fontId="72" fillId="27" borderId="17" xfId="46" applyNumberFormat="1" applyFont="1" applyFill="1" applyBorder="1" applyAlignment="1">
      <alignment horizontal="center" vertical="center" wrapText="1"/>
    </xf>
    <xf numFmtId="164" fontId="72" fillId="27" borderId="34" xfId="46" applyNumberFormat="1" applyFont="1" applyFill="1" applyBorder="1" applyAlignment="1">
      <alignment horizontal="center" vertical="center" wrapText="1"/>
    </xf>
    <xf numFmtId="164" fontId="72" fillId="27" borderId="34" xfId="79" applyNumberFormat="1" applyFont="1" applyFill="1" applyBorder="1" applyAlignment="1">
      <alignment horizontal="center" vertical="center" wrapText="1"/>
    </xf>
    <xf numFmtId="164" fontId="68" fillId="0" borderId="39" xfId="46" applyNumberFormat="1" applyFont="1" applyBorder="1" applyAlignment="1">
      <alignment horizontal="center" vertical="center" wrapText="1"/>
    </xf>
    <xf numFmtId="164" fontId="74" fillId="0" borderId="34" xfId="46" applyNumberFormat="1" applyFont="1" applyBorder="1" applyAlignment="1">
      <alignment horizontal="center" vertical="center" wrapText="1"/>
    </xf>
    <xf numFmtId="164" fontId="75" fillId="27" borderId="34" xfId="46" applyNumberFormat="1" applyFont="1" applyFill="1" applyBorder="1" applyAlignment="1">
      <alignment horizontal="center" vertical="center" wrapText="1"/>
    </xf>
    <xf numFmtId="164" fontId="68" fillId="27" borderId="34" xfId="46" applyNumberFormat="1" applyFont="1" applyFill="1" applyBorder="1" applyAlignment="1">
      <alignment horizontal="center" vertical="center" wrapText="1"/>
    </xf>
    <xf numFmtId="164" fontId="72" fillId="0" borderId="10" xfId="46" applyNumberFormat="1" applyFont="1" applyBorder="1" applyAlignment="1">
      <alignment horizontal="center" vertical="center" wrapText="1"/>
    </xf>
    <xf numFmtId="164" fontId="72" fillId="0" borderId="14" xfId="0" applyNumberFormat="1" applyFont="1" applyBorder="1" applyAlignment="1">
      <alignment horizontal="center" vertical="center"/>
    </xf>
    <xf numFmtId="164" fontId="72" fillId="0" borderId="16" xfId="0" applyNumberFormat="1" applyFont="1" applyBorder="1" applyAlignment="1">
      <alignment horizontal="center" vertical="center"/>
    </xf>
    <xf numFmtId="164" fontId="68" fillId="0" borderId="14" xfId="0" applyNumberFormat="1" applyFont="1" applyBorder="1" applyAlignment="1">
      <alignment horizontal="center" vertical="center"/>
    </xf>
    <xf numFmtId="164" fontId="72" fillId="0" borderId="14" xfId="79" applyNumberFormat="1" applyFont="1" applyBorder="1" applyAlignment="1">
      <alignment horizontal="center" vertical="center" wrapText="1"/>
    </xf>
    <xf numFmtId="164" fontId="98" fillId="0" borderId="14" xfId="46" applyNumberFormat="1" applyFont="1" applyBorder="1" applyAlignment="1">
      <alignment horizontal="center" vertical="center" wrapText="1"/>
    </xf>
    <xf numFmtId="164" fontId="98" fillId="0" borderId="17" xfId="46" applyNumberFormat="1" applyFont="1" applyBorder="1" applyAlignment="1">
      <alignment horizontal="center" vertical="center" wrapText="1"/>
    </xf>
    <xf numFmtId="164" fontId="98" fillId="0" borderId="34" xfId="46" applyNumberFormat="1" applyFont="1" applyBorder="1" applyAlignment="1">
      <alignment horizontal="center" vertical="center" wrapText="1"/>
    </xf>
    <xf numFmtId="164" fontId="82" fillId="0" borderId="34" xfId="46" applyNumberFormat="1" applyFont="1" applyBorder="1" applyAlignment="1">
      <alignment horizontal="center" vertical="center" wrapText="1"/>
    </xf>
    <xf numFmtId="164" fontId="68" fillId="43" borderId="23" xfId="79" applyNumberFormat="1" applyFont="1" applyFill="1" applyBorder="1" applyAlignment="1">
      <alignment horizontal="center" vertical="center" wrapText="1"/>
    </xf>
    <xf numFmtId="164" fontId="72" fillId="43" borderId="14" xfId="79" applyNumberFormat="1" applyFont="1" applyFill="1" applyBorder="1" applyAlignment="1">
      <alignment horizontal="center" vertical="center" wrapText="1"/>
    </xf>
    <xf numFmtId="164" fontId="81" fillId="43" borderId="14" xfId="79" applyNumberFormat="1" applyFont="1" applyFill="1" applyBorder="1" applyAlignment="1">
      <alignment horizontal="center" vertical="center" wrapText="1"/>
    </xf>
    <xf numFmtId="164" fontId="68" fillId="27" borderId="14" xfId="46" applyNumberFormat="1" applyFont="1" applyFill="1" applyBorder="1" applyAlignment="1">
      <alignment horizontal="center" vertical="center" wrapText="1"/>
    </xf>
    <xf numFmtId="164" fontId="68" fillId="27" borderId="14" xfId="0" applyNumberFormat="1" applyFont="1" applyFill="1" applyBorder="1" applyAlignment="1">
      <alignment horizontal="center" vertical="center"/>
    </xf>
    <xf numFmtId="164" fontId="68" fillId="0" borderId="16" xfId="0" applyNumberFormat="1" applyFont="1" applyBorder="1" applyAlignment="1">
      <alignment horizontal="center" vertical="center"/>
    </xf>
    <xf numFmtId="164" fontId="74" fillId="0" borderId="16" xfId="0" applyNumberFormat="1" applyFont="1" applyBorder="1" applyAlignment="1">
      <alignment horizontal="center" vertical="center"/>
    </xf>
    <xf numFmtId="164" fontId="74" fillId="0" borderId="14" xfId="0" applyNumberFormat="1" applyFont="1" applyBorder="1" applyAlignment="1">
      <alignment horizontal="center" vertical="center"/>
    </xf>
    <xf numFmtId="164" fontId="75" fillId="0" borderId="14" xfId="79" applyNumberFormat="1" applyFont="1" applyBorder="1" applyAlignment="1">
      <alignment horizontal="center" vertical="center" wrapText="1"/>
    </xf>
    <xf numFmtId="164" fontId="72" fillId="41" borderId="14" xfId="46" applyNumberFormat="1" applyFont="1" applyFill="1" applyBorder="1" applyAlignment="1">
      <alignment horizontal="center" vertical="center" wrapText="1"/>
    </xf>
    <xf numFmtId="164" fontId="81" fillId="40" borderId="14" xfId="46" applyNumberFormat="1" applyFont="1" applyFill="1" applyBorder="1" applyAlignment="1">
      <alignment horizontal="center" vertical="center" wrapText="1"/>
    </xf>
    <xf numFmtId="164" fontId="77" fillId="43" borderId="14" xfId="46" applyNumberFormat="1" applyFont="1" applyFill="1" applyBorder="1" applyAlignment="1">
      <alignment horizontal="center" vertical="center" wrapText="1"/>
    </xf>
    <xf numFmtId="164" fontId="72" fillId="0" borderId="14" xfId="79" applyNumberFormat="1" applyFont="1" applyBorder="1" applyAlignment="1">
      <alignment horizontal="center" vertical="center"/>
    </xf>
    <xf numFmtId="164" fontId="75" fillId="27" borderId="14" xfId="79" applyNumberFormat="1" applyFont="1" applyFill="1" applyBorder="1" applyAlignment="1">
      <alignment horizontal="center" vertical="center" wrapText="1"/>
    </xf>
    <xf numFmtId="164" fontId="81" fillId="40" borderId="14" xfId="79" applyNumberFormat="1" applyFont="1" applyFill="1" applyBorder="1" applyAlignment="1">
      <alignment horizontal="center" vertical="center" wrapText="1"/>
    </xf>
    <xf numFmtId="164" fontId="83" fillId="36" borderId="17" xfId="79" applyNumberFormat="1" applyFont="1" applyFill="1" applyBorder="1" applyAlignment="1">
      <alignment horizontal="center" vertical="center"/>
    </xf>
    <xf numFmtId="164" fontId="53" fillId="40" borderId="14" xfId="0" applyNumberFormat="1" applyFont="1" applyFill="1" applyBorder="1" applyAlignment="1">
      <alignment horizontal="center" wrapText="1"/>
    </xf>
    <xf numFmtId="164" fontId="68" fillId="0" borderId="14" xfId="0" applyNumberFormat="1" applyFont="1" applyBorder="1" applyAlignment="1">
      <alignment horizontal="center" wrapText="1"/>
    </xf>
    <xf numFmtId="164" fontId="74" fillId="0" borderId="14" xfId="0" applyNumberFormat="1" applyFont="1" applyBorder="1" applyAlignment="1">
      <alignment horizontal="center" wrapText="1"/>
    </xf>
    <xf numFmtId="164" fontId="72" fillId="0" borderId="14" xfId="0" applyNumberFormat="1" applyFont="1" applyBorder="1" applyAlignment="1">
      <alignment horizontal="center" wrapText="1"/>
    </xf>
    <xf numFmtId="164" fontId="68" fillId="0" borderId="17" xfId="0" applyNumberFormat="1" applyFont="1" applyBorder="1" applyAlignment="1">
      <alignment horizontal="center" wrapText="1"/>
    </xf>
    <xf numFmtId="164" fontId="68" fillId="0" borderId="34" xfId="0" applyNumberFormat="1" applyFont="1" applyBorder="1" applyAlignment="1">
      <alignment horizontal="center" wrapText="1"/>
    </xf>
    <xf numFmtId="164" fontId="68" fillId="0" borderId="37" xfId="0" applyNumberFormat="1" applyFont="1" applyBorder="1" applyAlignment="1">
      <alignment horizontal="center" wrapText="1"/>
    </xf>
    <xf numFmtId="164" fontId="72" fillId="0" borderId="34" xfId="0" applyNumberFormat="1" applyFont="1" applyBorder="1" applyAlignment="1">
      <alignment horizontal="center"/>
    </xf>
    <xf numFmtId="164" fontId="72" fillId="0" borderId="37" xfId="0" applyNumberFormat="1" applyFont="1" applyBorder="1" applyAlignment="1">
      <alignment horizontal="center"/>
    </xf>
    <xf numFmtId="164" fontId="81" fillId="46" borderId="14" xfId="0" applyNumberFormat="1" applyFont="1" applyFill="1" applyBorder="1" applyAlignment="1">
      <alignment horizontal="center" wrapText="1"/>
    </xf>
    <xf numFmtId="164" fontId="72" fillId="0" borderId="14" xfId="0" applyNumberFormat="1" applyFont="1" applyBorder="1" applyAlignment="1">
      <alignment horizontal="center"/>
    </xf>
    <xf numFmtId="164" fontId="72" fillId="52" borderId="14" xfId="0" applyNumberFormat="1" applyFont="1" applyFill="1" applyBorder="1" applyAlignment="1">
      <alignment horizontal="center" wrapText="1"/>
    </xf>
    <xf numFmtId="164" fontId="72" fillId="27" borderId="17" xfId="0" applyNumberFormat="1" applyFont="1" applyFill="1" applyBorder="1" applyAlignment="1">
      <alignment horizontal="center" wrapText="1"/>
    </xf>
    <xf numFmtId="164" fontId="72" fillId="27" borderId="34" xfId="0" applyNumberFormat="1" applyFont="1" applyFill="1" applyBorder="1" applyAlignment="1">
      <alignment horizontal="center"/>
    </xf>
    <xf numFmtId="164" fontId="81" fillId="25" borderId="14" xfId="46" applyNumberFormat="1" applyFont="1" applyFill="1" applyBorder="1" applyAlignment="1">
      <alignment horizontal="center" vertical="center" wrapText="1"/>
    </xf>
    <xf numFmtId="164" fontId="81" fillId="0" borderId="14" xfId="46" applyNumberFormat="1" applyFont="1" applyBorder="1" applyAlignment="1">
      <alignment horizontal="center" vertical="center" wrapText="1"/>
    </xf>
    <xf numFmtId="0" fontId="54" fillId="24" borderId="17" xfId="46" applyFont="1" applyFill="1" applyBorder="1" applyAlignment="1">
      <alignment horizontal="left" vertical="center" wrapText="1"/>
    </xf>
    <xf numFmtId="0" fontId="25" fillId="0" borderId="17" xfId="76" applyFont="1" applyBorder="1" applyAlignment="1">
      <alignment horizontal="center" vertical="center"/>
    </xf>
    <xf numFmtId="49" fontId="25" fillId="0" borderId="17" xfId="76" applyNumberFormat="1" applyFont="1" applyBorder="1"/>
    <xf numFmtId="0" fontId="54" fillId="27" borderId="17" xfId="46" applyFont="1" applyFill="1" applyBorder="1" applyAlignment="1">
      <alignment horizontal="center" wrapText="1"/>
    </xf>
    <xf numFmtId="0" fontId="25" fillId="0" borderId="17" xfId="76" applyFont="1" applyBorder="1" applyAlignment="1">
      <alignment horizontal="center"/>
    </xf>
    <xf numFmtId="0" fontId="53" fillId="43" borderId="17" xfId="0" applyFont="1" applyFill="1" applyBorder="1" applyAlignment="1">
      <alignment horizontal="center" vertical="center" wrapText="1"/>
    </xf>
    <xf numFmtId="166" fontId="53"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83" fillId="36" borderId="16" xfId="46" applyNumberFormat="1" applyFont="1" applyFill="1" applyBorder="1" applyAlignment="1">
      <alignment horizontal="center" vertical="center" wrapText="1"/>
    </xf>
    <xf numFmtId="164" fontId="77" fillId="46" borderId="16" xfId="0" applyNumberFormat="1" applyFont="1" applyFill="1" applyBorder="1" applyAlignment="1">
      <alignment horizontal="center" vertical="center" wrapText="1"/>
    </xf>
    <xf numFmtId="164" fontId="53" fillId="43" borderId="16" xfId="79" applyNumberFormat="1" applyFont="1" applyFill="1" applyBorder="1" applyAlignment="1">
      <alignment horizontal="center" vertical="center" wrapText="1"/>
    </xf>
    <xf numFmtId="164" fontId="53" fillId="51" borderId="16" xfId="79" applyNumberFormat="1" applyFont="1" applyFill="1" applyBorder="1" applyAlignment="1">
      <alignment horizontal="center" vertical="center" wrapText="1"/>
    </xf>
    <xf numFmtId="164" fontId="68" fillId="27" borderId="16" xfId="79" applyNumberFormat="1" applyFont="1" applyFill="1" applyBorder="1" applyAlignment="1">
      <alignment horizontal="center" vertical="center" wrapText="1"/>
    </xf>
    <xf numFmtId="164" fontId="72" fillId="27" borderId="16" xfId="79" applyNumberFormat="1" applyFont="1" applyFill="1" applyBorder="1" applyAlignment="1">
      <alignment horizontal="center" vertical="center" wrapText="1"/>
    </xf>
    <xf numFmtId="164" fontId="72" fillId="43" borderId="16" xfId="46" applyNumberFormat="1" applyFont="1" applyFill="1" applyBorder="1" applyAlignment="1">
      <alignment horizontal="center" vertical="center" wrapText="1"/>
    </xf>
    <xf numFmtId="164" fontId="81" fillId="27" borderId="16" xfId="79" applyNumberFormat="1" applyFont="1" applyFill="1" applyBorder="1" applyAlignment="1">
      <alignment horizontal="center" vertical="center" wrapText="1"/>
    </xf>
    <xf numFmtId="164" fontId="83" fillId="36" borderId="16" xfId="79" applyNumberFormat="1" applyFont="1" applyFill="1" applyBorder="1" applyAlignment="1">
      <alignment horizontal="center" vertical="center"/>
    </xf>
    <xf numFmtId="164" fontId="53" fillId="0" borderId="16" xfId="79" applyNumberFormat="1" applyFont="1" applyBorder="1" applyAlignment="1">
      <alignment horizontal="center" vertical="center" wrapText="1"/>
    </xf>
    <xf numFmtId="164" fontId="72" fillId="0" borderId="26" xfId="46" applyNumberFormat="1" applyFont="1" applyBorder="1" applyAlignment="1">
      <alignment horizontal="center" vertical="center" wrapText="1"/>
    </xf>
    <xf numFmtId="164" fontId="72" fillId="0" borderId="38" xfId="46" applyNumberFormat="1" applyFont="1" applyBorder="1" applyAlignment="1">
      <alignment horizontal="center" vertical="center" wrapText="1"/>
    </xf>
    <xf numFmtId="164" fontId="72" fillId="27" borderId="16" xfId="46" applyNumberFormat="1" applyFont="1" applyFill="1" applyBorder="1" applyAlignment="1">
      <alignment horizontal="center" vertical="center" wrapText="1"/>
    </xf>
    <xf numFmtId="164" fontId="72" fillId="27" borderId="26" xfId="46" applyNumberFormat="1" applyFont="1" applyFill="1" applyBorder="1" applyAlignment="1">
      <alignment horizontal="center" vertical="center" wrapText="1"/>
    </xf>
    <xf numFmtId="164" fontId="72" fillId="27" borderId="38" xfId="46" applyNumberFormat="1" applyFont="1" applyFill="1" applyBorder="1" applyAlignment="1">
      <alignment horizontal="center" vertical="center" wrapText="1"/>
    </xf>
    <xf numFmtId="164" fontId="72" fillId="27" borderId="38" xfId="79" applyNumberFormat="1" applyFont="1" applyFill="1" applyBorder="1" applyAlignment="1">
      <alignment horizontal="center" vertical="center" wrapText="1"/>
    </xf>
    <xf numFmtId="164" fontId="74" fillId="0" borderId="45" xfId="46" applyNumberFormat="1" applyFont="1" applyBorder="1" applyAlignment="1">
      <alignment horizontal="center" vertical="center" wrapText="1"/>
    </xf>
    <xf numFmtId="164" fontId="74" fillId="0" borderId="38" xfId="46" applyNumberFormat="1" applyFont="1" applyBorder="1" applyAlignment="1">
      <alignment horizontal="center" vertical="center" wrapText="1"/>
    </xf>
    <xf numFmtId="164" fontId="72" fillId="0" borderId="45" xfId="46" applyNumberFormat="1" applyFont="1" applyBorder="1" applyAlignment="1">
      <alignment horizontal="center" vertical="center" wrapText="1"/>
    </xf>
    <xf numFmtId="164" fontId="72" fillId="0" borderId="16" xfId="79" applyNumberFormat="1" applyFont="1" applyBorder="1" applyAlignment="1">
      <alignment horizontal="center" vertical="center" wrapText="1"/>
    </xf>
    <xf numFmtId="164" fontId="68" fillId="43" borderId="10" xfId="79" applyNumberFormat="1" applyFont="1" applyFill="1" applyBorder="1" applyAlignment="1">
      <alignment horizontal="center" vertical="center" wrapText="1"/>
    </xf>
    <xf numFmtId="164" fontId="72" fillId="43" borderId="16" xfId="79" applyNumberFormat="1" applyFont="1" applyFill="1" applyBorder="1" applyAlignment="1">
      <alignment horizontal="center" vertical="center" wrapText="1"/>
    </xf>
    <xf numFmtId="164" fontId="81" fillId="43" borderId="16" xfId="79" applyNumberFormat="1" applyFont="1" applyFill="1" applyBorder="1" applyAlignment="1">
      <alignment horizontal="center" vertical="center" wrapText="1"/>
    </xf>
    <xf numFmtId="164" fontId="68" fillId="27" borderId="16" xfId="46" applyNumberFormat="1" applyFont="1" applyFill="1" applyBorder="1" applyAlignment="1">
      <alignment horizontal="center" vertical="center" wrapText="1"/>
    </xf>
    <xf numFmtId="164" fontId="75" fillId="0" borderId="16" xfId="79" applyNumberFormat="1" applyFont="1" applyBorder="1" applyAlignment="1">
      <alignment horizontal="center" vertical="center" wrapText="1"/>
    </xf>
    <xf numFmtId="164" fontId="72" fillId="41" borderId="16" xfId="46" applyNumberFormat="1" applyFont="1" applyFill="1" applyBorder="1" applyAlignment="1">
      <alignment horizontal="center" vertical="center" wrapText="1"/>
    </xf>
    <xf numFmtId="164" fontId="81" fillId="40" borderId="16" xfId="46" applyNumberFormat="1" applyFont="1" applyFill="1" applyBorder="1" applyAlignment="1">
      <alignment horizontal="center" vertical="center" wrapText="1"/>
    </xf>
    <xf numFmtId="164" fontId="77" fillId="43" borderId="16" xfId="46" applyNumberFormat="1" applyFont="1" applyFill="1" applyBorder="1" applyAlignment="1">
      <alignment horizontal="center" vertical="center" wrapText="1"/>
    </xf>
    <xf numFmtId="164" fontId="72" fillId="0" borderId="16" xfId="79" applyNumberFormat="1" applyFont="1" applyBorder="1" applyAlignment="1">
      <alignment horizontal="center" vertical="center"/>
    </xf>
    <xf numFmtId="164" fontId="75" fillId="27" borderId="16" xfId="79" applyNumberFormat="1" applyFont="1" applyFill="1" applyBorder="1" applyAlignment="1">
      <alignment horizontal="center" vertical="center" wrapText="1"/>
    </xf>
    <xf numFmtId="164" fontId="81" fillId="0" borderId="16" xfId="79" applyNumberFormat="1" applyFont="1" applyBorder="1" applyAlignment="1">
      <alignment horizontal="center" vertical="center" wrapText="1"/>
    </xf>
    <xf numFmtId="164" fontId="81" fillId="40" borderId="16" xfId="79" applyNumberFormat="1" applyFont="1" applyFill="1" applyBorder="1" applyAlignment="1">
      <alignment horizontal="center" vertical="center" wrapText="1"/>
    </xf>
    <xf numFmtId="164" fontId="83" fillId="36" borderId="26" xfId="79" applyNumberFormat="1" applyFont="1" applyFill="1" applyBorder="1" applyAlignment="1">
      <alignment horizontal="center" vertical="center"/>
    </xf>
    <xf numFmtId="164" fontId="53" fillId="40" borderId="16" xfId="0" applyNumberFormat="1" applyFont="1" applyFill="1" applyBorder="1" applyAlignment="1">
      <alignment horizontal="center" wrapText="1"/>
    </xf>
    <xf numFmtId="164" fontId="74" fillId="0" borderId="16" xfId="0" applyNumberFormat="1" applyFont="1" applyBorder="1" applyAlignment="1">
      <alignment horizontal="center" wrapText="1"/>
    </xf>
    <xf numFmtId="164" fontId="72" fillId="0" borderId="16" xfId="0" applyNumberFormat="1" applyFont="1" applyBorder="1" applyAlignment="1">
      <alignment horizontal="center" wrapText="1"/>
    </xf>
    <xf numFmtId="164" fontId="68" fillId="0" borderId="16" xfId="0" applyNumberFormat="1" applyFont="1" applyBorder="1" applyAlignment="1">
      <alignment horizontal="center" wrapText="1"/>
    </xf>
    <xf numFmtId="164" fontId="68" fillId="0" borderId="26" xfId="0" applyNumberFormat="1" applyFont="1" applyBorder="1" applyAlignment="1">
      <alignment horizontal="center" wrapText="1"/>
    </xf>
    <xf numFmtId="164" fontId="68" fillId="0" borderId="38" xfId="0" applyNumberFormat="1" applyFont="1" applyBorder="1" applyAlignment="1">
      <alignment horizontal="center" wrapText="1"/>
    </xf>
    <xf numFmtId="164" fontId="68" fillId="0" borderId="42" xfId="0" applyNumberFormat="1" applyFont="1" applyBorder="1" applyAlignment="1">
      <alignment horizontal="center" wrapText="1"/>
    </xf>
    <xf numFmtId="164" fontId="72" fillId="0" borderId="38" xfId="0" applyNumberFormat="1" applyFont="1" applyBorder="1" applyAlignment="1">
      <alignment horizontal="center"/>
    </xf>
    <xf numFmtId="164" fontId="72" fillId="0" borderId="42" xfId="0" applyNumberFormat="1" applyFont="1" applyBorder="1" applyAlignment="1">
      <alignment horizontal="center"/>
    </xf>
    <xf numFmtId="164" fontId="81" fillId="46" borderId="16" xfId="0" applyNumberFormat="1" applyFont="1" applyFill="1" applyBorder="1" applyAlignment="1">
      <alignment horizontal="center" wrapText="1"/>
    </xf>
    <xf numFmtId="164" fontId="72" fillId="0" borderId="16" xfId="0" applyNumberFormat="1" applyFont="1" applyBorder="1" applyAlignment="1">
      <alignment horizontal="center"/>
    </xf>
    <xf numFmtId="164" fontId="72" fillId="52" borderId="16" xfId="0" applyNumberFormat="1" applyFont="1" applyFill="1" applyBorder="1" applyAlignment="1">
      <alignment horizontal="center" wrapText="1"/>
    </xf>
    <xf numFmtId="164" fontId="72" fillId="27" borderId="26" xfId="0" applyNumberFormat="1" applyFont="1" applyFill="1" applyBorder="1" applyAlignment="1">
      <alignment horizontal="center" wrapText="1"/>
    </xf>
    <xf numFmtId="164" fontId="72" fillId="27" borderId="38" xfId="0" applyNumberFormat="1" applyFont="1" applyFill="1" applyBorder="1" applyAlignment="1">
      <alignment horizontal="center"/>
    </xf>
    <xf numFmtId="164" fontId="81" fillId="25" borderId="16" xfId="46" applyNumberFormat="1" applyFont="1" applyFill="1" applyBorder="1" applyAlignment="1">
      <alignment horizontal="center" vertical="center" wrapText="1"/>
    </xf>
    <xf numFmtId="164" fontId="81" fillId="0" borderId="16" xfId="46" applyNumberFormat="1" applyFont="1" applyBorder="1" applyAlignment="1">
      <alignment horizontal="center" vertical="center" wrapText="1"/>
    </xf>
    <xf numFmtId="0" fontId="83" fillId="0" borderId="27" xfId="0" applyFont="1" applyBorder="1" applyAlignment="1">
      <alignment vertical="center" wrapText="1"/>
    </xf>
    <xf numFmtId="0" fontId="72" fillId="0" borderId="27" xfId="0" applyFont="1" applyBorder="1" applyAlignment="1">
      <alignment vertical="center" wrapText="1"/>
    </xf>
    <xf numFmtId="166" fontId="85" fillId="0" borderId="27" xfId="79" applyNumberFormat="1" applyFont="1" applyBorder="1" applyAlignment="1">
      <alignment vertical="center"/>
    </xf>
    <xf numFmtId="166" fontId="75" fillId="0" borderId="25" xfId="79" applyNumberFormat="1" applyFont="1" applyBorder="1" applyAlignment="1">
      <alignment vertical="center" wrapText="1"/>
    </xf>
    <xf numFmtId="166" fontId="85" fillId="0" borderId="33" xfId="79" applyNumberFormat="1" applyFont="1" applyBorder="1" applyAlignment="1">
      <alignment vertical="center"/>
    </xf>
    <xf numFmtId="166" fontId="75" fillId="0" borderId="27" xfId="46" applyNumberFormat="1" applyFont="1" applyBorder="1" applyAlignment="1">
      <alignment vertical="center"/>
    </xf>
    <xf numFmtId="0" fontId="83" fillId="0" borderId="14" xfId="0" applyFont="1" applyBorder="1" applyAlignment="1">
      <alignment horizontal="center" vertical="center"/>
    </xf>
    <xf numFmtId="0" fontId="62" fillId="0" borderId="14" xfId="0" applyFont="1" applyBorder="1" applyAlignment="1">
      <alignment horizontal="center"/>
    </xf>
    <xf numFmtId="49" fontId="54" fillId="49" borderId="14" xfId="0" applyNumberFormat="1" applyFont="1" applyFill="1" applyBorder="1" applyAlignment="1">
      <alignment horizontal="center"/>
    </xf>
    <xf numFmtId="49" fontId="54" fillId="0" borderId="14" xfId="0" applyNumberFormat="1" applyFont="1" applyBorder="1" applyAlignment="1">
      <alignment horizontal="center"/>
    </xf>
    <xf numFmtId="49" fontId="54" fillId="46" borderId="14" xfId="0" quotePrefix="1" applyNumberFormat="1" applyFont="1" applyFill="1" applyBorder="1" applyAlignment="1">
      <alignment horizontal="left" vertical="center" wrapText="1"/>
    </xf>
    <xf numFmtId="0" fontId="21" fillId="0" borderId="14" xfId="76" applyFont="1" applyBorder="1" applyAlignment="1">
      <alignment vertical="center" wrapText="1"/>
    </xf>
    <xf numFmtId="3" fontId="54" fillId="36" borderId="16" xfId="0" applyNumberFormat="1" applyFont="1" applyFill="1" applyBorder="1" applyAlignment="1">
      <alignment horizontal="center" vertical="center" wrapText="1"/>
    </xf>
    <xf numFmtId="166" fontId="62" fillId="0" borderId="16" xfId="0" applyNumberFormat="1" applyFont="1" applyBorder="1" applyAlignment="1">
      <alignment horizontal="center" vertical="center"/>
    </xf>
    <xf numFmtId="166" fontId="54" fillId="43" borderId="16" xfId="46" applyNumberFormat="1" applyFont="1" applyFill="1" applyBorder="1" applyAlignment="1">
      <alignment horizontal="center" vertical="center" wrapText="1"/>
    </xf>
    <xf numFmtId="166" fontId="54" fillId="0" borderId="16" xfId="0" applyNumberFormat="1" applyFont="1" applyBorder="1" applyAlignment="1">
      <alignment horizontal="center" vertical="center"/>
    </xf>
    <xf numFmtId="166" fontId="53" fillId="27" borderId="16" xfId="46" applyNumberFormat="1" applyFont="1" applyFill="1" applyBorder="1" applyAlignment="1">
      <alignment horizontal="center" vertical="center" wrapText="1"/>
    </xf>
    <xf numFmtId="164" fontId="62" fillId="49" borderId="16" xfId="0" applyNumberFormat="1" applyFont="1" applyFill="1" applyBorder="1" applyAlignment="1">
      <alignment horizontal="center" vertical="center" wrapText="1"/>
    </xf>
    <xf numFmtId="164" fontId="55" fillId="49" borderId="16" xfId="0" applyNumberFormat="1" applyFont="1" applyFill="1" applyBorder="1" applyAlignment="1">
      <alignment horizontal="center" vertical="center" wrapText="1"/>
    </xf>
    <xf numFmtId="0" fontId="55" fillId="49" borderId="16" xfId="0" applyFont="1" applyFill="1" applyBorder="1" applyAlignment="1">
      <alignment horizontal="center" vertical="center" wrapText="1"/>
    </xf>
    <xf numFmtId="164" fontId="62" fillId="49" borderId="26" xfId="0" applyNumberFormat="1" applyFont="1" applyFill="1" applyBorder="1" applyAlignment="1">
      <alignment horizontal="center" vertical="center" wrapText="1"/>
    </xf>
    <xf numFmtId="2" fontId="62" fillId="49" borderId="42" xfId="0" applyNumberFormat="1" applyFont="1" applyFill="1" applyBorder="1" applyAlignment="1">
      <alignment horizontal="center" vertical="center" wrapText="1"/>
    </xf>
    <xf numFmtId="2" fontId="55" fillId="49" borderId="42" xfId="0" applyNumberFormat="1" applyFont="1" applyFill="1" applyBorder="1" applyAlignment="1">
      <alignment horizontal="center" vertical="center" wrapText="1"/>
    </xf>
    <xf numFmtId="164" fontId="62" fillId="49" borderId="42" xfId="0" applyNumberFormat="1" applyFont="1" applyFill="1" applyBorder="1" applyAlignment="1">
      <alignment horizontal="center" vertical="center" wrapText="1"/>
    </xf>
    <xf numFmtId="164" fontId="25" fillId="49" borderId="38" xfId="0" applyNumberFormat="1" applyFont="1" applyFill="1" applyBorder="1" applyAlignment="1">
      <alignment horizontal="center" vertical="center" wrapText="1"/>
    </xf>
    <xf numFmtId="164" fontId="25" fillId="49" borderId="10" xfId="0" applyNumberFormat="1" applyFont="1" applyFill="1" applyBorder="1" applyAlignment="1">
      <alignment horizontal="center" vertical="center" wrapText="1"/>
    </xf>
    <xf numFmtId="164" fontId="25" fillId="0" borderId="16" xfId="0" applyNumberFormat="1" applyFont="1" applyBorder="1" applyAlignment="1">
      <alignment horizontal="center" vertical="center" wrapText="1"/>
    </xf>
    <xf numFmtId="0" fontId="62" fillId="0" borderId="16" xfId="0" applyFont="1" applyBorder="1" applyAlignment="1">
      <alignment horizontal="center" vertical="center" wrapText="1"/>
    </xf>
    <xf numFmtId="164" fontId="62" fillId="0" borderId="16" xfId="0" applyNumberFormat="1" applyFont="1" applyBorder="1" applyAlignment="1">
      <alignment horizontal="center" vertical="center" wrapText="1"/>
    </xf>
    <xf numFmtId="164" fontId="62" fillId="0" borderId="10" xfId="0" applyNumberFormat="1" applyFont="1" applyBorder="1" applyAlignment="1">
      <alignment horizontal="center" vertical="center" wrapText="1"/>
    </xf>
    <xf numFmtId="164" fontId="78" fillId="0" borderId="10" xfId="46" applyNumberFormat="1" applyFont="1" applyBorder="1" applyAlignment="1">
      <alignment horizontal="center" vertical="center" wrapText="1"/>
    </xf>
    <xf numFmtId="164" fontId="78" fillId="0" borderId="16" xfId="46" applyNumberFormat="1" applyFont="1" applyBorder="1" applyAlignment="1">
      <alignment horizontal="center" vertical="center" wrapText="1"/>
    </xf>
    <xf numFmtId="166" fontId="62" fillId="43" borderId="16" xfId="46" applyNumberFormat="1" applyFont="1" applyFill="1" applyBorder="1" applyAlignment="1">
      <alignment horizontal="center" vertical="center" wrapText="1"/>
    </xf>
    <xf numFmtId="166" fontId="78" fillId="0" borderId="16" xfId="46" applyNumberFormat="1" applyFont="1" applyBorder="1" applyAlignment="1">
      <alignment horizontal="center" vertical="center" wrapText="1"/>
    </xf>
    <xf numFmtId="166" fontId="62" fillId="0" borderId="16" xfId="46" applyNumberFormat="1" applyFont="1" applyBorder="1" applyAlignment="1">
      <alignment horizontal="center" vertical="center" wrapText="1"/>
    </xf>
    <xf numFmtId="166" fontId="25" fillId="27" borderId="16" xfId="46" applyNumberFormat="1" applyFont="1" applyFill="1" applyBorder="1" applyAlignment="1">
      <alignment horizontal="center" vertical="center" wrapText="1"/>
    </xf>
    <xf numFmtId="166" fontId="62" fillId="27" borderId="16" xfId="0" applyNumberFormat="1" applyFont="1" applyFill="1" applyBorder="1" applyAlignment="1">
      <alignment horizontal="center" vertical="center"/>
    </xf>
    <xf numFmtId="166" fontId="54" fillId="0" borderId="16" xfId="0" applyNumberFormat="1" applyFont="1" applyBorder="1" applyAlignment="1">
      <alignment horizontal="center" vertical="center" wrapText="1"/>
    </xf>
    <xf numFmtId="166" fontId="54" fillId="0" borderId="45" xfId="46" applyNumberFormat="1" applyFont="1" applyBorder="1" applyAlignment="1">
      <alignment horizontal="center" vertical="center" wrapText="1"/>
    </xf>
    <xf numFmtId="166" fontId="53" fillId="41" borderId="38" xfId="46" applyNumberFormat="1" applyFont="1" applyFill="1" applyBorder="1" applyAlignment="1">
      <alignment horizontal="center" vertical="center" wrapText="1"/>
    </xf>
    <xf numFmtId="166" fontId="53" fillId="25" borderId="16" xfId="46" applyNumberFormat="1" applyFont="1" applyFill="1" applyBorder="1" applyAlignment="1">
      <alignment horizontal="center" vertical="center" wrapText="1"/>
    </xf>
    <xf numFmtId="3" fontId="54" fillId="0" borderId="27" xfId="0" applyNumberFormat="1" applyFont="1" applyBorder="1" applyAlignment="1">
      <alignment vertical="center" wrapText="1"/>
    </xf>
    <xf numFmtId="0" fontId="62" fillId="0" borderId="27" xfId="0" applyFont="1" applyBorder="1" applyAlignment="1">
      <alignment horizontal="left" vertical="center" wrapText="1"/>
    </xf>
    <xf numFmtId="0" fontId="62" fillId="0" borderId="44" xfId="0" applyFont="1" applyBorder="1" applyAlignment="1">
      <alignment horizontal="left" vertical="center" wrapText="1"/>
    </xf>
    <xf numFmtId="0" fontId="62" fillId="0" borderId="22" xfId="0" applyFont="1" applyBorder="1" applyAlignment="1">
      <alignment horizontal="left" vertical="center" wrapText="1"/>
    </xf>
    <xf numFmtId="164" fontId="62" fillId="0" borderId="22" xfId="46" applyNumberFormat="1" applyFont="1" applyBorder="1" applyAlignment="1">
      <alignment horizontal="left" vertical="center" wrapText="1"/>
    </xf>
    <xf numFmtId="164" fontId="62" fillId="0" borderId="27" xfId="46" applyNumberFormat="1" applyFont="1" applyBorder="1" applyAlignment="1">
      <alignment vertical="center" wrapText="1"/>
    </xf>
    <xf numFmtId="166" fontId="62" fillId="0" borderId="27" xfId="46" applyNumberFormat="1" applyFont="1" applyBorder="1" applyAlignment="1">
      <alignment vertical="center" wrapText="1"/>
    </xf>
    <xf numFmtId="166" fontId="62" fillId="0" borderId="27" xfId="46" applyNumberFormat="1" applyFont="1" applyBorder="1" applyAlignment="1">
      <alignment horizontal="left" vertical="center" wrapText="1"/>
    </xf>
    <xf numFmtId="166" fontId="54" fillId="27" borderId="27" xfId="46" applyNumberFormat="1" applyFont="1" applyFill="1" applyBorder="1" applyAlignment="1">
      <alignment vertical="center" wrapText="1"/>
    </xf>
    <xf numFmtId="0" fontId="54" fillId="0" borderId="44" xfId="0" applyFont="1" applyBorder="1"/>
    <xf numFmtId="166" fontId="68" fillId="0" borderId="27" xfId="46" applyNumberFormat="1" applyFont="1" applyBorder="1" applyAlignment="1">
      <alignment vertical="center" wrapText="1"/>
    </xf>
    <xf numFmtId="166" fontId="54" fillId="0" borderId="25" xfId="46" applyNumberFormat="1" applyFont="1" applyBorder="1" applyAlignment="1">
      <alignment vertical="center" wrapText="1"/>
    </xf>
    <xf numFmtId="166" fontId="54" fillId="0" borderId="44" xfId="46" applyNumberFormat="1" applyFont="1" applyBorder="1" applyAlignment="1">
      <alignment vertical="center" wrapText="1"/>
    </xf>
    <xf numFmtId="0" fontId="62" fillId="0" borderId="14" xfId="0" applyFont="1" applyBorder="1" applyAlignment="1">
      <alignment horizontal="center" vertical="center"/>
    </xf>
    <xf numFmtId="0" fontId="20" fillId="0" borderId="14" xfId="76" applyFont="1" applyBorder="1" applyAlignment="1">
      <alignment vertical="center" wrapText="1"/>
    </xf>
    <xf numFmtId="0" fontId="54" fillId="27" borderId="33" xfId="46" applyFont="1" applyFill="1" applyBorder="1" applyAlignment="1">
      <alignment horizontal="center" vertical="center" wrapText="1"/>
    </xf>
    <xf numFmtId="166" fontId="52" fillId="0" borderId="14" xfId="46" applyNumberFormat="1" applyFont="1" applyBorder="1" applyAlignment="1">
      <alignment vertical="center" wrapText="1"/>
    </xf>
    <xf numFmtId="166" fontId="88" fillId="0" borderId="14" xfId="46" applyNumberFormat="1" applyFont="1" applyBorder="1" applyAlignment="1">
      <alignment vertical="center" wrapText="1"/>
    </xf>
    <xf numFmtId="0" fontId="88" fillId="0" borderId="14" xfId="0" applyFont="1" applyBorder="1" applyAlignment="1">
      <alignment wrapText="1"/>
    </xf>
    <xf numFmtId="0" fontId="68" fillId="0" borderId="37" xfId="46" applyFont="1" applyBorder="1" applyAlignment="1">
      <alignment horizontal="right" vertical="center" wrapText="1"/>
    </xf>
    <xf numFmtId="0" fontId="54" fillId="0" borderId="37" xfId="46" applyFont="1" applyBorder="1" applyAlignment="1">
      <alignment horizontal="center" vertical="center" wrapText="1"/>
    </xf>
    <xf numFmtId="0" fontId="54" fillId="27" borderId="22" xfId="46" applyFont="1" applyFill="1" applyBorder="1" applyAlignment="1">
      <alignment horizontal="center" vertical="center" wrapText="1"/>
    </xf>
    <xf numFmtId="0" fontId="62" fillId="0" borderId="14" xfId="46" applyFont="1" applyBorder="1" applyAlignment="1">
      <alignment horizontal="right" vertical="center" wrapText="1"/>
    </xf>
    <xf numFmtId="166" fontId="56" fillId="41" borderId="14" xfId="46" applyNumberFormat="1" applyFont="1" applyFill="1" applyBorder="1" applyAlignment="1">
      <alignment horizontal="center" vertical="center" wrapText="1"/>
    </xf>
    <xf numFmtId="166" fontId="56" fillId="0" borderId="14" xfId="46" applyNumberFormat="1" applyFont="1" applyBorder="1" applyAlignment="1">
      <alignment horizontal="center" vertical="center" wrapText="1"/>
    </xf>
    <xf numFmtId="166" fontId="56" fillId="0" borderId="16" xfId="46" applyNumberFormat="1" applyFont="1" applyBorder="1" applyAlignment="1">
      <alignment horizontal="center" vertical="center" wrapText="1"/>
    </xf>
    <xf numFmtId="166" fontId="56" fillId="41" borderId="17" xfId="46" applyNumberFormat="1" applyFont="1" applyFill="1" applyBorder="1" applyAlignment="1">
      <alignment horizontal="center" vertical="center" wrapText="1"/>
    </xf>
    <xf numFmtId="166" fontId="56" fillId="0" borderId="17" xfId="46" applyNumberFormat="1" applyFont="1" applyBorder="1" applyAlignment="1">
      <alignment horizontal="center" vertical="center" wrapText="1"/>
    </xf>
    <xf numFmtId="166" fontId="56" fillId="0" borderId="26" xfId="46" applyNumberFormat="1" applyFont="1" applyBorder="1" applyAlignment="1">
      <alignment horizontal="center" vertical="center" wrapText="1"/>
    </xf>
    <xf numFmtId="0" fontId="62" fillId="46" borderId="14" xfId="0" applyFont="1" applyFill="1" applyBorder="1" applyAlignment="1">
      <alignment wrapText="1"/>
    </xf>
    <xf numFmtId="0" fontId="54" fillId="52" borderId="14" xfId="0" applyFont="1" applyFill="1" applyBorder="1" applyAlignment="1">
      <alignment wrapText="1"/>
    </xf>
    <xf numFmtId="0" fontId="54" fillId="0" borderId="23" xfId="77" applyFont="1" applyBorder="1" applyAlignment="1">
      <alignment horizontal="center" vertical="center"/>
    </xf>
    <xf numFmtId="0" fontId="19" fillId="0" borderId="14" xfId="76" applyFont="1" applyBorder="1" applyAlignment="1">
      <alignment vertical="center" wrapText="1"/>
    </xf>
    <xf numFmtId="0" fontId="54" fillId="27" borderId="17" xfId="46" applyFont="1" applyFill="1" applyBorder="1" applyAlignment="1">
      <alignment horizontal="center" vertical="center" wrapText="1"/>
    </xf>
    <xf numFmtId="166" fontId="55" fillId="27" borderId="14" xfId="0" applyNumberFormat="1" applyFont="1" applyFill="1" applyBorder="1" applyAlignment="1">
      <alignment vertical="center"/>
    </xf>
    <xf numFmtId="166" fontId="56" fillId="27" borderId="14" xfId="46" applyNumberFormat="1" applyFont="1" applyFill="1" applyBorder="1" applyAlignment="1">
      <alignment horizontal="center" vertical="center" wrapText="1"/>
    </xf>
    <xf numFmtId="166" fontId="54" fillId="41" borderId="16" xfId="46" applyNumberFormat="1" applyFont="1" applyFill="1" applyBorder="1" applyAlignment="1">
      <alignment horizontal="left" vertical="center" wrapText="1"/>
    </xf>
    <xf numFmtId="164" fontId="25" fillId="58" borderId="14" xfId="0" applyNumberFormat="1" applyFont="1" applyFill="1" applyBorder="1" applyAlignment="1">
      <alignment horizontal="center" vertical="center" wrapText="1"/>
    </xf>
    <xf numFmtId="164" fontId="62" fillId="58" borderId="14" xfId="0" applyNumberFormat="1" applyFont="1" applyFill="1" applyBorder="1" applyAlignment="1">
      <alignment horizontal="center" vertical="center" wrapText="1"/>
    </xf>
    <xf numFmtId="164" fontId="62" fillId="58" borderId="17" xfId="0" applyNumberFormat="1" applyFont="1" applyFill="1" applyBorder="1" applyAlignment="1">
      <alignment horizontal="center" vertical="center" wrapText="1"/>
    </xf>
    <xf numFmtId="164" fontId="62" fillId="58" borderId="37" xfId="0" applyNumberFormat="1" applyFont="1" applyFill="1" applyBorder="1" applyAlignment="1">
      <alignment horizontal="center" vertical="center" wrapText="1"/>
    </xf>
    <xf numFmtId="164" fontId="25" fillId="58" borderId="37" xfId="0" applyNumberFormat="1" applyFont="1" applyFill="1" applyBorder="1" applyAlignment="1">
      <alignment horizontal="center" vertical="center" wrapText="1"/>
    </xf>
    <xf numFmtId="164" fontId="25" fillId="58" borderId="34" xfId="0" applyNumberFormat="1" applyFont="1" applyFill="1" applyBorder="1" applyAlignment="1">
      <alignment horizontal="center" vertical="center" wrapText="1"/>
    </xf>
    <xf numFmtId="164" fontId="62" fillId="58" borderId="23" xfId="0" applyNumberFormat="1" applyFont="1" applyFill="1" applyBorder="1" applyAlignment="1">
      <alignment horizontal="center" vertical="center" wrapText="1"/>
    </xf>
    <xf numFmtId="164" fontId="54" fillId="58" borderId="14" xfId="0" applyNumberFormat="1" applyFont="1" applyFill="1" applyBorder="1" applyAlignment="1">
      <alignment horizontal="center" vertical="center" wrapText="1"/>
    </xf>
    <xf numFmtId="164" fontId="62" fillId="27" borderId="23" xfId="46" applyNumberFormat="1" applyFont="1" applyFill="1" applyBorder="1" applyAlignment="1">
      <alignment horizontal="center" vertical="center" wrapText="1"/>
    </xf>
    <xf numFmtId="164" fontId="62" fillId="27" borderId="14" xfId="46" applyNumberFormat="1" applyFont="1" applyFill="1" applyBorder="1" applyAlignment="1">
      <alignment horizontal="center" vertical="center" wrapText="1"/>
    </xf>
    <xf numFmtId="166" fontId="62" fillId="58" borderId="14" xfId="0" applyNumberFormat="1" applyFont="1" applyFill="1" applyBorder="1" applyAlignment="1">
      <alignment horizontal="center" vertical="center" wrapText="1"/>
    </xf>
    <xf numFmtId="166" fontId="56" fillId="27" borderId="17" xfId="46" applyNumberFormat="1" applyFont="1" applyFill="1" applyBorder="1" applyAlignment="1">
      <alignment horizontal="center" vertical="center" wrapText="1"/>
    </xf>
    <xf numFmtId="0" fontId="54" fillId="27" borderId="14" xfId="75" applyFont="1" applyFill="1" applyBorder="1" applyAlignment="1">
      <alignment horizontal="center" vertical="center"/>
    </xf>
    <xf numFmtId="166" fontId="54" fillId="27" borderId="14" xfId="75" applyNumberFormat="1" applyFont="1" applyFill="1" applyBorder="1" applyAlignment="1">
      <alignment horizontal="center" vertical="center"/>
    </xf>
    <xf numFmtId="166" fontId="54" fillId="27" borderId="17" xfId="75" applyNumberFormat="1" applyFont="1" applyFill="1" applyBorder="1" applyAlignment="1">
      <alignment horizontal="center" vertical="center"/>
    </xf>
    <xf numFmtId="166" fontId="54" fillId="27" borderId="34" xfId="75" applyNumberFormat="1" applyFont="1" applyFill="1" applyBorder="1" applyAlignment="1">
      <alignment horizontal="center" vertical="center"/>
    </xf>
    <xf numFmtId="166" fontId="54" fillId="27" borderId="37" xfId="75" applyNumberFormat="1" applyFont="1" applyFill="1" applyBorder="1" applyAlignment="1">
      <alignment horizontal="center" vertical="center"/>
    </xf>
    <xf numFmtId="0" fontId="99" fillId="0" borderId="32" xfId="0" applyFont="1" applyBorder="1" applyAlignment="1">
      <alignment wrapText="1"/>
    </xf>
    <xf numFmtId="166" fontId="81" fillId="27" borderId="14" xfId="79" applyNumberFormat="1" applyFont="1" applyFill="1" applyBorder="1" applyAlignment="1">
      <alignment horizontal="center" vertical="center" wrapText="1"/>
    </xf>
    <xf numFmtId="166" fontId="53" fillId="27" borderId="14" xfId="79" applyNumberFormat="1" applyFont="1" applyFill="1" applyBorder="1" applyAlignment="1">
      <alignment horizontal="center" vertical="center" wrapText="1"/>
    </xf>
    <xf numFmtId="166" fontId="72" fillId="27" borderId="14" xfId="0" applyNumberFormat="1" applyFont="1" applyFill="1" applyBorder="1" applyAlignment="1">
      <alignment horizontal="center" vertical="center"/>
    </xf>
    <xf numFmtId="166" fontId="68" fillId="27" borderId="14" xfId="0" applyNumberFormat="1" applyFont="1" applyFill="1" applyBorder="1" applyAlignment="1">
      <alignment horizontal="center" vertical="center"/>
    </xf>
    <xf numFmtId="166" fontId="72" fillId="27" borderId="14" xfId="46" applyNumberFormat="1" applyFont="1" applyFill="1" applyBorder="1" applyAlignment="1">
      <alignment horizontal="center" vertical="center" wrapText="1"/>
    </xf>
    <xf numFmtId="166" fontId="72" fillId="27" borderId="17" xfId="0" applyNumberFormat="1" applyFont="1" applyFill="1" applyBorder="1" applyAlignment="1">
      <alignment horizontal="center" vertical="center"/>
    </xf>
    <xf numFmtId="166" fontId="72" fillId="27" borderId="34" xfId="0" applyNumberFormat="1" applyFont="1" applyFill="1" applyBorder="1" applyAlignment="1">
      <alignment horizontal="center" vertical="center"/>
    </xf>
    <xf numFmtId="166" fontId="68" fillId="27" borderId="34" xfId="79" applyNumberFormat="1" applyFont="1" applyFill="1" applyBorder="1" applyAlignment="1">
      <alignment horizontal="center" vertical="center" wrapText="1"/>
    </xf>
    <xf numFmtId="166" fontId="72" fillId="27" borderId="34" xfId="46" applyNumberFormat="1" applyFont="1" applyFill="1" applyBorder="1" applyAlignment="1">
      <alignment horizontal="center" vertical="center" wrapText="1"/>
    </xf>
    <xf numFmtId="166" fontId="72" fillId="27" borderId="39" xfId="46" applyNumberFormat="1" applyFont="1" applyFill="1" applyBorder="1" applyAlignment="1">
      <alignment horizontal="center" vertical="center" wrapText="1"/>
    </xf>
    <xf numFmtId="166" fontId="72" fillId="27" borderId="23" xfId="0" applyNumberFormat="1" applyFont="1" applyFill="1" applyBorder="1" applyAlignment="1">
      <alignment horizontal="center" vertical="center"/>
    </xf>
    <xf numFmtId="166" fontId="72" fillId="27" borderId="17" xfId="46" applyNumberFormat="1" applyFont="1" applyFill="1" applyBorder="1" applyAlignment="1">
      <alignment horizontal="center" vertical="center" wrapText="1"/>
    </xf>
    <xf numFmtId="166" fontId="72" fillId="27" borderId="37" xfId="46" applyNumberFormat="1" applyFont="1" applyFill="1" applyBorder="1" applyAlignment="1">
      <alignment horizontal="center" vertical="center" wrapText="1"/>
    </xf>
    <xf numFmtId="166" fontId="81" fillId="27" borderId="14" xfId="46" applyNumberFormat="1" applyFont="1" applyFill="1" applyBorder="1" applyAlignment="1">
      <alignment horizontal="center" vertical="center" wrapText="1"/>
    </xf>
    <xf numFmtId="166" fontId="68" fillId="27" borderId="14" xfId="0" applyNumberFormat="1" applyFont="1" applyFill="1" applyBorder="1" applyAlignment="1">
      <alignment horizontal="center" wrapText="1"/>
    </xf>
    <xf numFmtId="166" fontId="68" fillId="27" borderId="17" xfId="0" applyNumberFormat="1" applyFont="1" applyFill="1" applyBorder="1" applyAlignment="1">
      <alignment horizontal="center" wrapText="1"/>
    </xf>
    <xf numFmtId="166" fontId="68" fillId="27" borderId="34" xfId="0" applyNumberFormat="1" applyFont="1" applyFill="1" applyBorder="1" applyAlignment="1">
      <alignment horizontal="center" wrapText="1"/>
    </xf>
    <xf numFmtId="166" fontId="68" fillId="27" borderId="37" xfId="0" applyNumberFormat="1" applyFont="1" applyFill="1" applyBorder="1" applyAlignment="1">
      <alignment horizontal="center" wrapText="1"/>
    </xf>
    <xf numFmtId="166" fontId="72" fillId="27" borderId="34" xfId="0" applyNumberFormat="1" applyFont="1" applyFill="1" applyBorder="1" applyAlignment="1">
      <alignment horizontal="center" wrapText="1"/>
    </xf>
    <xf numFmtId="166" fontId="72" fillId="27" borderId="37" xfId="0" applyNumberFormat="1" applyFont="1" applyFill="1" applyBorder="1" applyAlignment="1">
      <alignment horizontal="center" wrapText="1"/>
    </xf>
    <xf numFmtId="166" fontId="72" fillId="27" borderId="14" xfId="0" applyNumberFormat="1" applyFont="1" applyFill="1" applyBorder="1" applyAlignment="1">
      <alignment horizontal="center" wrapText="1"/>
    </xf>
    <xf numFmtId="166" fontId="54" fillId="27" borderId="16" xfId="46" applyNumberFormat="1" applyFont="1" applyFill="1" applyBorder="1" applyAlignment="1">
      <alignment horizontal="left" vertical="center" wrapText="1"/>
    </xf>
    <xf numFmtId="0" fontId="0" fillId="27" borderId="14" xfId="0" applyFill="1" applyBorder="1"/>
    <xf numFmtId="0" fontId="54" fillId="0" borderId="27" xfId="0" applyFont="1" applyBorder="1" applyAlignment="1">
      <alignment horizontal="left" vertical="center" wrapText="1"/>
    </xf>
    <xf numFmtId="0" fontId="54" fillId="45" borderId="23" xfId="0" applyFont="1" applyFill="1" applyBorder="1" applyAlignment="1">
      <alignment horizontal="center" wrapText="1"/>
    </xf>
    <xf numFmtId="0" fontId="54" fillId="42" borderId="23" xfId="0" applyFont="1" applyFill="1" applyBorder="1" applyAlignment="1">
      <alignment horizontal="center" wrapText="1"/>
    </xf>
    <xf numFmtId="0" fontId="54" fillId="45" borderId="27" xfId="0" applyFont="1" applyFill="1" applyBorder="1" applyAlignment="1">
      <alignment wrapText="1"/>
    </xf>
    <xf numFmtId="164" fontId="54" fillId="27" borderId="27" xfId="0" applyNumberFormat="1"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27" xfId="0" applyFont="1" applyBorder="1" applyAlignment="1">
      <alignment horizontal="left" vertical="center" wrapText="1"/>
    </xf>
    <xf numFmtId="0" fontId="18" fillId="0" borderId="14" xfId="46" applyFont="1" applyBorder="1" applyAlignment="1">
      <alignment horizontal="left" vertical="center" wrapText="1"/>
    </xf>
    <xf numFmtId="0" fontId="18" fillId="0" borderId="33" xfId="0" applyFont="1" applyBorder="1" applyAlignment="1">
      <alignment horizontal="left" vertical="center" wrapText="1"/>
    </xf>
    <xf numFmtId="0" fontId="18" fillId="0" borderId="17" xfId="0" applyFont="1" applyBorder="1" applyAlignment="1">
      <alignment horizontal="left" vertical="center" wrapText="1"/>
    </xf>
    <xf numFmtId="0" fontId="18" fillId="0" borderId="17" xfId="46" applyFont="1" applyBorder="1" applyAlignment="1">
      <alignment horizontal="left" vertical="center" wrapText="1"/>
    </xf>
    <xf numFmtId="0" fontId="18" fillId="0" borderId="43" xfId="0" applyFont="1" applyBorder="1" applyAlignment="1">
      <alignment horizontal="left" vertical="center" wrapText="1"/>
    </xf>
    <xf numFmtId="0" fontId="18" fillId="0" borderId="37" xfId="0" applyFont="1" applyBorder="1" applyAlignment="1">
      <alignment horizontal="left" vertical="center" wrapText="1"/>
    </xf>
    <xf numFmtId="0" fontId="18" fillId="0" borderId="37" xfId="46" applyFont="1" applyBorder="1" applyAlignment="1">
      <alignment horizontal="left" vertical="center" wrapText="1"/>
    </xf>
    <xf numFmtId="0" fontId="18" fillId="0" borderId="23" xfId="46" applyFont="1" applyBorder="1" applyAlignment="1">
      <alignment horizontal="left" vertical="center" wrapText="1"/>
    </xf>
    <xf numFmtId="0" fontId="62" fillId="0" borderId="23" xfId="0" applyFont="1" applyBorder="1" applyAlignment="1">
      <alignment horizontal="left" vertical="center" wrapText="1"/>
    </xf>
    <xf numFmtId="166" fontId="62" fillId="0" borderId="23" xfId="46" applyNumberFormat="1" applyFont="1" applyBorder="1" applyAlignment="1">
      <alignment horizontal="left" vertical="center" wrapText="1"/>
    </xf>
    <xf numFmtId="166" fontId="62" fillId="27" borderId="27" xfId="46" applyNumberFormat="1" applyFont="1" applyFill="1" applyBorder="1" applyAlignment="1">
      <alignment vertical="center" wrapText="1"/>
    </xf>
    <xf numFmtId="164" fontId="54" fillId="0" borderId="34" xfId="0" applyNumberFormat="1" applyFont="1" applyBorder="1" applyAlignment="1">
      <alignment horizontal="center" vertical="center"/>
    </xf>
    <xf numFmtId="166" fontId="62" fillId="27" borderId="14" xfId="46" applyNumberFormat="1" applyFont="1" applyFill="1" applyBorder="1" applyAlignment="1">
      <alignment horizontal="left" vertical="center" wrapText="1"/>
    </xf>
    <xf numFmtId="0" fontId="62" fillId="0" borderId="0" xfId="0" applyFont="1" applyAlignment="1">
      <alignment wrapText="1"/>
    </xf>
    <xf numFmtId="166" fontId="54" fillId="27" borderId="43" xfId="46" applyNumberFormat="1" applyFont="1" applyFill="1" applyBorder="1" applyAlignment="1">
      <alignment vertical="center" wrapText="1"/>
    </xf>
    <xf numFmtId="0" fontId="52" fillId="0" borderId="14" xfId="75" applyFont="1" applyBorder="1" applyAlignment="1">
      <alignment horizontal="left" vertical="center" wrapText="1"/>
    </xf>
    <xf numFmtId="0" fontId="54" fillId="0" borderId="44" xfId="75" applyFont="1" applyBorder="1" applyAlignment="1">
      <alignment horizontal="left" vertical="center" wrapText="1"/>
    </xf>
    <xf numFmtId="0" fontId="54" fillId="0" borderId="22" xfId="75" applyFont="1" applyBorder="1" applyAlignment="1">
      <alignment horizontal="left" vertical="center" wrapText="1"/>
    </xf>
    <xf numFmtId="0" fontId="54" fillId="0" borderId="44" xfId="0" applyFont="1" applyBorder="1" applyAlignment="1">
      <alignment horizontal="left" vertical="center" wrapText="1"/>
    </xf>
    <xf numFmtId="0" fontId="54" fillId="0" borderId="27" xfId="75" applyFont="1" applyBorder="1" applyAlignment="1">
      <alignment horizontal="left" vertical="center" wrapText="1"/>
    </xf>
    <xf numFmtId="0" fontId="54" fillId="0" borderId="44" xfId="75" applyFont="1" applyBorder="1" applyAlignment="1">
      <alignment horizontal="left" vertical="center"/>
    </xf>
    <xf numFmtId="4" fontId="93" fillId="0" borderId="44" xfId="0" applyNumberFormat="1" applyFont="1" applyBorder="1"/>
    <xf numFmtId="166" fontId="33" fillId="27" borderId="14" xfId="46" applyNumberFormat="1" applyFill="1" applyBorder="1"/>
    <xf numFmtId="166" fontId="17" fillId="0" borderId="27" xfId="79" applyNumberFormat="1" applyFont="1" applyBorder="1" applyAlignment="1">
      <alignment vertical="center" wrapText="1"/>
    </xf>
    <xf numFmtId="166" fontId="17" fillId="0" borderId="14" xfId="79" applyNumberFormat="1" applyFont="1" applyBorder="1" applyAlignment="1">
      <alignment horizontal="left" vertical="center" wrapText="1"/>
    </xf>
    <xf numFmtId="166" fontId="62" fillId="0" borderId="14" xfId="79" applyNumberFormat="1" applyFont="1" applyBorder="1" applyAlignment="1">
      <alignment horizontal="center" vertical="center" wrapText="1"/>
    </xf>
    <xf numFmtId="166" fontId="17" fillId="0" borderId="27" xfId="79" applyNumberFormat="1" applyFont="1" applyBorder="1" applyAlignment="1">
      <alignment vertical="center"/>
    </xf>
    <xf numFmtId="166" fontId="17" fillId="0" borderId="14" xfId="79" applyNumberFormat="1" applyFont="1" applyBorder="1" applyAlignment="1">
      <alignment horizontal="left" vertical="center"/>
    </xf>
    <xf numFmtId="166" fontId="62" fillId="0" borderId="14" xfId="79" applyNumberFormat="1" applyFont="1" applyBorder="1" applyAlignment="1">
      <alignment horizontal="center" vertical="center"/>
    </xf>
    <xf numFmtId="0" fontId="17" fillId="0" borderId="14" xfId="77" applyFont="1" applyBorder="1" applyAlignment="1">
      <alignment horizontal="left"/>
    </xf>
    <xf numFmtId="3" fontId="62" fillId="0" borderId="14" xfId="79" applyNumberFormat="1" applyFont="1" applyBorder="1" applyAlignment="1">
      <alignment horizontal="center" vertical="center" wrapText="1"/>
    </xf>
    <xf numFmtId="166" fontId="17" fillId="0" borderId="17" xfId="79" applyNumberFormat="1" applyFont="1" applyBorder="1" applyAlignment="1">
      <alignment horizontal="left" vertical="center"/>
    </xf>
    <xf numFmtId="166" fontId="54" fillId="0" borderId="27" xfId="79" applyNumberFormat="1" applyFont="1" applyBorder="1" applyAlignment="1">
      <alignment vertical="center" wrapText="1"/>
    </xf>
    <xf numFmtId="3" fontId="62" fillId="0" borderId="16" xfId="79" applyNumberFormat="1" applyFont="1" applyBorder="1" applyAlignment="1">
      <alignment horizontal="center" vertical="center" wrapText="1"/>
    </xf>
    <xf numFmtId="166" fontId="17" fillId="0" borderId="14" xfId="79" applyNumberFormat="1" applyFont="1" applyBorder="1" applyAlignment="1">
      <alignment horizontal="center" vertical="center" wrapText="1"/>
    </xf>
    <xf numFmtId="166" fontId="17" fillId="0" borderId="23" xfId="79" applyNumberFormat="1" applyFont="1" applyBorder="1" applyAlignment="1">
      <alignment horizontal="left" vertical="center" wrapText="1"/>
    </xf>
    <xf numFmtId="166" fontId="17" fillId="0" borderId="14" xfId="79" applyNumberFormat="1" applyFont="1" applyBorder="1" applyAlignment="1">
      <alignment horizontal="center" vertical="center"/>
    </xf>
    <xf numFmtId="166" fontId="62" fillId="0" borderId="27" xfId="79" applyNumberFormat="1" applyFont="1" applyBorder="1" applyAlignment="1">
      <alignment vertical="center" wrapText="1"/>
    </xf>
    <xf numFmtId="166" fontId="62" fillId="0" borderId="10" xfId="79" applyNumberFormat="1" applyFont="1" applyBorder="1" applyAlignment="1">
      <alignment horizontal="left" vertical="center"/>
    </xf>
    <xf numFmtId="166" fontId="62" fillId="0" borderId="39" xfId="79" applyNumberFormat="1" applyFont="1" applyBorder="1" applyAlignment="1">
      <alignment horizontal="center" vertical="center" wrapText="1"/>
    </xf>
    <xf numFmtId="166" fontId="17" fillId="0" borderId="22" xfId="79" applyNumberFormat="1" applyFont="1" applyBorder="1" applyAlignment="1">
      <alignment horizontal="left" vertical="center" wrapText="1"/>
    </xf>
    <xf numFmtId="166" fontId="62" fillId="0" borderId="16" xfId="79" applyNumberFormat="1" applyFont="1" applyBorder="1" applyAlignment="1">
      <alignment horizontal="left" vertical="center" wrapText="1"/>
    </xf>
    <xf numFmtId="166" fontId="62" fillId="0" borderId="34" xfId="79" applyNumberFormat="1" applyFont="1" applyBorder="1" applyAlignment="1">
      <alignment horizontal="center" vertical="center" wrapText="1"/>
    </xf>
    <xf numFmtId="166" fontId="17" fillId="0" borderId="27" xfId="79" applyNumberFormat="1" applyFont="1" applyBorder="1" applyAlignment="1">
      <alignment horizontal="left" vertical="center" wrapText="1"/>
    </xf>
    <xf numFmtId="166" fontId="62" fillId="0" borderId="27" xfId="79" applyNumberFormat="1" applyFont="1" applyBorder="1" applyAlignment="1">
      <alignment vertical="center"/>
    </xf>
    <xf numFmtId="166" fontId="62" fillId="0" borderId="14" xfId="79" applyNumberFormat="1" applyFont="1" applyBorder="1" applyAlignment="1">
      <alignment horizontal="left" vertical="center"/>
    </xf>
    <xf numFmtId="3" fontId="62" fillId="0" borderId="14" xfId="79" applyNumberFormat="1" applyFont="1" applyBorder="1" applyAlignment="1">
      <alignment horizontal="center" vertical="center"/>
    </xf>
    <xf numFmtId="0" fontId="54" fillId="0" borderId="14" xfId="0" applyFont="1" applyBorder="1" applyAlignment="1">
      <alignment horizontal="left"/>
    </xf>
    <xf numFmtId="166" fontId="62" fillId="0" borderId="14" xfId="79" applyNumberFormat="1" applyFont="1" applyBorder="1" applyAlignment="1">
      <alignment horizontal="left" vertical="center" wrapText="1"/>
    </xf>
    <xf numFmtId="169" fontId="62" fillId="27" borderId="14" xfId="79" applyNumberFormat="1" applyFont="1" applyFill="1" applyBorder="1" applyAlignment="1">
      <alignment horizontal="center" vertical="center"/>
    </xf>
    <xf numFmtId="3" fontId="62" fillId="27" borderId="14" xfId="79" applyNumberFormat="1" applyFont="1" applyFill="1" applyBorder="1" applyAlignment="1">
      <alignment horizontal="center" vertical="center"/>
    </xf>
    <xf numFmtId="3" fontId="62" fillId="27" borderId="14" xfId="79" applyNumberFormat="1" applyFont="1" applyFill="1" applyBorder="1" applyAlignment="1">
      <alignment horizontal="center" vertical="center" wrapText="1"/>
    </xf>
    <xf numFmtId="3" fontId="62" fillId="27" borderId="17" xfId="79" applyNumberFormat="1" applyFont="1" applyFill="1" applyBorder="1" applyAlignment="1">
      <alignment horizontal="center" vertical="center"/>
    </xf>
    <xf numFmtId="166" fontId="17" fillId="0" borderId="17" xfId="79" applyNumberFormat="1" applyFont="1" applyBorder="1" applyAlignment="1">
      <alignment vertical="center"/>
    </xf>
    <xf numFmtId="166" fontId="62" fillId="0" borderId="44" xfId="79" applyNumberFormat="1" applyFont="1" applyBorder="1" applyAlignment="1">
      <alignment vertical="center"/>
    </xf>
    <xf numFmtId="166" fontId="62" fillId="0" borderId="34" xfId="79" applyNumberFormat="1" applyFont="1" applyBorder="1" applyAlignment="1">
      <alignment horizontal="left" vertical="center"/>
    </xf>
    <xf numFmtId="3" fontId="62" fillId="27" borderId="34" xfId="79" applyNumberFormat="1" applyFont="1" applyFill="1" applyBorder="1" applyAlignment="1">
      <alignment horizontal="center" vertical="center"/>
    </xf>
    <xf numFmtId="166" fontId="17" fillId="0" borderId="34" xfId="79" applyNumberFormat="1" applyFont="1" applyBorder="1" applyAlignment="1">
      <alignment horizontal="left" vertical="center"/>
    </xf>
    <xf numFmtId="0" fontId="54" fillId="0" borderId="34" xfId="0" applyFont="1" applyBorder="1" applyAlignment="1">
      <alignment horizontal="left"/>
    </xf>
    <xf numFmtId="166" fontId="62" fillId="0" borderId="34" xfId="79" applyNumberFormat="1" applyFont="1" applyBorder="1" applyAlignment="1">
      <alignment horizontal="left" vertical="center" wrapText="1"/>
    </xf>
    <xf numFmtId="166" fontId="62" fillId="27" borderId="23" xfId="79" applyNumberFormat="1" applyFont="1" applyFill="1" applyBorder="1" applyAlignment="1">
      <alignment horizontal="center" vertical="center"/>
    </xf>
    <xf numFmtId="166" fontId="17" fillId="0" borderId="23" xfId="79" applyNumberFormat="1" applyFont="1" applyBorder="1" applyAlignment="1">
      <alignment horizontal="left" vertical="center"/>
    </xf>
    <xf numFmtId="166" fontId="62" fillId="0" borderId="27" xfId="79" applyNumberFormat="1" applyFont="1" applyBorder="1" applyAlignment="1">
      <alignment horizontal="left" vertical="center"/>
    </xf>
    <xf numFmtId="0" fontId="62" fillId="0" borderId="44" xfId="0" applyFont="1" applyBorder="1"/>
    <xf numFmtId="0" fontId="62" fillId="0" borderId="27" xfId="0" applyFont="1" applyBorder="1" applyAlignment="1">
      <alignment horizontal="center" wrapText="1"/>
    </xf>
    <xf numFmtId="0" fontId="62" fillId="0" borderId="46" xfId="0" applyFont="1" applyBorder="1"/>
    <xf numFmtId="0" fontId="62" fillId="0" borderId="14" xfId="0" applyFont="1" applyBorder="1" applyAlignment="1">
      <alignment horizontal="left"/>
    </xf>
    <xf numFmtId="166" fontId="62" fillId="0" borderId="33" xfId="79" applyNumberFormat="1" applyFont="1" applyBorder="1" applyAlignment="1">
      <alignment vertical="center" wrapText="1"/>
    </xf>
    <xf numFmtId="166" fontId="62" fillId="0" borderId="44" xfId="79" applyNumberFormat="1" applyFont="1" applyBorder="1" applyAlignment="1">
      <alignment vertical="center" wrapText="1"/>
    </xf>
    <xf numFmtId="166" fontId="62" fillId="0" borderId="43" xfId="79" applyNumberFormat="1" applyFont="1" applyBorder="1" applyAlignment="1">
      <alignment vertical="center" wrapText="1"/>
    </xf>
    <xf numFmtId="166" fontId="62" fillId="0" borderId="33" xfId="79" applyNumberFormat="1" applyFont="1" applyBorder="1" applyAlignment="1">
      <alignment horizontal="left" vertical="center"/>
    </xf>
    <xf numFmtId="166" fontId="62" fillId="0" borderId="17" xfId="79" applyNumberFormat="1" applyFont="1" applyBorder="1" applyAlignment="1">
      <alignment horizontal="center" vertical="center"/>
    </xf>
    <xf numFmtId="166" fontId="62" fillId="27" borderId="34" xfId="79" applyNumberFormat="1" applyFont="1" applyFill="1" applyBorder="1" applyAlignment="1">
      <alignment horizontal="left" vertical="center" wrapText="1"/>
    </xf>
    <xf numFmtId="3" fontId="62" fillId="27" borderId="34" xfId="79" applyNumberFormat="1" applyFont="1" applyFill="1" applyBorder="1" applyAlignment="1">
      <alignment horizontal="center" vertical="center" wrapText="1"/>
    </xf>
    <xf numFmtId="166" fontId="17" fillId="27" borderId="34" xfId="79" applyNumberFormat="1" applyFont="1" applyFill="1" applyBorder="1" applyAlignment="1">
      <alignment horizontal="left" vertical="center"/>
    </xf>
    <xf numFmtId="3" fontId="62" fillId="0" borderId="34" xfId="79" applyNumberFormat="1" applyFont="1" applyBorder="1" applyAlignment="1">
      <alignment horizontal="center" vertical="center"/>
    </xf>
    <xf numFmtId="166" fontId="62" fillId="0" borderId="22" xfId="79" applyNumberFormat="1" applyFont="1" applyBorder="1" applyAlignment="1">
      <alignment vertical="center" wrapText="1"/>
    </xf>
    <xf numFmtId="166" fontId="64" fillId="0" borderId="23" xfId="79" applyNumberFormat="1" applyFont="1" applyBorder="1" applyAlignment="1">
      <alignment horizontal="left" vertical="center" wrapText="1"/>
    </xf>
    <xf numFmtId="0" fontId="64" fillId="0" borderId="23" xfId="0" applyFont="1" applyBorder="1"/>
    <xf numFmtId="166" fontId="17" fillId="0" borderId="22" xfId="79" applyNumberFormat="1" applyFont="1" applyBorder="1" applyAlignment="1">
      <alignment vertical="center" wrapText="1"/>
    </xf>
    <xf numFmtId="166" fontId="76" fillId="0" borderId="14" xfId="79" applyNumberFormat="1" applyFont="1" applyBorder="1" applyAlignment="1">
      <alignment horizontal="left" vertical="center" wrapText="1"/>
    </xf>
    <xf numFmtId="166" fontId="76" fillId="0" borderId="14" xfId="79" applyNumberFormat="1" applyFont="1" applyBorder="1" applyAlignment="1">
      <alignment horizontal="center" vertical="center" wrapText="1"/>
    </xf>
    <xf numFmtId="3" fontId="17" fillId="0" borderId="14" xfId="79" applyNumberFormat="1" applyFont="1" applyBorder="1" applyAlignment="1">
      <alignment horizontal="center" vertical="center"/>
    </xf>
    <xf numFmtId="0" fontId="17" fillId="0" borderId="27" xfId="77" applyFont="1" applyBorder="1"/>
    <xf numFmtId="0" fontId="62" fillId="0" borderId="27" xfId="77" applyFont="1" applyBorder="1"/>
    <xf numFmtId="166" fontId="62" fillId="0" borderId="14" xfId="79" quotePrefix="1" applyNumberFormat="1" applyFont="1" applyBorder="1" applyAlignment="1">
      <alignment horizontal="center" vertical="center"/>
    </xf>
    <xf numFmtId="166" fontId="17" fillId="27" borderId="14" xfId="79" applyNumberFormat="1" applyFont="1" applyFill="1" applyBorder="1" applyAlignment="1">
      <alignment horizontal="left" vertical="center"/>
    </xf>
    <xf numFmtId="3" fontId="54" fillId="0" borderId="14" xfId="79" applyNumberFormat="1" applyFont="1" applyBorder="1" applyAlignment="1">
      <alignment horizontal="center" vertical="center"/>
    </xf>
    <xf numFmtId="3" fontId="54" fillId="0" borderId="17" xfId="79" applyNumberFormat="1" applyFont="1" applyBorder="1" applyAlignment="1">
      <alignment horizontal="center" vertical="center"/>
    </xf>
    <xf numFmtId="166" fontId="17" fillId="0" borderId="26" xfId="79" applyNumberFormat="1" applyFont="1" applyBorder="1" applyAlignment="1">
      <alignment horizontal="left" vertical="center"/>
    </xf>
    <xf numFmtId="3" fontId="17" fillId="0" borderId="34" xfId="79" applyNumberFormat="1" applyFont="1" applyBorder="1" applyAlignment="1">
      <alignment horizontal="center" vertical="center"/>
    </xf>
    <xf numFmtId="0" fontId="54" fillId="0" borderId="27" xfId="0" applyFont="1" applyBorder="1" applyAlignment="1">
      <alignment horizontal="left"/>
    </xf>
    <xf numFmtId="0" fontId="62" fillId="0" borderId="33" xfId="77" applyFont="1" applyBorder="1" applyAlignment="1">
      <alignment vertical="center"/>
    </xf>
    <xf numFmtId="166" fontId="62" fillId="0" borderId="26" xfId="79" applyNumberFormat="1" applyFont="1" applyBorder="1" applyAlignment="1">
      <alignment horizontal="left" vertical="center"/>
    </xf>
    <xf numFmtId="0" fontId="62" fillId="0" borderId="34" xfId="0" applyFont="1" applyBorder="1" applyAlignment="1">
      <alignment horizontal="center" vertical="center"/>
    </xf>
    <xf numFmtId="0" fontId="62" fillId="0" borderId="27" xfId="0" applyFont="1" applyBorder="1" applyAlignment="1">
      <alignment horizontal="left" vertical="center"/>
    </xf>
    <xf numFmtId="3" fontId="17" fillId="0" borderId="23" xfId="79" applyNumberFormat="1" applyFont="1" applyBorder="1" applyAlignment="1">
      <alignment horizontal="center" vertical="center" wrapText="1"/>
    </xf>
    <xf numFmtId="166" fontId="54" fillId="0" borderId="27" xfId="79" applyNumberFormat="1" applyFont="1" applyBorder="1" applyAlignment="1">
      <alignment vertical="center"/>
    </xf>
    <xf numFmtId="166" fontId="17" fillId="27" borderId="27" xfId="79" applyNumberFormat="1" applyFont="1" applyFill="1" applyBorder="1" applyAlignment="1">
      <alignment vertical="center"/>
    </xf>
    <xf numFmtId="166" fontId="76" fillId="0" borderId="14" xfId="79" applyNumberFormat="1" applyFont="1" applyBorder="1" applyAlignment="1">
      <alignment horizontal="left" vertical="center"/>
    </xf>
    <xf numFmtId="3" fontId="17" fillId="0" borderId="14" xfId="79" applyNumberFormat="1" applyFont="1" applyBorder="1" applyAlignment="1">
      <alignment horizontal="center" vertical="center" wrapText="1"/>
    </xf>
    <xf numFmtId="166" fontId="54" fillId="0" borderId="14" xfId="79" applyNumberFormat="1" applyFont="1" applyBorder="1" applyAlignment="1">
      <alignment horizontal="left" vertical="center" wrapText="1"/>
    </xf>
    <xf numFmtId="0" fontId="17" fillId="0" borderId="14" xfId="77" applyFont="1" applyBorder="1"/>
    <xf numFmtId="0" fontId="62" fillId="0" borderId="44" xfId="0" applyFont="1" applyBorder="1" applyAlignment="1">
      <alignment wrapText="1"/>
    </xf>
    <xf numFmtId="0" fontId="62" fillId="0" borderId="16" xfId="0" applyFont="1" applyBorder="1" applyAlignment="1">
      <alignment wrapText="1"/>
    </xf>
    <xf numFmtId="0" fontId="64" fillId="0" borderId="14" xfId="0" applyFont="1" applyBorder="1"/>
    <xf numFmtId="0" fontId="62" fillId="0" borderId="23" xfId="0" applyFont="1" applyBorder="1"/>
    <xf numFmtId="0" fontId="62" fillId="0" borderId="14" xfId="0" applyFont="1" applyBorder="1"/>
    <xf numFmtId="0" fontId="62" fillId="27" borderId="44" xfId="0" applyFont="1" applyFill="1" applyBorder="1" applyAlignment="1">
      <alignment wrapText="1"/>
    </xf>
    <xf numFmtId="0" fontId="62" fillId="27" borderId="27" xfId="0" applyFont="1" applyFill="1" applyBorder="1"/>
    <xf numFmtId="0" fontId="62" fillId="27" borderId="43" xfId="0" applyFont="1" applyFill="1" applyBorder="1" applyAlignment="1">
      <alignment wrapText="1"/>
    </xf>
    <xf numFmtId="0" fontId="62" fillId="27" borderId="33" xfId="0" applyFont="1" applyFill="1" applyBorder="1"/>
    <xf numFmtId="0" fontId="62" fillId="0" borderId="17" xfId="0" applyFont="1" applyBorder="1" applyAlignment="1">
      <alignment horizontal="center"/>
    </xf>
    <xf numFmtId="0" fontId="62" fillId="0" borderId="17" xfId="0" applyFont="1" applyBorder="1"/>
    <xf numFmtId="0" fontId="62" fillId="0" borderId="34" xfId="0" applyFont="1" applyBorder="1" applyAlignment="1">
      <alignment horizontal="center"/>
    </xf>
    <xf numFmtId="0" fontId="62" fillId="0" borderId="34" xfId="0" applyFont="1" applyBorder="1"/>
    <xf numFmtId="0" fontId="62" fillId="0" borderId="33" xfId="0" applyFont="1" applyBorder="1"/>
    <xf numFmtId="0" fontId="62" fillId="0" borderId="43" xfId="0" applyFont="1" applyBorder="1" applyAlignment="1">
      <alignment wrapText="1"/>
    </xf>
    <xf numFmtId="0" fontId="62" fillId="0" borderId="37" xfId="0" applyFont="1" applyBorder="1"/>
    <xf numFmtId="0" fontId="62" fillId="0" borderId="37" xfId="0" applyFont="1" applyBorder="1" applyAlignment="1">
      <alignment horizontal="center"/>
    </xf>
    <xf numFmtId="0" fontId="62" fillId="0" borderId="37" xfId="0" applyFont="1" applyBorder="1" applyAlignment="1">
      <alignment wrapText="1"/>
    </xf>
    <xf numFmtId="0" fontId="54" fillId="0" borderId="37" xfId="0" applyFont="1" applyBorder="1"/>
    <xf numFmtId="0" fontId="62" fillId="0" borderId="33" xfId="0" applyFont="1" applyBorder="1" applyAlignment="1">
      <alignment wrapText="1"/>
    </xf>
    <xf numFmtId="0" fontId="62" fillId="0" borderId="14" xfId="0" applyFont="1" applyBorder="1" applyAlignment="1">
      <alignment wrapText="1"/>
    </xf>
    <xf numFmtId="0" fontId="54" fillId="0" borderId="48" xfId="0" applyFont="1" applyBorder="1"/>
    <xf numFmtId="0" fontId="62" fillId="0" borderId="35" xfId="0" applyFont="1" applyBorder="1" applyAlignment="1">
      <alignment wrapText="1"/>
    </xf>
    <xf numFmtId="0" fontId="0" fillId="27" borderId="34" xfId="0" applyFill="1" applyBorder="1" applyAlignment="1">
      <alignment horizontal="left"/>
    </xf>
    <xf numFmtId="0" fontId="62" fillId="0" borderId="43" xfId="0" applyFont="1" applyBorder="1"/>
    <xf numFmtId="0" fontId="62" fillId="0" borderId="23" xfId="0" applyFont="1" applyBorder="1" applyAlignment="1">
      <alignment horizontal="center"/>
    </xf>
    <xf numFmtId="0" fontId="62" fillId="27" borderId="14" xfId="0" applyFont="1" applyFill="1" applyBorder="1" applyAlignment="1">
      <alignment wrapText="1"/>
    </xf>
    <xf numFmtId="166" fontId="17" fillId="27" borderId="14" xfId="79" applyNumberFormat="1" applyFont="1" applyFill="1" applyBorder="1" applyAlignment="1">
      <alignment horizontal="left" vertical="center" wrapText="1"/>
    </xf>
    <xf numFmtId="0" fontId="63" fillId="0" borderId="14" xfId="0" applyFont="1" applyBorder="1" applyAlignment="1">
      <alignment horizontal="left"/>
    </xf>
    <xf numFmtId="0" fontId="63" fillId="0" borderId="14" xfId="0" applyFont="1" applyBorder="1"/>
    <xf numFmtId="0" fontId="54" fillId="0" borderId="27" xfId="52" applyFont="1" applyBorder="1" applyAlignment="1">
      <alignment horizontal="left" vertical="center" wrapText="1"/>
    </xf>
    <xf numFmtId="0" fontId="54" fillId="27" borderId="27" xfId="52" applyFont="1" applyFill="1" applyBorder="1" applyAlignment="1">
      <alignment horizontal="left" vertical="center" wrapText="1"/>
    </xf>
    <xf numFmtId="0" fontId="54" fillId="0" borderId="25" xfId="52" applyFont="1" applyBorder="1" applyAlignment="1">
      <alignment horizontal="center" vertical="center"/>
    </xf>
    <xf numFmtId="0" fontId="60" fillId="0" borderId="22" xfId="52" applyFont="1" applyBorder="1" applyAlignment="1">
      <alignment horizontal="left" vertical="center" wrapText="1"/>
    </xf>
    <xf numFmtId="0" fontId="36" fillId="0" borderId="34" xfId="52" applyBorder="1"/>
    <xf numFmtId="0" fontId="60" fillId="0" borderId="27" xfId="52" applyFont="1" applyBorder="1" applyAlignment="1">
      <alignment horizontal="left" vertical="center" wrapText="1"/>
    </xf>
    <xf numFmtId="0" fontId="36" fillId="0" borderId="23" xfId="52" applyBorder="1"/>
    <xf numFmtId="0" fontId="54" fillId="0" borderId="34" xfId="52" applyFont="1" applyBorder="1" applyAlignment="1">
      <alignment horizontal="left" vertical="center"/>
    </xf>
    <xf numFmtId="0" fontId="53" fillId="0" borderId="27" xfId="52" applyFont="1" applyBorder="1" applyAlignment="1">
      <alignment horizontal="left" vertical="center" wrapText="1"/>
    </xf>
    <xf numFmtId="0" fontId="33" fillId="0" borderId="39" xfId="52" applyFont="1" applyBorder="1"/>
    <xf numFmtId="0" fontId="100" fillId="0" borderId="34" xfId="52" applyFont="1" applyBorder="1"/>
    <xf numFmtId="166" fontId="54" fillId="0" borderId="33" xfId="52" applyNumberFormat="1" applyFont="1" applyBorder="1" applyAlignment="1">
      <alignment horizontal="left" vertical="center" wrapText="1"/>
    </xf>
    <xf numFmtId="0" fontId="0" fillId="0" borderId="44" xfId="0" applyBorder="1" applyAlignment="1">
      <alignment horizontal="left"/>
    </xf>
    <xf numFmtId="166" fontId="17" fillId="0" borderId="27" xfId="46" applyNumberFormat="1" applyFont="1" applyBorder="1" applyAlignment="1">
      <alignment horizontal="left" vertical="center" wrapText="1"/>
    </xf>
    <xf numFmtId="3" fontId="54" fillId="0" borderId="27" xfId="80" applyNumberFormat="1" applyFont="1" applyBorder="1" applyAlignment="1">
      <alignment horizontal="left" vertical="center" wrapText="1"/>
    </xf>
    <xf numFmtId="3" fontId="54" fillId="27" borderId="27" xfId="80" applyNumberFormat="1" applyFont="1" applyFill="1" applyBorder="1" applyAlignment="1">
      <alignment horizontal="left" vertical="center" wrapText="1"/>
    </xf>
    <xf numFmtId="0" fontId="62" fillId="0" borderId="27" xfId="52" applyFont="1" applyBorder="1" applyAlignment="1">
      <alignment horizontal="left" vertical="center" wrapText="1"/>
    </xf>
    <xf numFmtId="49" fontId="54" fillId="27" borderId="14" xfId="0" applyNumberFormat="1" applyFont="1" applyFill="1" applyBorder="1" applyAlignment="1">
      <alignment horizontal="center" vertical="center" wrapText="1"/>
    </xf>
    <xf numFmtId="0" fontId="17" fillId="0" borderId="14" xfId="0" applyFont="1" applyBorder="1" applyAlignment="1">
      <alignment horizontal="left" vertical="center" wrapText="1"/>
    </xf>
    <xf numFmtId="49" fontId="17" fillId="27" borderId="14" xfId="0" applyNumberFormat="1" applyFont="1" applyFill="1" applyBorder="1" applyAlignment="1">
      <alignment horizontal="center" vertical="center" wrapText="1"/>
    </xf>
    <xf numFmtId="0" fontId="17" fillId="0" borderId="14" xfId="0" applyFont="1" applyBorder="1" applyAlignment="1">
      <alignment horizontal="left" vertical="center"/>
    </xf>
    <xf numFmtId="0" fontId="17" fillId="0" borderId="14" xfId="0" applyFont="1" applyBorder="1" applyAlignment="1">
      <alignment horizontal="center" vertical="center"/>
    </xf>
    <xf numFmtId="0" fontId="17" fillId="0" borderId="14" xfId="84" applyFont="1" applyBorder="1" applyAlignment="1">
      <alignment vertical="center" wrapText="1"/>
    </xf>
    <xf numFmtId="0" fontId="17" fillId="0" borderId="14" xfId="84" applyFont="1" applyBorder="1" applyAlignment="1">
      <alignment horizontal="center" vertical="center"/>
    </xf>
    <xf numFmtId="0" fontId="17" fillId="0" borderId="14" xfId="84" applyFont="1" applyBorder="1" applyAlignment="1">
      <alignment horizontal="center" vertical="center" wrapText="1"/>
    </xf>
    <xf numFmtId="0" fontId="17" fillId="0" borderId="14" xfId="76" applyFont="1" applyBorder="1" applyAlignment="1">
      <alignment vertical="center" wrapText="1"/>
    </xf>
    <xf numFmtId="0" fontId="17" fillId="0" borderId="14" xfId="76" applyFont="1" applyBorder="1" applyAlignment="1">
      <alignment horizontal="left" vertical="center"/>
    </xf>
    <xf numFmtId="0" fontId="25" fillId="0" borderId="14" xfId="76" applyFont="1" applyBorder="1" applyAlignment="1">
      <alignment horizontal="left" vertical="center" wrapText="1"/>
    </xf>
    <xf numFmtId="0" fontId="17" fillId="0" borderId="14" xfId="0" applyFont="1" applyBorder="1" applyAlignment="1">
      <alignment vertical="center" wrapText="1"/>
    </xf>
    <xf numFmtId="0" fontId="16" fillId="0" borderId="14" xfId="84" applyFont="1" applyBorder="1" applyAlignment="1">
      <alignment vertical="center" wrapText="1"/>
    </xf>
    <xf numFmtId="0" fontId="16" fillId="0" borderId="14" xfId="84" applyFont="1" applyBorder="1" applyAlignment="1">
      <alignment horizontal="center" vertical="center" wrapText="1"/>
    </xf>
    <xf numFmtId="0" fontId="16" fillId="27" borderId="14" xfId="84" applyFont="1" applyFill="1" applyBorder="1" applyAlignment="1">
      <alignment vertical="center" wrapText="1"/>
    </xf>
    <xf numFmtId="0" fontId="16" fillId="27" borderId="14" xfId="84" applyFont="1" applyFill="1" applyBorder="1" applyAlignment="1">
      <alignment horizontal="center" vertical="center"/>
    </xf>
    <xf numFmtId="0" fontId="15" fillId="0" borderId="14" xfId="46" applyFont="1" applyBorder="1" applyAlignment="1">
      <alignment horizontal="center" vertical="center" wrapText="1"/>
    </xf>
    <xf numFmtId="0" fontId="15" fillId="0" borderId="16"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3" xfId="46" applyFont="1" applyBorder="1" applyAlignment="1">
      <alignment horizontal="center" vertical="center" wrapText="1"/>
    </xf>
    <xf numFmtId="0" fontId="54" fillId="0" borderId="16" xfId="46" applyFont="1" applyBorder="1" applyAlignment="1">
      <alignment horizontal="center"/>
    </xf>
    <xf numFmtId="49" fontId="54" fillId="0" borderId="27" xfId="75" applyNumberFormat="1" applyFont="1" applyBorder="1" applyAlignment="1">
      <alignment horizontal="left" vertical="center"/>
    </xf>
    <xf numFmtId="166" fontId="14" fillId="0" borderId="14" xfId="79" applyNumberFormat="1" applyFont="1" applyBorder="1" applyAlignment="1">
      <alignment horizontal="left" vertical="center" wrapText="1"/>
    </xf>
    <xf numFmtId="166" fontId="14" fillId="0" borderId="14" xfId="79" applyNumberFormat="1" applyFont="1" applyBorder="1" applyAlignment="1">
      <alignment horizontal="left" vertical="center"/>
    </xf>
    <xf numFmtId="166" fontId="14" fillId="27" borderId="14" xfId="79" applyNumberFormat="1" applyFont="1" applyFill="1" applyBorder="1" applyAlignment="1">
      <alignment horizontal="left" vertical="center"/>
    </xf>
    <xf numFmtId="1" fontId="54" fillId="27" borderId="14" xfId="0" quotePrefix="1" applyNumberFormat="1" applyFont="1" applyFill="1" applyBorder="1" applyAlignment="1">
      <alignment horizontal="center" vertical="center" wrapText="1"/>
    </xf>
    <xf numFmtId="49" fontId="13" fillId="0" borderId="14" xfId="76" applyNumberFormat="1" applyFont="1" applyBorder="1" applyAlignment="1">
      <alignment horizontal="center" vertical="center"/>
    </xf>
    <xf numFmtId="0" fontId="13" fillId="0" borderId="14" xfId="76" applyFont="1" applyBorder="1" applyAlignment="1">
      <alignment horizontal="center" vertical="center"/>
    </xf>
    <xf numFmtId="0" fontId="13" fillId="0" borderId="14" xfId="76" applyFont="1" applyBorder="1" applyAlignment="1">
      <alignment vertical="center" wrapText="1"/>
    </xf>
    <xf numFmtId="0" fontId="12" fillId="27" borderId="14" xfId="76" applyFont="1" applyFill="1" applyBorder="1" applyAlignment="1">
      <alignment vertical="center" wrapText="1"/>
    </xf>
    <xf numFmtId="164" fontId="72" fillId="0" borderId="26" xfId="0" applyNumberFormat="1" applyFont="1" applyBorder="1" applyAlignment="1">
      <alignment horizontal="center" vertical="center"/>
    </xf>
    <xf numFmtId="164" fontId="72" fillId="0" borderId="42" xfId="0" applyNumberFormat="1" applyFont="1" applyBorder="1" applyAlignment="1">
      <alignment horizontal="center" vertical="center"/>
    </xf>
    <xf numFmtId="0" fontId="62" fillId="0" borderId="50" xfId="77" applyFont="1" applyBorder="1"/>
    <xf numFmtId="166" fontId="62" fillId="0" borderId="37" xfId="79" applyNumberFormat="1" applyFont="1" applyBorder="1" applyAlignment="1">
      <alignment horizontal="left" vertical="center"/>
    </xf>
    <xf numFmtId="0" fontId="62" fillId="0" borderId="33" xfId="0" applyFont="1" applyBorder="1" applyAlignment="1">
      <alignment horizontal="center"/>
    </xf>
    <xf numFmtId="49" fontId="72" fillId="0" borderId="27" xfId="79" applyNumberFormat="1" applyFont="1" applyBorder="1" applyAlignment="1">
      <alignment horizontal="center" vertical="center" wrapText="1"/>
    </xf>
    <xf numFmtId="0" fontId="11" fillId="0" borderId="17" xfId="0" applyFont="1" applyBorder="1" applyAlignment="1">
      <alignment horizontal="left" vertical="center" wrapText="1"/>
    </xf>
    <xf numFmtId="166" fontId="17" fillId="0" borderId="33" xfId="79" applyNumberFormat="1" applyFont="1" applyBorder="1" applyAlignment="1">
      <alignment vertical="center"/>
    </xf>
    <xf numFmtId="166" fontId="54" fillId="27" borderId="14" xfId="79" applyNumberFormat="1" applyFont="1" applyFill="1" applyBorder="1" applyAlignment="1">
      <alignment horizontal="center" vertical="center" wrapText="1"/>
    </xf>
    <xf numFmtId="49" fontId="77" fillId="42" borderId="23" xfId="0" applyNumberFormat="1" applyFont="1" applyFill="1" applyBorder="1" applyAlignment="1">
      <alignment horizontal="center" vertical="center" wrapText="1"/>
    </xf>
    <xf numFmtId="49" fontId="77" fillId="42" borderId="14" xfId="0" applyNumberFormat="1" applyFont="1" applyFill="1" applyBorder="1" applyAlignment="1">
      <alignment horizontal="center" vertical="center" wrapText="1"/>
    </xf>
    <xf numFmtId="166" fontId="17" fillId="0" borderId="33" xfId="79" applyNumberFormat="1" applyFont="1" applyBorder="1" applyAlignment="1">
      <alignment horizontal="left" vertical="center"/>
    </xf>
    <xf numFmtId="166" fontId="17" fillId="0" borderId="16" xfId="79" applyNumberFormat="1" applyFont="1" applyBorder="1" applyAlignment="1">
      <alignment horizontal="left" vertical="center"/>
    </xf>
    <xf numFmtId="0" fontId="54" fillId="40" borderId="14" xfId="0" applyFont="1" applyFill="1" applyBorder="1" applyAlignment="1">
      <alignment horizontal="center"/>
    </xf>
    <xf numFmtId="49" fontId="54" fillId="0" borderId="14" xfId="79" applyNumberFormat="1" applyFont="1" applyBorder="1" applyAlignment="1">
      <alignment horizontal="center" vertical="center"/>
    </xf>
    <xf numFmtId="166" fontId="11" fillId="0" borderId="14" xfId="107" applyNumberFormat="1" applyFont="1" applyBorder="1" applyAlignment="1">
      <alignment horizontal="left" vertical="center" wrapText="1"/>
    </xf>
    <xf numFmtId="166" fontId="11" fillId="0" borderId="14" xfId="107" applyNumberFormat="1" applyFont="1" applyBorder="1" applyAlignment="1">
      <alignment vertical="center"/>
    </xf>
    <xf numFmtId="166" fontId="54" fillId="27" borderId="17" xfId="79" applyNumberFormat="1" applyFont="1" applyFill="1" applyBorder="1" applyAlignment="1">
      <alignment horizontal="left" vertical="center" wrapText="1"/>
    </xf>
    <xf numFmtId="166" fontId="54" fillId="40" borderId="14" xfId="0" applyNumberFormat="1" applyFont="1" applyFill="1" applyBorder="1" applyAlignment="1">
      <alignment horizontal="center" wrapText="1"/>
    </xf>
    <xf numFmtId="0" fontId="54" fillId="40" borderId="14" xfId="0" applyFont="1" applyFill="1" applyBorder="1" applyAlignment="1">
      <alignment horizontal="center" wrapText="1"/>
    </xf>
    <xf numFmtId="0" fontId="62" fillId="40" borderId="14" xfId="0" applyFont="1" applyFill="1" applyBorder="1" applyAlignment="1">
      <alignment horizontal="center" wrapText="1"/>
    </xf>
    <xf numFmtId="166" fontId="11" fillId="0" borderId="33" xfId="79" applyNumberFormat="1" applyFont="1" applyBorder="1" applyAlignment="1">
      <alignment vertical="center" wrapText="1"/>
    </xf>
    <xf numFmtId="166" fontId="54" fillId="27" borderId="14" xfId="79" applyNumberFormat="1" applyFont="1" applyFill="1" applyBorder="1" applyAlignment="1">
      <alignment horizontal="center" wrapText="1"/>
    </xf>
    <xf numFmtId="166" fontId="11" fillId="0" borderId="14" xfId="107" applyNumberFormat="1" applyFont="1" applyBorder="1" applyAlignment="1">
      <alignment horizontal="center" vertical="center"/>
    </xf>
    <xf numFmtId="164" fontId="54" fillId="46" borderId="14" xfId="0" applyNumberFormat="1" applyFont="1" applyFill="1" applyBorder="1" applyAlignment="1">
      <alignment horizontal="center" vertical="center" wrapText="1"/>
    </xf>
    <xf numFmtId="49" fontId="54" fillId="42" borderId="14" xfId="0" quotePrefix="1" applyNumberFormat="1" applyFont="1" applyFill="1" applyBorder="1" applyAlignment="1">
      <alignment horizontal="center" vertical="center" wrapText="1"/>
    </xf>
    <xf numFmtId="166" fontId="11" fillId="27" borderId="14" xfId="107" applyNumberFormat="1" applyFont="1" applyFill="1" applyBorder="1" applyAlignment="1">
      <alignment horizontal="center" vertical="center"/>
    </xf>
    <xf numFmtId="49" fontId="54" fillId="42" borderId="17" xfId="0" quotePrefix="1" applyNumberFormat="1" applyFont="1" applyFill="1" applyBorder="1" applyAlignment="1">
      <alignment horizontal="left" vertical="center" wrapText="1"/>
    </xf>
    <xf numFmtId="0" fontId="53" fillId="27" borderId="14" xfId="0" applyFont="1" applyFill="1" applyBorder="1" applyAlignment="1">
      <alignment horizontal="center" vertical="center" wrapText="1"/>
    </xf>
    <xf numFmtId="4" fontId="54" fillId="0" borderId="44" xfId="0" applyNumberFormat="1" applyFont="1" applyBorder="1" applyAlignment="1">
      <alignment wrapText="1"/>
    </xf>
    <xf numFmtId="0" fontId="54" fillId="0" borderId="14" xfId="77" applyFont="1" applyBorder="1" applyAlignment="1">
      <alignment horizontal="left" vertical="center"/>
    </xf>
    <xf numFmtId="49" fontId="54" fillId="27" borderId="14" xfId="52" applyNumberFormat="1" applyFont="1" applyFill="1" applyBorder="1" applyAlignment="1">
      <alignment horizontal="center" vertical="center" wrapText="1"/>
    </xf>
    <xf numFmtId="3" fontId="54" fillId="0" borderId="16" xfId="0" applyNumberFormat="1" applyFont="1" applyBorder="1" applyAlignment="1">
      <alignment horizontal="center" vertical="center" wrapText="1"/>
    </xf>
    <xf numFmtId="0" fontId="10" fillId="0" borderId="14" xfId="76" applyFont="1" applyBorder="1" applyAlignment="1">
      <alignment vertical="center" wrapText="1"/>
    </xf>
    <xf numFmtId="0" fontId="13" fillId="27" borderId="14" xfId="76" applyFont="1" applyFill="1" applyBorder="1" applyAlignment="1">
      <alignment vertical="center" wrapText="1"/>
    </xf>
    <xf numFmtId="1" fontId="54" fillId="27" borderId="14" xfId="79" applyNumberFormat="1" applyFont="1" applyFill="1" applyBorder="1" applyAlignment="1">
      <alignment horizontal="center"/>
    </xf>
    <xf numFmtId="0" fontId="62" fillId="58" borderId="14" xfId="0" applyFont="1" applyFill="1" applyBorder="1" applyAlignment="1">
      <alignment horizontal="center" wrapText="1"/>
    </xf>
    <xf numFmtId="49" fontId="54" fillId="0" borderId="17" xfId="79" applyNumberFormat="1" applyFont="1" applyBorder="1" applyAlignment="1">
      <alignment horizontal="center" vertical="center" wrapText="1"/>
    </xf>
    <xf numFmtId="49" fontId="54" fillId="0" borderId="34" xfId="79" applyNumberFormat="1" applyFont="1" applyBorder="1" applyAlignment="1">
      <alignment horizontal="center" vertical="center" wrapText="1"/>
    </xf>
    <xf numFmtId="49" fontId="54" fillId="0" borderId="38" xfId="79" applyNumberFormat="1" applyFont="1" applyBorder="1" applyAlignment="1">
      <alignment horizontal="center" vertical="center" wrapText="1"/>
    </xf>
    <xf numFmtId="49" fontId="54" fillId="27" borderId="10" xfId="79" applyNumberFormat="1" applyFont="1" applyFill="1" applyBorder="1" applyAlignment="1">
      <alignment horizontal="center" vertical="center" wrapText="1"/>
    </xf>
    <xf numFmtId="0" fontId="72" fillId="27" borderId="14" xfId="46" applyFont="1" applyFill="1" applyBorder="1" applyAlignment="1">
      <alignment horizontal="center" vertical="center" wrapText="1"/>
    </xf>
    <xf numFmtId="166" fontId="72" fillId="43" borderId="17" xfId="46" applyNumberFormat="1" applyFont="1" applyFill="1" applyBorder="1" applyAlignment="1">
      <alignment horizontal="center" vertical="center" wrapText="1"/>
    </xf>
    <xf numFmtId="166" fontId="72" fillId="43" borderId="26" xfId="46" applyNumberFormat="1" applyFont="1" applyFill="1" applyBorder="1" applyAlignment="1">
      <alignment horizontal="center" vertical="center" wrapText="1"/>
    </xf>
    <xf numFmtId="166" fontId="8" fillId="0" borderId="14" xfId="79" applyNumberFormat="1" applyFont="1" applyBorder="1" applyAlignment="1">
      <alignment horizontal="left" vertical="center"/>
    </xf>
    <xf numFmtId="166" fontId="8" fillId="0" borderId="17" xfId="79" applyNumberFormat="1" applyFont="1" applyBorder="1" applyAlignment="1">
      <alignment horizontal="left" vertical="center"/>
    </xf>
    <xf numFmtId="1" fontId="54" fillId="0" borderId="14" xfId="79" applyNumberFormat="1" applyFont="1" applyBorder="1" applyAlignment="1">
      <alignment horizontal="center" vertical="center" wrapText="1"/>
    </xf>
    <xf numFmtId="0" fontId="7" fillId="0" borderId="14" xfId="76" applyFont="1" applyBorder="1" applyAlignment="1">
      <alignment vertical="center" wrapText="1"/>
    </xf>
    <xf numFmtId="0" fontId="95" fillId="0" borderId="29" xfId="0" applyFont="1" applyBorder="1" applyAlignment="1">
      <alignment wrapText="1"/>
    </xf>
    <xf numFmtId="0" fontId="95" fillId="0" borderId="13" xfId="0" applyFont="1" applyBorder="1" applyAlignment="1">
      <alignment horizontal="center" wrapText="1"/>
    </xf>
    <xf numFmtId="0" fontId="95" fillId="0" borderId="30" xfId="0" applyFont="1" applyBorder="1" applyAlignment="1">
      <alignment horizontal="center" vertical="center" wrapText="1"/>
    </xf>
    <xf numFmtId="0" fontId="96" fillId="0" borderId="18" xfId="0" applyFont="1" applyBorder="1" applyAlignment="1">
      <alignment wrapText="1"/>
    </xf>
    <xf numFmtId="0" fontId="96" fillId="0" borderId="12" xfId="0" applyFont="1" applyBorder="1" applyAlignment="1">
      <alignment horizontal="center" wrapText="1"/>
    </xf>
    <xf numFmtId="0" fontId="0" fillId="0" borderId="19" xfId="0" applyBorder="1" applyAlignment="1">
      <alignment horizontal="center"/>
    </xf>
    <xf numFmtId="0" fontId="96" fillId="0" borderId="11" xfId="0" applyFont="1" applyBorder="1" applyAlignment="1">
      <alignment wrapText="1"/>
    </xf>
    <xf numFmtId="0" fontId="95" fillId="0" borderId="14" xfId="0" applyFont="1" applyBorder="1" applyAlignment="1">
      <alignment horizontal="center" wrapText="1"/>
    </xf>
    <xf numFmtId="0" fontId="33" fillId="0" borderId="20" xfId="0" applyFont="1" applyBorder="1" applyAlignment="1">
      <alignment horizontal="center"/>
    </xf>
    <xf numFmtId="0" fontId="95" fillId="0" borderId="11" xfId="0" applyFont="1" applyBorder="1" applyAlignment="1">
      <alignment wrapText="1"/>
    </xf>
    <xf numFmtId="49" fontId="33" fillId="0" borderId="20" xfId="0" applyNumberFormat="1" applyFont="1" applyBorder="1" applyAlignment="1">
      <alignment horizontal="center"/>
    </xf>
    <xf numFmtId="0" fontId="95" fillId="0" borderId="15" xfId="0" applyFont="1" applyBorder="1" applyAlignment="1">
      <alignment wrapText="1"/>
    </xf>
    <xf numFmtId="0" fontId="95" fillId="0" borderId="23" xfId="0" applyFont="1" applyBorder="1" applyAlignment="1">
      <alignment horizontal="center" wrapText="1"/>
    </xf>
    <xf numFmtId="0" fontId="97" fillId="0" borderId="11" xfId="0" applyFont="1" applyBorder="1" applyAlignment="1">
      <alignment wrapText="1"/>
    </xf>
    <xf numFmtId="0" fontId="0" fillId="0" borderId="14" xfId="0" applyBorder="1" applyAlignment="1">
      <alignment horizontal="center"/>
    </xf>
    <xf numFmtId="0" fontId="95" fillId="0" borderId="28" xfId="0" applyFont="1" applyBorder="1" applyAlignment="1">
      <alignment wrapText="1"/>
    </xf>
    <xf numFmtId="0" fontId="0" fillId="0" borderId="21" xfId="0" applyBorder="1" applyAlignment="1">
      <alignment horizontal="center"/>
    </xf>
    <xf numFmtId="0" fontId="33" fillId="0" borderId="24" xfId="0" applyFont="1" applyBorder="1" applyAlignment="1">
      <alignment horizontal="center"/>
    </xf>
    <xf numFmtId="49" fontId="33" fillId="0" borderId="20" xfId="0" applyNumberFormat="1" applyFont="1" applyBorder="1" applyAlignment="1">
      <alignment horizontal="center" wrapText="1"/>
    </xf>
    <xf numFmtId="166" fontId="9" fillId="0" borderId="14" xfId="107" applyNumberFormat="1" applyFont="1" applyBorder="1" applyAlignment="1">
      <alignment horizontal="left" vertical="center" wrapText="1"/>
    </xf>
    <xf numFmtId="166" fontId="6" fillId="0" borderId="14" xfId="79" applyNumberFormat="1" applyFont="1" applyBorder="1" applyAlignment="1">
      <alignment horizontal="left" vertical="center" wrapText="1"/>
    </xf>
    <xf numFmtId="0" fontId="62" fillId="27" borderId="35" xfId="0" applyFont="1" applyFill="1" applyBorder="1" applyAlignment="1">
      <alignment wrapText="1"/>
    </xf>
    <xf numFmtId="0" fontId="54" fillId="27" borderId="14" xfId="75" applyFont="1" applyFill="1" applyBorder="1" applyAlignment="1">
      <alignment horizontal="center" vertical="center" wrapText="1"/>
    </xf>
    <xf numFmtId="0" fontId="5" fillId="0" borderId="26" xfId="0" applyFont="1" applyBorder="1" applyAlignment="1">
      <alignment horizontal="center" vertical="center" wrapText="1"/>
    </xf>
    <xf numFmtId="0" fontId="54" fillId="0" borderId="16" xfId="46" quotePrefix="1" applyFont="1" applyBorder="1" applyAlignment="1">
      <alignment horizontal="center" vertical="center" wrapText="1"/>
    </xf>
    <xf numFmtId="0" fontId="4" fillId="0" borderId="33" xfId="77" applyFont="1" applyBorder="1"/>
    <xf numFmtId="0" fontId="4" fillId="0" borderId="14" xfId="84" applyFont="1" applyBorder="1" applyAlignment="1">
      <alignment vertical="center" wrapText="1"/>
    </xf>
    <xf numFmtId="0" fontId="5" fillId="27" borderId="33" xfId="0" applyFont="1" applyFill="1" applyBorder="1" applyAlignment="1">
      <alignment horizontal="left" vertical="center" wrapText="1"/>
    </xf>
    <xf numFmtId="0" fontId="5" fillId="27" borderId="17" xfId="0" applyFont="1" applyFill="1" applyBorder="1" applyAlignment="1">
      <alignment horizontal="left" vertical="center" wrapText="1"/>
    </xf>
    <xf numFmtId="0" fontId="62" fillId="58" borderId="14" xfId="73" applyFont="1" applyFill="1" applyBorder="1" applyAlignment="1">
      <alignment horizontal="center" vertical="center" wrapText="1"/>
    </xf>
    <xf numFmtId="0" fontId="62" fillId="27" borderId="22" xfId="0" applyFont="1" applyFill="1" applyBorder="1" applyAlignment="1">
      <alignment horizontal="left" vertical="center" wrapText="1"/>
    </xf>
    <xf numFmtId="0" fontId="62" fillId="27" borderId="23" xfId="0" applyFont="1" applyFill="1" applyBorder="1" applyAlignment="1">
      <alignment horizontal="left" vertical="center" wrapText="1"/>
    </xf>
    <xf numFmtId="0" fontId="5" fillId="27" borderId="23" xfId="0" applyFont="1" applyFill="1" applyBorder="1" applyAlignment="1">
      <alignment horizontal="center" vertical="center" wrapText="1"/>
    </xf>
    <xf numFmtId="164" fontId="62" fillId="0" borderId="23" xfId="0" applyNumberFormat="1" applyFont="1" applyBorder="1" applyAlignment="1">
      <alignment horizontal="center" vertical="center" wrapText="1"/>
    </xf>
    <xf numFmtId="0" fontId="62" fillId="58" borderId="23" xfId="0" applyFont="1" applyFill="1" applyBorder="1" applyAlignment="1">
      <alignment horizontal="center" vertical="center" wrapText="1"/>
    </xf>
    <xf numFmtId="0" fontId="54" fillId="0" borderId="14" xfId="77" applyFont="1" applyBorder="1" applyAlignment="1">
      <alignment horizontal="left" vertical="center" wrapText="1"/>
    </xf>
    <xf numFmtId="0" fontId="62" fillId="27" borderId="23" xfId="0" applyFont="1" applyFill="1" applyBorder="1" applyAlignment="1">
      <alignment horizontal="center" vertical="center"/>
    </xf>
    <xf numFmtId="3" fontId="62" fillId="0" borderId="47" xfId="79" applyNumberFormat="1" applyFont="1" applyBorder="1" applyAlignment="1">
      <alignment horizontal="center" vertical="center" wrapText="1"/>
    </xf>
    <xf numFmtId="166" fontId="3" fillId="0" borderId="14" xfId="107" applyNumberFormat="1" applyFont="1" applyBorder="1" applyAlignment="1">
      <alignment horizontal="left" vertical="center" wrapText="1"/>
    </xf>
    <xf numFmtId="3" fontId="11" fillId="0" borderId="14" xfId="107" applyNumberFormat="1" applyFont="1" applyBorder="1" applyAlignment="1">
      <alignment horizontal="center" vertical="center"/>
    </xf>
    <xf numFmtId="166" fontId="2" fillId="0" borderId="27" xfId="79" applyNumberFormat="1" applyFont="1" applyBorder="1" applyAlignment="1">
      <alignment vertical="center"/>
    </xf>
    <xf numFmtId="0" fontId="62" fillId="0" borderId="14" xfId="0" applyFont="1" applyBorder="1" applyAlignment="1">
      <alignment horizontal="right" wrapText="1"/>
    </xf>
    <xf numFmtId="0" fontId="54" fillId="0" borderId="14" xfId="72" applyFont="1" applyBorder="1" applyAlignment="1">
      <alignment horizontal="center" vertical="center" wrapText="1"/>
    </xf>
    <xf numFmtId="0" fontId="68" fillId="0" borderId="26" xfId="0" applyFont="1" applyBorder="1" applyAlignment="1">
      <alignment horizontal="left" vertical="center" wrapText="1"/>
    </xf>
    <xf numFmtId="0" fontId="68" fillId="0" borderId="40" xfId="0" applyFont="1" applyBorder="1" applyAlignment="1">
      <alignment horizontal="left" vertical="center" wrapText="1"/>
    </xf>
    <xf numFmtId="0" fontId="72" fillId="0" borderId="41" xfId="0" applyFont="1" applyBorder="1" applyAlignment="1">
      <alignment horizontal="left" vertical="center" wrapText="1"/>
    </xf>
    <xf numFmtId="0" fontId="72" fillId="0" borderId="40" xfId="0" applyFont="1" applyBorder="1" applyAlignment="1">
      <alignment horizontal="left" vertical="center" wrapText="1"/>
    </xf>
    <xf numFmtId="0" fontId="72" fillId="0" borderId="37" xfId="0" applyFont="1" applyBorder="1" applyAlignment="1">
      <alignment horizontal="left" vertical="center" wrapText="1"/>
    </xf>
    <xf numFmtId="0" fontId="72" fillId="0" borderId="39" xfId="0" applyFont="1" applyBorder="1" applyAlignment="1">
      <alignment horizontal="left" vertical="center" wrapText="1"/>
    </xf>
    <xf numFmtId="0" fontId="72" fillId="0" borderId="17" xfId="0" applyFont="1" applyBorder="1" applyAlignment="1">
      <alignment horizontal="left" vertical="center" wrapText="1"/>
    </xf>
    <xf numFmtId="0" fontId="72" fillId="0" borderId="31" xfId="0" applyFont="1" applyBorder="1" applyAlignment="1">
      <alignment horizontal="left" vertical="center" wrapText="1"/>
    </xf>
    <xf numFmtId="0" fontId="72" fillId="0" borderId="23" xfId="0" applyFont="1" applyBorder="1" applyAlignment="1">
      <alignment horizontal="left" vertical="center" wrapText="1"/>
    </xf>
    <xf numFmtId="0" fontId="54" fillId="0" borderId="17" xfId="0" applyFont="1" applyBorder="1" applyAlignment="1">
      <alignment horizontal="left" vertical="center" wrapText="1"/>
    </xf>
    <xf numFmtId="0" fontId="54" fillId="0" borderId="31" xfId="0" applyFont="1" applyBorder="1" applyAlignment="1">
      <alignment horizontal="left" vertical="center" wrapText="1"/>
    </xf>
    <xf numFmtId="0" fontId="54" fillId="0" borderId="23" xfId="0" applyFont="1" applyBorder="1" applyAlignment="1">
      <alignment horizontal="left" vertical="center" wrapText="1"/>
    </xf>
    <xf numFmtId="166" fontId="72" fillId="0" borderId="17" xfId="79" applyNumberFormat="1" applyFont="1" applyBorder="1" applyAlignment="1">
      <alignment horizontal="left" vertical="center" wrapText="1"/>
    </xf>
    <xf numFmtId="166" fontId="72" fillId="0" borderId="23" xfId="79" applyNumberFormat="1" applyFont="1" applyBorder="1" applyAlignment="1">
      <alignment horizontal="left" vertical="center" wrapText="1"/>
    </xf>
    <xf numFmtId="0" fontId="68" fillId="0" borderId="17" xfId="0" applyFont="1" applyBorder="1" applyAlignment="1">
      <alignment horizontal="left" vertical="center" wrapText="1"/>
    </xf>
    <xf numFmtId="0" fontId="68" fillId="0" borderId="23" xfId="0" applyFont="1" applyBorder="1" applyAlignment="1">
      <alignment horizontal="left" vertical="center" wrapText="1"/>
    </xf>
    <xf numFmtId="0" fontId="77" fillId="0" borderId="17" xfId="0" applyFont="1" applyBorder="1" applyAlignment="1">
      <alignment horizontal="left" vertical="center" wrapText="1"/>
    </xf>
    <xf numFmtId="0" fontId="77" fillId="0" borderId="31" xfId="0" applyFont="1" applyBorder="1" applyAlignment="1">
      <alignment horizontal="left" vertical="center" wrapText="1"/>
    </xf>
    <xf numFmtId="0" fontId="77" fillId="0" borderId="23" xfId="0" applyFont="1" applyBorder="1" applyAlignment="1">
      <alignment horizontal="left" vertical="center" wrapText="1"/>
    </xf>
    <xf numFmtId="0" fontId="62" fillId="0" borderId="17" xfId="0" applyFont="1" applyBorder="1" applyAlignment="1">
      <alignment horizontal="left" vertical="center" wrapText="1"/>
    </xf>
    <xf numFmtId="0" fontId="62" fillId="0" borderId="42" xfId="0" applyFont="1" applyBorder="1" applyAlignment="1">
      <alignment horizontal="left" wrapText="1"/>
    </xf>
    <xf numFmtId="0" fontId="62" fillId="0" borderId="49" xfId="0" applyFont="1" applyBorder="1" applyAlignment="1">
      <alignment horizontal="left" wrapText="1"/>
    </xf>
    <xf numFmtId="0" fontId="54" fillId="0" borderId="14" xfId="75" applyFont="1" applyBorder="1" applyAlignment="1">
      <alignment horizontal="left" vertical="center" wrapText="1"/>
    </xf>
    <xf numFmtId="0" fontId="68" fillId="0" borderId="17"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3" xfId="46" applyFont="1" applyBorder="1" applyAlignment="1">
      <alignment horizontal="left" vertical="center" wrapText="1"/>
    </xf>
    <xf numFmtId="0" fontId="62" fillId="0" borderId="34" xfId="0" applyFont="1" applyBorder="1" applyAlignment="1">
      <alignment horizontal="left" vertical="center" wrapText="1"/>
    </xf>
    <xf numFmtId="0" fontId="74" fillId="0" borderId="34" xfId="0" applyFont="1" applyBorder="1" applyAlignment="1">
      <alignment horizontal="left" vertical="center" wrapText="1"/>
    </xf>
    <xf numFmtId="166" fontId="62" fillId="0" borderId="39" xfId="79" applyNumberFormat="1" applyFont="1" applyBorder="1" applyAlignment="1">
      <alignment horizontal="left" vertical="center" wrapText="1"/>
    </xf>
    <xf numFmtId="166" fontId="68" fillId="0" borderId="34" xfId="79" applyNumberFormat="1" applyFont="1" applyBorder="1" applyAlignment="1">
      <alignment horizontal="left" vertical="center" wrapText="1"/>
    </xf>
    <xf numFmtId="166" fontId="54" fillId="41" borderId="17" xfId="46" applyNumberFormat="1" applyFont="1" applyFill="1" applyBorder="1" applyAlignment="1">
      <alignment horizontal="left" vertical="center" wrapText="1"/>
    </xf>
    <xf numFmtId="166" fontId="54" fillId="41" borderId="31" xfId="46" applyNumberFormat="1" applyFont="1" applyFill="1" applyBorder="1" applyAlignment="1">
      <alignment horizontal="left" vertical="center" wrapText="1"/>
    </xf>
    <xf numFmtId="166" fontId="54" fillId="41" borderId="23" xfId="46" applyNumberFormat="1" applyFont="1" applyFill="1" applyBorder="1" applyAlignment="1">
      <alignment horizontal="left" vertical="center" wrapText="1"/>
    </xf>
    <xf numFmtId="0" fontId="54" fillId="0" borderId="17" xfId="0" applyFont="1" applyBorder="1" applyAlignment="1">
      <alignment horizontal="left" wrapText="1"/>
    </xf>
    <xf numFmtId="0" fontId="54" fillId="0" borderId="23" xfId="0" applyFont="1" applyBorder="1" applyAlignment="1">
      <alignment horizontal="left" wrapText="1"/>
    </xf>
    <xf numFmtId="0" fontId="54" fillId="0" borderId="17" xfId="75" applyFont="1" applyBorder="1" applyAlignment="1">
      <alignment horizontal="left" vertical="center" wrapText="1"/>
    </xf>
    <xf numFmtId="0" fontId="54" fillId="0" borderId="23" xfId="75" applyFont="1" applyBorder="1" applyAlignment="1">
      <alignment horizontal="left" vertical="center" wrapText="1"/>
    </xf>
    <xf numFmtId="0" fontId="62" fillId="0" borderId="51" xfId="0" applyFont="1" applyBorder="1" applyAlignment="1">
      <alignment horizontal="left" vertical="top" wrapText="1"/>
    </xf>
    <xf numFmtId="0" fontId="62" fillId="0" borderId="23" xfId="0" applyFont="1" applyBorder="1" applyAlignment="1">
      <alignment horizontal="left" vertical="top" wrapText="1"/>
    </xf>
    <xf numFmtId="0" fontId="25" fillId="0" borderId="37" xfId="0" applyFont="1" applyBorder="1" applyAlignment="1">
      <alignment horizontal="left" vertical="center" wrapText="1"/>
    </xf>
    <xf numFmtId="0" fontId="25" fillId="0" borderId="39" xfId="0" applyFont="1" applyBorder="1" applyAlignment="1">
      <alignment horizontal="left" vertical="center" wrapText="1"/>
    </xf>
    <xf numFmtId="0" fontId="62" fillId="0" borderId="31" xfId="0" applyFont="1" applyBorder="1" applyAlignment="1">
      <alignment horizontal="left" vertical="center" wrapText="1"/>
    </xf>
    <xf numFmtId="0" fontId="62" fillId="0" borderId="23" xfId="0" applyFont="1" applyBorder="1" applyAlignment="1">
      <alignment horizontal="left" vertical="center" wrapText="1"/>
    </xf>
    <xf numFmtId="0" fontId="0" fillId="0" borderId="32" xfId="0" applyBorder="1" applyAlignment="1">
      <alignment horizontal="left" wrapText="1"/>
    </xf>
    <xf numFmtId="0" fontId="0" fillId="0" borderId="0" xfId="0" applyAlignment="1">
      <alignment horizontal="left" wrapText="1"/>
    </xf>
    <xf numFmtId="0" fontId="65" fillId="0" borderId="17" xfId="46" applyFont="1" applyBorder="1" applyAlignment="1">
      <alignment horizontal="left" vertical="center" wrapText="1"/>
    </xf>
    <xf numFmtId="0" fontId="53" fillId="0" borderId="31" xfId="46" applyFont="1" applyBorder="1" applyAlignment="1">
      <alignment horizontal="left" vertical="center" wrapText="1"/>
    </xf>
    <xf numFmtId="0" fontId="53" fillId="0" borderId="23" xfId="46" applyFont="1" applyBorder="1" applyAlignment="1">
      <alignment horizontal="left" vertical="center" wrapText="1"/>
    </xf>
    <xf numFmtId="0" fontId="54" fillId="0" borderId="17" xfId="46" applyFont="1" applyBorder="1" applyAlignment="1">
      <alignment horizontal="left" vertical="center" wrapText="1"/>
    </xf>
    <xf numFmtId="0" fontId="54" fillId="27" borderId="14" xfId="0" applyFont="1" applyFill="1" applyBorder="1" applyAlignment="1">
      <alignment vertical="center" wrapText="1"/>
    </xf>
    <xf numFmtId="1" fontId="54" fillId="0" borderId="17" xfId="46" applyNumberFormat="1" applyFont="1" applyBorder="1" applyAlignment="1">
      <alignment horizontal="center" vertical="center" wrapText="1"/>
    </xf>
    <xf numFmtId="1" fontId="54" fillId="0" borderId="23" xfId="46" applyNumberFormat="1" applyFont="1" applyBorder="1" applyAlignment="1">
      <alignment horizontal="center" vertical="center" wrapText="1"/>
    </xf>
    <xf numFmtId="0" fontId="54" fillId="0" borderId="14" xfId="0" applyFont="1" applyBorder="1" applyAlignment="1">
      <alignment vertical="center" wrapText="1"/>
    </xf>
    <xf numFmtId="0" fontId="54" fillId="0" borderId="14" xfId="46" applyFont="1" applyBorder="1" applyAlignment="1">
      <alignment vertical="center" wrapText="1"/>
    </xf>
    <xf numFmtId="0" fontId="54" fillId="0" borderId="17" xfId="0" applyFont="1" applyBorder="1" applyAlignment="1">
      <alignment vertical="center" wrapText="1"/>
    </xf>
    <xf numFmtId="0" fontId="54" fillId="0" borderId="31" xfId="0" applyFont="1" applyBorder="1" applyAlignment="1">
      <alignment vertical="center" wrapText="1"/>
    </xf>
    <xf numFmtId="0" fontId="54" fillId="0" borderId="23" xfId="0" applyFont="1" applyBorder="1" applyAlignment="1">
      <alignment vertical="center" wrapText="1"/>
    </xf>
    <xf numFmtId="0" fontId="52" fillId="0" borderId="32" xfId="0" applyFont="1" applyBorder="1" applyAlignment="1">
      <alignment horizontal="left" wrapText="1"/>
    </xf>
    <xf numFmtId="0" fontId="54" fillId="0" borderId="14" xfId="0" applyFont="1" applyBorder="1" applyAlignment="1">
      <alignment horizontal="center" vertical="center" textRotation="90" wrapText="1"/>
    </xf>
    <xf numFmtId="0" fontId="54" fillId="0" borderId="16" xfId="0" applyFont="1" applyBorder="1" applyAlignment="1">
      <alignment vertical="center" wrapText="1"/>
    </xf>
    <xf numFmtId="0" fontId="77" fillId="0" borderId="34" xfId="0" applyFont="1" applyBorder="1" applyAlignment="1">
      <alignment horizontal="center" vertical="center" wrapText="1"/>
    </xf>
    <xf numFmtId="0" fontId="53" fillId="0" borderId="14" xfId="0" applyFont="1" applyBorder="1" applyAlignment="1" applyProtection="1">
      <alignment horizontal="center" vertical="center" wrapText="1"/>
      <protection locked="0"/>
    </xf>
    <xf numFmtId="3" fontId="54" fillId="0" borderId="14" xfId="0" applyNumberFormat="1" applyFont="1" applyBorder="1" applyAlignment="1">
      <alignment horizontal="center" vertical="center" wrapText="1"/>
    </xf>
    <xf numFmtId="166" fontId="53" fillId="0" borderId="0" xfId="46" applyNumberFormat="1" applyFont="1" applyAlignment="1">
      <alignment horizontal="center" vertical="center" wrapText="1"/>
    </xf>
    <xf numFmtId="0" fontId="54" fillId="27" borderId="0" xfId="46" applyFont="1" applyFill="1" applyAlignment="1">
      <alignment horizontal="left" wrapText="1"/>
    </xf>
    <xf numFmtId="0" fontId="54" fillId="27" borderId="0" xfId="46" applyFont="1" applyFill="1" applyAlignment="1">
      <alignment horizontal="left"/>
    </xf>
    <xf numFmtId="0" fontId="54" fillId="28" borderId="27" xfId="0" applyFont="1" applyFill="1" applyBorder="1" applyAlignment="1">
      <alignment horizontal="center" vertical="center" textRotation="90" wrapText="1"/>
    </xf>
    <xf numFmtId="3" fontId="54" fillId="0" borderId="14" xfId="0" applyNumberFormat="1" applyFont="1" applyBorder="1" applyAlignment="1">
      <alignment horizontal="center" vertical="center" textRotation="90" wrapText="1"/>
    </xf>
    <xf numFmtId="0" fontId="54" fillId="0" borderId="14" xfId="0" applyFont="1" applyBorder="1" applyAlignment="1">
      <alignment horizontal="center" vertical="center" wrapText="1"/>
    </xf>
    <xf numFmtId="0" fontId="54" fillId="37" borderId="16" xfId="0" applyFont="1" applyFill="1" applyBorder="1" applyAlignment="1" applyProtection="1">
      <alignment wrapText="1"/>
      <protection locked="0"/>
    </xf>
    <xf numFmtId="0" fontId="0" fillId="0" borderId="0" xfId="0" applyBorder="1"/>
    <xf numFmtId="0" fontId="54" fillId="45" borderId="0" xfId="0" applyFont="1" applyFill="1" applyBorder="1" applyAlignment="1">
      <alignment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0" workbookViewId="0">
      <selection activeCell="M32" sqref="M32"/>
    </sheetView>
  </sheetViews>
  <sheetFormatPr defaultRowHeight="12.75" x14ac:dyDescent="0.2"/>
  <cols>
    <col min="2" max="2" width="45.28515625" customWidth="1"/>
    <col min="3" max="3" width="12.85546875" style="832" customWidth="1"/>
    <col min="4" max="4" width="23.85546875" customWidth="1"/>
  </cols>
  <sheetData>
    <row r="1" spans="2:4" ht="13.5" thickBot="1" x14ac:dyDescent="0.25">
      <c r="C1"/>
    </row>
    <row r="2" spans="2:4" ht="30.75" thickBot="1" x14ac:dyDescent="0.3">
      <c r="B2" s="1411" t="s">
        <v>613</v>
      </c>
      <c r="C2" s="1412" t="s">
        <v>1</v>
      </c>
      <c r="D2" s="1413" t="s">
        <v>2480</v>
      </c>
    </row>
    <row r="3" spans="2:4" ht="24.75" customHeight="1" x14ac:dyDescent="0.2">
      <c r="B3" s="1414"/>
      <c r="C3" s="1415"/>
      <c r="D3" s="1416"/>
    </row>
    <row r="4" spans="2:4" ht="25.5" customHeight="1" x14ac:dyDescent="0.25">
      <c r="B4" s="1417" t="s">
        <v>2481</v>
      </c>
      <c r="C4" s="1418">
        <v>1</v>
      </c>
      <c r="D4" s="1419" t="s">
        <v>2482</v>
      </c>
    </row>
    <row r="5" spans="2:4" ht="25.5" customHeight="1" x14ac:dyDescent="0.25">
      <c r="B5" s="1420" t="s">
        <v>614</v>
      </c>
      <c r="C5" s="1418">
        <v>2</v>
      </c>
      <c r="D5" s="1419" t="s">
        <v>1115</v>
      </c>
    </row>
    <row r="6" spans="2:4" ht="25.5" customHeight="1" x14ac:dyDescent="0.25">
      <c r="B6" s="1420" t="s">
        <v>615</v>
      </c>
      <c r="C6" s="1418">
        <v>3</v>
      </c>
      <c r="D6" s="1419" t="s">
        <v>2483</v>
      </c>
    </row>
    <row r="7" spans="2:4" ht="25.5" customHeight="1" x14ac:dyDescent="0.25">
      <c r="B7" s="1420" t="s">
        <v>616</v>
      </c>
      <c r="C7" s="1418">
        <v>4</v>
      </c>
      <c r="D7" s="1419" t="s">
        <v>2484</v>
      </c>
    </row>
    <row r="8" spans="2:4" ht="25.5" customHeight="1" x14ac:dyDescent="0.25">
      <c r="B8" s="1420" t="s">
        <v>617</v>
      </c>
      <c r="C8" s="1418">
        <v>5</v>
      </c>
      <c r="D8" s="1419" t="s">
        <v>2485</v>
      </c>
    </row>
    <row r="9" spans="2:4" ht="25.5" customHeight="1" x14ac:dyDescent="0.25">
      <c r="B9" s="1420" t="s">
        <v>618</v>
      </c>
      <c r="C9" s="1418">
        <v>6</v>
      </c>
      <c r="D9" s="1419" t="s">
        <v>2252</v>
      </c>
    </row>
    <row r="10" spans="2:4" ht="25.5" customHeight="1" x14ac:dyDescent="0.25">
      <c r="B10" s="1420" t="s">
        <v>619</v>
      </c>
      <c r="C10" s="1418">
        <v>7</v>
      </c>
      <c r="D10" s="1419" t="s">
        <v>2486</v>
      </c>
    </row>
    <row r="11" spans="2:4" ht="25.5" customHeight="1" x14ac:dyDescent="0.25">
      <c r="B11" s="1420" t="s">
        <v>620</v>
      </c>
      <c r="C11" s="1418" t="s">
        <v>411</v>
      </c>
      <c r="D11" s="1421" t="s">
        <v>2487</v>
      </c>
    </row>
    <row r="12" spans="2:4" ht="25.5" customHeight="1" x14ac:dyDescent="0.25">
      <c r="B12" s="1422" t="s">
        <v>621</v>
      </c>
      <c r="C12" s="1423" t="s">
        <v>408</v>
      </c>
      <c r="D12" s="1421" t="s">
        <v>2487</v>
      </c>
    </row>
    <row r="13" spans="2:4" ht="25.5" customHeight="1" x14ac:dyDescent="0.25">
      <c r="B13" s="1420" t="s">
        <v>622</v>
      </c>
      <c r="C13" s="1418" t="s">
        <v>416</v>
      </c>
      <c r="D13" s="1421" t="s">
        <v>2487</v>
      </c>
    </row>
    <row r="14" spans="2:4" ht="25.5" customHeight="1" x14ac:dyDescent="0.25">
      <c r="B14" s="1420" t="s">
        <v>623</v>
      </c>
      <c r="C14" s="1418" t="s">
        <v>393</v>
      </c>
      <c r="D14" s="1421" t="s">
        <v>2487</v>
      </c>
    </row>
    <row r="15" spans="2:4" ht="25.5" customHeight="1" x14ac:dyDescent="0.25">
      <c r="B15" s="1420" t="s">
        <v>624</v>
      </c>
      <c r="C15" s="1418" t="s">
        <v>398</v>
      </c>
      <c r="D15" s="1421" t="s">
        <v>2487</v>
      </c>
    </row>
    <row r="16" spans="2:4" ht="25.5" customHeight="1" x14ac:dyDescent="0.25">
      <c r="B16" s="1420" t="s">
        <v>625</v>
      </c>
      <c r="C16" s="1418" t="s">
        <v>400</v>
      </c>
      <c r="D16" s="1421" t="s">
        <v>2487</v>
      </c>
    </row>
    <row r="17" spans="2:4" ht="25.5" customHeight="1" x14ac:dyDescent="0.25">
      <c r="B17" s="1420" t="s">
        <v>626</v>
      </c>
      <c r="C17" s="1418" t="s">
        <v>403</v>
      </c>
      <c r="D17" s="1421" t="s">
        <v>2487</v>
      </c>
    </row>
    <row r="18" spans="2:4" ht="25.5" customHeight="1" x14ac:dyDescent="0.25">
      <c r="B18" s="1420" t="s">
        <v>627</v>
      </c>
      <c r="C18" s="1418" t="s">
        <v>406</v>
      </c>
      <c r="D18" s="1421" t="s">
        <v>2487</v>
      </c>
    </row>
    <row r="19" spans="2:4" ht="25.5" customHeight="1" x14ac:dyDescent="0.25">
      <c r="B19" s="1420" t="s">
        <v>628</v>
      </c>
      <c r="C19" s="1418" t="s">
        <v>220</v>
      </c>
      <c r="D19" s="1421" t="s">
        <v>2487</v>
      </c>
    </row>
    <row r="20" spans="2:4" ht="25.5" customHeight="1" x14ac:dyDescent="0.25">
      <c r="B20" s="1420" t="s">
        <v>629</v>
      </c>
      <c r="C20" s="1418" t="s">
        <v>189</v>
      </c>
      <c r="D20" s="1421" t="s">
        <v>2487</v>
      </c>
    </row>
    <row r="21" spans="2:4" ht="25.5" customHeight="1" x14ac:dyDescent="0.25">
      <c r="B21" s="1420" t="s">
        <v>630</v>
      </c>
      <c r="C21" s="1418">
        <v>8</v>
      </c>
      <c r="D21" s="1419" t="s">
        <v>2488</v>
      </c>
    </row>
    <row r="22" spans="2:4" ht="25.5" customHeight="1" x14ac:dyDescent="0.25">
      <c r="B22" s="1420" t="s">
        <v>631</v>
      </c>
      <c r="C22" s="1418" t="s">
        <v>632</v>
      </c>
      <c r="D22" s="1421" t="s">
        <v>2487</v>
      </c>
    </row>
    <row r="23" spans="2:4" ht="25.5" customHeight="1" x14ac:dyDescent="0.25">
      <c r="B23" s="1420" t="s">
        <v>633</v>
      </c>
      <c r="C23" s="1418" t="s">
        <v>634</v>
      </c>
      <c r="D23" s="1421" t="s">
        <v>2487</v>
      </c>
    </row>
    <row r="24" spans="2:4" ht="25.5" customHeight="1" x14ac:dyDescent="0.25">
      <c r="B24" s="1420" t="s">
        <v>635</v>
      </c>
      <c r="C24" s="1418" t="s">
        <v>636</v>
      </c>
      <c r="D24" s="1421" t="s">
        <v>2487</v>
      </c>
    </row>
    <row r="25" spans="2:4" ht="25.5" customHeight="1" x14ac:dyDescent="0.25">
      <c r="B25" s="1420" t="s">
        <v>637</v>
      </c>
      <c r="C25" s="1418" t="s">
        <v>638</v>
      </c>
      <c r="D25" s="1421" t="s">
        <v>2487</v>
      </c>
    </row>
    <row r="26" spans="2:4" ht="25.5" customHeight="1" x14ac:dyDescent="0.25">
      <c r="B26" s="1420" t="s">
        <v>639</v>
      </c>
      <c r="C26" s="1418" t="s">
        <v>640</v>
      </c>
      <c r="D26" s="1421" t="s">
        <v>2487</v>
      </c>
    </row>
    <row r="27" spans="2:4" ht="25.5" customHeight="1" x14ac:dyDescent="0.25">
      <c r="B27" s="1420" t="s">
        <v>641</v>
      </c>
      <c r="C27" s="1418" t="s">
        <v>642</v>
      </c>
      <c r="D27" s="1421" t="s">
        <v>2487</v>
      </c>
    </row>
    <row r="28" spans="2:4" ht="25.5" customHeight="1" x14ac:dyDescent="0.25">
      <c r="B28" s="1420" t="s">
        <v>643</v>
      </c>
      <c r="C28" s="1418" t="s">
        <v>644</v>
      </c>
      <c r="D28" s="1421" t="s">
        <v>2487</v>
      </c>
    </row>
    <row r="29" spans="2:4" ht="25.5" customHeight="1" x14ac:dyDescent="0.25">
      <c r="B29" s="1420" t="s">
        <v>645</v>
      </c>
      <c r="C29" s="1418" t="s">
        <v>646</v>
      </c>
      <c r="D29" s="1421" t="s">
        <v>2487</v>
      </c>
    </row>
    <row r="30" spans="2:4" ht="25.5" customHeight="1" x14ac:dyDescent="0.25">
      <c r="B30" s="1420" t="s">
        <v>647</v>
      </c>
      <c r="C30" s="1418">
        <v>9</v>
      </c>
      <c r="D30" s="1419" t="s">
        <v>882</v>
      </c>
    </row>
    <row r="31" spans="2:4" ht="25.5" customHeight="1" x14ac:dyDescent="0.25">
      <c r="B31" s="1420" t="s">
        <v>648</v>
      </c>
      <c r="C31" s="1418" t="s">
        <v>649</v>
      </c>
      <c r="D31" s="1419" t="s">
        <v>2489</v>
      </c>
    </row>
    <row r="32" spans="2:4" ht="25.5" customHeight="1" x14ac:dyDescent="0.25">
      <c r="B32" s="1420" t="s">
        <v>650</v>
      </c>
      <c r="C32" s="1418" t="s">
        <v>136</v>
      </c>
      <c r="D32" s="1421" t="s">
        <v>2487</v>
      </c>
    </row>
    <row r="33" spans="2:4" ht="25.5" customHeight="1" x14ac:dyDescent="0.25">
      <c r="B33" s="1420" t="s">
        <v>651</v>
      </c>
      <c r="C33" s="1418" t="s">
        <v>139</v>
      </c>
      <c r="D33" s="1421" t="s">
        <v>2487</v>
      </c>
    </row>
    <row r="34" spans="2:4" ht="25.5" customHeight="1" x14ac:dyDescent="0.25">
      <c r="B34" s="1424" t="s">
        <v>652</v>
      </c>
      <c r="C34" s="1418">
        <v>10</v>
      </c>
      <c r="D34" s="1419" t="s">
        <v>2309</v>
      </c>
    </row>
    <row r="35" spans="2:4" ht="25.5" customHeight="1" x14ac:dyDescent="0.25">
      <c r="B35" s="1420" t="s">
        <v>653</v>
      </c>
      <c r="C35" s="1418">
        <v>11</v>
      </c>
      <c r="D35" s="1419" t="s">
        <v>2490</v>
      </c>
    </row>
    <row r="36" spans="2:4" ht="25.5" customHeight="1" x14ac:dyDescent="0.25">
      <c r="B36" s="1420" t="s">
        <v>654</v>
      </c>
      <c r="C36" s="1418" t="s">
        <v>6</v>
      </c>
      <c r="D36" s="1421" t="s">
        <v>2487</v>
      </c>
    </row>
    <row r="37" spans="2:4" ht="25.5" customHeight="1" x14ac:dyDescent="0.25">
      <c r="B37" s="1420" t="s">
        <v>655</v>
      </c>
      <c r="C37" s="1418" t="s">
        <v>13</v>
      </c>
      <c r="D37" s="1421" t="s">
        <v>2487</v>
      </c>
    </row>
    <row r="38" spans="2:4" ht="25.5" customHeight="1" x14ac:dyDescent="0.25">
      <c r="B38" s="1420" t="s">
        <v>656</v>
      </c>
      <c r="C38" s="1418" t="s">
        <v>17</v>
      </c>
      <c r="D38" s="1421" t="s">
        <v>2487</v>
      </c>
    </row>
    <row r="39" spans="2:4" ht="25.5" customHeight="1" x14ac:dyDescent="0.25">
      <c r="B39" s="1420" t="s">
        <v>657</v>
      </c>
      <c r="C39" s="1418" t="s">
        <v>19</v>
      </c>
      <c r="D39" s="1421" t="s">
        <v>2487</v>
      </c>
    </row>
    <row r="40" spans="2:4" ht="25.5" customHeight="1" x14ac:dyDescent="0.25">
      <c r="B40" s="1420" t="s">
        <v>658</v>
      </c>
      <c r="C40" s="1418" t="s">
        <v>21</v>
      </c>
      <c r="D40" s="1421" t="s">
        <v>2487</v>
      </c>
    </row>
    <row r="41" spans="2:4" ht="25.5" customHeight="1" x14ac:dyDescent="0.25">
      <c r="B41" s="1420" t="s">
        <v>659</v>
      </c>
      <c r="C41" s="1418" t="s">
        <v>15</v>
      </c>
      <c r="D41" s="1421" t="s">
        <v>2487</v>
      </c>
    </row>
    <row r="42" spans="2:4" ht="25.5" customHeight="1" x14ac:dyDescent="0.25">
      <c r="B42" s="1420" t="s">
        <v>660</v>
      </c>
      <c r="C42" s="1418" t="s">
        <v>23</v>
      </c>
      <c r="D42" s="1421" t="s">
        <v>2487</v>
      </c>
    </row>
    <row r="43" spans="2:4" ht="25.5" customHeight="1" x14ac:dyDescent="0.25">
      <c r="B43" s="1420" t="s">
        <v>661</v>
      </c>
      <c r="C43" s="1418" t="s">
        <v>25</v>
      </c>
      <c r="D43" s="1421" t="s">
        <v>2487</v>
      </c>
    </row>
    <row r="44" spans="2:4" ht="25.5" customHeight="1" x14ac:dyDescent="0.25">
      <c r="B44" s="1420" t="s">
        <v>662</v>
      </c>
      <c r="C44" s="1418" t="s">
        <v>27</v>
      </c>
      <c r="D44" s="1421" t="s">
        <v>2487</v>
      </c>
    </row>
    <row r="45" spans="2:4" ht="25.5" customHeight="1" x14ac:dyDescent="0.25">
      <c r="B45" s="1420" t="s">
        <v>663</v>
      </c>
      <c r="C45" s="1418" t="s">
        <v>664</v>
      </c>
      <c r="D45" s="1421" t="s">
        <v>2487</v>
      </c>
    </row>
    <row r="46" spans="2:4" ht="25.5" customHeight="1" x14ac:dyDescent="0.25">
      <c r="B46" s="1420" t="s">
        <v>665</v>
      </c>
      <c r="C46" s="1418" t="s">
        <v>666</v>
      </c>
      <c r="D46" s="1421" t="s">
        <v>2487</v>
      </c>
    </row>
    <row r="47" spans="2:4" ht="25.5" customHeight="1" x14ac:dyDescent="0.25">
      <c r="B47" s="1420" t="s">
        <v>667</v>
      </c>
      <c r="C47" s="1418" t="s">
        <v>29</v>
      </c>
      <c r="D47" s="1421" t="s">
        <v>2487</v>
      </c>
    </row>
    <row r="48" spans="2:4" ht="25.5" customHeight="1" x14ac:dyDescent="0.25">
      <c r="B48" s="1420" t="s">
        <v>668</v>
      </c>
      <c r="C48" s="1418" t="s">
        <v>31</v>
      </c>
      <c r="D48" s="1421" t="s">
        <v>2487</v>
      </c>
    </row>
    <row r="49" spans="2:4" ht="25.5" customHeight="1" x14ac:dyDescent="0.25">
      <c r="B49" s="1420" t="s">
        <v>669</v>
      </c>
      <c r="C49" s="1418" t="s">
        <v>33</v>
      </c>
      <c r="D49" s="1421" t="s">
        <v>2487</v>
      </c>
    </row>
    <row r="50" spans="2:4" ht="25.5" customHeight="1" x14ac:dyDescent="0.25">
      <c r="B50" s="1420" t="s">
        <v>670</v>
      </c>
      <c r="C50" s="1418" t="s">
        <v>671</v>
      </c>
      <c r="D50" s="1421" t="s">
        <v>2487</v>
      </c>
    </row>
    <row r="51" spans="2:4" ht="25.5" customHeight="1" x14ac:dyDescent="0.25">
      <c r="B51" s="1420" t="s">
        <v>672</v>
      </c>
      <c r="C51" s="1418" t="s">
        <v>34</v>
      </c>
      <c r="D51" s="1421" t="s">
        <v>2487</v>
      </c>
    </row>
    <row r="52" spans="2:4" ht="25.5" customHeight="1" x14ac:dyDescent="0.25">
      <c r="B52" s="1420" t="s">
        <v>673</v>
      </c>
      <c r="C52" s="1418" t="s">
        <v>90</v>
      </c>
      <c r="D52" s="1421" t="s">
        <v>2487</v>
      </c>
    </row>
    <row r="53" spans="2:4" ht="25.5" customHeight="1" x14ac:dyDescent="0.25">
      <c r="B53" s="1420" t="s">
        <v>674</v>
      </c>
      <c r="C53" s="1418" t="s">
        <v>36</v>
      </c>
      <c r="D53" s="1421" t="s">
        <v>2487</v>
      </c>
    </row>
    <row r="54" spans="2:4" ht="25.5" customHeight="1" x14ac:dyDescent="0.25">
      <c r="B54" s="1420" t="s">
        <v>675</v>
      </c>
      <c r="C54" s="1418" t="s">
        <v>38</v>
      </c>
      <c r="D54" s="1421" t="s">
        <v>2487</v>
      </c>
    </row>
    <row r="55" spans="2:4" ht="25.5" customHeight="1" x14ac:dyDescent="0.25">
      <c r="B55" s="1420" t="s">
        <v>676</v>
      </c>
      <c r="C55" s="1418" t="s">
        <v>40</v>
      </c>
      <c r="D55" s="1421" t="s">
        <v>2487</v>
      </c>
    </row>
    <row r="56" spans="2:4" ht="25.5" customHeight="1" x14ac:dyDescent="0.25">
      <c r="B56" s="1420" t="s">
        <v>677</v>
      </c>
      <c r="C56" s="1418" t="s">
        <v>42</v>
      </c>
      <c r="D56" s="1421" t="s">
        <v>2487</v>
      </c>
    </row>
    <row r="57" spans="2:4" ht="25.5" customHeight="1" x14ac:dyDescent="0.25">
      <c r="B57" s="1420" t="s">
        <v>678</v>
      </c>
      <c r="C57" s="1418" t="s">
        <v>44</v>
      </c>
      <c r="D57" s="1421" t="s">
        <v>2487</v>
      </c>
    </row>
    <row r="58" spans="2:4" ht="25.5" customHeight="1" x14ac:dyDescent="0.25">
      <c r="B58" s="1420" t="s">
        <v>679</v>
      </c>
      <c r="C58" s="1418" t="s">
        <v>86</v>
      </c>
      <c r="D58" s="1421" t="s">
        <v>2487</v>
      </c>
    </row>
    <row r="59" spans="2:4" ht="25.5" customHeight="1" x14ac:dyDescent="0.25">
      <c r="B59" s="1420" t="s">
        <v>680</v>
      </c>
      <c r="C59" s="1418" t="s">
        <v>91</v>
      </c>
      <c r="D59" s="1421" t="s">
        <v>2487</v>
      </c>
    </row>
    <row r="60" spans="2:4" ht="25.5" customHeight="1" x14ac:dyDescent="0.25">
      <c r="B60" s="1420" t="s">
        <v>681</v>
      </c>
      <c r="C60" s="1418" t="s">
        <v>92</v>
      </c>
      <c r="D60" s="1421" t="s">
        <v>2487</v>
      </c>
    </row>
    <row r="61" spans="2:4" ht="25.5" customHeight="1" x14ac:dyDescent="0.25">
      <c r="B61" s="1420" t="s">
        <v>682</v>
      </c>
      <c r="C61" s="1418" t="s">
        <v>46</v>
      </c>
      <c r="D61" s="1421" t="s">
        <v>2487</v>
      </c>
    </row>
    <row r="62" spans="2:4" ht="25.5" customHeight="1" x14ac:dyDescent="0.25">
      <c r="B62" s="1420" t="s">
        <v>683</v>
      </c>
      <c r="C62" s="1418" t="s">
        <v>684</v>
      </c>
      <c r="D62" s="1421" t="s">
        <v>2487</v>
      </c>
    </row>
    <row r="63" spans="2:4" ht="25.5" customHeight="1" x14ac:dyDescent="0.25">
      <c r="B63" s="1420" t="s">
        <v>685</v>
      </c>
      <c r="C63" s="1418">
        <v>12</v>
      </c>
      <c r="D63" s="1419" t="s">
        <v>2491</v>
      </c>
    </row>
    <row r="64" spans="2:4" ht="25.5" customHeight="1" x14ac:dyDescent="0.25">
      <c r="B64" s="1420" t="s">
        <v>686</v>
      </c>
      <c r="C64" s="1418">
        <v>13</v>
      </c>
      <c r="D64" s="1419" t="s">
        <v>2492</v>
      </c>
    </row>
    <row r="65" spans="2:4" ht="25.5" customHeight="1" x14ac:dyDescent="0.25">
      <c r="B65" s="1420" t="s">
        <v>687</v>
      </c>
      <c r="C65" s="1418">
        <v>14</v>
      </c>
      <c r="D65" s="1419" t="s">
        <v>2493</v>
      </c>
    </row>
    <row r="66" spans="2:4" ht="25.5" customHeight="1" x14ac:dyDescent="0.25">
      <c r="B66" s="1420" t="s">
        <v>688</v>
      </c>
      <c r="C66" s="1418">
        <v>15</v>
      </c>
      <c r="D66" s="1419" t="s">
        <v>2494</v>
      </c>
    </row>
    <row r="67" spans="2:4" ht="25.5" customHeight="1" x14ac:dyDescent="0.25">
      <c r="B67" s="1420" t="s">
        <v>689</v>
      </c>
      <c r="C67" s="1418" t="s">
        <v>116</v>
      </c>
      <c r="D67" s="1421" t="s">
        <v>2487</v>
      </c>
    </row>
    <row r="68" spans="2:4" ht="25.5" customHeight="1" x14ac:dyDescent="0.25">
      <c r="B68" s="1420" t="s">
        <v>2495</v>
      </c>
      <c r="C68" s="1418">
        <v>16</v>
      </c>
      <c r="D68" s="1421" t="s">
        <v>2504</v>
      </c>
    </row>
    <row r="69" spans="2:4" ht="25.5" customHeight="1" x14ac:dyDescent="0.25">
      <c r="B69" s="1420" t="s">
        <v>690</v>
      </c>
      <c r="C69" s="1418" t="s">
        <v>274</v>
      </c>
      <c r="D69" s="1421" t="s">
        <v>2487</v>
      </c>
    </row>
    <row r="70" spans="2:4" ht="25.5" customHeight="1" x14ac:dyDescent="0.25">
      <c r="B70" s="1420" t="s">
        <v>691</v>
      </c>
      <c r="C70" s="1418">
        <v>17</v>
      </c>
      <c r="D70" s="1421" t="s">
        <v>2505</v>
      </c>
    </row>
    <row r="71" spans="2:4" ht="25.5" customHeight="1" x14ac:dyDescent="0.25">
      <c r="B71" s="1420" t="s">
        <v>692</v>
      </c>
      <c r="C71" s="1418">
        <v>18</v>
      </c>
      <c r="D71" s="1419" t="s">
        <v>2496</v>
      </c>
    </row>
    <row r="72" spans="2:4" ht="25.5" customHeight="1" x14ac:dyDescent="0.25">
      <c r="B72" s="1420" t="s">
        <v>693</v>
      </c>
      <c r="C72" s="1418" t="s">
        <v>151</v>
      </c>
      <c r="D72" s="1421" t="s">
        <v>2487</v>
      </c>
    </row>
    <row r="73" spans="2:4" ht="25.5" customHeight="1" x14ac:dyDescent="0.25">
      <c r="B73" s="1420" t="s">
        <v>694</v>
      </c>
      <c r="C73" s="1418">
        <v>19</v>
      </c>
      <c r="D73" s="1421" t="s">
        <v>2487</v>
      </c>
    </row>
    <row r="74" spans="2:4" ht="25.5" customHeight="1" x14ac:dyDescent="0.25">
      <c r="B74" s="1420" t="s">
        <v>695</v>
      </c>
      <c r="C74" s="1418">
        <v>20</v>
      </c>
      <c r="D74" s="1421" t="s">
        <v>2487</v>
      </c>
    </row>
    <row r="75" spans="2:4" ht="25.5" customHeight="1" x14ac:dyDescent="0.25">
      <c r="B75" s="1420" t="s">
        <v>696</v>
      </c>
      <c r="C75" s="1418">
        <v>21</v>
      </c>
      <c r="D75" s="1421" t="s">
        <v>2487</v>
      </c>
    </row>
    <row r="76" spans="2:4" ht="25.5" customHeight="1" x14ac:dyDescent="0.25">
      <c r="B76" s="1420" t="s">
        <v>697</v>
      </c>
      <c r="C76" s="1418">
        <v>22</v>
      </c>
      <c r="D76" s="1421" t="s">
        <v>2487</v>
      </c>
    </row>
    <row r="77" spans="2:4" ht="25.5" customHeight="1" x14ac:dyDescent="0.25">
      <c r="B77" s="1420" t="s">
        <v>698</v>
      </c>
      <c r="C77" s="1418">
        <v>23</v>
      </c>
      <c r="D77" s="1421" t="s">
        <v>2487</v>
      </c>
    </row>
    <row r="78" spans="2:4" ht="25.5" customHeight="1" x14ac:dyDescent="0.25">
      <c r="B78" s="1420" t="s">
        <v>699</v>
      </c>
      <c r="C78" s="1418">
        <v>24</v>
      </c>
      <c r="D78" s="1421" t="s">
        <v>2487</v>
      </c>
    </row>
    <row r="79" spans="2:4" ht="25.5" customHeight="1" x14ac:dyDescent="0.25">
      <c r="B79" s="1420" t="s">
        <v>700</v>
      </c>
      <c r="C79" s="1418">
        <v>25</v>
      </c>
      <c r="D79" s="1421" t="s">
        <v>2487</v>
      </c>
    </row>
    <row r="80" spans="2:4" ht="25.5" customHeight="1" x14ac:dyDescent="0.25">
      <c r="B80" s="1420" t="s">
        <v>701</v>
      </c>
      <c r="C80" s="1418">
        <v>26</v>
      </c>
      <c r="D80" s="1421" t="s">
        <v>2487</v>
      </c>
    </row>
    <row r="81" spans="2:4" ht="25.5" customHeight="1" x14ac:dyDescent="0.25">
      <c r="B81" s="1420" t="s">
        <v>702</v>
      </c>
      <c r="C81" s="1418">
        <v>27</v>
      </c>
      <c r="D81" s="1421" t="s">
        <v>2487</v>
      </c>
    </row>
    <row r="82" spans="2:4" ht="25.5" customHeight="1" x14ac:dyDescent="0.25">
      <c r="B82" s="1420" t="s">
        <v>703</v>
      </c>
      <c r="C82" s="1418">
        <v>28</v>
      </c>
      <c r="D82" s="1421" t="s">
        <v>2487</v>
      </c>
    </row>
    <row r="83" spans="2:4" ht="25.5" customHeight="1" x14ac:dyDescent="0.25">
      <c r="B83" s="1420" t="s">
        <v>704</v>
      </c>
      <c r="C83" s="1418">
        <v>29</v>
      </c>
      <c r="D83" s="1421" t="s">
        <v>2487</v>
      </c>
    </row>
    <row r="84" spans="2:4" ht="25.5" customHeight="1" x14ac:dyDescent="0.25">
      <c r="B84" s="1420" t="s">
        <v>705</v>
      </c>
      <c r="C84" s="1418">
        <v>30</v>
      </c>
      <c r="D84" s="1421" t="s">
        <v>2487</v>
      </c>
    </row>
    <row r="85" spans="2:4" ht="25.5" customHeight="1" x14ac:dyDescent="0.25">
      <c r="B85" s="1420" t="s">
        <v>706</v>
      </c>
      <c r="C85" s="1418">
        <v>31</v>
      </c>
      <c r="D85" s="1421" t="s">
        <v>2487</v>
      </c>
    </row>
    <row r="86" spans="2:4" ht="25.5" customHeight="1" x14ac:dyDescent="0.25">
      <c r="B86" s="1420" t="s">
        <v>707</v>
      </c>
      <c r="C86" s="1418">
        <v>32</v>
      </c>
      <c r="D86" s="1419" t="s">
        <v>2497</v>
      </c>
    </row>
    <row r="87" spans="2:4" ht="25.5" customHeight="1" x14ac:dyDescent="0.25">
      <c r="B87" s="1420" t="s">
        <v>708</v>
      </c>
      <c r="C87" s="1418">
        <v>33</v>
      </c>
      <c r="D87" s="1419" t="s">
        <v>2498</v>
      </c>
    </row>
    <row r="88" spans="2:4" ht="25.5" customHeight="1" x14ac:dyDescent="0.25">
      <c r="B88" s="1420" t="s">
        <v>709</v>
      </c>
      <c r="C88" s="1418">
        <v>34</v>
      </c>
      <c r="D88" s="1419" t="s">
        <v>2499</v>
      </c>
    </row>
    <row r="89" spans="2:4" ht="25.5" customHeight="1" x14ac:dyDescent="0.25">
      <c r="B89" s="1420" t="s">
        <v>2500</v>
      </c>
      <c r="C89" s="1418">
        <v>35</v>
      </c>
      <c r="D89" s="1421" t="s">
        <v>2506</v>
      </c>
    </row>
    <row r="90" spans="2:4" ht="25.5" customHeight="1" x14ac:dyDescent="0.25">
      <c r="B90" s="1420" t="s">
        <v>710</v>
      </c>
      <c r="C90" s="1418">
        <v>36</v>
      </c>
      <c r="D90" s="1419" t="s">
        <v>2501</v>
      </c>
    </row>
    <row r="91" spans="2:4" ht="40.5" customHeight="1" x14ac:dyDescent="0.25">
      <c r="B91" s="1420" t="s">
        <v>2226</v>
      </c>
      <c r="C91" s="1425">
        <v>37</v>
      </c>
      <c r="D91" s="1421" t="s">
        <v>2507</v>
      </c>
    </row>
    <row r="92" spans="2:4" ht="40.5" customHeight="1" thickBot="1" x14ac:dyDescent="0.3">
      <c r="B92" s="1426" t="s">
        <v>2476</v>
      </c>
      <c r="C92" s="1427">
        <v>38</v>
      </c>
      <c r="D92" s="1428" t="s">
        <v>2502</v>
      </c>
    </row>
    <row r="93" spans="2:4" ht="40.5" customHeight="1" x14ac:dyDescent="0.2">
      <c r="D93" s="1429" t="s">
        <v>2503</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75"/>
  <sheetViews>
    <sheetView showZeros="0" tabSelected="1" zoomScale="80" zoomScaleNormal="80" zoomScaleSheetLayoutView="85" zoomScalePageLayoutView="55" workbookViewId="0">
      <pane ySplit="5" topLeftCell="A1773" activePane="bottomLeft" state="frozen"/>
      <selection activeCell="A3" sqref="A3"/>
      <selection pane="bottomLeft" activeCell="S199" sqref="S199"/>
    </sheetView>
  </sheetViews>
  <sheetFormatPr defaultRowHeight="12.75" customHeight="1" x14ac:dyDescent="0.2"/>
  <cols>
    <col min="1" max="1" width="6.42578125" style="38" customWidth="1"/>
    <col min="2" max="3" width="8.7109375" style="38" customWidth="1"/>
    <col min="4" max="4" width="37.28515625" style="99" customWidth="1"/>
    <col min="5" max="5" width="8.140625" style="38" customWidth="1"/>
    <col min="6" max="6" width="8.28515625" style="38" customWidth="1"/>
    <col min="7" max="7" width="7.42578125" style="38" customWidth="1"/>
    <col min="8" max="8" width="1.7109375" style="38" hidden="1" customWidth="1"/>
    <col min="9" max="10" width="7.7109375" style="100" customWidth="1"/>
    <col min="11" max="11" width="8.7109375" style="1" customWidth="1"/>
    <col min="12" max="12" width="10.5703125" style="1" customWidth="1"/>
    <col min="13" max="13" width="6.85546875" style="38" customWidth="1"/>
    <col min="14" max="14" width="17" style="98" customWidth="1"/>
    <col min="15" max="15" width="32" style="60" customWidth="1"/>
    <col min="16" max="16" width="12.42578125" customWidth="1"/>
    <col min="17" max="17" width="20.28515625" customWidth="1"/>
    <col min="18" max="18" width="44" style="97" hidden="1" customWidth="1"/>
    <col min="19" max="19" width="37.42578125" customWidth="1"/>
  </cols>
  <sheetData>
    <row r="1" spans="1:21" ht="56.25" customHeight="1" x14ac:dyDescent="0.2">
      <c r="D1" s="1517" t="s">
        <v>2554</v>
      </c>
      <c r="E1" s="1517"/>
      <c r="F1" s="1517"/>
      <c r="G1" s="1517"/>
      <c r="H1" s="93"/>
      <c r="I1" s="94"/>
      <c r="J1" s="95"/>
      <c r="K1" s="95"/>
      <c r="L1" s="95"/>
      <c r="N1" s="95"/>
      <c r="O1" s="96"/>
      <c r="P1" s="1518" t="s">
        <v>2553</v>
      </c>
      <c r="Q1" s="1519"/>
      <c r="S1" s="98"/>
    </row>
    <row r="2" spans="1:21" ht="10.5" customHeight="1" x14ac:dyDescent="0.2"/>
    <row r="3" spans="1:21" s="1" customFormat="1" ht="54.6" customHeight="1" x14ac:dyDescent="0.2">
      <c r="A3" s="1512" t="s">
        <v>720</v>
      </c>
      <c r="B3" s="1512" t="s">
        <v>721</v>
      </c>
      <c r="C3" s="1512" t="s">
        <v>722</v>
      </c>
      <c r="D3" s="1513" t="s">
        <v>0</v>
      </c>
      <c r="E3" s="1514" t="s">
        <v>723</v>
      </c>
      <c r="F3" s="1520" t="s">
        <v>2</v>
      </c>
      <c r="G3" s="1521" t="s">
        <v>3</v>
      </c>
      <c r="H3" s="101"/>
      <c r="I3" s="102" t="s">
        <v>724</v>
      </c>
      <c r="J3" s="102" t="s">
        <v>725</v>
      </c>
      <c r="K3" s="102" t="s">
        <v>726</v>
      </c>
      <c r="L3" s="102" t="s">
        <v>727</v>
      </c>
      <c r="M3" s="192" t="s">
        <v>728</v>
      </c>
      <c r="N3" s="103" t="s">
        <v>729</v>
      </c>
      <c r="O3" s="89" t="s">
        <v>730</v>
      </c>
      <c r="P3" s="81" t="s">
        <v>2225</v>
      </c>
      <c r="Q3" s="1522" t="s">
        <v>731</v>
      </c>
      <c r="R3" s="1515" t="s">
        <v>732</v>
      </c>
      <c r="S3" s="1511" t="s">
        <v>2222</v>
      </c>
      <c r="T3"/>
      <c r="U3"/>
    </row>
    <row r="4" spans="1:21" s="1" customFormat="1" ht="11.25" customHeight="1" x14ac:dyDescent="0.2">
      <c r="A4" s="1512"/>
      <c r="B4" s="1512"/>
      <c r="C4" s="1512"/>
      <c r="D4" s="1513"/>
      <c r="E4" s="1514"/>
      <c r="F4" s="1520"/>
      <c r="G4" s="1521"/>
      <c r="H4" s="101"/>
      <c r="I4" s="1516" t="s">
        <v>733</v>
      </c>
      <c r="J4" s="1516"/>
      <c r="K4" s="1516"/>
      <c r="L4" s="104"/>
      <c r="M4" s="38"/>
      <c r="N4" s="103"/>
      <c r="O4" s="89"/>
      <c r="P4" s="81"/>
      <c r="Q4" s="1522"/>
      <c r="R4" s="1515"/>
      <c r="S4" s="1511"/>
      <c r="T4"/>
      <c r="U4"/>
    </row>
    <row r="5" spans="1:21" s="1" customFormat="1" ht="11.25" customHeight="1" x14ac:dyDescent="0.2">
      <c r="A5" s="105">
        <v>1</v>
      </c>
      <c r="B5" s="105">
        <v>2</v>
      </c>
      <c r="C5" s="105">
        <v>3</v>
      </c>
      <c r="D5" s="105">
        <v>4</v>
      </c>
      <c r="E5" s="823">
        <v>5</v>
      </c>
      <c r="F5" s="105">
        <v>6</v>
      </c>
      <c r="G5" s="105">
        <v>7</v>
      </c>
      <c r="H5" s="105">
        <v>8</v>
      </c>
      <c r="I5" s="105">
        <v>8</v>
      </c>
      <c r="J5" s="105">
        <v>9</v>
      </c>
      <c r="K5" s="105">
        <v>10</v>
      </c>
      <c r="L5" s="105">
        <v>11</v>
      </c>
      <c r="M5" s="105">
        <v>12</v>
      </c>
      <c r="N5" s="105">
        <v>13</v>
      </c>
      <c r="O5" s="105">
        <v>14</v>
      </c>
      <c r="P5" s="105">
        <v>15</v>
      </c>
      <c r="Q5" s="105">
        <v>16</v>
      </c>
      <c r="R5" s="106">
        <v>15</v>
      </c>
      <c r="S5" s="1148"/>
      <c r="T5"/>
      <c r="U5"/>
    </row>
    <row r="6" spans="1:21" s="1" customFormat="1" ht="22.5" x14ac:dyDescent="0.2">
      <c r="A6" s="83">
        <v>1</v>
      </c>
      <c r="B6" s="107"/>
      <c r="C6" s="107"/>
      <c r="D6" s="108" t="s">
        <v>734</v>
      </c>
      <c r="E6" s="109"/>
      <c r="F6" s="107"/>
      <c r="G6" s="110"/>
      <c r="H6" s="101"/>
      <c r="I6" s="109"/>
      <c r="J6" s="109"/>
      <c r="K6" s="109"/>
      <c r="L6" s="109"/>
      <c r="M6" s="38"/>
      <c r="N6" s="103"/>
      <c r="O6" s="89"/>
      <c r="P6" s="81"/>
      <c r="Q6" s="81"/>
      <c r="R6" s="111"/>
      <c r="S6"/>
      <c r="T6"/>
      <c r="U6"/>
    </row>
    <row r="7" spans="1:21" s="1" customFormat="1" ht="33.75" x14ac:dyDescent="0.2">
      <c r="A7" s="83">
        <v>1</v>
      </c>
      <c r="B7" s="112" t="s">
        <v>735</v>
      </c>
      <c r="C7" s="112" t="s">
        <v>735</v>
      </c>
      <c r="D7" s="113" t="s">
        <v>5</v>
      </c>
      <c r="E7" s="102"/>
      <c r="F7" s="90"/>
      <c r="G7" s="101"/>
      <c r="H7" s="114"/>
      <c r="I7" s="2">
        <f>SUM(I15,I23,I31,I39,I47,I55,I63,I71,I79,I87,I94,I102,I110,I118,I126,I134,I142,I150,I158,I211,I167,I171,I175,I189,I193,I197,I199,I203,I206,I165,I213,I217,I219,I223)</f>
        <v>48837.8</v>
      </c>
      <c r="J7" s="2">
        <f t="shared" ref="J7:L7" si="0">SUM(J15,J23,J31,J39,J47,J55,J63,J71,J79,J87,J94,J102,J110,J118,J126,J134,J142,J150,J158,J211,J167,J171,J175,J189,J193,J197,J199,J203,J206,J165,J213,J217,J219,J223)</f>
        <v>53988.19999999999</v>
      </c>
      <c r="K7" s="2">
        <f t="shared" si="0"/>
        <v>56351.199999999997</v>
      </c>
      <c r="L7" s="2">
        <f t="shared" si="0"/>
        <v>56276.400000000016</v>
      </c>
      <c r="M7" s="38"/>
      <c r="N7" s="103"/>
      <c r="O7" s="89"/>
      <c r="P7" s="81"/>
      <c r="Q7" s="81"/>
      <c r="R7" s="111"/>
      <c r="S7"/>
      <c r="T7"/>
      <c r="U7"/>
    </row>
    <row r="8" spans="1:21" s="1" customFormat="1" ht="12.6" customHeight="1" x14ac:dyDescent="0.2">
      <c r="A8" s="83">
        <v>1</v>
      </c>
      <c r="B8" s="115"/>
      <c r="C8" s="115" t="s">
        <v>736</v>
      </c>
      <c r="D8" s="1507" t="s">
        <v>737</v>
      </c>
      <c r="E8" s="115" t="s">
        <v>6</v>
      </c>
      <c r="F8" s="40" t="s">
        <v>7</v>
      </c>
      <c r="G8" s="40" t="s">
        <v>8</v>
      </c>
      <c r="H8" s="37">
        <v>2131.9</v>
      </c>
      <c r="I8" s="16">
        <v>2563.4</v>
      </c>
      <c r="J8" s="116">
        <f>2956-12.2+18.8</f>
        <v>2962.6000000000004</v>
      </c>
      <c r="K8" s="923">
        <v>3130.4</v>
      </c>
      <c r="L8" s="924">
        <v>3130.4</v>
      </c>
      <c r="M8" s="38"/>
      <c r="N8" s="117"/>
      <c r="O8" s="118"/>
      <c r="P8" s="119"/>
      <c r="Q8" s="120"/>
      <c r="R8" s="111"/>
      <c r="S8"/>
      <c r="T8"/>
      <c r="U8"/>
    </row>
    <row r="9" spans="1:21" s="1" customFormat="1" ht="11.25" customHeight="1" x14ac:dyDescent="0.2">
      <c r="A9" s="83">
        <v>1</v>
      </c>
      <c r="B9" s="115"/>
      <c r="C9" s="115"/>
      <c r="D9" s="1507"/>
      <c r="E9" s="115" t="s">
        <v>6</v>
      </c>
      <c r="F9" s="40" t="s">
        <v>7</v>
      </c>
      <c r="G9" s="40" t="s">
        <v>738</v>
      </c>
      <c r="H9" s="37">
        <v>39.6</v>
      </c>
      <c r="I9" s="16">
        <v>23.3</v>
      </c>
      <c r="J9" s="116">
        <f>12.2</f>
        <v>12.2</v>
      </c>
      <c r="K9" s="37"/>
      <c r="L9" s="37"/>
      <c r="M9" s="38"/>
      <c r="N9" s="117"/>
      <c r="O9" s="118"/>
      <c r="P9" s="119"/>
      <c r="Q9" s="120"/>
      <c r="R9" s="111"/>
      <c r="S9"/>
      <c r="T9"/>
      <c r="U9"/>
    </row>
    <row r="10" spans="1:21" s="1" customFormat="1" ht="11.25" customHeight="1" x14ac:dyDescent="0.2">
      <c r="A10" s="83">
        <v>1</v>
      </c>
      <c r="B10" s="115"/>
      <c r="C10" s="115"/>
      <c r="D10" s="1507"/>
      <c r="E10" s="115" t="s">
        <v>6</v>
      </c>
      <c r="F10" s="40" t="s">
        <v>7</v>
      </c>
      <c r="G10" s="40" t="s">
        <v>714</v>
      </c>
      <c r="H10" s="37"/>
      <c r="I10" s="16">
        <v>53.3</v>
      </c>
      <c r="J10" s="116"/>
      <c r="K10" s="37"/>
      <c r="L10" s="37"/>
      <c r="M10" s="38"/>
      <c r="N10" s="117"/>
      <c r="O10" s="118"/>
      <c r="P10" s="119"/>
      <c r="Q10" s="120"/>
      <c r="R10" s="111"/>
      <c r="S10"/>
      <c r="T10"/>
      <c r="U10"/>
    </row>
    <row r="11" spans="1:21" s="1" customFormat="1" ht="21.75" customHeight="1" x14ac:dyDescent="0.2">
      <c r="A11" s="83">
        <v>1</v>
      </c>
      <c r="B11" s="115"/>
      <c r="C11" s="115"/>
      <c r="D11" s="1507"/>
      <c r="E11" s="115" t="s">
        <v>6</v>
      </c>
      <c r="F11" s="40" t="s">
        <v>7</v>
      </c>
      <c r="G11" s="40" t="s">
        <v>9</v>
      </c>
      <c r="H11" s="37">
        <v>848.6</v>
      </c>
      <c r="I11" s="16">
        <v>1115.8</v>
      </c>
      <c r="J11" s="116">
        <v>1037.9000000000001</v>
      </c>
      <c r="K11" s="37">
        <v>1075.5999999999999</v>
      </c>
      <c r="L11" s="37">
        <v>1093</v>
      </c>
      <c r="M11" s="38" t="s">
        <v>739</v>
      </c>
      <c r="N11" s="117"/>
      <c r="O11" s="118"/>
      <c r="P11" s="119"/>
      <c r="Q11" s="120"/>
      <c r="R11" s="111"/>
      <c r="S11"/>
      <c r="T11"/>
      <c r="U11"/>
    </row>
    <row r="12" spans="1:21" s="1" customFormat="1" ht="11.25" customHeight="1" x14ac:dyDescent="0.2">
      <c r="A12" s="83">
        <v>1</v>
      </c>
      <c r="B12" s="115"/>
      <c r="C12" s="115"/>
      <c r="D12" s="1507"/>
      <c r="E12" s="115" t="s">
        <v>6</v>
      </c>
      <c r="F12" s="40" t="s">
        <v>7</v>
      </c>
      <c r="G12" s="40" t="s">
        <v>11</v>
      </c>
      <c r="H12" s="37">
        <v>0</v>
      </c>
      <c r="I12" s="16">
        <v>37.1</v>
      </c>
      <c r="J12" s="116">
        <f>2.1</f>
        <v>2.1</v>
      </c>
      <c r="K12" s="37"/>
      <c r="L12" s="37"/>
      <c r="M12" s="38"/>
      <c r="N12" s="117"/>
      <c r="O12" s="118"/>
      <c r="P12" s="119"/>
      <c r="Q12" s="120"/>
      <c r="R12" s="111"/>
      <c r="S12"/>
      <c r="T12"/>
      <c r="U12"/>
    </row>
    <row r="13" spans="1:21" s="1" customFormat="1" ht="11.25" customHeight="1" x14ac:dyDescent="0.2">
      <c r="A13" s="83">
        <v>1</v>
      </c>
      <c r="B13" s="115"/>
      <c r="C13" s="115"/>
      <c r="D13" s="1507"/>
      <c r="E13" s="115" t="s">
        <v>6</v>
      </c>
      <c r="F13" s="40" t="s">
        <v>7</v>
      </c>
      <c r="G13" s="40" t="s">
        <v>12</v>
      </c>
      <c r="H13" s="37">
        <f>166.2+3.5</f>
        <v>169.7</v>
      </c>
      <c r="I13" s="16">
        <v>172.5</v>
      </c>
      <c r="J13" s="116">
        <v>183</v>
      </c>
      <c r="K13" s="37">
        <v>183</v>
      </c>
      <c r="L13" s="37">
        <v>183</v>
      </c>
      <c r="M13" s="38"/>
      <c r="N13" s="117"/>
      <c r="O13" s="118"/>
      <c r="P13" s="119"/>
      <c r="Q13" s="120"/>
      <c r="R13" s="111"/>
      <c r="S13"/>
      <c r="T13"/>
      <c r="U13"/>
    </row>
    <row r="14" spans="1:21" s="1" customFormat="1" ht="11.25" customHeight="1" x14ac:dyDescent="0.2">
      <c r="A14" s="83">
        <v>1</v>
      </c>
      <c r="B14" s="115"/>
      <c r="C14" s="115"/>
      <c r="D14" s="1507"/>
      <c r="E14" s="115" t="s">
        <v>6</v>
      </c>
      <c r="F14" s="40" t="s">
        <v>7</v>
      </c>
      <c r="G14" s="40" t="s">
        <v>740</v>
      </c>
      <c r="H14" s="37">
        <f>2.5+2.5+5</f>
        <v>10</v>
      </c>
      <c r="I14" s="16"/>
      <c r="J14" s="116">
        <v>0</v>
      </c>
      <c r="K14" s="37">
        <v>0</v>
      </c>
      <c r="L14" s="37">
        <v>0</v>
      </c>
      <c r="M14" s="38"/>
      <c r="N14" s="117"/>
      <c r="O14" s="118"/>
      <c r="P14" s="119"/>
      <c r="Q14" s="120"/>
      <c r="R14" s="111"/>
      <c r="S14"/>
      <c r="T14"/>
      <c r="U14"/>
    </row>
    <row r="15" spans="1:21" s="1" customFormat="1" ht="11.25" customHeight="1" x14ac:dyDescent="0.2">
      <c r="A15" s="83">
        <v>1</v>
      </c>
      <c r="B15" s="115"/>
      <c r="C15" s="115"/>
      <c r="D15" s="1507"/>
      <c r="E15" s="115" t="s">
        <v>6</v>
      </c>
      <c r="F15" s="40" t="s">
        <v>7</v>
      </c>
      <c r="G15" s="121" t="s">
        <v>741</v>
      </c>
      <c r="H15" s="122">
        <f>SUM(H8:H14)</f>
        <v>3199.7999999999997</v>
      </c>
      <c r="I15" s="121">
        <f>SUM(I8:I14)</f>
        <v>3965.4</v>
      </c>
      <c r="J15" s="121">
        <f>SUM(J8:J14)</f>
        <v>4197.8</v>
      </c>
      <c r="K15" s="121">
        <f>SUM(K8:K14)</f>
        <v>4389</v>
      </c>
      <c r="L15" s="141">
        <f>SUM(L8:L14)</f>
        <v>4406.3999999999996</v>
      </c>
      <c r="M15" s="38"/>
      <c r="N15" s="82"/>
      <c r="O15" s="118"/>
      <c r="P15" s="119"/>
      <c r="Q15" s="120"/>
      <c r="R15" s="111"/>
      <c r="S15"/>
      <c r="T15"/>
      <c r="U15"/>
    </row>
    <row r="16" spans="1:21" s="1" customFormat="1" ht="11.25" customHeight="1" x14ac:dyDescent="0.2">
      <c r="A16" s="83">
        <v>1</v>
      </c>
      <c r="B16" s="115"/>
      <c r="C16" s="115" t="s">
        <v>742</v>
      </c>
      <c r="D16" s="1507" t="s">
        <v>743</v>
      </c>
      <c r="E16" s="115" t="s">
        <v>13</v>
      </c>
      <c r="F16" s="40" t="s">
        <v>14</v>
      </c>
      <c r="G16" s="40" t="s">
        <v>8</v>
      </c>
      <c r="H16" s="37">
        <f>1755.1+5.3</f>
        <v>1760.3999999999999</v>
      </c>
      <c r="I16" s="16">
        <v>2251.6999999999998</v>
      </c>
      <c r="J16" s="116">
        <f>2496.5-9.8+6</f>
        <v>2492.6999999999998</v>
      </c>
      <c r="K16" s="924">
        <v>2643.8</v>
      </c>
      <c r="L16" s="924">
        <v>2643.8</v>
      </c>
      <c r="M16" s="38"/>
      <c r="N16" s="117"/>
      <c r="O16" s="118"/>
      <c r="P16" s="119"/>
      <c r="Q16" s="120"/>
      <c r="R16" s="111"/>
      <c r="S16"/>
      <c r="T16"/>
      <c r="U16"/>
    </row>
    <row r="17" spans="1:21" s="1" customFormat="1" ht="11.25" customHeight="1" x14ac:dyDescent="0.2">
      <c r="A17" s="83">
        <v>1</v>
      </c>
      <c r="B17" s="115"/>
      <c r="C17" s="115"/>
      <c r="D17" s="1507"/>
      <c r="E17" s="115" t="s">
        <v>13</v>
      </c>
      <c r="F17" s="40" t="s">
        <v>14</v>
      </c>
      <c r="G17" s="40" t="s">
        <v>738</v>
      </c>
      <c r="H17" s="37">
        <v>29.8</v>
      </c>
      <c r="I17" s="16">
        <v>15.9</v>
      </c>
      <c r="J17" s="116">
        <f>9.8</f>
        <v>9.8000000000000007</v>
      </c>
      <c r="K17" s="37"/>
      <c r="L17" s="37"/>
      <c r="M17" s="38"/>
      <c r="N17" s="117"/>
      <c r="O17" s="118"/>
      <c r="P17" s="119"/>
      <c r="Q17" s="120"/>
      <c r="R17" s="111"/>
      <c r="S17"/>
      <c r="T17"/>
      <c r="U17"/>
    </row>
    <row r="18" spans="1:21" s="1" customFormat="1" ht="11.25" customHeight="1" x14ac:dyDescent="0.2">
      <c r="A18" s="83">
        <v>1</v>
      </c>
      <c r="B18" s="115"/>
      <c r="C18" s="115"/>
      <c r="D18" s="1507"/>
      <c r="E18" s="115" t="s">
        <v>13</v>
      </c>
      <c r="F18" s="40" t="s">
        <v>14</v>
      </c>
      <c r="G18" s="40" t="s">
        <v>714</v>
      </c>
      <c r="H18" s="37"/>
      <c r="I18" s="16">
        <v>36.4</v>
      </c>
      <c r="J18" s="116"/>
      <c r="K18" s="37"/>
      <c r="L18" s="37"/>
      <c r="M18" s="38"/>
      <c r="N18" s="117"/>
      <c r="O18" s="118"/>
      <c r="P18" s="119"/>
      <c r="Q18" s="120"/>
      <c r="R18" s="111"/>
      <c r="S18"/>
      <c r="T18"/>
      <c r="U18"/>
    </row>
    <row r="19" spans="1:21" s="1" customFormat="1" ht="19.5" customHeight="1" x14ac:dyDescent="0.2">
      <c r="A19" s="83">
        <v>1</v>
      </c>
      <c r="B19" s="115"/>
      <c r="C19" s="115"/>
      <c r="D19" s="1507"/>
      <c r="E19" s="115" t="s">
        <v>13</v>
      </c>
      <c r="F19" s="40" t="s">
        <v>14</v>
      </c>
      <c r="G19" s="40" t="s">
        <v>9</v>
      </c>
      <c r="H19" s="37">
        <f>759.6+10.6-10.6</f>
        <v>759.6</v>
      </c>
      <c r="I19" s="16">
        <v>870</v>
      </c>
      <c r="J19" s="116">
        <v>988.3</v>
      </c>
      <c r="K19" s="37">
        <v>1034.0999999999999</v>
      </c>
      <c r="L19" s="37">
        <v>1053</v>
      </c>
      <c r="M19" s="38" t="s">
        <v>739</v>
      </c>
      <c r="N19" s="117"/>
      <c r="O19" s="118"/>
      <c r="P19" s="119"/>
      <c r="Q19" s="120"/>
      <c r="R19" s="111"/>
      <c r="S19"/>
      <c r="T19"/>
      <c r="U19"/>
    </row>
    <row r="20" spans="1:21" s="1" customFormat="1" ht="11.25" customHeight="1" x14ac:dyDescent="0.2">
      <c r="A20" s="83">
        <v>1</v>
      </c>
      <c r="B20" s="115"/>
      <c r="C20" s="115"/>
      <c r="D20" s="1507"/>
      <c r="E20" s="115" t="s">
        <v>13</v>
      </c>
      <c r="F20" s="40" t="s">
        <v>14</v>
      </c>
      <c r="G20" s="40" t="s">
        <v>12</v>
      </c>
      <c r="H20" s="37">
        <v>73.2</v>
      </c>
      <c r="I20" s="16">
        <v>130.1</v>
      </c>
      <c r="J20" s="116">
        <v>134.1</v>
      </c>
      <c r="K20" s="37">
        <v>134.9</v>
      </c>
      <c r="L20" s="37">
        <v>135.19999999999999</v>
      </c>
      <c r="M20" s="38"/>
      <c r="N20" s="117"/>
      <c r="O20" s="118"/>
      <c r="P20" s="119"/>
      <c r="Q20" s="120"/>
      <c r="R20" s="111"/>
      <c r="S20"/>
      <c r="T20"/>
      <c r="U20"/>
    </row>
    <row r="21" spans="1:21" s="1" customFormat="1" ht="11.25" customHeight="1" x14ac:dyDescent="0.2">
      <c r="A21" s="83">
        <v>1</v>
      </c>
      <c r="B21" s="115"/>
      <c r="C21" s="115"/>
      <c r="D21" s="1507"/>
      <c r="E21" s="115" t="s">
        <v>13</v>
      </c>
      <c r="F21" s="40" t="s">
        <v>14</v>
      </c>
      <c r="G21" s="40" t="s">
        <v>11</v>
      </c>
      <c r="H21" s="37">
        <v>19.3</v>
      </c>
      <c r="I21" s="16">
        <v>21.3</v>
      </c>
      <c r="J21" s="116"/>
      <c r="K21" s="37"/>
      <c r="L21" s="37"/>
      <c r="M21" s="38"/>
      <c r="N21" s="117"/>
      <c r="O21" s="118"/>
      <c r="P21" s="119"/>
      <c r="Q21" s="120"/>
      <c r="R21" s="111"/>
      <c r="S21"/>
      <c r="T21"/>
      <c r="U21"/>
    </row>
    <row r="22" spans="1:21" s="1" customFormat="1" ht="22.5" x14ac:dyDescent="0.2">
      <c r="A22" s="83">
        <v>1</v>
      </c>
      <c r="B22" s="115"/>
      <c r="C22" s="115"/>
      <c r="D22" s="1507"/>
      <c r="E22" s="115" t="s">
        <v>13</v>
      </c>
      <c r="F22" s="40" t="s">
        <v>14</v>
      </c>
      <c r="G22" s="40" t="s">
        <v>609</v>
      </c>
      <c r="H22" s="37">
        <f>0.6+0.6+1.2</f>
        <v>2.4</v>
      </c>
      <c r="I22" s="16"/>
      <c r="J22" s="116"/>
      <c r="K22" s="37"/>
      <c r="L22" s="37"/>
      <c r="M22" s="38"/>
      <c r="N22" s="117"/>
      <c r="O22" s="118"/>
      <c r="P22" s="119"/>
      <c r="Q22" s="120"/>
      <c r="R22" s="111"/>
      <c r="S22"/>
      <c r="T22"/>
      <c r="U22"/>
    </row>
    <row r="23" spans="1:21" s="1" customFormat="1" ht="11.25" customHeight="1" x14ac:dyDescent="0.2">
      <c r="A23" s="83">
        <v>1</v>
      </c>
      <c r="B23" s="115"/>
      <c r="C23" s="115"/>
      <c r="D23" s="1507"/>
      <c r="E23" s="115" t="s">
        <v>13</v>
      </c>
      <c r="F23" s="40" t="s">
        <v>14</v>
      </c>
      <c r="G23" s="121" t="s">
        <v>741</v>
      </c>
      <c r="H23" s="121">
        <f>SUM(H16:H22)</f>
        <v>2644.7</v>
      </c>
      <c r="I23" s="121">
        <f>SUM(I16:I21)</f>
        <v>3325.4</v>
      </c>
      <c r="J23" s="121">
        <f>SUM(J16:J21)</f>
        <v>3624.9</v>
      </c>
      <c r="K23" s="121">
        <f>SUM(K16:K21)</f>
        <v>3812.8</v>
      </c>
      <c r="L23" s="121">
        <f>SUM(L16:L21)</f>
        <v>3832</v>
      </c>
      <c r="M23" s="38"/>
      <c r="N23" s="82"/>
      <c r="O23" s="118"/>
      <c r="P23" s="119"/>
      <c r="Q23" s="120"/>
      <c r="R23" s="111"/>
      <c r="S23"/>
      <c r="T23"/>
      <c r="U23"/>
    </row>
    <row r="24" spans="1:21" s="1" customFormat="1" ht="11.25" customHeight="1" x14ac:dyDescent="0.2">
      <c r="A24" s="83">
        <v>1</v>
      </c>
      <c r="B24" s="115"/>
      <c r="C24" s="115" t="s">
        <v>744</v>
      </c>
      <c r="D24" s="1507" t="s">
        <v>745</v>
      </c>
      <c r="E24" s="115" t="s">
        <v>15</v>
      </c>
      <c r="F24" s="40" t="s">
        <v>16</v>
      </c>
      <c r="G24" s="40" t="s">
        <v>8</v>
      </c>
      <c r="H24" s="37">
        <f>597.3+3.5</f>
        <v>600.79999999999995</v>
      </c>
      <c r="I24" s="16">
        <v>704</v>
      </c>
      <c r="J24" s="116">
        <f>751.7+5.9+2.6</f>
        <v>760.2</v>
      </c>
      <c r="K24" s="925">
        <v>796.1</v>
      </c>
      <c r="L24" s="925">
        <v>796.1</v>
      </c>
      <c r="M24" s="38"/>
      <c r="N24" s="117"/>
      <c r="O24" s="118"/>
      <c r="P24" s="119"/>
      <c r="Q24" s="120"/>
      <c r="R24" s="111"/>
      <c r="S24"/>
      <c r="T24"/>
      <c r="U24"/>
    </row>
    <row r="25" spans="1:21" s="1" customFormat="1" ht="11.25" customHeight="1" x14ac:dyDescent="0.2">
      <c r="A25" s="83">
        <v>1</v>
      </c>
      <c r="B25" s="115"/>
      <c r="C25" s="115"/>
      <c r="D25" s="1507"/>
      <c r="E25" s="115" t="s">
        <v>15</v>
      </c>
      <c r="F25" s="40" t="s">
        <v>16</v>
      </c>
      <c r="G25" s="40" t="s">
        <v>738</v>
      </c>
      <c r="H25" s="37">
        <v>2.5</v>
      </c>
      <c r="I25" s="16">
        <v>2.2999999999999998</v>
      </c>
      <c r="J25" s="116"/>
      <c r="K25" s="37"/>
      <c r="L25" s="37"/>
      <c r="M25" s="38"/>
      <c r="N25" s="117"/>
      <c r="O25" s="118"/>
      <c r="P25" s="119"/>
      <c r="Q25" s="120"/>
      <c r="R25" s="111"/>
      <c r="S25"/>
      <c r="T25"/>
      <c r="U25"/>
    </row>
    <row r="26" spans="1:21" s="1" customFormat="1" ht="11.25" customHeight="1" x14ac:dyDescent="0.2">
      <c r="A26" s="83">
        <v>1</v>
      </c>
      <c r="B26" s="115"/>
      <c r="C26" s="115"/>
      <c r="D26" s="1507"/>
      <c r="E26" s="115" t="s">
        <v>15</v>
      </c>
      <c r="F26" s="40" t="s">
        <v>16</v>
      </c>
      <c r="G26" s="40" t="s">
        <v>714</v>
      </c>
      <c r="H26" s="37"/>
      <c r="I26" s="16">
        <v>5.3</v>
      </c>
      <c r="J26" s="116"/>
      <c r="K26" s="37"/>
      <c r="L26" s="37"/>
      <c r="M26" s="38"/>
      <c r="N26" s="117"/>
      <c r="O26" s="118"/>
      <c r="P26" s="119"/>
      <c r="Q26" s="120"/>
      <c r="R26" s="111"/>
      <c r="S26"/>
      <c r="T26"/>
      <c r="U26"/>
    </row>
    <row r="27" spans="1:21" s="1" customFormat="1" ht="16.5" customHeight="1" x14ac:dyDescent="0.2">
      <c r="A27" s="83">
        <v>1</v>
      </c>
      <c r="B27" s="115"/>
      <c r="C27" s="115"/>
      <c r="D27" s="1507"/>
      <c r="E27" s="115" t="s">
        <v>15</v>
      </c>
      <c r="F27" s="40" t="s">
        <v>16</v>
      </c>
      <c r="G27" s="40" t="s">
        <v>9</v>
      </c>
      <c r="H27" s="37">
        <f>573.7+7.1-16.2</f>
        <v>564.6</v>
      </c>
      <c r="I27" s="16">
        <v>594.20000000000005</v>
      </c>
      <c r="J27" s="116">
        <f>631.3+5.1</f>
        <v>636.4</v>
      </c>
      <c r="K27" s="37">
        <v>659.7</v>
      </c>
      <c r="L27" s="37">
        <v>671</v>
      </c>
      <c r="M27" s="38" t="s">
        <v>739</v>
      </c>
      <c r="N27" s="117"/>
      <c r="O27" s="118"/>
      <c r="P27" s="119"/>
      <c r="Q27" s="120"/>
      <c r="R27" s="111"/>
      <c r="S27"/>
      <c r="T27"/>
      <c r="U27"/>
    </row>
    <row r="28" spans="1:21" s="1" customFormat="1" ht="11.25" customHeight="1" x14ac:dyDescent="0.2">
      <c r="A28" s="83">
        <v>1</v>
      </c>
      <c r="B28" s="115"/>
      <c r="C28" s="115"/>
      <c r="D28" s="1507"/>
      <c r="E28" s="115" t="s">
        <v>15</v>
      </c>
      <c r="F28" s="40" t="s">
        <v>16</v>
      </c>
      <c r="G28" s="40" t="s">
        <v>11</v>
      </c>
      <c r="H28" s="37"/>
      <c r="I28" s="16"/>
      <c r="J28" s="116">
        <v>4.7</v>
      </c>
      <c r="K28" s="37"/>
      <c r="L28" s="37"/>
      <c r="M28" s="38"/>
      <c r="N28" s="117"/>
      <c r="O28" s="118"/>
      <c r="P28" s="119"/>
      <c r="Q28" s="120"/>
      <c r="R28" s="111"/>
      <c r="S28"/>
      <c r="T28"/>
      <c r="U28"/>
    </row>
    <row r="29" spans="1:21" s="1" customFormat="1" ht="11.25" customHeight="1" x14ac:dyDescent="0.2">
      <c r="A29" s="83">
        <v>1</v>
      </c>
      <c r="B29" s="115"/>
      <c r="C29" s="115"/>
      <c r="D29" s="1507"/>
      <c r="E29" s="115" t="s">
        <v>15</v>
      </c>
      <c r="F29" s="40" t="s">
        <v>16</v>
      </c>
      <c r="G29" s="40" t="s">
        <v>12</v>
      </c>
      <c r="H29" s="37">
        <f>39.1+13.5</f>
        <v>52.6</v>
      </c>
      <c r="I29" s="16">
        <v>42.2</v>
      </c>
      <c r="J29" s="116">
        <v>47.5</v>
      </c>
      <c r="K29" s="37">
        <v>47.5</v>
      </c>
      <c r="L29" s="37">
        <v>47.5</v>
      </c>
      <c r="M29" s="38"/>
      <c r="N29" s="117"/>
      <c r="O29" s="118"/>
      <c r="P29" s="119"/>
      <c r="Q29" s="120"/>
      <c r="R29" s="111"/>
      <c r="S29"/>
      <c r="T29"/>
      <c r="U29"/>
    </row>
    <row r="30" spans="1:21" s="1" customFormat="1" ht="11.25" customHeight="1" x14ac:dyDescent="0.2">
      <c r="A30" s="83">
        <v>1</v>
      </c>
      <c r="B30" s="115"/>
      <c r="C30" s="115"/>
      <c r="D30" s="1507"/>
      <c r="E30" s="115" t="s">
        <v>15</v>
      </c>
      <c r="F30" s="40" t="s">
        <v>16</v>
      </c>
      <c r="G30" s="40" t="s">
        <v>740</v>
      </c>
      <c r="H30" s="37">
        <v>0.6</v>
      </c>
      <c r="I30" s="16"/>
      <c r="J30" s="116"/>
      <c r="K30" s="37">
        <v>0</v>
      </c>
      <c r="L30" s="37">
        <v>0</v>
      </c>
      <c r="M30" s="38"/>
      <c r="N30" s="117"/>
      <c r="O30" s="118"/>
      <c r="P30" s="119"/>
      <c r="Q30" s="120"/>
      <c r="R30" s="111"/>
      <c r="S30"/>
      <c r="T30"/>
      <c r="U30"/>
    </row>
    <row r="31" spans="1:21" s="1" customFormat="1" ht="11.25" customHeight="1" x14ac:dyDescent="0.2">
      <c r="A31" s="83">
        <v>1</v>
      </c>
      <c r="B31" s="115"/>
      <c r="C31" s="115"/>
      <c r="D31" s="1507"/>
      <c r="E31" s="115" t="s">
        <v>15</v>
      </c>
      <c r="F31" s="40" t="s">
        <v>16</v>
      </c>
      <c r="G31" s="121" t="s">
        <v>741</v>
      </c>
      <c r="H31" s="123">
        <f>SUM(H24:H30)</f>
        <v>1221.0999999999999</v>
      </c>
      <c r="I31" s="123">
        <f>SUM(I24:I30)</f>
        <v>1348</v>
      </c>
      <c r="J31" s="123">
        <f>SUM(J24:J30)</f>
        <v>1448.8</v>
      </c>
      <c r="K31" s="123">
        <f>SUM(K24:K30)</f>
        <v>1503.3000000000002</v>
      </c>
      <c r="L31" s="123">
        <f>SUM(L24:L30)</f>
        <v>1514.6</v>
      </c>
      <c r="M31" s="38"/>
      <c r="N31" s="82"/>
      <c r="O31" s="118"/>
      <c r="P31" s="81"/>
      <c r="Q31" s="120"/>
      <c r="R31" s="111"/>
      <c r="S31"/>
      <c r="T31"/>
      <c r="U31"/>
    </row>
    <row r="32" spans="1:21" s="1" customFormat="1" ht="11.25" customHeight="1" x14ac:dyDescent="0.2">
      <c r="A32" s="83">
        <v>1</v>
      </c>
      <c r="B32" s="115"/>
      <c r="C32" s="115" t="s">
        <v>746</v>
      </c>
      <c r="D32" s="1507" t="s">
        <v>747</v>
      </c>
      <c r="E32" s="44" t="s">
        <v>17</v>
      </c>
      <c r="F32" s="40" t="s">
        <v>18</v>
      </c>
      <c r="G32" s="40" t="s">
        <v>8</v>
      </c>
      <c r="H32" s="37">
        <f>1834.9+8.5</f>
        <v>1843.4</v>
      </c>
      <c r="I32" s="16">
        <v>2339.5</v>
      </c>
      <c r="J32" s="116">
        <f>2553.9-2.4+46.2</f>
        <v>2597.6999999999998</v>
      </c>
      <c r="K32" s="924">
        <v>2704.6</v>
      </c>
      <c r="L32" s="924">
        <v>2704.6</v>
      </c>
      <c r="M32" s="38"/>
      <c r="N32" s="117"/>
      <c r="O32" s="118"/>
      <c r="P32" s="119"/>
      <c r="Q32" s="120"/>
      <c r="R32" s="111"/>
      <c r="S32"/>
      <c r="T32"/>
      <c r="U32"/>
    </row>
    <row r="33" spans="1:21" s="1" customFormat="1" ht="11.25" customHeight="1" x14ac:dyDescent="0.2">
      <c r="A33" s="83">
        <v>1</v>
      </c>
      <c r="B33" s="115"/>
      <c r="C33" s="115"/>
      <c r="D33" s="1507"/>
      <c r="E33" s="44" t="s">
        <v>17</v>
      </c>
      <c r="F33" s="40" t="s">
        <v>18</v>
      </c>
      <c r="G33" s="40" t="s">
        <v>738</v>
      </c>
      <c r="H33" s="37">
        <v>9.9</v>
      </c>
      <c r="I33" s="16">
        <v>15.9</v>
      </c>
      <c r="J33" s="116">
        <f>2.4</f>
        <v>2.4</v>
      </c>
      <c r="K33" s="37"/>
      <c r="L33" s="37"/>
      <c r="M33" s="38"/>
      <c r="N33" s="117"/>
      <c r="O33" s="118"/>
      <c r="P33" s="119"/>
      <c r="Q33" s="120"/>
      <c r="R33" s="111"/>
      <c r="S33"/>
      <c r="T33"/>
      <c r="U33"/>
    </row>
    <row r="34" spans="1:21" s="1" customFormat="1" ht="11.25" customHeight="1" x14ac:dyDescent="0.2">
      <c r="A34" s="83">
        <v>1</v>
      </c>
      <c r="B34" s="115"/>
      <c r="C34" s="115"/>
      <c r="D34" s="1507"/>
      <c r="E34" s="44" t="s">
        <v>17</v>
      </c>
      <c r="F34" s="40" t="s">
        <v>18</v>
      </c>
      <c r="G34" s="40" t="s">
        <v>714</v>
      </c>
      <c r="H34" s="37"/>
      <c r="I34" s="16">
        <v>36.299999999999997</v>
      </c>
      <c r="J34" s="116"/>
      <c r="K34" s="37"/>
      <c r="L34" s="37"/>
      <c r="M34" s="38"/>
      <c r="N34" s="117"/>
      <c r="O34" s="118"/>
      <c r="P34" s="119"/>
      <c r="Q34" s="120"/>
      <c r="R34" s="111"/>
      <c r="S34"/>
      <c r="T34"/>
      <c r="U34"/>
    </row>
    <row r="35" spans="1:21" s="1" customFormat="1" ht="22.5" customHeight="1" x14ac:dyDescent="0.2">
      <c r="A35" s="83">
        <v>1</v>
      </c>
      <c r="B35" s="115"/>
      <c r="C35" s="115"/>
      <c r="D35" s="1507"/>
      <c r="E35" s="44" t="s">
        <v>17</v>
      </c>
      <c r="F35" s="40" t="s">
        <v>18</v>
      </c>
      <c r="G35" s="40" t="s">
        <v>9</v>
      </c>
      <c r="H35" s="37">
        <f>512.7+0.6-6.1</f>
        <v>507.20000000000005</v>
      </c>
      <c r="I35" s="16">
        <v>536</v>
      </c>
      <c r="J35" s="116">
        <v>572.29999999999995</v>
      </c>
      <c r="K35" s="37">
        <v>603</v>
      </c>
      <c r="L35" s="37">
        <v>614.20000000000005</v>
      </c>
      <c r="M35" s="38" t="s">
        <v>739</v>
      </c>
      <c r="N35" s="117"/>
      <c r="O35" s="118"/>
      <c r="P35" s="119"/>
      <c r="Q35" s="120"/>
      <c r="R35" s="111"/>
      <c r="S35"/>
      <c r="T35"/>
      <c r="U35"/>
    </row>
    <row r="36" spans="1:21" s="1" customFormat="1" ht="11.25" customHeight="1" x14ac:dyDescent="0.2">
      <c r="A36" s="83">
        <v>1</v>
      </c>
      <c r="B36" s="115"/>
      <c r="C36" s="115"/>
      <c r="D36" s="1507"/>
      <c r="E36" s="44" t="s">
        <v>17</v>
      </c>
      <c r="F36" s="40" t="s">
        <v>18</v>
      </c>
      <c r="G36" s="40" t="s">
        <v>11</v>
      </c>
      <c r="H36" s="37">
        <f>16.4</f>
        <v>16.399999999999999</v>
      </c>
      <c r="I36" s="16"/>
      <c r="J36" s="116"/>
      <c r="K36" s="37"/>
      <c r="L36" s="37"/>
      <c r="M36" s="38"/>
      <c r="N36" s="117"/>
      <c r="O36" s="118"/>
      <c r="P36" s="119"/>
      <c r="Q36" s="120"/>
      <c r="R36" s="111"/>
      <c r="S36"/>
      <c r="T36"/>
      <c r="U36"/>
    </row>
    <row r="37" spans="1:21" s="1" customFormat="1" ht="11.25" customHeight="1" x14ac:dyDescent="0.2">
      <c r="A37" s="83">
        <v>1</v>
      </c>
      <c r="B37" s="115"/>
      <c r="C37" s="115"/>
      <c r="D37" s="1507"/>
      <c r="E37" s="44" t="s">
        <v>17</v>
      </c>
      <c r="F37" s="40" t="s">
        <v>18</v>
      </c>
      <c r="G37" s="40" t="s">
        <v>12</v>
      </c>
      <c r="H37" s="37">
        <v>135.80000000000001</v>
      </c>
      <c r="I37" s="16">
        <v>129.9</v>
      </c>
      <c r="J37" s="116">
        <v>144.5</v>
      </c>
      <c r="K37" s="37">
        <v>144.5</v>
      </c>
      <c r="L37" s="37">
        <v>144.5</v>
      </c>
      <c r="M37" s="38"/>
      <c r="N37" s="117"/>
      <c r="O37" s="118"/>
      <c r="P37" s="119"/>
      <c r="Q37" s="120"/>
      <c r="R37" s="111"/>
      <c r="S37"/>
      <c r="T37"/>
      <c r="U37"/>
    </row>
    <row r="38" spans="1:21" s="1" customFormat="1" ht="11.25" customHeight="1" x14ac:dyDescent="0.2">
      <c r="A38" s="83">
        <v>1</v>
      </c>
      <c r="B38" s="115"/>
      <c r="C38" s="115"/>
      <c r="D38" s="1507"/>
      <c r="E38" s="44" t="s">
        <v>17</v>
      </c>
      <c r="F38" s="40" t="s">
        <v>18</v>
      </c>
      <c r="G38" s="40" t="s">
        <v>740</v>
      </c>
      <c r="H38" s="37">
        <v>0</v>
      </c>
      <c r="I38" s="16">
        <v>0</v>
      </c>
      <c r="J38" s="116">
        <v>0</v>
      </c>
      <c r="K38" s="37">
        <v>0</v>
      </c>
      <c r="L38" s="37">
        <v>0</v>
      </c>
      <c r="M38" s="38"/>
      <c r="N38" s="117"/>
      <c r="O38" s="118"/>
      <c r="P38" s="119"/>
      <c r="Q38" s="120"/>
      <c r="R38" s="111"/>
      <c r="S38"/>
      <c r="T38"/>
      <c r="U38"/>
    </row>
    <row r="39" spans="1:21" s="1" customFormat="1" ht="11.25" customHeight="1" x14ac:dyDescent="0.2">
      <c r="A39" s="83">
        <v>1</v>
      </c>
      <c r="B39" s="115"/>
      <c r="C39" s="115"/>
      <c r="D39" s="1507"/>
      <c r="E39" s="44" t="s">
        <v>17</v>
      </c>
      <c r="F39" s="40" t="s">
        <v>18</v>
      </c>
      <c r="G39" s="121" t="s">
        <v>741</v>
      </c>
      <c r="H39" s="123">
        <f>SUM(H32:H38)</f>
        <v>2512.7000000000003</v>
      </c>
      <c r="I39" s="123">
        <f>SUM(I32:I38)</f>
        <v>3057.6000000000004</v>
      </c>
      <c r="J39" s="123">
        <f>SUM(J32:J38)</f>
        <v>3316.8999999999996</v>
      </c>
      <c r="K39" s="123">
        <f>SUM(K32:K38)</f>
        <v>3452.1</v>
      </c>
      <c r="L39" s="123">
        <f>SUM(L32:L38)</f>
        <v>3463.3</v>
      </c>
      <c r="M39" s="38"/>
      <c r="N39" s="117"/>
      <c r="O39" s="118"/>
      <c r="P39" s="119"/>
      <c r="Q39" s="120"/>
      <c r="R39" s="111"/>
      <c r="S39"/>
      <c r="T39"/>
      <c r="U39"/>
    </row>
    <row r="40" spans="1:21" s="1" customFormat="1" ht="11.25" customHeight="1" x14ac:dyDescent="0.2">
      <c r="A40" s="83">
        <v>1</v>
      </c>
      <c r="B40" s="115"/>
      <c r="C40" s="115" t="s">
        <v>748</v>
      </c>
      <c r="D40" s="1507" t="s">
        <v>749</v>
      </c>
      <c r="E40" s="44" t="s">
        <v>19</v>
      </c>
      <c r="F40" s="40" t="s">
        <v>20</v>
      </c>
      <c r="G40" s="40" t="s">
        <v>8</v>
      </c>
      <c r="H40" s="37">
        <v>2090.5</v>
      </c>
      <c r="I40" s="16">
        <v>2654.7</v>
      </c>
      <c r="J40" s="116">
        <f>3056.8+44.3</f>
        <v>3101.1000000000004</v>
      </c>
      <c r="K40" s="924">
        <v>3237.2</v>
      </c>
      <c r="L40" s="924">
        <v>3237.2</v>
      </c>
      <c r="M40" s="38"/>
      <c r="N40" s="117"/>
      <c r="O40" s="118"/>
      <c r="P40" s="119"/>
      <c r="Q40" s="120"/>
      <c r="R40" s="111"/>
      <c r="S40"/>
      <c r="T40"/>
      <c r="U40"/>
    </row>
    <row r="41" spans="1:21" s="1" customFormat="1" ht="11.25" customHeight="1" x14ac:dyDescent="0.2">
      <c r="A41" s="83">
        <v>1</v>
      </c>
      <c r="B41" s="115"/>
      <c r="C41" s="115"/>
      <c r="D41" s="1507"/>
      <c r="E41" s="44" t="s">
        <v>19</v>
      </c>
      <c r="F41" s="40" t="s">
        <v>20</v>
      </c>
      <c r="G41" s="40" t="s">
        <v>738</v>
      </c>
      <c r="H41" s="37">
        <v>49.6</v>
      </c>
      <c r="I41" s="16">
        <v>21.3</v>
      </c>
      <c r="J41" s="116"/>
      <c r="K41" s="37"/>
      <c r="L41" s="37"/>
      <c r="M41" s="38"/>
      <c r="N41" s="117"/>
      <c r="O41" s="118"/>
      <c r="P41" s="119"/>
      <c r="Q41" s="120"/>
      <c r="R41" s="111"/>
      <c r="S41"/>
      <c r="T41"/>
      <c r="U41"/>
    </row>
    <row r="42" spans="1:21" s="1" customFormat="1" ht="11.25" customHeight="1" x14ac:dyDescent="0.2">
      <c r="A42" s="83">
        <v>1</v>
      </c>
      <c r="B42" s="115"/>
      <c r="C42" s="115"/>
      <c r="D42" s="1507"/>
      <c r="E42" s="44" t="s">
        <v>19</v>
      </c>
      <c r="F42" s="40" t="s">
        <v>20</v>
      </c>
      <c r="G42" s="40" t="s">
        <v>714</v>
      </c>
      <c r="H42" s="37"/>
      <c r="I42" s="16">
        <v>48.8</v>
      </c>
      <c r="J42" s="116"/>
      <c r="K42" s="37"/>
      <c r="L42" s="37"/>
      <c r="M42" s="38"/>
      <c r="N42" s="117"/>
      <c r="O42" s="118"/>
      <c r="P42" s="119"/>
      <c r="Q42" s="120"/>
      <c r="R42" s="111"/>
      <c r="S42"/>
      <c r="T42"/>
      <c r="U42"/>
    </row>
    <row r="43" spans="1:21" s="1" customFormat="1" ht="11.25" customHeight="1" x14ac:dyDescent="0.2">
      <c r="A43" s="83">
        <v>1</v>
      </c>
      <c r="B43" s="115"/>
      <c r="C43" s="115"/>
      <c r="D43" s="1507"/>
      <c r="E43" s="44" t="s">
        <v>19</v>
      </c>
      <c r="F43" s="40" t="s">
        <v>20</v>
      </c>
      <c r="G43" s="40" t="s">
        <v>9</v>
      </c>
      <c r="H43" s="37">
        <f>1046.4-21.1</f>
        <v>1025.3000000000002</v>
      </c>
      <c r="I43" s="16">
        <v>1174.4000000000001</v>
      </c>
      <c r="J43" s="116">
        <v>1222.9000000000001</v>
      </c>
      <c r="K43" s="37">
        <v>1274.4000000000001</v>
      </c>
      <c r="L43" s="37">
        <v>1294.9000000000001</v>
      </c>
      <c r="M43" s="38" t="s">
        <v>739</v>
      </c>
      <c r="N43" s="117"/>
      <c r="O43" s="118"/>
      <c r="P43" s="119"/>
      <c r="Q43" s="120"/>
      <c r="R43" s="111"/>
      <c r="S43"/>
      <c r="T43"/>
      <c r="U43"/>
    </row>
    <row r="44" spans="1:21" s="1" customFormat="1" ht="11.25" customHeight="1" x14ac:dyDescent="0.2">
      <c r="A44" s="83">
        <v>1</v>
      </c>
      <c r="B44" s="115"/>
      <c r="C44" s="115"/>
      <c r="D44" s="1507"/>
      <c r="E44" s="44" t="s">
        <v>19</v>
      </c>
      <c r="F44" s="40" t="s">
        <v>20</v>
      </c>
      <c r="G44" s="40" t="s">
        <v>12</v>
      </c>
      <c r="H44" s="37">
        <f>83.4+12.5</f>
        <v>95.9</v>
      </c>
      <c r="I44" s="16">
        <v>98.7</v>
      </c>
      <c r="J44" s="116">
        <v>104</v>
      </c>
      <c r="K44" s="37">
        <v>104</v>
      </c>
      <c r="L44" s="37">
        <v>104</v>
      </c>
      <c r="M44" s="38"/>
      <c r="N44" s="117"/>
      <c r="O44" s="118"/>
      <c r="P44" s="119"/>
      <c r="Q44" s="120"/>
      <c r="R44" s="111"/>
      <c r="S44"/>
      <c r="T44"/>
      <c r="U44"/>
    </row>
    <row r="45" spans="1:21" s="1" customFormat="1" ht="11.25" customHeight="1" x14ac:dyDescent="0.2">
      <c r="A45" s="83">
        <v>1</v>
      </c>
      <c r="B45" s="115"/>
      <c r="C45" s="115"/>
      <c r="D45" s="1507"/>
      <c r="E45" s="44" t="s">
        <v>19</v>
      </c>
      <c r="F45" s="40" t="s">
        <v>20</v>
      </c>
      <c r="G45" s="40" t="s">
        <v>11</v>
      </c>
      <c r="H45" s="37">
        <v>110.5</v>
      </c>
      <c r="I45" s="16">
        <v>91.2</v>
      </c>
      <c r="J45" s="116">
        <f>127.4+8.3</f>
        <v>135.70000000000002</v>
      </c>
      <c r="K45" s="16">
        <v>135</v>
      </c>
      <c r="L45" s="16">
        <v>135</v>
      </c>
      <c r="M45" s="38"/>
      <c r="N45" s="117"/>
      <c r="O45" s="118"/>
      <c r="P45" s="119"/>
      <c r="Q45" s="120"/>
      <c r="R45" s="111"/>
      <c r="S45"/>
      <c r="T45"/>
      <c r="U45"/>
    </row>
    <row r="46" spans="1:21" s="1" customFormat="1" ht="11.25" customHeight="1" x14ac:dyDescent="0.2">
      <c r="A46" s="83">
        <v>1</v>
      </c>
      <c r="B46" s="115"/>
      <c r="C46" s="115"/>
      <c r="D46" s="1507"/>
      <c r="E46" s="44" t="s">
        <v>19</v>
      </c>
      <c r="F46" s="40" t="s">
        <v>20</v>
      </c>
      <c r="G46" s="40" t="s">
        <v>740</v>
      </c>
      <c r="H46" s="37">
        <v>0</v>
      </c>
      <c r="I46" s="16">
        <v>0</v>
      </c>
      <c r="J46" s="116">
        <v>0</v>
      </c>
      <c r="K46" s="37">
        <v>0</v>
      </c>
      <c r="L46" s="37">
        <v>0</v>
      </c>
      <c r="M46" s="38"/>
      <c r="N46" s="117"/>
      <c r="O46" s="118"/>
      <c r="P46" s="119"/>
      <c r="Q46" s="120"/>
      <c r="R46" s="111"/>
      <c r="S46"/>
      <c r="T46"/>
      <c r="U46"/>
    </row>
    <row r="47" spans="1:21" s="1" customFormat="1" ht="11.25" customHeight="1" x14ac:dyDescent="0.2">
      <c r="A47" s="83">
        <v>1</v>
      </c>
      <c r="B47" s="115"/>
      <c r="C47" s="115"/>
      <c r="D47" s="1507"/>
      <c r="E47" s="44" t="s">
        <v>19</v>
      </c>
      <c r="F47" s="40" t="s">
        <v>20</v>
      </c>
      <c r="G47" s="121" t="s">
        <v>741</v>
      </c>
      <c r="H47" s="123">
        <f>SUM(H40:H46)</f>
        <v>3371.8</v>
      </c>
      <c r="I47" s="123">
        <f>SUM(I40:I46)</f>
        <v>4089.1</v>
      </c>
      <c r="J47" s="123">
        <f>SUM(J40:J46)</f>
        <v>4563.7</v>
      </c>
      <c r="K47" s="123">
        <f>SUM(K40:K46)</f>
        <v>4750.6000000000004</v>
      </c>
      <c r="L47" s="123">
        <f>SUM(L40:L46)</f>
        <v>4771.1000000000004</v>
      </c>
      <c r="M47" s="38"/>
      <c r="N47" s="117"/>
      <c r="O47" s="118"/>
      <c r="P47" s="119"/>
      <c r="Q47" s="120"/>
      <c r="R47" s="111"/>
      <c r="S47"/>
      <c r="T47"/>
      <c r="U47"/>
    </row>
    <row r="48" spans="1:21" s="1" customFormat="1" ht="11.25" customHeight="1" x14ac:dyDescent="0.2">
      <c r="A48" s="83">
        <v>1</v>
      </c>
      <c r="B48" s="115"/>
      <c r="C48" s="115" t="s">
        <v>750</v>
      </c>
      <c r="D48" s="1507" t="s">
        <v>751</v>
      </c>
      <c r="E48" s="67" t="s">
        <v>21</v>
      </c>
      <c r="F48" s="40" t="s">
        <v>22</v>
      </c>
      <c r="G48" s="40" t="s">
        <v>8</v>
      </c>
      <c r="H48" s="37">
        <f>1277.9+3.9</f>
        <v>1281.8000000000002</v>
      </c>
      <c r="I48" s="16">
        <v>1552.9</v>
      </c>
      <c r="J48" s="116">
        <f>1860.6-14.2+17.2+2.6</f>
        <v>1866.1999999999998</v>
      </c>
      <c r="K48" s="924">
        <v>1970.4</v>
      </c>
      <c r="L48" s="924">
        <v>1970.4</v>
      </c>
      <c r="M48" s="38"/>
      <c r="N48" s="117"/>
      <c r="O48" s="118"/>
      <c r="P48" s="119"/>
      <c r="Q48" s="120"/>
      <c r="R48" s="111"/>
      <c r="S48"/>
      <c r="T48"/>
      <c r="U48"/>
    </row>
    <row r="49" spans="1:21" s="1" customFormat="1" ht="11.25" customHeight="1" x14ac:dyDescent="0.2">
      <c r="A49" s="83">
        <v>1</v>
      </c>
      <c r="B49" s="115"/>
      <c r="C49" s="115"/>
      <c r="D49" s="1507"/>
      <c r="E49" s="67" t="s">
        <v>21</v>
      </c>
      <c r="F49" s="40" t="s">
        <v>22</v>
      </c>
      <c r="G49" s="40" t="s">
        <v>738</v>
      </c>
      <c r="H49" s="37">
        <v>36.700000000000003</v>
      </c>
      <c r="I49" s="16">
        <v>17.399999999999999</v>
      </c>
      <c r="J49" s="116">
        <f>14.2</f>
        <v>14.2</v>
      </c>
      <c r="K49" s="37"/>
      <c r="L49" s="37"/>
      <c r="M49" s="38"/>
      <c r="N49" s="117"/>
      <c r="O49" s="118"/>
      <c r="P49" s="119"/>
      <c r="Q49" s="120"/>
      <c r="R49" s="111"/>
      <c r="S49"/>
      <c r="T49"/>
      <c r="U49"/>
    </row>
    <row r="50" spans="1:21" s="1" customFormat="1" ht="11.25" customHeight="1" x14ac:dyDescent="0.2">
      <c r="A50" s="83">
        <v>1</v>
      </c>
      <c r="B50" s="115"/>
      <c r="C50" s="115"/>
      <c r="D50" s="1507"/>
      <c r="E50" s="67" t="s">
        <v>21</v>
      </c>
      <c r="F50" s="40" t="s">
        <v>22</v>
      </c>
      <c r="G50" s="40" t="s">
        <v>714</v>
      </c>
      <c r="H50" s="37"/>
      <c r="I50" s="16">
        <v>39.700000000000003</v>
      </c>
      <c r="J50" s="116"/>
      <c r="K50" s="37"/>
      <c r="L50" s="37"/>
      <c r="M50" s="38"/>
      <c r="N50" s="117"/>
      <c r="O50" s="118"/>
      <c r="P50" s="119"/>
      <c r="Q50" s="120"/>
      <c r="R50" s="111"/>
      <c r="S50"/>
      <c r="T50"/>
      <c r="U50"/>
    </row>
    <row r="51" spans="1:21" s="1" customFormat="1" ht="11.25" customHeight="1" x14ac:dyDescent="0.2">
      <c r="A51" s="83">
        <v>1</v>
      </c>
      <c r="B51" s="115"/>
      <c r="C51" s="115"/>
      <c r="D51" s="1507"/>
      <c r="E51" s="67" t="s">
        <v>21</v>
      </c>
      <c r="F51" s="40" t="s">
        <v>22</v>
      </c>
      <c r="G51" s="40" t="s">
        <v>9</v>
      </c>
      <c r="H51" s="37">
        <f>1393.4+34.1+7.9-35.7</f>
        <v>1399.7</v>
      </c>
      <c r="I51" s="16">
        <v>1393.9</v>
      </c>
      <c r="J51" s="116">
        <f>1325.4+5.2</f>
        <v>1330.6000000000001</v>
      </c>
      <c r="K51" s="37">
        <v>1383.6</v>
      </c>
      <c r="L51" s="37">
        <v>1406.7</v>
      </c>
      <c r="M51" s="38" t="s">
        <v>739</v>
      </c>
      <c r="N51" s="117"/>
      <c r="O51" s="118"/>
      <c r="P51" s="119"/>
      <c r="Q51" s="120"/>
      <c r="R51" s="111"/>
      <c r="S51"/>
      <c r="T51"/>
      <c r="U51"/>
    </row>
    <row r="52" spans="1:21" s="1" customFormat="1" ht="11.25" customHeight="1" x14ac:dyDescent="0.2">
      <c r="A52" s="83">
        <v>1</v>
      </c>
      <c r="B52" s="115"/>
      <c r="C52" s="115"/>
      <c r="D52" s="1507"/>
      <c r="E52" s="67" t="s">
        <v>21</v>
      </c>
      <c r="F52" s="40" t="s">
        <v>22</v>
      </c>
      <c r="G52" s="40" t="s">
        <v>11</v>
      </c>
      <c r="H52" s="37">
        <v>0</v>
      </c>
      <c r="I52" s="16"/>
      <c r="J52" s="116">
        <v>16</v>
      </c>
      <c r="K52" s="37"/>
      <c r="L52" s="37"/>
      <c r="M52" s="38"/>
      <c r="N52" s="117"/>
      <c r="O52" s="118"/>
      <c r="P52" s="119"/>
      <c r="Q52" s="120"/>
      <c r="R52" s="111"/>
      <c r="S52"/>
      <c r="T52"/>
      <c r="U52"/>
    </row>
    <row r="53" spans="1:21" s="1" customFormat="1" ht="11.25" customHeight="1" x14ac:dyDescent="0.2">
      <c r="A53" s="83">
        <v>1</v>
      </c>
      <c r="B53" s="115"/>
      <c r="C53" s="115"/>
      <c r="D53" s="1507"/>
      <c r="E53" s="67" t="s">
        <v>21</v>
      </c>
      <c r="F53" s="40" t="s">
        <v>22</v>
      </c>
      <c r="G53" s="40" t="s">
        <v>12</v>
      </c>
      <c r="H53" s="37">
        <f>87.2+0.7+5</f>
        <v>92.9</v>
      </c>
      <c r="I53" s="16">
        <v>82.5</v>
      </c>
      <c r="J53" s="116">
        <v>97.6</v>
      </c>
      <c r="K53" s="37">
        <v>97.6</v>
      </c>
      <c r="L53" s="37">
        <v>97.6</v>
      </c>
      <c r="M53" s="38"/>
      <c r="N53" s="117"/>
      <c r="O53" s="118"/>
      <c r="P53" s="119"/>
      <c r="Q53" s="120"/>
      <c r="R53" s="111"/>
      <c r="S53"/>
      <c r="T53"/>
      <c r="U53"/>
    </row>
    <row r="54" spans="1:21" s="1" customFormat="1" ht="11.25" customHeight="1" x14ac:dyDescent="0.2">
      <c r="A54" s="83">
        <v>1</v>
      </c>
      <c r="B54" s="115"/>
      <c r="C54" s="115"/>
      <c r="D54" s="1507"/>
      <c r="E54" s="67" t="s">
        <v>21</v>
      </c>
      <c r="F54" s="40" t="s">
        <v>22</v>
      </c>
      <c r="G54" s="40" t="s">
        <v>740</v>
      </c>
      <c r="H54" s="37">
        <f>0.9+0.9+1.8</f>
        <v>3.6</v>
      </c>
      <c r="I54" s="16">
        <v>2.9</v>
      </c>
      <c r="J54" s="116">
        <v>0</v>
      </c>
      <c r="K54" s="37">
        <v>0</v>
      </c>
      <c r="L54" s="37">
        <v>0</v>
      </c>
      <c r="M54" s="38"/>
      <c r="N54" s="117"/>
      <c r="O54" s="118"/>
      <c r="P54" s="119"/>
      <c r="Q54" s="120"/>
      <c r="R54" s="111"/>
      <c r="S54"/>
      <c r="T54"/>
      <c r="U54"/>
    </row>
    <row r="55" spans="1:21" s="1" customFormat="1" ht="11.25" customHeight="1" x14ac:dyDescent="0.2">
      <c r="A55" s="83">
        <v>1</v>
      </c>
      <c r="B55" s="115"/>
      <c r="C55" s="115"/>
      <c r="D55" s="1507"/>
      <c r="E55" s="67" t="s">
        <v>21</v>
      </c>
      <c r="F55" s="40" t="s">
        <v>22</v>
      </c>
      <c r="G55" s="121" t="s">
        <v>741</v>
      </c>
      <c r="H55" s="123">
        <f>SUM(H48:H54)</f>
        <v>2814.7000000000003</v>
      </c>
      <c r="I55" s="123">
        <f>SUM(I48:I54)</f>
        <v>3089.3000000000006</v>
      </c>
      <c r="J55" s="123">
        <f>SUM(J48:J54)</f>
        <v>3324.6</v>
      </c>
      <c r="K55" s="123">
        <f>SUM(K48:K54)</f>
        <v>3451.6</v>
      </c>
      <c r="L55" s="123">
        <f>SUM(L48:L54)</f>
        <v>3474.7000000000003</v>
      </c>
      <c r="M55" s="38"/>
      <c r="N55" s="117"/>
      <c r="O55" s="118"/>
      <c r="P55" s="119"/>
      <c r="Q55" s="120"/>
      <c r="R55" s="111"/>
      <c r="S55"/>
      <c r="T55"/>
      <c r="U55"/>
    </row>
    <row r="56" spans="1:21" s="1" customFormat="1" ht="11.25" customHeight="1" x14ac:dyDescent="0.2">
      <c r="A56" s="83">
        <v>1</v>
      </c>
      <c r="B56" s="115"/>
      <c r="C56" s="115" t="s">
        <v>752</v>
      </c>
      <c r="D56" s="1507" t="s">
        <v>753</v>
      </c>
      <c r="E56" s="44" t="s">
        <v>23</v>
      </c>
      <c r="F56" s="40" t="s">
        <v>24</v>
      </c>
      <c r="G56" s="40" t="s">
        <v>8</v>
      </c>
      <c r="H56" s="37">
        <v>314.10000000000002</v>
      </c>
      <c r="I56" s="16">
        <v>390.8</v>
      </c>
      <c r="J56" s="116">
        <f>445.5-2.4</f>
        <v>443.1</v>
      </c>
      <c r="K56" s="925">
        <v>471.8</v>
      </c>
      <c r="L56" s="925">
        <v>471.8</v>
      </c>
      <c r="M56" s="38"/>
      <c r="N56" s="117"/>
      <c r="O56" s="118"/>
      <c r="P56" s="119"/>
      <c r="Q56" s="120"/>
      <c r="R56" s="111"/>
      <c r="S56"/>
      <c r="T56"/>
      <c r="U56"/>
    </row>
    <row r="57" spans="1:21" s="1" customFormat="1" ht="11.25" customHeight="1" x14ac:dyDescent="0.2">
      <c r="A57" s="83">
        <v>1</v>
      </c>
      <c r="B57" s="115"/>
      <c r="C57" s="115"/>
      <c r="D57" s="1507"/>
      <c r="E57" s="44" t="s">
        <v>23</v>
      </c>
      <c r="F57" s="40" t="s">
        <v>24</v>
      </c>
      <c r="G57" s="40" t="s">
        <v>738</v>
      </c>
      <c r="H57" s="37">
        <v>2.4</v>
      </c>
      <c r="I57" s="16">
        <v>2.2000000000000002</v>
      </c>
      <c r="J57" s="116">
        <f>2.4</f>
        <v>2.4</v>
      </c>
      <c r="K57" s="37"/>
      <c r="L57" s="37"/>
      <c r="M57" s="38"/>
      <c r="N57" s="117"/>
      <c r="O57" s="118"/>
      <c r="P57" s="119"/>
      <c r="Q57" s="120"/>
      <c r="R57" s="111"/>
      <c r="S57"/>
      <c r="T57"/>
      <c r="U57"/>
    </row>
    <row r="58" spans="1:21" s="1" customFormat="1" ht="11.25" customHeight="1" x14ac:dyDescent="0.2">
      <c r="A58" s="83">
        <v>1</v>
      </c>
      <c r="B58" s="115"/>
      <c r="C58" s="115"/>
      <c r="D58" s="1507"/>
      <c r="E58" s="44" t="s">
        <v>23</v>
      </c>
      <c r="F58" s="40" t="s">
        <v>24</v>
      </c>
      <c r="G58" s="40" t="s">
        <v>714</v>
      </c>
      <c r="H58" s="37"/>
      <c r="I58" s="16">
        <v>5.0999999999999996</v>
      </c>
      <c r="J58" s="116"/>
      <c r="K58" s="37"/>
      <c r="L58" s="37"/>
      <c r="M58" s="38"/>
      <c r="N58" s="117"/>
      <c r="O58" s="118"/>
      <c r="P58" s="119"/>
      <c r="Q58" s="120"/>
      <c r="R58" s="111"/>
      <c r="S58"/>
      <c r="T58"/>
      <c r="U58"/>
    </row>
    <row r="59" spans="1:21" s="1" customFormat="1" ht="11.25" customHeight="1" x14ac:dyDescent="0.2">
      <c r="A59" s="83">
        <v>1</v>
      </c>
      <c r="B59" s="115"/>
      <c r="C59" s="115"/>
      <c r="D59" s="1507"/>
      <c r="E59" s="44" t="s">
        <v>23</v>
      </c>
      <c r="F59" s="40" t="s">
        <v>24</v>
      </c>
      <c r="G59" s="40" t="s">
        <v>9</v>
      </c>
      <c r="H59" s="37">
        <f>493.2-12.2</f>
        <v>481</v>
      </c>
      <c r="I59" s="16">
        <v>590.5</v>
      </c>
      <c r="J59" s="116">
        <v>604.1</v>
      </c>
      <c r="K59" s="37">
        <v>629.1</v>
      </c>
      <c r="L59" s="37">
        <v>639.20000000000005</v>
      </c>
      <c r="M59" s="38" t="s">
        <v>739</v>
      </c>
      <c r="N59" s="117"/>
      <c r="O59" s="118"/>
      <c r="P59" s="119"/>
      <c r="Q59" s="120"/>
      <c r="R59" s="111"/>
      <c r="S59"/>
      <c r="T59"/>
      <c r="U59"/>
    </row>
    <row r="60" spans="1:21" s="1" customFormat="1" ht="11.25" customHeight="1" x14ac:dyDescent="0.2">
      <c r="A60" s="83">
        <v>1</v>
      </c>
      <c r="B60" s="115"/>
      <c r="C60" s="115"/>
      <c r="D60" s="1507"/>
      <c r="E60" s="44" t="s">
        <v>23</v>
      </c>
      <c r="F60" s="40" t="s">
        <v>24</v>
      </c>
      <c r="G60" s="40" t="s">
        <v>12</v>
      </c>
      <c r="H60" s="37">
        <v>44.5</v>
      </c>
      <c r="I60" s="16">
        <v>50</v>
      </c>
      <c r="J60" s="116">
        <v>54.7</v>
      </c>
      <c r="K60" s="37">
        <v>55</v>
      </c>
      <c r="L60" s="37">
        <v>55.2</v>
      </c>
      <c r="M60" s="38"/>
      <c r="N60" s="117"/>
      <c r="O60" s="118"/>
      <c r="P60" s="119"/>
      <c r="Q60" s="120"/>
      <c r="R60" s="111"/>
      <c r="S60"/>
      <c r="T60"/>
      <c r="U60"/>
    </row>
    <row r="61" spans="1:21" s="1" customFormat="1" ht="11.25" customHeight="1" x14ac:dyDescent="0.2">
      <c r="A61" s="83">
        <v>1</v>
      </c>
      <c r="B61" s="115"/>
      <c r="C61" s="115"/>
      <c r="D61" s="1507"/>
      <c r="E61" s="44" t="s">
        <v>23</v>
      </c>
      <c r="F61" s="40" t="s">
        <v>24</v>
      </c>
      <c r="G61" s="40" t="s">
        <v>11</v>
      </c>
      <c r="H61" s="37"/>
      <c r="I61" s="16"/>
      <c r="J61" s="116">
        <f>10</f>
        <v>10</v>
      </c>
      <c r="K61" s="37"/>
      <c r="L61" s="37"/>
      <c r="M61" s="38"/>
      <c r="N61" s="117"/>
      <c r="O61" s="118"/>
      <c r="P61" s="119"/>
      <c r="Q61" s="120"/>
      <c r="R61" s="111"/>
      <c r="S61"/>
      <c r="T61"/>
      <c r="U61"/>
    </row>
    <row r="62" spans="1:21" s="1" customFormat="1" ht="11.25" customHeight="1" x14ac:dyDescent="0.2">
      <c r="A62" s="83">
        <v>1</v>
      </c>
      <c r="B62" s="115"/>
      <c r="C62" s="115"/>
      <c r="D62" s="1507"/>
      <c r="E62" s="44" t="s">
        <v>23</v>
      </c>
      <c r="F62" s="40" t="s">
        <v>24</v>
      </c>
      <c r="G62" s="40" t="s">
        <v>740</v>
      </c>
      <c r="H62" s="37">
        <f>1.5+1.9+3.8</f>
        <v>7.1999999999999993</v>
      </c>
      <c r="I62" s="16">
        <v>2.9</v>
      </c>
      <c r="J62" s="116">
        <v>0</v>
      </c>
      <c r="K62" s="37">
        <v>0</v>
      </c>
      <c r="L62" s="37">
        <v>0</v>
      </c>
      <c r="M62" s="38"/>
      <c r="N62" s="117"/>
      <c r="O62" s="118"/>
      <c r="P62" s="119"/>
      <c r="Q62" s="120"/>
      <c r="R62" s="111"/>
      <c r="S62"/>
      <c r="T62"/>
      <c r="U62"/>
    </row>
    <row r="63" spans="1:21" s="1" customFormat="1" ht="11.25" customHeight="1" x14ac:dyDescent="0.2">
      <c r="A63" s="83">
        <v>1</v>
      </c>
      <c r="B63" s="115"/>
      <c r="C63" s="115"/>
      <c r="D63" s="1507"/>
      <c r="E63" s="44" t="s">
        <v>23</v>
      </c>
      <c r="F63" s="40" t="s">
        <v>24</v>
      </c>
      <c r="G63" s="121" t="s">
        <v>741</v>
      </c>
      <c r="H63" s="123">
        <f>SUM(H56:H62)</f>
        <v>849.2</v>
      </c>
      <c r="I63" s="123">
        <f>SUM(I56:I62)</f>
        <v>1041.5</v>
      </c>
      <c r="J63" s="123">
        <f>SUM(J56:J62)</f>
        <v>1114.3</v>
      </c>
      <c r="K63" s="123">
        <f>SUM(K56:K62)</f>
        <v>1155.9000000000001</v>
      </c>
      <c r="L63" s="123">
        <f>SUM(L56:L62)</f>
        <v>1166.2</v>
      </c>
      <c r="M63" s="38"/>
      <c r="N63" s="117"/>
      <c r="O63" s="118"/>
      <c r="P63" s="119"/>
      <c r="Q63" s="120"/>
      <c r="R63" s="111"/>
      <c r="S63"/>
      <c r="T63"/>
      <c r="U63"/>
    </row>
    <row r="64" spans="1:21" s="1" customFormat="1" ht="11.25" customHeight="1" x14ac:dyDescent="0.2">
      <c r="A64" s="83">
        <v>1</v>
      </c>
      <c r="B64" s="115"/>
      <c r="C64" s="115" t="s">
        <v>754</v>
      </c>
      <c r="D64" s="1507" t="s">
        <v>755</v>
      </c>
      <c r="E64" s="44" t="s">
        <v>25</v>
      </c>
      <c r="F64" s="40" t="s">
        <v>26</v>
      </c>
      <c r="G64" s="40" t="s">
        <v>8</v>
      </c>
      <c r="H64" s="37">
        <v>471.4</v>
      </c>
      <c r="I64" s="16">
        <v>647.4</v>
      </c>
      <c r="J64" s="116">
        <v>722.5</v>
      </c>
      <c r="K64" s="866">
        <v>765.1</v>
      </c>
      <c r="L64" s="866">
        <v>765.1</v>
      </c>
      <c r="M64" s="38"/>
      <c r="N64" s="117"/>
      <c r="O64" s="118"/>
      <c r="P64" s="119"/>
      <c r="Q64" s="120"/>
      <c r="R64" s="111"/>
      <c r="S64"/>
      <c r="T64"/>
      <c r="U64"/>
    </row>
    <row r="65" spans="1:21" s="1" customFormat="1" ht="11.25" customHeight="1" x14ac:dyDescent="0.2">
      <c r="A65" s="83">
        <v>1</v>
      </c>
      <c r="B65" s="115"/>
      <c r="C65" s="115"/>
      <c r="D65" s="1507"/>
      <c r="E65" s="44" t="s">
        <v>25</v>
      </c>
      <c r="F65" s="40" t="s">
        <v>26</v>
      </c>
      <c r="G65" s="40" t="s">
        <v>738</v>
      </c>
      <c r="H65" s="37">
        <v>12.4</v>
      </c>
      <c r="I65" s="16">
        <v>4.3</v>
      </c>
      <c r="J65" s="116"/>
      <c r="K65" s="37"/>
      <c r="L65" s="37"/>
      <c r="M65" s="38"/>
      <c r="N65" s="117"/>
      <c r="O65" s="118"/>
      <c r="P65" s="119"/>
      <c r="Q65" s="120"/>
      <c r="R65" s="111"/>
      <c r="S65"/>
      <c r="T65"/>
      <c r="U65"/>
    </row>
    <row r="66" spans="1:21" s="1" customFormat="1" ht="11.25" customHeight="1" x14ac:dyDescent="0.2">
      <c r="A66" s="83">
        <v>1</v>
      </c>
      <c r="B66" s="115"/>
      <c r="C66" s="115"/>
      <c r="D66" s="1507"/>
      <c r="E66" s="44" t="s">
        <v>25</v>
      </c>
      <c r="F66" s="40" t="s">
        <v>26</v>
      </c>
      <c r="G66" s="40" t="s">
        <v>714</v>
      </c>
      <c r="H66" s="37"/>
      <c r="I66" s="16">
        <v>9.6999999999999993</v>
      </c>
      <c r="J66" s="116"/>
      <c r="K66" s="37"/>
      <c r="L66" s="37"/>
      <c r="M66" s="38"/>
      <c r="N66" s="117"/>
      <c r="O66" s="118"/>
      <c r="P66" s="119"/>
      <c r="Q66" s="120"/>
      <c r="R66" s="111"/>
      <c r="S66"/>
      <c r="T66"/>
      <c r="U66"/>
    </row>
    <row r="67" spans="1:21" s="1" customFormat="1" ht="11.25" customHeight="1" x14ac:dyDescent="0.2">
      <c r="A67" s="83">
        <v>1</v>
      </c>
      <c r="B67" s="115"/>
      <c r="C67" s="115"/>
      <c r="D67" s="1507"/>
      <c r="E67" s="44" t="s">
        <v>25</v>
      </c>
      <c r="F67" s="40" t="s">
        <v>26</v>
      </c>
      <c r="G67" s="40" t="s">
        <v>9</v>
      </c>
      <c r="H67" s="37">
        <v>332</v>
      </c>
      <c r="I67" s="16">
        <v>358.3</v>
      </c>
      <c r="J67" s="116">
        <v>394.1</v>
      </c>
      <c r="K67" s="37">
        <v>411.1</v>
      </c>
      <c r="L67" s="37">
        <v>418</v>
      </c>
      <c r="M67" s="38" t="s">
        <v>739</v>
      </c>
      <c r="N67" s="117"/>
      <c r="O67" s="118"/>
      <c r="P67" s="119"/>
      <c r="Q67" s="120"/>
      <c r="R67" s="111"/>
      <c r="S67"/>
      <c r="T67"/>
      <c r="U67"/>
    </row>
    <row r="68" spans="1:21" s="1" customFormat="1" ht="11.25" customHeight="1" x14ac:dyDescent="0.2">
      <c r="A68" s="83">
        <v>1</v>
      </c>
      <c r="B68" s="115"/>
      <c r="C68" s="115"/>
      <c r="D68" s="1507"/>
      <c r="E68" s="44" t="s">
        <v>25</v>
      </c>
      <c r="F68" s="40" t="s">
        <v>26</v>
      </c>
      <c r="G68" s="40" t="s">
        <v>11</v>
      </c>
      <c r="H68" s="37">
        <v>0</v>
      </c>
      <c r="I68" s="16"/>
      <c r="J68" s="116">
        <f>2.1</f>
        <v>2.1</v>
      </c>
      <c r="K68" s="37"/>
      <c r="L68" s="37"/>
      <c r="M68" s="38"/>
      <c r="N68" s="117"/>
      <c r="O68" s="118"/>
      <c r="P68" s="119"/>
      <c r="Q68" s="120"/>
      <c r="R68" s="111"/>
      <c r="S68"/>
      <c r="T68"/>
      <c r="U68"/>
    </row>
    <row r="69" spans="1:21" s="1" customFormat="1" ht="11.25" customHeight="1" x14ac:dyDescent="0.2">
      <c r="A69" s="83">
        <v>1</v>
      </c>
      <c r="B69" s="115"/>
      <c r="C69" s="115"/>
      <c r="D69" s="1507"/>
      <c r="E69" s="44" t="s">
        <v>25</v>
      </c>
      <c r="F69" s="40" t="s">
        <v>26</v>
      </c>
      <c r="G69" s="40" t="s">
        <v>12</v>
      </c>
      <c r="H69" s="37">
        <v>13.4</v>
      </c>
      <c r="I69" s="16">
        <v>12.5</v>
      </c>
      <c r="J69" s="116">
        <v>17.3</v>
      </c>
      <c r="K69" s="37">
        <v>17.3</v>
      </c>
      <c r="L69" s="37">
        <v>17.3</v>
      </c>
      <c r="M69" s="38"/>
      <c r="N69" s="117"/>
      <c r="O69" s="118"/>
      <c r="P69" s="119"/>
      <c r="Q69" s="120"/>
      <c r="R69" s="111"/>
      <c r="S69"/>
      <c r="T69"/>
      <c r="U69"/>
    </row>
    <row r="70" spans="1:21" s="1" customFormat="1" ht="11.25" customHeight="1" x14ac:dyDescent="0.2">
      <c r="A70" s="83">
        <v>1</v>
      </c>
      <c r="B70" s="115"/>
      <c r="C70" s="115"/>
      <c r="D70" s="1507"/>
      <c r="E70" s="44" t="s">
        <v>25</v>
      </c>
      <c r="F70" s="40" t="s">
        <v>26</v>
      </c>
      <c r="G70" s="40" t="s">
        <v>740</v>
      </c>
      <c r="H70" s="37">
        <f>0.5+0.5+0.9</f>
        <v>1.9</v>
      </c>
      <c r="I70" s="16"/>
      <c r="J70" s="116"/>
      <c r="K70" s="37">
        <v>0</v>
      </c>
      <c r="L70" s="37">
        <v>0</v>
      </c>
      <c r="M70" s="38"/>
      <c r="N70" s="117"/>
      <c r="O70" s="118"/>
      <c r="P70" s="119"/>
      <c r="Q70" s="120"/>
      <c r="R70" s="111"/>
      <c r="S70"/>
      <c r="T70"/>
      <c r="U70"/>
    </row>
    <row r="71" spans="1:21" s="1" customFormat="1" ht="11.25" customHeight="1" x14ac:dyDescent="0.2">
      <c r="A71" s="83">
        <v>1</v>
      </c>
      <c r="B71" s="115"/>
      <c r="C71" s="115"/>
      <c r="D71" s="1507"/>
      <c r="E71" s="44" t="s">
        <v>25</v>
      </c>
      <c r="F71" s="40" t="s">
        <v>26</v>
      </c>
      <c r="G71" s="121" t="s">
        <v>741</v>
      </c>
      <c r="H71" s="123">
        <f>SUM(H64:H70)</f>
        <v>831.09999999999991</v>
      </c>
      <c r="I71" s="123">
        <f>SUM(I64:I70)</f>
        <v>1032.2</v>
      </c>
      <c r="J71" s="123">
        <f>SUM(J64:J70)</f>
        <v>1135.9999999999998</v>
      </c>
      <c r="K71" s="123">
        <f>SUM(K64:K70)</f>
        <v>1193.5</v>
      </c>
      <c r="L71" s="123">
        <f>SUM(L64:L70)</f>
        <v>1200.3999999999999</v>
      </c>
      <c r="M71" s="38"/>
      <c r="N71" s="117"/>
      <c r="O71" s="118"/>
      <c r="P71" s="119"/>
      <c r="Q71" s="120"/>
      <c r="R71" s="111"/>
      <c r="S71"/>
      <c r="T71"/>
      <c r="U71"/>
    </row>
    <row r="72" spans="1:21" s="1" customFormat="1" ht="11.25" customHeight="1" x14ac:dyDescent="0.2">
      <c r="A72" s="83">
        <v>1</v>
      </c>
      <c r="B72" s="115"/>
      <c r="C72" s="115" t="s">
        <v>756</v>
      </c>
      <c r="D72" s="1507" t="s">
        <v>757</v>
      </c>
      <c r="E72" s="44" t="s">
        <v>27</v>
      </c>
      <c r="F72" s="40" t="s">
        <v>28</v>
      </c>
      <c r="G72" s="40" t="s">
        <v>8</v>
      </c>
      <c r="H72" s="37">
        <f>1224.2+4.6</f>
        <v>1228.8</v>
      </c>
      <c r="I72" s="16">
        <v>1586.9</v>
      </c>
      <c r="J72" s="116">
        <f>1880.2-26.9+8.6</f>
        <v>1861.8999999999999</v>
      </c>
      <c r="K72" s="924">
        <v>1991.1</v>
      </c>
      <c r="L72" s="924">
        <v>1991.1</v>
      </c>
      <c r="M72" s="38"/>
      <c r="N72" s="117"/>
      <c r="O72" s="118"/>
      <c r="P72" s="119"/>
      <c r="Q72" s="120"/>
      <c r="R72" s="111"/>
      <c r="S72"/>
      <c r="T72"/>
      <c r="U72"/>
    </row>
    <row r="73" spans="1:21" s="1" customFormat="1" ht="11.25" customHeight="1" x14ac:dyDescent="0.2">
      <c r="A73" s="83">
        <v>1</v>
      </c>
      <c r="B73" s="115"/>
      <c r="C73" s="115"/>
      <c r="D73" s="1507"/>
      <c r="E73" s="44" t="s">
        <v>27</v>
      </c>
      <c r="F73" s="40" t="s">
        <v>28</v>
      </c>
      <c r="G73" s="40" t="s">
        <v>738</v>
      </c>
      <c r="H73" s="37">
        <v>52.1</v>
      </c>
      <c r="I73" s="16">
        <v>16.2</v>
      </c>
      <c r="J73" s="116">
        <v>26.9</v>
      </c>
      <c r="K73" s="37"/>
      <c r="L73" s="37"/>
      <c r="M73" s="38"/>
      <c r="N73" s="117"/>
      <c r="O73" s="118"/>
      <c r="P73" s="119"/>
      <c r="Q73" s="120"/>
      <c r="R73" s="111"/>
      <c r="S73"/>
      <c r="T73"/>
      <c r="U73"/>
    </row>
    <row r="74" spans="1:21" s="1" customFormat="1" ht="11.25" customHeight="1" x14ac:dyDescent="0.2">
      <c r="A74" s="83">
        <v>1</v>
      </c>
      <c r="B74" s="115"/>
      <c r="C74" s="115"/>
      <c r="D74" s="1507"/>
      <c r="E74" s="44" t="s">
        <v>27</v>
      </c>
      <c r="F74" s="40" t="s">
        <v>28</v>
      </c>
      <c r="G74" s="40" t="s">
        <v>714</v>
      </c>
      <c r="H74" s="37"/>
      <c r="I74" s="16">
        <v>36.9</v>
      </c>
      <c r="J74" s="116"/>
      <c r="K74" s="37"/>
      <c r="L74" s="37"/>
      <c r="M74" s="38"/>
      <c r="N74" s="117"/>
      <c r="O74" s="118"/>
      <c r="P74" s="119"/>
      <c r="Q74" s="120"/>
      <c r="R74" s="111"/>
      <c r="S74"/>
      <c r="T74"/>
      <c r="U74"/>
    </row>
    <row r="75" spans="1:21" s="1" customFormat="1" ht="11.25" customHeight="1" x14ac:dyDescent="0.2">
      <c r="A75" s="83">
        <v>1</v>
      </c>
      <c r="B75" s="115"/>
      <c r="C75" s="115"/>
      <c r="D75" s="1507"/>
      <c r="E75" s="44" t="s">
        <v>27</v>
      </c>
      <c r="F75" s="40" t="s">
        <v>28</v>
      </c>
      <c r="G75" s="40" t="s">
        <v>9</v>
      </c>
      <c r="H75" s="37">
        <f>1198.7+10+9.1-11.6</f>
        <v>1206.2</v>
      </c>
      <c r="I75" s="16">
        <v>1396.4</v>
      </c>
      <c r="J75" s="116">
        <v>1381.8</v>
      </c>
      <c r="K75" s="37">
        <v>1444.5</v>
      </c>
      <c r="L75" s="37">
        <v>1469.5</v>
      </c>
      <c r="M75" s="38" t="s">
        <v>739</v>
      </c>
      <c r="N75" s="117"/>
      <c r="O75" s="118"/>
      <c r="P75" s="119"/>
      <c r="Q75" s="120"/>
      <c r="R75" s="111"/>
      <c r="S75"/>
      <c r="T75"/>
      <c r="U75"/>
    </row>
    <row r="76" spans="1:21" s="1" customFormat="1" ht="11.25" customHeight="1" x14ac:dyDescent="0.2">
      <c r="A76" s="83">
        <v>1</v>
      </c>
      <c r="B76" s="115"/>
      <c r="C76" s="115"/>
      <c r="D76" s="1507"/>
      <c r="E76" s="44" t="s">
        <v>27</v>
      </c>
      <c r="F76" s="40" t="s">
        <v>28</v>
      </c>
      <c r="G76" s="40" t="s">
        <v>11</v>
      </c>
      <c r="H76" s="37">
        <v>0</v>
      </c>
      <c r="I76" s="16"/>
      <c r="J76" s="116">
        <f>22.2</f>
        <v>22.2</v>
      </c>
      <c r="K76" s="37"/>
      <c r="L76" s="37"/>
      <c r="M76" s="38"/>
      <c r="N76" s="117"/>
      <c r="O76" s="118"/>
      <c r="P76" s="119"/>
      <c r="Q76" s="120"/>
      <c r="R76" s="111"/>
      <c r="S76"/>
      <c r="T76"/>
      <c r="U76"/>
    </row>
    <row r="77" spans="1:21" s="1" customFormat="1" ht="11.25" customHeight="1" x14ac:dyDescent="0.2">
      <c r="A77" s="83">
        <v>1</v>
      </c>
      <c r="B77" s="115"/>
      <c r="C77" s="115"/>
      <c r="D77" s="1507"/>
      <c r="E77" s="44" t="s">
        <v>27</v>
      </c>
      <c r="F77" s="40" t="s">
        <v>28</v>
      </c>
      <c r="G77" s="40" t="s">
        <v>12</v>
      </c>
      <c r="H77" s="37">
        <v>110.5</v>
      </c>
      <c r="I77" s="16">
        <v>125.7</v>
      </c>
      <c r="J77" s="116">
        <v>121.8</v>
      </c>
      <c r="K77" s="37">
        <v>121.8</v>
      </c>
      <c r="L77" s="37">
        <v>121.8</v>
      </c>
      <c r="M77" s="38"/>
      <c r="N77" s="117"/>
      <c r="O77" s="118"/>
      <c r="P77" s="119"/>
      <c r="Q77" s="120"/>
      <c r="R77" s="111"/>
      <c r="S77"/>
      <c r="T77"/>
      <c r="U77"/>
    </row>
    <row r="78" spans="1:21" s="1" customFormat="1" ht="11.25" customHeight="1" x14ac:dyDescent="0.2">
      <c r="A78" s="83">
        <v>1</v>
      </c>
      <c r="B78" s="115"/>
      <c r="C78" s="115"/>
      <c r="D78" s="1507"/>
      <c r="E78" s="44" t="s">
        <v>27</v>
      </c>
      <c r="F78" s="40" t="s">
        <v>28</v>
      </c>
      <c r="G78" s="40" t="s">
        <v>740</v>
      </c>
      <c r="H78" s="37">
        <f>3.1+1.9+3.7</f>
        <v>8.6999999999999993</v>
      </c>
      <c r="I78" s="16">
        <v>0</v>
      </c>
      <c r="J78" s="116">
        <v>0</v>
      </c>
      <c r="K78" s="37">
        <v>0</v>
      </c>
      <c r="L78" s="37">
        <v>0</v>
      </c>
      <c r="M78" s="38"/>
      <c r="N78" s="117"/>
      <c r="O78" s="118"/>
      <c r="P78" s="119"/>
      <c r="Q78" s="120"/>
      <c r="R78" s="111"/>
      <c r="S78"/>
      <c r="T78"/>
      <c r="U78"/>
    </row>
    <row r="79" spans="1:21" s="1" customFormat="1" ht="11.25" customHeight="1" x14ac:dyDescent="0.2">
      <c r="A79" s="83">
        <v>1</v>
      </c>
      <c r="B79" s="115"/>
      <c r="C79" s="115"/>
      <c r="D79" s="1507"/>
      <c r="E79" s="44" t="s">
        <v>27</v>
      </c>
      <c r="F79" s="40" t="s">
        <v>28</v>
      </c>
      <c r="G79" s="121" t="s">
        <v>741</v>
      </c>
      <c r="H79" s="123">
        <f>SUM(H72:H78)</f>
        <v>2606.2999999999997</v>
      </c>
      <c r="I79" s="123">
        <f>SUM(I72:I78)</f>
        <v>3162.1000000000004</v>
      </c>
      <c r="J79" s="123">
        <f>SUM(J72:J78)</f>
        <v>3414.6</v>
      </c>
      <c r="K79" s="123">
        <f>SUM(K72:K78)</f>
        <v>3557.4</v>
      </c>
      <c r="L79" s="123">
        <f>SUM(L72:L78)</f>
        <v>3582.4</v>
      </c>
      <c r="M79" s="38"/>
      <c r="N79" s="117"/>
      <c r="O79" s="118"/>
      <c r="P79" s="119"/>
      <c r="Q79" s="120"/>
      <c r="R79" s="111"/>
      <c r="S79"/>
      <c r="T79"/>
      <c r="U79"/>
    </row>
    <row r="80" spans="1:21" s="1" customFormat="1" ht="11.25" customHeight="1" x14ac:dyDescent="0.2">
      <c r="A80" s="83">
        <v>1</v>
      </c>
      <c r="B80" s="115"/>
      <c r="C80" s="115" t="s">
        <v>758</v>
      </c>
      <c r="D80" s="1507" t="s">
        <v>759</v>
      </c>
      <c r="E80" s="44" t="s">
        <v>664</v>
      </c>
      <c r="F80" s="40" t="s">
        <v>30</v>
      </c>
      <c r="G80" s="40" t="s">
        <v>8</v>
      </c>
      <c r="H80" s="37">
        <v>823.1</v>
      </c>
      <c r="I80" s="16">
        <v>1002.7</v>
      </c>
      <c r="J80" s="116">
        <f>1119.4-2.2+18.6</f>
        <v>1135.8</v>
      </c>
      <c r="K80" s="924">
        <v>1185.4000000000001</v>
      </c>
      <c r="L80" s="924">
        <v>1185.4000000000001</v>
      </c>
      <c r="M80" s="38"/>
      <c r="N80" s="117"/>
      <c r="O80" s="118"/>
      <c r="P80" s="119"/>
      <c r="Q80" s="120"/>
      <c r="R80" s="111"/>
      <c r="S80"/>
      <c r="T80"/>
      <c r="U80"/>
    </row>
    <row r="81" spans="1:21" s="1" customFormat="1" ht="11.25" customHeight="1" x14ac:dyDescent="0.2">
      <c r="A81" s="83">
        <v>1</v>
      </c>
      <c r="B81" s="115"/>
      <c r="C81" s="115"/>
      <c r="D81" s="1507"/>
      <c r="E81" s="44" t="s">
        <v>664</v>
      </c>
      <c r="F81" s="40" t="s">
        <v>30</v>
      </c>
      <c r="G81" s="40" t="s">
        <v>738</v>
      </c>
      <c r="H81" s="37">
        <v>4.9000000000000004</v>
      </c>
      <c r="I81" s="16">
        <v>7.2</v>
      </c>
      <c r="J81" s="116">
        <f>2.2</f>
        <v>2.2000000000000002</v>
      </c>
      <c r="K81" s="37"/>
      <c r="L81" s="37"/>
      <c r="M81" s="38"/>
      <c r="N81" s="117"/>
      <c r="O81" s="118"/>
      <c r="P81" s="119"/>
      <c r="Q81" s="120"/>
      <c r="R81" s="111"/>
      <c r="S81"/>
      <c r="T81"/>
      <c r="U81"/>
    </row>
    <row r="82" spans="1:21" s="1" customFormat="1" ht="11.25" customHeight="1" x14ac:dyDescent="0.2">
      <c r="A82" s="83">
        <v>1</v>
      </c>
      <c r="B82" s="115"/>
      <c r="C82" s="115"/>
      <c r="D82" s="1507"/>
      <c r="E82" s="44" t="s">
        <v>664</v>
      </c>
      <c r="F82" s="40" t="s">
        <v>30</v>
      </c>
      <c r="G82" s="40" t="s">
        <v>714</v>
      </c>
      <c r="H82" s="37"/>
      <c r="I82" s="16">
        <v>16.5</v>
      </c>
      <c r="J82" s="116"/>
      <c r="K82" s="37"/>
      <c r="L82" s="37"/>
      <c r="M82" s="38"/>
      <c r="N82" s="117"/>
      <c r="O82" s="118"/>
      <c r="P82" s="119"/>
      <c r="Q82" s="120"/>
      <c r="R82" s="111"/>
      <c r="S82"/>
      <c r="T82"/>
      <c r="U82"/>
    </row>
    <row r="83" spans="1:21" s="1" customFormat="1" ht="11.25" customHeight="1" x14ac:dyDescent="0.2">
      <c r="A83" s="83">
        <v>1</v>
      </c>
      <c r="B83" s="115"/>
      <c r="C83" s="115"/>
      <c r="D83" s="1507"/>
      <c r="E83" s="44" t="s">
        <v>664</v>
      </c>
      <c r="F83" s="40" t="s">
        <v>30</v>
      </c>
      <c r="G83" s="40" t="s">
        <v>9</v>
      </c>
      <c r="H83" s="37">
        <f>402.9+3.5-2</f>
        <v>404.4</v>
      </c>
      <c r="I83" s="16">
        <v>446.4</v>
      </c>
      <c r="J83" s="116">
        <v>496.4</v>
      </c>
      <c r="K83" s="37">
        <v>518.5</v>
      </c>
      <c r="L83" s="37">
        <v>527.29999999999995</v>
      </c>
      <c r="M83" s="38" t="s">
        <v>739</v>
      </c>
      <c r="N83" s="117"/>
      <c r="O83" s="118"/>
      <c r="P83" s="119"/>
      <c r="Q83" s="120"/>
      <c r="R83" s="111"/>
      <c r="S83"/>
      <c r="T83"/>
      <c r="U83"/>
    </row>
    <row r="84" spans="1:21" s="1" customFormat="1" ht="11.25" customHeight="1" x14ac:dyDescent="0.2">
      <c r="A84" s="83">
        <v>1</v>
      </c>
      <c r="B84" s="115"/>
      <c r="C84" s="115"/>
      <c r="D84" s="1507"/>
      <c r="E84" s="44" t="s">
        <v>664</v>
      </c>
      <c r="F84" s="40" t="s">
        <v>30</v>
      </c>
      <c r="G84" s="40" t="s">
        <v>11</v>
      </c>
      <c r="H84" s="37">
        <v>0</v>
      </c>
      <c r="I84" s="16"/>
      <c r="J84" s="116">
        <f>2.7</f>
        <v>2.7</v>
      </c>
      <c r="K84" s="37"/>
      <c r="L84" s="37"/>
      <c r="M84" s="38"/>
      <c r="N84" s="117"/>
      <c r="O84" s="118"/>
      <c r="P84" s="119"/>
      <c r="Q84" s="120"/>
      <c r="R84" s="111"/>
      <c r="S84"/>
      <c r="T84"/>
      <c r="U84"/>
    </row>
    <row r="85" spans="1:21" s="1" customFormat="1" ht="11.25" customHeight="1" x14ac:dyDescent="0.2">
      <c r="A85" s="83">
        <v>1</v>
      </c>
      <c r="B85" s="115"/>
      <c r="C85" s="115"/>
      <c r="D85" s="1507"/>
      <c r="E85" s="44" t="s">
        <v>664</v>
      </c>
      <c r="F85" s="40" t="s">
        <v>30</v>
      </c>
      <c r="G85" s="40" t="s">
        <v>12</v>
      </c>
      <c r="H85" s="37">
        <v>68.2</v>
      </c>
      <c r="I85" s="16">
        <v>63.1</v>
      </c>
      <c r="J85" s="116">
        <v>71.2</v>
      </c>
      <c r="K85" s="37">
        <v>71.2</v>
      </c>
      <c r="L85" s="37">
        <v>71.2</v>
      </c>
      <c r="M85" s="38"/>
      <c r="N85" s="117"/>
      <c r="O85" s="118"/>
      <c r="P85" s="119"/>
      <c r="Q85" s="120"/>
      <c r="R85" s="111"/>
      <c r="S85"/>
      <c r="T85"/>
      <c r="U85"/>
    </row>
    <row r="86" spans="1:21" s="1" customFormat="1" ht="11.25" customHeight="1" x14ac:dyDescent="0.2">
      <c r="A86" s="83">
        <v>1</v>
      </c>
      <c r="B86" s="115"/>
      <c r="C86" s="115"/>
      <c r="D86" s="1507"/>
      <c r="E86" s="44" t="s">
        <v>664</v>
      </c>
      <c r="F86" s="40" t="s">
        <v>30</v>
      </c>
      <c r="G86" s="40" t="s">
        <v>740</v>
      </c>
      <c r="H86" s="37">
        <v>0</v>
      </c>
      <c r="I86" s="16">
        <v>0</v>
      </c>
      <c r="J86" s="116">
        <v>0</v>
      </c>
      <c r="K86" s="37">
        <v>0</v>
      </c>
      <c r="L86" s="37">
        <v>0</v>
      </c>
      <c r="M86" s="38"/>
      <c r="N86" s="117"/>
      <c r="O86" s="118"/>
      <c r="P86" s="119"/>
      <c r="Q86" s="120"/>
      <c r="R86" s="111"/>
      <c r="S86"/>
      <c r="T86"/>
      <c r="U86"/>
    </row>
    <row r="87" spans="1:21" s="1" customFormat="1" ht="11.25" customHeight="1" x14ac:dyDescent="0.2">
      <c r="A87" s="83">
        <v>1</v>
      </c>
      <c r="B87" s="115"/>
      <c r="C87" s="115"/>
      <c r="D87" s="1507"/>
      <c r="E87" s="44" t="s">
        <v>664</v>
      </c>
      <c r="F87" s="40" t="s">
        <v>30</v>
      </c>
      <c r="G87" s="121" t="s">
        <v>741</v>
      </c>
      <c r="H87" s="123">
        <f>SUM(H80:H86)</f>
        <v>1300.6000000000001</v>
      </c>
      <c r="I87" s="123">
        <f>SUM(I80:I86)</f>
        <v>1535.9</v>
      </c>
      <c r="J87" s="123">
        <f>SUM(J80:J86)</f>
        <v>1708.3000000000002</v>
      </c>
      <c r="K87" s="123">
        <f>SUM(K80:K86)</f>
        <v>1775.1000000000001</v>
      </c>
      <c r="L87" s="123">
        <f>SUM(L80:L86)</f>
        <v>1783.9</v>
      </c>
      <c r="M87" s="38"/>
      <c r="N87" s="117"/>
      <c r="O87" s="118"/>
      <c r="P87" s="119"/>
      <c r="Q87" s="120"/>
      <c r="R87" s="111"/>
      <c r="S87"/>
      <c r="T87"/>
      <c r="U87"/>
    </row>
    <row r="88" spans="1:21" s="1" customFormat="1" ht="11.25" customHeight="1" x14ac:dyDescent="0.2">
      <c r="A88" s="83">
        <v>1</v>
      </c>
      <c r="B88" s="115"/>
      <c r="C88" s="115" t="s">
        <v>760</v>
      </c>
      <c r="D88" s="1507" t="s">
        <v>761</v>
      </c>
      <c r="E88" s="44" t="s">
        <v>666</v>
      </c>
      <c r="F88" s="40" t="s">
        <v>32</v>
      </c>
      <c r="G88" s="40" t="s">
        <v>8</v>
      </c>
      <c r="H88" s="37">
        <f>886.2+3.9</f>
        <v>890.1</v>
      </c>
      <c r="I88" s="16">
        <v>1218.4000000000001</v>
      </c>
      <c r="J88" s="116">
        <f>1504.8+11.3+2.9</f>
        <v>1519</v>
      </c>
      <c r="K88" s="924">
        <v>1593.6</v>
      </c>
      <c r="L88" s="924">
        <v>1593.6</v>
      </c>
      <c r="M88" s="38"/>
      <c r="N88" s="117"/>
      <c r="O88" s="118"/>
      <c r="P88" s="119"/>
      <c r="Q88" s="120"/>
      <c r="R88" s="111"/>
      <c r="S88"/>
      <c r="T88"/>
      <c r="U88"/>
    </row>
    <row r="89" spans="1:21" s="1" customFormat="1" ht="11.25" customHeight="1" x14ac:dyDescent="0.2">
      <c r="A89" s="83">
        <v>1</v>
      </c>
      <c r="B89" s="115"/>
      <c r="C89" s="115"/>
      <c r="D89" s="1507"/>
      <c r="E89" s="44" t="s">
        <v>666</v>
      </c>
      <c r="F89" s="40" t="s">
        <v>32</v>
      </c>
      <c r="G89" s="40" t="s">
        <v>714</v>
      </c>
      <c r="H89" s="37"/>
      <c r="I89" s="16">
        <v>39.9</v>
      </c>
      <c r="J89" s="116"/>
      <c r="K89" s="865"/>
      <c r="L89" s="865"/>
      <c r="M89" s="38"/>
      <c r="N89" s="117"/>
      <c r="O89" s="118"/>
      <c r="P89" s="119"/>
      <c r="Q89" s="120"/>
      <c r="R89" s="111"/>
      <c r="S89"/>
      <c r="T89"/>
      <c r="U89"/>
    </row>
    <row r="90" spans="1:21" s="1" customFormat="1" ht="16.5" customHeight="1" x14ac:dyDescent="0.2">
      <c r="A90" s="83">
        <v>1</v>
      </c>
      <c r="B90" s="115"/>
      <c r="C90" s="115"/>
      <c r="D90" s="1507"/>
      <c r="E90" s="44" t="s">
        <v>666</v>
      </c>
      <c r="F90" s="40" t="s">
        <v>32</v>
      </c>
      <c r="G90" s="40" t="s">
        <v>9</v>
      </c>
      <c r="H90" s="37">
        <f>973.3-3.5+7.8-15.5+17.3</f>
        <v>979.39999999999986</v>
      </c>
      <c r="I90" s="16">
        <v>17.399999999999999</v>
      </c>
      <c r="J90" s="116">
        <f>1294.2+1.7</f>
        <v>1295.9000000000001</v>
      </c>
      <c r="K90" s="37">
        <v>1351.9</v>
      </c>
      <c r="L90" s="37">
        <v>1375.1</v>
      </c>
      <c r="M90" s="38" t="s">
        <v>739</v>
      </c>
      <c r="N90" s="117"/>
      <c r="O90" s="118"/>
      <c r="P90" s="119"/>
      <c r="Q90" s="120"/>
      <c r="R90" s="111"/>
      <c r="S90"/>
      <c r="T90"/>
      <c r="U90"/>
    </row>
    <row r="91" spans="1:21" s="1" customFormat="1" ht="11.25" customHeight="1" x14ac:dyDescent="0.2">
      <c r="A91" s="83">
        <v>1</v>
      </c>
      <c r="B91" s="115"/>
      <c r="C91" s="115"/>
      <c r="D91" s="1507"/>
      <c r="E91" s="44" t="s">
        <v>666</v>
      </c>
      <c r="F91" s="40" t="s">
        <v>32</v>
      </c>
      <c r="G91" s="40" t="s">
        <v>11</v>
      </c>
      <c r="H91" s="37">
        <v>0</v>
      </c>
      <c r="I91" s="16">
        <v>1203.3</v>
      </c>
      <c r="J91" s="116">
        <f>19+4.5</f>
        <v>23.5</v>
      </c>
      <c r="K91" s="37"/>
      <c r="L91" s="37"/>
      <c r="M91" s="38"/>
      <c r="N91" s="117"/>
      <c r="O91" s="118"/>
      <c r="P91" s="119"/>
      <c r="Q91" s="120"/>
      <c r="R91" s="111"/>
      <c r="S91"/>
      <c r="T91"/>
      <c r="U91"/>
    </row>
    <row r="92" spans="1:21" s="1" customFormat="1" ht="11.25" customHeight="1" x14ac:dyDescent="0.2">
      <c r="A92" s="83">
        <v>1</v>
      </c>
      <c r="B92" s="115"/>
      <c r="C92" s="115"/>
      <c r="D92" s="1507"/>
      <c r="E92" s="44" t="s">
        <v>666</v>
      </c>
      <c r="F92" s="40" t="s">
        <v>32</v>
      </c>
      <c r="G92" s="40" t="s">
        <v>12</v>
      </c>
      <c r="H92" s="37">
        <f>91.5+15.5</f>
        <v>107</v>
      </c>
      <c r="I92" s="16"/>
      <c r="J92" s="116">
        <f>131.5+3</f>
        <v>134.5</v>
      </c>
      <c r="K92" s="37">
        <v>132.30000000000001</v>
      </c>
      <c r="L92" s="37">
        <v>132.5</v>
      </c>
      <c r="M92" s="38"/>
      <c r="N92" s="117"/>
      <c r="O92" s="118"/>
      <c r="P92" s="119"/>
      <c r="Q92" s="120"/>
      <c r="R92" s="111"/>
      <c r="S92"/>
      <c r="T92"/>
      <c r="U92"/>
    </row>
    <row r="93" spans="1:21" s="1" customFormat="1" ht="11.25" customHeight="1" x14ac:dyDescent="0.2">
      <c r="A93" s="83">
        <v>1</v>
      </c>
      <c r="B93" s="115"/>
      <c r="C93" s="115"/>
      <c r="D93" s="1507"/>
      <c r="E93" s="44" t="s">
        <v>666</v>
      </c>
      <c r="F93" s="40" t="s">
        <v>32</v>
      </c>
      <c r="G93" s="40" t="s">
        <v>740</v>
      </c>
      <c r="H93" s="37">
        <v>0</v>
      </c>
      <c r="I93" s="16">
        <v>124.3</v>
      </c>
      <c r="J93" s="116"/>
      <c r="K93" s="37">
        <v>0</v>
      </c>
      <c r="L93" s="37">
        <v>0</v>
      </c>
      <c r="M93" s="38"/>
      <c r="N93" s="117"/>
      <c r="O93" s="118"/>
      <c r="P93" s="119"/>
      <c r="Q93" s="120"/>
      <c r="R93" s="111"/>
      <c r="S93"/>
      <c r="T93"/>
      <c r="U93"/>
    </row>
    <row r="94" spans="1:21" s="1" customFormat="1" ht="11.25" customHeight="1" x14ac:dyDescent="0.2">
      <c r="A94" s="83">
        <v>1</v>
      </c>
      <c r="B94" s="115"/>
      <c r="C94" s="115"/>
      <c r="D94" s="1507"/>
      <c r="E94" s="44" t="s">
        <v>666</v>
      </c>
      <c r="F94" s="40" t="s">
        <v>32</v>
      </c>
      <c r="G94" s="121" t="s">
        <v>741</v>
      </c>
      <c r="H94" s="123">
        <f>SUM(H88:H93)</f>
        <v>1976.5</v>
      </c>
      <c r="I94" s="123">
        <f>SUM(I88:I93)</f>
        <v>2603.3000000000002</v>
      </c>
      <c r="J94" s="123">
        <f>SUM(J88:J93)</f>
        <v>2972.9</v>
      </c>
      <c r="K94" s="123">
        <f>SUM(K88:K93)</f>
        <v>3077.8</v>
      </c>
      <c r="L94" s="123">
        <f>SUM(L88:L93)</f>
        <v>3101.2</v>
      </c>
      <c r="M94" s="38"/>
      <c r="N94" s="117"/>
      <c r="O94" s="118"/>
      <c r="P94" s="119"/>
      <c r="Q94" s="120"/>
      <c r="R94" s="111"/>
      <c r="S94"/>
      <c r="T94"/>
      <c r="U94"/>
    </row>
    <row r="95" spans="1:21" s="1" customFormat="1" ht="11.25" customHeight="1" x14ac:dyDescent="0.2">
      <c r="A95" s="83">
        <v>1</v>
      </c>
      <c r="B95" s="115"/>
      <c r="C95" s="115" t="s">
        <v>762</v>
      </c>
      <c r="D95" s="1507" t="s">
        <v>763</v>
      </c>
      <c r="E95" s="44" t="s">
        <v>29</v>
      </c>
      <c r="F95" s="40" t="s">
        <v>35</v>
      </c>
      <c r="G95" s="40" t="s">
        <v>8</v>
      </c>
      <c r="H95" s="37">
        <f>843.8+4.6</f>
        <v>848.4</v>
      </c>
      <c r="I95" s="16">
        <v>1288.8</v>
      </c>
      <c r="J95" s="116">
        <f>1544.4+11.6</f>
        <v>1556</v>
      </c>
      <c r="K95" s="924">
        <v>1635.5</v>
      </c>
      <c r="L95" s="924">
        <v>1635.5</v>
      </c>
      <c r="M95" s="38"/>
      <c r="N95" s="117"/>
      <c r="O95" s="118"/>
      <c r="P95" s="119"/>
      <c r="Q95" s="120"/>
      <c r="R95" s="111"/>
      <c r="S95"/>
      <c r="T95"/>
      <c r="U95"/>
    </row>
    <row r="96" spans="1:21" s="1" customFormat="1" ht="11.25" customHeight="1" x14ac:dyDescent="0.2">
      <c r="A96" s="83">
        <v>1</v>
      </c>
      <c r="B96" s="115"/>
      <c r="C96" s="115"/>
      <c r="D96" s="1507"/>
      <c r="E96" s="44" t="s">
        <v>29</v>
      </c>
      <c r="F96" s="40" t="s">
        <v>35</v>
      </c>
      <c r="G96" s="40" t="s">
        <v>738</v>
      </c>
      <c r="H96" s="37">
        <v>1.2</v>
      </c>
      <c r="I96" s="16">
        <v>14.4</v>
      </c>
      <c r="J96" s="116"/>
      <c r="K96" s="37"/>
      <c r="L96" s="37"/>
      <c r="M96" s="38"/>
      <c r="N96" s="117"/>
      <c r="O96" s="118"/>
      <c r="P96" s="119"/>
      <c r="Q96" s="120"/>
      <c r="R96" s="111"/>
      <c r="S96"/>
      <c r="T96"/>
      <c r="U96"/>
    </row>
    <row r="97" spans="1:21" s="1" customFormat="1" ht="11.25" customHeight="1" x14ac:dyDescent="0.2">
      <c r="A97" s="83">
        <v>1</v>
      </c>
      <c r="B97" s="115"/>
      <c r="C97" s="115"/>
      <c r="D97" s="1507"/>
      <c r="E97" s="44" t="s">
        <v>29</v>
      </c>
      <c r="F97" s="40" t="s">
        <v>35</v>
      </c>
      <c r="G97" s="40" t="s">
        <v>714</v>
      </c>
      <c r="H97" s="37"/>
      <c r="I97" s="16">
        <v>33.1</v>
      </c>
      <c r="J97" s="116"/>
      <c r="K97" s="37"/>
      <c r="L97" s="37"/>
      <c r="M97" s="38"/>
      <c r="N97" s="117"/>
      <c r="O97" s="118"/>
      <c r="P97" s="119"/>
      <c r="Q97" s="120"/>
      <c r="R97" s="111"/>
      <c r="S97"/>
      <c r="T97"/>
      <c r="U97"/>
    </row>
    <row r="98" spans="1:21" s="1" customFormat="1" ht="11.25" customHeight="1" x14ac:dyDescent="0.2">
      <c r="A98" s="83">
        <v>1</v>
      </c>
      <c r="B98" s="115"/>
      <c r="C98" s="115"/>
      <c r="D98" s="1507"/>
      <c r="E98" s="44" t="s">
        <v>29</v>
      </c>
      <c r="F98" s="40" t="s">
        <v>35</v>
      </c>
      <c r="G98" s="40" t="s">
        <v>9</v>
      </c>
      <c r="H98" s="37">
        <f>678.9+9.2</f>
        <v>688.1</v>
      </c>
      <c r="I98" s="16">
        <v>927.3</v>
      </c>
      <c r="J98" s="116">
        <v>971.7</v>
      </c>
      <c r="K98" s="37">
        <v>1011.3</v>
      </c>
      <c r="L98" s="37">
        <v>1028.5999999999999</v>
      </c>
      <c r="M98" s="38" t="s">
        <v>739</v>
      </c>
      <c r="N98" s="117"/>
      <c r="O98" s="118"/>
      <c r="P98" s="119"/>
      <c r="Q98" s="120"/>
      <c r="R98" s="111"/>
      <c r="S98"/>
      <c r="T98"/>
      <c r="U98"/>
    </row>
    <row r="99" spans="1:21" s="1" customFormat="1" ht="11.25" customHeight="1" x14ac:dyDescent="0.2">
      <c r="A99" s="83">
        <v>1</v>
      </c>
      <c r="B99" s="115"/>
      <c r="C99" s="115"/>
      <c r="D99" s="1507"/>
      <c r="E99" s="44" t="s">
        <v>29</v>
      </c>
      <c r="F99" s="40" t="s">
        <v>35</v>
      </c>
      <c r="G99" s="40" t="s">
        <v>11</v>
      </c>
      <c r="H99" s="37">
        <v>0</v>
      </c>
      <c r="I99" s="16"/>
      <c r="J99" s="116">
        <f>18.1</f>
        <v>18.100000000000001</v>
      </c>
      <c r="K99" s="37"/>
      <c r="L99" s="37"/>
      <c r="M99" s="38"/>
      <c r="N99" s="117"/>
      <c r="O99" s="118"/>
      <c r="P99" s="119"/>
      <c r="Q99" s="120"/>
      <c r="R99" s="111"/>
      <c r="S99"/>
      <c r="T99"/>
      <c r="U99"/>
    </row>
    <row r="100" spans="1:21" s="1" customFormat="1" ht="11.25" customHeight="1" x14ac:dyDescent="0.2">
      <c r="A100" s="83">
        <v>1</v>
      </c>
      <c r="B100" s="115"/>
      <c r="C100" s="115"/>
      <c r="D100" s="1507"/>
      <c r="E100" s="44" t="s">
        <v>29</v>
      </c>
      <c r="F100" s="40" t="s">
        <v>35</v>
      </c>
      <c r="G100" s="40" t="s">
        <v>12</v>
      </c>
      <c r="H100" s="37">
        <v>52.8</v>
      </c>
      <c r="I100" s="16">
        <v>104.3</v>
      </c>
      <c r="J100" s="116">
        <v>123.8</v>
      </c>
      <c r="K100" s="37">
        <v>126.2</v>
      </c>
      <c r="L100" s="37">
        <v>126.4</v>
      </c>
      <c r="M100" s="38"/>
      <c r="N100" s="117"/>
      <c r="O100" s="118"/>
      <c r="P100" s="119"/>
      <c r="Q100" s="120"/>
      <c r="R100" s="111"/>
      <c r="S100"/>
      <c r="T100"/>
      <c r="U100"/>
    </row>
    <row r="101" spans="1:21" s="1" customFormat="1" ht="11.25" customHeight="1" x14ac:dyDescent="0.2">
      <c r="A101" s="83">
        <v>1</v>
      </c>
      <c r="B101" s="115"/>
      <c r="C101" s="115"/>
      <c r="D101" s="1507"/>
      <c r="E101" s="44" t="s">
        <v>29</v>
      </c>
      <c r="F101" s="40" t="s">
        <v>35</v>
      </c>
      <c r="G101" s="40" t="s">
        <v>740</v>
      </c>
      <c r="H101" s="37">
        <v>0</v>
      </c>
      <c r="I101" s="16">
        <v>0</v>
      </c>
      <c r="J101" s="116">
        <v>0</v>
      </c>
      <c r="K101" s="37">
        <v>0</v>
      </c>
      <c r="L101" s="37">
        <v>0</v>
      </c>
      <c r="M101" s="38"/>
      <c r="N101" s="117"/>
      <c r="O101" s="118"/>
      <c r="P101" s="119"/>
      <c r="Q101" s="120"/>
      <c r="R101" s="111"/>
      <c r="S101"/>
      <c r="T101"/>
      <c r="U101"/>
    </row>
    <row r="102" spans="1:21" s="1" customFormat="1" ht="11.25" customHeight="1" x14ac:dyDescent="0.2">
      <c r="A102" s="83">
        <v>1</v>
      </c>
      <c r="B102" s="115"/>
      <c r="C102" s="115"/>
      <c r="D102" s="1507"/>
      <c r="E102" s="44" t="s">
        <v>29</v>
      </c>
      <c r="F102" s="40" t="s">
        <v>35</v>
      </c>
      <c r="G102" s="121" t="s">
        <v>741</v>
      </c>
      <c r="H102" s="123">
        <f>SUM(H95:H101)</f>
        <v>1590.5</v>
      </c>
      <c r="I102" s="123">
        <f>SUM(I95:I101)</f>
        <v>2367.9</v>
      </c>
      <c r="J102" s="123">
        <f>SUM(J95:J101)</f>
        <v>2669.6</v>
      </c>
      <c r="K102" s="123">
        <f>SUM(K95:K101)</f>
        <v>2773</v>
      </c>
      <c r="L102" s="123">
        <f>SUM(L95:L101)</f>
        <v>2790.5</v>
      </c>
      <c r="M102" s="38"/>
      <c r="N102" s="117"/>
      <c r="O102" s="118"/>
      <c r="P102" s="119"/>
      <c r="Q102" s="120"/>
      <c r="R102" s="111"/>
      <c r="S102"/>
      <c r="T102"/>
      <c r="U102"/>
    </row>
    <row r="103" spans="1:21" s="1" customFormat="1" ht="11.25" customHeight="1" x14ac:dyDescent="0.2">
      <c r="A103" s="83">
        <v>1</v>
      </c>
      <c r="B103" s="115"/>
      <c r="C103" s="115" t="s">
        <v>764</v>
      </c>
      <c r="D103" s="1507" t="s">
        <v>765</v>
      </c>
      <c r="E103" s="44" t="s">
        <v>31</v>
      </c>
      <c r="F103" s="40" t="s">
        <v>37</v>
      </c>
      <c r="G103" s="40" t="s">
        <v>8</v>
      </c>
      <c r="H103" s="37">
        <v>1146</v>
      </c>
      <c r="I103" s="16">
        <v>1375.9</v>
      </c>
      <c r="J103" s="116">
        <f>1531.6-2.2+8.8</f>
        <v>1538.1999999999998</v>
      </c>
      <c r="K103" s="924">
        <v>1622</v>
      </c>
      <c r="L103" s="924">
        <v>1622</v>
      </c>
      <c r="M103" s="38"/>
      <c r="N103" s="117"/>
      <c r="O103" s="118"/>
      <c r="P103" s="119"/>
      <c r="Q103" s="120"/>
      <c r="R103" s="111"/>
      <c r="S103"/>
      <c r="T103"/>
      <c r="U103"/>
    </row>
    <row r="104" spans="1:21" s="1" customFormat="1" ht="11.25" customHeight="1" x14ac:dyDescent="0.2">
      <c r="A104" s="83">
        <v>1</v>
      </c>
      <c r="B104" s="115"/>
      <c r="C104" s="115"/>
      <c r="D104" s="1507"/>
      <c r="E104" s="44" t="s">
        <v>31</v>
      </c>
      <c r="F104" s="40" t="s">
        <v>37</v>
      </c>
      <c r="G104" s="40" t="s">
        <v>738</v>
      </c>
      <c r="H104" s="37">
        <v>4.9000000000000004</v>
      </c>
      <c r="I104" s="16">
        <v>9.4</v>
      </c>
      <c r="J104" s="116">
        <f>2.2</f>
        <v>2.2000000000000002</v>
      </c>
      <c r="K104" s="37"/>
      <c r="L104" s="37"/>
      <c r="M104" s="38"/>
      <c r="N104" s="117"/>
      <c r="O104" s="118"/>
      <c r="P104" s="119"/>
      <c r="Q104" s="120"/>
      <c r="R104" s="111"/>
      <c r="S104"/>
      <c r="T104"/>
      <c r="U104"/>
    </row>
    <row r="105" spans="1:21" s="1" customFormat="1" ht="11.25" customHeight="1" x14ac:dyDescent="0.2">
      <c r="A105" s="83">
        <v>1</v>
      </c>
      <c r="B105" s="115"/>
      <c r="C105" s="115"/>
      <c r="D105" s="1507"/>
      <c r="E105" s="44" t="s">
        <v>31</v>
      </c>
      <c r="F105" s="40" t="s">
        <v>37</v>
      </c>
      <c r="G105" s="40" t="s">
        <v>714</v>
      </c>
      <c r="H105" s="37"/>
      <c r="I105" s="16">
        <v>21.5</v>
      </c>
      <c r="J105" s="116"/>
      <c r="K105" s="37"/>
      <c r="L105" s="37"/>
      <c r="M105" s="38"/>
      <c r="N105" s="117"/>
      <c r="O105" s="118"/>
      <c r="P105" s="119"/>
      <c r="Q105" s="120"/>
      <c r="R105" s="111"/>
      <c r="S105"/>
      <c r="T105"/>
      <c r="U105"/>
    </row>
    <row r="106" spans="1:21" s="1" customFormat="1" ht="11.25" customHeight="1" x14ac:dyDescent="0.2">
      <c r="A106" s="83">
        <v>1</v>
      </c>
      <c r="B106" s="115"/>
      <c r="C106" s="115"/>
      <c r="D106" s="1507"/>
      <c r="E106" s="44" t="s">
        <v>31</v>
      </c>
      <c r="F106" s="40" t="s">
        <v>37</v>
      </c>
      <c r="G106" s="40" t="s">
        <v>9</v>
      </c>
      <c r="H106" s="37">
        <f>1225.9-24</f>
        <v>1201.9000000000001</v>
      </c>
      <c r="I106" s="16">
        <v>1164.9000000000001</v>
      </c>
      <c r="J106" s="116">
        <v>1255.4000000000001</v>
      </c>
      <c r="K106" s="37">
        <v>1306.5</v>
      </c>
      <c r="L106" s="37">
        <v>1326.5</v>
      </c>
      <c r="M106" s="38" t="s">
        <v>739</v>
      </c>
      <c r="N106" s="117"/>
      <c r="O106" s="118"/>
      <c r="P106" s="119"/>
      <c r="Q106" s="120"/>
      <c r="R106" s="111"/>
      <c r="S106"/>
      <c r="T106"/>
      <c r="U106"/>
    </row>
    <row r="107" spans="1:21" s="1" customFormat="1" ht="11.25" customHeight="1" x14ac:dyDescent="0.2">
      <c r="A107" s="83">
        <v>1</v>
      </c>
      <c r="B107" s="115"/>
      <c r="C107" s="115"/>
      <c r="D107" s="1507"/>
      <c r="E107" s="44" t="s">
        <v>31</v>
      </c>
      <c r="F107" s="40" t="s">
        <v>37</v>
      </c>
      <c r="G107" s="40" t="s">
        <v>11</v>
      </c>
      <c r="H107" s="37">
        <v>0</v>
      </c>
      <c r="I107" s="16"/>
      <c r="J107" s="116">
        <f>20.3</f>
        <v>20.3</v>
      </c>
      <c r="K107" s="37"/>
      <c r="L107" s="37"/>
      <c r="M107" s="38"/>
      <c r="N107" s="117"/>
      <c r="O107" s="118"/>
      <c r="P107" s="119"/>
      <c r="Q107" s="120"/>
      <c r="R107" s="111"/>
      <c r="S107"/>
      <c r="T107"/>
      <c r="U107"/>
    </row>
    <row r="108" spans="1:21" s="1" customFormat="1" ht="11.25" customHeight="1" x14ac:dyDescent="0.2">
      <c r="A108" s="83">
        <v>1</v>
      </c>
      <c r="B108" s="115"/>
      <c r="C108" s="115"/>
      <c r="D108" s="1507"/>
      <c r="E108" s="44" t="s">
        <v>31</v>
      </c>
      <c r="F108" s="40" t="s">
        <v>37</v>
      </c>
      <c r="G108" s="40" t="s">
        <v>12</v>
      </c>
      <c r="H108" s="37">
        <v>126.5</v>
      </c>
      <c r="I108" s="16">
        <v>124</v>
      </c>
      <c r="J108" s="116">
        <v>133.5</v>
      </c>
      <c r="K108" s="37">
        <v>133.5</v>
      </c>
      <c r="L108" s="37">
        <v>133.5</v>
      </c>
      <c r="M108" s="38"/>
      <c r="N108" s="117"/>
      <c r="O108" s="118"/>
      <c r="P108" s="119"/>
      <c r="Q108" s="120"/>
      <c r="R108" s="111"/>
      <c r="S108"/>
      <c r="T108"/>
      <c r="U108"/>
    </row>
    <row r="109" spans="1:21" s="1" customFormat="1" ht="11.25" customHeight="1" x14ac:dyDescent="0.2">
      <c r="A109" s="83">
        <v>1</v>
      </c>
      <c r="B109" s="115"/>
      <c r="C109" s="115"/>
      <c r="D109" s="1507"/>
      <c r="E109" s="44" t="s">
        <v>31</v>
      </c>
      <c r="F109" s="40" t="s">
        <v>37</v>
      </c>
      <c r="G109" s="40" t="s">
        <v>740</v>
      </c>
      <c r="H109" s="37">
        <v>0</v>
      </c>
      <c r="I109" s="16">
        <v>0</v>
      </c>
      <c r="J109" s="116">
        <v>0</v>
      </c>
      <c r="K109" s="37">
        <v>0</v>
      </c>
      <c r="L109" s="37">
        <v>0</v>
      </c>
      <c r="M109" s="38"/>
      <c r="N109" s="117"/>
      <c r="O109" s="118"/>
      <c r="P109" s="119"/>
      <c r="Q109" s="120"/>
      <c r="R109" s="111"/>
      <c r="S109"/>
      <c r="T109"/>
      <c r="U109"/>
    </row>
    <row r="110" spans="1:21" s="1" customFormat="1" ht="11.25" customHeight="1" x14ac:dyDescent="0.2">
      <c r="A110" s="83">
        <v>1</v>
      </c>
      <c r="B110" s="115"/>
      <c r="C110" s="115"/>
      <c r="D110" s="1507"/>
      <c r="E110" s="44" t="s">
        <v>31</v>
      </c>
      <c r="F110" s="40" t="s">
        <v>37</v>
      </c>
      <c r="G110" s="121" t="s">
        <v>741</v>
      </c>
      <c r="H110" s="123">
        <f>SUM(H103:H109)</f>
        <v>2479.3000000000002</v>
      </c>
      <c r="I110" s="123">
        <f>SUM(I103:I109)</f>
        <v>2695.7000000000003</v>
      </c>
      <c r="J110" s="123">
        <f>SUM(J103:J109)</f>
        <v>2949.6000000000004</v>
      </c>
      <c r="K110" s="123">
        <f>SUM(K103:K109)</f>
        <v>3062</v>
      </c>
      <c r="L110" s="123">
        <f>SUM(L103:L109)</f>
        <v>3082</v>
      </c>
      <c r="M110" s="38"/>
      <c r="N110" s="117"/>
      <c r="O110" s="118"/>
      <c r="P110" s="119"/>
      <c r="Q110" s="120"/>
      <c r="R110" s="111"/>
      <c r="S110"/>
      <c r="T110"/>
      <c r="U110"/>
    </row>
    <row r="111" spans="1:21" s="1" customFormat="1" ht="11.25" customHeight="1" x14ac:dyDescent="0.2">
      <c r="A111" s="83">
        <v>1</v>
      </c>
      <c r="B111" s="115"/>
      <c r="C111" s="115" t="s">
        <v>766</v>
      </c>
      <c r="D111" s="1507" t="s">
        <v>767</v>
      </c>
      <c r="E111" s="67" t="s">
        <v>33</v>
      </c>
      <c r="F111" s="40" t="s">
        <v>39</v>
      </c>
      <c r="G111" s="40" t="s">
        <v>8</v>
      </c>
      <c r="H111" s="37">
        <v>485.5</v>
      </c>
      <c r="I111" s="16">
        <v>668.5</v>
      </c>
      <c r="J111" s="116">
        <v>764.8</v>
      </c>
      <c r="K111" s="925">
        <v>809.9</v>
      </c>
      <c r="L111" s="925">
        <v>809.9</v>
      </c>
      <c r="M111" s="38"/>
      <c r="N111" s="117"/>
      <c r="O111" s="118"/>
      <c r="P111" s="119"/>
      <c r="Q111" s="120"/>
      <c r="R111" s="111"/>
      <c r="S111"/>
      <c r="T111"/>
      <c r="U111"/>
    </row>
    <row r="112" spans="1:21" s="1" customFormat="1" ht="11.25" customHeight="1" x14ac:dyDescent="0.2">
      <c r="A112" s="83">
        <v>1</v>
      </c>
      <c r="B112" s="115"/>
      <c r="C112" s="115"/>
      <c r="D112" s="1507"/>
      <c r="E112" s="67" t="s">
        <v>33</v>
      </c>
      <c r="F112" s="40" t="s">
        <v>39</v>
      </c>
      <c r="G112" s="40" t="s">
        <v>738</v>
      </c>
      <c r="H112" s="37">
        <v>3.5</v>
      </c>
      <c r="I112" s="16">
        <v>5.0999999999999996</v>
      </c>
      <c r="J112" s="116"/>
      <c r="K112" s="37"/>
      <c r="L112" s="37"/>
      <c r="M112" s="38"/>
      <c r="N112" s="117"/>
      <c r="O112" s="118"/>
      <c r="P112" s="119"/>
      <c r="Q112" s="120"/>
      <c r="R112" s="111"/>
      <c r="S112"/>
      <c r="T112"/>
      <c r="U112"/>
    </row>
    <row r="113" spans="1:21" s="1" customFormat="1" ht="11.25" customHeight="1" x14ac:dyDescent="0.2">
      <c r="A113" s="83">
        <v>1</v>
      </c>
      <c r="B113" s="115"/>
      <c r="C113" s="115"/>
      <c r="D113" s="1507"/>
      <c r="E113" s="67" t="s">
        <v>33</v>
      </c>
      <c r="F113" s="40" t="s">
        <v>39</v>
      </c>
      <c r="G113" s="40" t="s">
        <v>714</v>
      </c>
      <c r="H113" s="37"/>
      <c r="I113" s="16">
        <v>11.7</v>
      </c>
      <c r="J113" s="116"/>
      <c r="K113" s="37"/>
      <c r="L113" s="37"/>
      <c r="M113" s="38"/>
      <c r="N113" s="117"/>
      <c r="O113" s="118"/>
      <c r="P113" s="119"/>
      <c r="Q113" s="120"/>
      <c r="R113" s="111"/>
      <c r="S113"/>
      <c r="T113"/>
      <c r="U113"/>
    </row>
    <row r="114" spans="1:21" s="1" customFormat="1" ht="11.25" customHeight="1" x14ac:dyDescent="0.2">
      <c r="A114" s="83">
        <v>1</v>
      </c>
      <c r="B114" s="115"/>
      <c r="C114" s="115"/>
      <c r="D114" s="1507"/>
      <c r="E114" s="67" t="s">
        <v>33</v>
      </c>
      <c r="F114" s="40" t="s">
        <v>39</v>
      </c>
      <c r="G114" s="40" t="s">
        <v>9</v>
      </c>
      <c r="H114" s="37">
        <v>1040</v>
      </c>
      <c r="I114" s="16">
        <v>1215</v>
      </c>
      <c r="J114" s="116">
        <v>1161.9000000000001</v>
      </c>
      <c r="K114" s="16">
        <v>1228.5999999999999</v>
      </c>
      <c r="L114" s="16">
        <v>1249.8</v>
      </c>
      <c r="M114" s="38" t="s">
        <v>739</v>
      </c>
      <c r="N114" s="117"/>
      <c r="O114" s="118"/>
      <c r="P114" s="119"/>
      <c r="Q114" s="120"/>
      <c r="R114" s="111"/>
      <c r="S114"/>
      <c r="T114"/>
      <c r="U114"/>
    </row>
    <row r="115" spans="1:21" s="1" customFormat="1" ht="11.25" customHeight="1" x14ac:dyDescent="0.2">
      <c r="A115" s="83">
        <v>1</v>
      </c>
      <c r="B115" s="115"/>
      <c r="C115" s="115"/>
      <c r="D115" s="1507"/>
      <c r="E115" s="67" t="s">
        <v>33</v>
      </c>
      <c r="F115" s="40" t="s">
        <v>39</v>
      </c>
      <c r="G115" s="40" t="s">
        <v>11</v>
      </c>
      <c r="H115" s="37">
        <v>0</v>
      </c>
      <c r="I115" s="16"/>
      <c r="J115" s="116">
        <f>34</f>
        <v>34</v>
      </c>
      <c r="K115" s="37"/>
      <c r="L115" s="37"/>
      <c r="M115" s="38"/>
      <c r="N115" s="117"/>
      <c r="O115" s="118"/>
      <c r="P115" s="119"/>
      <c r="Q115" s="120"/>
      <c r="R115" s="111"/>
      <c r="S115"/>
      <c r="T115"/>
      <c r="U115"/>
    </row>
    <row r="116" spans="1:21" s="1" customFormat="1" ht="11.25" customHeight="1" x14ac:dyDescent="0.2">
      <c r="A116" s="83">
        <v>1</v>
      </c>
      <c r="B116" s="115"/>
      <c r="C116" s="115"/>
      <c r="D116" s="1507"/>
      <c r="E116" s="67" t="s">
        <v>33</v>
      </c>
      <c r="F116" s="40" t="s">
        <v>39</v>
      </c>
      <c r="G116" s="40" t="s">
        <v>12</v>
      </c>
      <c r="H116" s="37">
        <f>111.2+16</f>
        <v>127.2</v>
      </c>
      <c r="I116" s="16">
        <v>126.6</v>
      </c>
      <c r="J116" s="116">
        <v>127.3</v>
      </c>
      <c r="K116" s="16">
        <v>128.1</v>
      </c>
      <c r="L116" s="16">
        <v>128.5</v>
      </c>
      <c r="M116" s="38"/>
      <c r="N116" s="117"/>
      <c r="O116" s="118"/>
      <c r="P116" s="119"/>
      <c r="Q116" s="120"/>
      <c r="R116" s="111"/>
      <c r="S116"/>
      <c r="T116"/>
      <c r="U116"/>
    </row>
    <row r="117" spans="1:21" s="1" customFormat="1" ht="11.25" customHeight="1" x14ac:dyDescent="0.2">
      <c r="A117" s="83">
        <v>1</v>
      </c>
      <c r="B117" s="115"/>
      <c r="C117" s="115"/>
      <c r="D117" s="1507"/>
      <c r="E117" s="67" t="s">
        <v>33</v>
      </c>
      <c r="F117" s="40" t="s">
        <v>39</v>
      </c>
      <c r="G117" s="40" t="s">
        <v>740</v>
      </c>
      <c r="H117" s="37">
        <f>0.5+0.2+0.4</f>
        <v>1.1000000000000001</v>
      </c>
      <c r="I117" s="16">
        <v>0.7</v>
      </c>
      <c r="J117" s="116">
        <v>0</v>
      </c>
      <c r="K117" s="37">
        <v>0</v>
      </c>
      <c r="L117" s="37">
        <v>0</v>
      </c>
      <c r="M117" s="38"/>
      <c r="N117" s="117"/>
      <c r="O117" s="118"/>
      <c r="P117" s="119"/>
      <c r="Q117" s="120"/>
      <c r="R117" s="111"/>
      <c r="S117"/>
      <c r="T117"/>
      <c r="U117"/>
    </row>
    <row r="118" spans="1:21" s="1" customFormat="1" ht="11.25" customHeight="1" x14ac:dyDescent="0.2">
      <c r="A118" s="83">
        <v>1</v>
      </c>
      <c r="B118" s="115"/>
      <c r="C118" s="115"/>
      <c r="D118" s="1507"/>
      <c r="E118" s="67" t="s">
        <v>33</v>
      </c>
      <c r="F118" s="40" t="s">
        <v>39</v>
      </c>
      <c r="G118" s="121" t="s">
        <v>741</v>
      </c>
      <c r="H118" s="123">
        <f>SUM(H111:H117)</f>
        <v>1657.3</v>
      </c>
      <c r="I118" s="123">
        <f>SUM(I111:I117)</f>
        <v>2027.6000000000001</v>
      </c>
      <c r="J118" s="123">
        <f>SUM(J111:J117)</f>
        <v>2088</v>
      </c>
      <c r="K118" s="123">
        <f>SUM(K111:K117)</f>
        <v>2166.6</v>
      </c>
      <c r="L118" s="123">
        <f>SUM(L111:L117)</f>
        <v>2188.1999999999998</v>
      </c>
      <c r="M118" s="38"/>
      <c r="N118" s="117"/>
      <c r="O118" s="118"/>
      <c r="P118" s="119"/>
      <c r="Q118" s="120"/>
      <c r="R118" s="111"/>
      <c r="S118"/>
      <c r="T118"/>
      <c r="U118"/>
    </row>
    <row r="119" spans="1:21" s="1" customFormat="1" ht="11.25" customHeight="1" x14ac:dyDescent="0.2">
      <c r="A119" s="83">
        <v>1</v>
      </c>
      <c r="B119" s="115"/>
      <c r="C119" s="115" t="s">
        <v>768</v>
      </c>
      <c r="D119" s="1507" t="s">
        <v>769</v>
      </c>
      <c r="E119" s="67" t="s">
        <v>671</v>
      </c>
      <c r="F119" s="40" t="s">
        <v>41</v>
      </c>
      <c r="G119" s="40" t="s">
        <v>8</v>
      </c>
      <c r="H119" s="37">
        <v>525.70000000000005</v>
      </c>
      <c r="I119" s="16">
        <v>591.20000000000005</v>
      </c>
      <c r="J119" s="116">
        <f>677.1-6.5</f>
        <v>670.6</v>
      </c>
      <c r="K119" s="926">
        <v>717</v>
      </c>
      <c r="L119" s="926">
        <v>717</v>
      </c>
      <c r="M119" s="38"/>
      <c r="N119" s="117"/>
      <c r="O119" s="118"/>
      <c r="P119" s="119"/>
      <c r="Q119" s="120"/>
      <c r="R119" s="111"/>
      <c r="S119"/>
      <c r="T119"/>
      <c r="U119"/>
    </row>
    <row r="120" spans="1:21" s="1" customFormat="1" ht="11.25" customHeight="1" x14ac:dyDescent="0.2">
      <c r="A120" s="83">
        <v>1</v>
      </c>
      <c r="B120" s="115"/>
      <c r="C120" s="115"/>
      <c r="D120" s="1507"/>
      <c r="E120" s="67" t="s">
        <v>671</v>
      </c>
      <c r="F120" s="40" t="s">
        <v>41</v>
      </c>
      <c r="G120" s="40" t="s">
        <v>738</v>
      </c>
      <c r="H120" s="37">
        <v>2.4</v>
      </c>
      <c r="I120" s="16">
        <v>4.5</v>
      </c>
      <c r="J120" s="116">
        <f>6.5</f>
        <v>6.5</v>
      </c>
      <c r="K120" s="37"/>
      <c r="L120" s="37"/>
      <c r="M120" s="38"/>
      <c r="N120" s="117"/>
      <c r="O120" s="118"/>
      <c r="P120" s="119"/>
      <c r="Q120" s="120"/>
      <c r="R120" s="111"/>
      <c r="S120"/>
      <c r="T120"/>
      <c r="U120"/>
    </row>
    <row r="121" spans="1:21" s="1" customFormat="1" ht="11.25" customHeight="1" x14ac:dyDescent="0.2">
      <c r="A121" s="83">
        <v>1</v>
      </c>
      <c r="B121" s="115"/>
      <c r="C121" s="115"/>
      <c r="D121" s="1507"/>
      <c r="E121" s="67" t="s">
        <v>671</v>
      </c>
      <c r="F121" s="40" t="s">
        <v>41</v>
      </c>
      <c r="G121" s="40" t="s">
        <v>714</v>
      </c>
      <c r="H121" s="37"/>
      <c r="I121" s="16">
        <v>10.3</v>
      </c>
      <c r="J121" s="116"/>
      <c r="K121" s="37"/>
      <c r="L121" s="37"/>
      <c r="M121" s="38"/>
      <c r="N121" s="117"/>
      <c r="O121" s="118"/>
      <c r="P121" s="119"/>
      <c r="Q121" s="120"/>
      <c r="R121" s="111"/>
      <c r="S121"/>
      <c r="T121"/>
      <c r="U121"/>
    </row>
    <row r="122" spans="1:21" s="1" customFormat="1" ht="11.25" customHeight="1" x14ac:dyDescent="0.2">
      <c r="A122" s="83">
        <v>1</v>
      </c>
      <c r="B122" s="115"/>
      <c r="C122" s="115"/>
      <c r="D122" s="1507"/>
      <c r="E122" s="67" t="s">
        <v>671</v>
      </c>
      <c r="F122" s="40" t="s">
        <v>41</v>
      </c>
      <c r="G122" s="69" t="s">
        <v>9</v>
      </c>
      <c r="H122" s="37">
        <f>883.1-5.9</f>
        <v>877.2</v>
      </c>
      <c r="I122" s="16">
        <v>1218.2</v>
      </c>
      <c r="J122" s="116">
        <v>1162</v>
      </c>
      <c r="K122" s="16">
        <v>1232.3</v>
      </c>
      <c r="L122" s="16">
        <v>1257.2</v>
      </c>
      <c r="M122" s="38" t="s">
        <v>739</v>
      </c>
      <c r="N122" s="117"/>
      <c r="O122" s="118"/>
      <c r="P122" s="119"/>
      <c r="Q122" s="120"/>
      <c r="R122" s="111"/>
      <c r="S122"/>
      <c r="T122"/>
      <c r="U122"/>
    </row>
    <row r="123" spans="1:21" s="1" customFormat="1" ht="11.25" customHeight="1" x14ac:dyDescent="0.2">
      <c r="A123" s="83">
        <v>1</v>
      </c>
      <c r="B123" s="115"/>
      <c r="C123" s="115"/>
      <c r="D123" s="1507"/>
      <c r="E123" s="67" t="s">
        <v>671</v>
      </c>
      <c r="F123" s="40" t="s">
        <v>41</v>
      </c>
      <c r="G123" s="40" t="s">
        <v>11</v>
      </c>
      <c r="H123" s="37">
        <v>0</v>
      </c>
      <c r="I123" s="16"/>
      <c r="J123" s="116">
        <f>30</f>
        <v>30</v>
      </c>
      <c r="K123" s="16"/>
      <c r="L123" s="16"/>
      <c r="M123" s="38"/>
      <c r="N123" s="117"/>
      <c r="O123" s="118"/>
      <c r="P123" s="119"/>
      <c r="Q123" s="120"/>
      <c r="R123" s="111"/>
      <c r="S123"/>
      <c r="T123"/>
      <c r="U123"/>
    </row>
    <row r="124" spans="1:21" s="1" customFormat="1" ht="11.25" customHeight="1" x14ac:dyDescent="0.2">
      <c r="A124" s="83">
        <v>1</v>
      </c>
      <c r="B124" s="115"/>
      <c r="C124" s="115"/>
      <c r="D124" s="1507"/>
      <c r="E124" s="67" t="s">
        <v>671</v>
      </c>
      <c r="F124" s="40" t="s">
        <v>41</v>
      </c>
      <c r="G124" s="40" t="s">
        <v>12</v>
      </c>
      <c r="H124" s="37">
        <v>116.9</v>
      </c>
      <c r="I124" s="16">
        <v>131</v>
      </c>
      <c r="J124" s="116">
        <v>145.6</v>
      </c>
      <c r="K124" s="16">
        <v>145.6</v>
      </c>
      <c r="L124" s="16">
        <v>145.6</v>
      </c>
      <c r="M124" s="38"/>
      <c r="N124" s="117"/>
      <c r="O124" s="118"/>
      <c r="P124" s="119"/>
      <c r="Q124" s="120"/>
      <c r="R124" s="111"/>
      <c r="S124"/>
      <c r="T124"/>
      <c r="U124"/>
    </row>
    <row r="125" spans="1:21" s="1" customFormat="1" ht="11.25" customHeight="1" x14ac:dyDescent="0.2">
      <c r="A125" s="83">
        <v>1</v>
      </c>
      <c r="B125" s="115"/>
      <c r="C125" s="115"/>
      <c r="D125" s="1507"/>
      <c r="E125" s="67" t="s">
        <v>671</v>
      </c>
      <c r="F125" s="40" t="s">
        <v>41</v>
      </c>
      <c r="G125" s="40" t="s">
        <v>740</v>
      </c>
      <c r="H125" s="37">
        <f>0.8+0.8+2.6</f>
        <v>4.2</v>
      </c>
      <c r="I125" s="16">
        <v>2.2000000000000002</v>
      </c>
      <c r="J125" s="116">
        <v>0</v>
      </c>
      <c r="K125" s="37">
        <v>0</v>
      </c>
      <c r="L125" s="37">
        <v>0</v>
      </c>
      <c r="M125" s="38"/>
      <c r="N125" s="117"/>
      <c r="O125" s="118"/>
      <c r="P125" s="119"/>
      <c r="Q125" s="120"/>
      <c r="R125" s="111"/>
      <c r="S125"/>
      <c r="T125"/>
      <c r="U125"/>
    </row>
    <row r="126" spans="1:21" s="1" customFormat="1" ht="11.25" customHeight="1" x14ac:dyDescent="0.2">
      <c r="A126" s="83">
        <v>1</v>
      </c>
      <c r="B126" s="115"/>
      <c r="C126" s="115"/>
      <c r="D126" s="1507"/>
      <c r="E126" s="67" t="s">
        <v>671</v>
      </c>
      <c r="F126" s="40" t="s">
        <v>41</v>
      </c>
      <c r="G126" s="121" t="s">
        <v>741</v>
      </c>
      <c r="H126" s="123">
        <f>SUM(H119:H125)</f>
        <v>1526.4000000000003</v>
      </c>
      <c r="I126" s="123">
        <f>SUM(I119:I125)</f>
        <v>1957.4</v>
      </c>
      <c r="J126" s="123">
        <f>SUM(J119:J125)</f>
        <v>2014.6999999999998</v>
      </c>
      <c r="K126" s="123">
        <f>SUM(K119:K125)</f>
        <v>2094.9</v>
      </c>
      <c r="L126" s="123">
        <f>SUM(L119:L125)</f>
        <v>2119.8000000000002</v>
      </c>
      <c r="M126" s="38"/>
      <c r="N126" s="117"/>
      <c r="O126" s="118"/>
      <c r="P126" s="119"/>
      <c r="Q126" s="120"/>
      <c r="R126" s="111"/>
      <c r="S126"/>
      <c r="T126"/>
      <c r="U126"/>
    </row>
    <row r="127" spans="1:21" s="1" customFormat="1" ht="11.25" customHeight="1" x14ac:dyDescent="0.2">
      <c r="A127" s="83">
        <v>1</v>
      </c>
      <c r="B127" s="115"/>
      <c r="C127" s="115" t="s">
        <v>770</v>
      </c>
      <c r="D127" s="1507" t="s">
        <v>771</v>
      </c>
      <c r="E127" s="67" t="s">
        <v>34</v>
      </c>
      <c r="F127" s="40" t="s">
        <v>43</v>
      </c>
      <c r="G127" s="40" t="s">
        <v>8</v>
      </c>
      <c r="H127" s="37">
        <v>482.3</v>
      </c>
      <c r="I127" s="16">
        <v>560.1</v>
      </c>
      <c r="J127" s="116">
        <f>663.3-13.1</f>
        <v>650.19999999999993</v>
      </c>
      <c r="K127" s="925">
        <v>702.4</v>
      </c>
      <c r="L127" s="925">
        <v>702.4</v>
      </c>
      <c r="M127" s="38"/>
      <c r="N127" s="117"/>
      <c r="O127" s="118"/>
      <c r="P127" s="119"/>
      <c r="Q127" s="120"/>
      <c r="R127" s="111"/>
      <c r="S127"/>
      <c r="T127"/>
      <c r="U127"/>
    </row>
    <row r="128" spans="1:21" s="1" customFormat="1" ht="11.25" customHeight="1" x14ac:dyDescent="0.2">
      <c r="A128" s="83">
        <v>1</v>
      </c>
      <c r="B128" s="115"/>
      <c r="C128" s="115"/>
      <c r="D128" s="1507"/>
      <c r="E128" s="67" t="s">
        <v>34</v>
      </c>
      <c r="F128" s="40" t="s">
        <v>43</v>
      </c>
      <c r="G128" s="40" t="s">
        <v>738</v>
      </c>
      <c r="H128" s="37">
        <v>9.5</v>
      </c>
      <c r="I128" s="16">
        <v>5.7</v>
      </c>
      <c r="J128" s="116">
        <f>13.1</f>
        <v>13.1</v>
      </c>
      <c r="K128" s="37"/>
      <c r="L128" s="37"/>
      <c r="M128" s="38"/>
      <c r="N128" s="117"/>
      <c r="O128" s="118"/>
      <c r="P128" s="119"/>
      <c r="Q128" s="120"/>
      <c r="R128" s="111"/>
      <c r="S128"/>
      <c r="T128"/>
      <c r="U128"/>
    </row>
    <row r="129" spans="1:21" s="1" customFormat="1" ht="11.25" customHeight="1" x14ac:dyDescent="0.2">
      <c r="A129" s="83">
        <v>1</v>
      </c>
      <c r="B129" s="115"/>
      <c r="C129" s="115"/>
      <c r="D129" s="1507"/>
      <c r="E129" s="67" t="s">
        <v>34</v>
      </c>
      <c r="F129" s="40" t="s">
        <v>43</v>
      </c>
      <c r="G129" s="40" t="s">
        <v>714</v>
      </c>
      <c r="H129" s="37"/>
      <c r="I129" s="16">
        <v>12.9</v>
      </c>
      <c r="J129" s="116"/>
      <c r="K129" s="37"/>
      <c r="L129" s="37"/>
      <c r="M129" s="38"/>
      <c r="N129" s="117"/>
      <c r="O129" s="118"/>
      <c r="P129" s="119"/>
      <c r="Q129" s="120"/>
      <c r="R129" s="111"/>
      <c r="S129"/>
      <c r="T129"/>
      <c r="U129"/>
    </row>
    <row r="130" spans="1:21" s="1" customFormat="1" ht="11.25" customHeight="1" x14ac:dyDescent="0.2">
      <c r="A130" s="83">
        <v>1</v>
      </c>
      <c r="B130" s="115"/>
      <c r="C130" s="115"/>
      <c r="D130" s="1507"/>
      <c r="E130" s="67" t="s">
        <v>34</v>
      </c>
      <c r="F130" s="40" t="s">
        <v>43</v>
      </c>
      <c r="G130" s="69" t="s">
        <v>9</v>
      </c>
      <c r="H130" s="37">
        <f>782.5-3</f>
        <v>779.5</v>
      </c>
      <c r="I130" s="16">
        <v>848</v>
      </c>
      <c r="J130" s="116">
        <v>930.2</v>
      </c>
      <c r="K130" s="16">
        <v>987.5</v>
      </c>
      <c r="L130" s="16">
        <v>1007.3</v>
      </c>
      <c r="M130" s="38" t="s">
        <v>739</v>
      </c>
      <c r="N130" s="117"/>
      <c r="O130" s="118"/>
      <c r="P130" s="119"/>
      <c r="Q130" s="120"/>
      <c r="R130" s="111"/>
      <c r="S130"/>
      <c r="T130"/>
      <c r="U130"/>
    </row>
    <row r="131" spans="1:21" s="1" customFormat="1" ht="11.25" customHeight="1" x14ac:dyDescent="0.2">
      <c r="A131" s="83">
        <v>1</v>
      </c>
      <c r="B131" s="115"/>
      <c r="C131" s="115"/>
      <c r="D131" s="1507"/>
      <c r="E131" s="67" t="s">
        <v>34</v>
      </c>
      <c r="F131" s="40" t="s">
        <v>43</v>
      </c>
      <c r="G131" s="40" t="s">
        <v>11</v>
      </c>
      <c r="H131" s="37">
        <v>0</v>
      </c>
      <c r="I131" s="16"/>
      <c r="J131" s="116">
        <f>30</f>
        <v>30</v>
      </c>
      <c r="K131" s="16"/>
      <c r="L131" s="16"/>
      <c r="M131" s="38"/>
      <c r="N131" s="117"/>
      <c r="O131" s="118"/>
      <c r="P131" s="119"/>
      <c r="Q131" s="120"/>
      <c r="R131" s="111"/>
      <c r="S131"/>
      <c r="T131"/>
      <c r="U131"/>
    </row>
    <row r="132" spans="1:21" s="1" customFormat="1" ht="11.25" customHeight="1" x14ac:dyDescent="0.2">
      <c r="A132" s="83">
        <v>1</v>
      </c>
      <c r="B132" s="115"/>
      <c r="C132" s="115"/>
      <c r="D132" s="1507"/>
      <c r="E132" s="67" t="s">
        <v>34</v>
      </c>
      <c r="F132" s="40" t="s">
        <v>43</v>
      </c>
      <c r="G132" s="40" t="s">
        <v>12</v>
      </c>
      <c r="H132" s="37">
        <v>80.5</v>
      </c>
      <c r="I132" s="16">
        <v>27.9</v>
      </c>
      <c r="J132" s="116">
        <v>114.9</v>
      </c>
      <c r="K132" s="16">
        <v>114.9</v>
      </c>
      <c r="L132" s="16">
        <v>114.9</v>
      </c>
      <c r="M132" s="38"/>
      <c r="N132" s="117"/>
      <c r="O132" s="118"/>
      <c r="P132" s="119"/>
      <c r="Q132" s="120"/>
      <c r="R132" s="111"/>
      <c r="S132"/>
      <c r="T132"/>
      <c r="U132"/>
    </row>
    <row r="133" spans="1:21" s="1" customFormat="1" ht="11.25" customHeight="1" x14ac:dyDescent="0.2">
      <c r="A133" s="83">
        <v>1</v>
      </c>
      <c r="B133" s="115"/>
      <c r="C133" s="115"/>
      <c r="D133" s="1507"/>
      <c r="E133" s="67" t="s">
        <v>34</v>
      </c>
      <c r="F133" s="40" t="s">
        <v>43</v>
      </c>
      <c r="G133" s="40" t="s">
        <v>740</v>
      </c>
      <c r="H133" s="37">
        <f>1.4+1.4+3.8</f>
        <v>6.6</v>
      </c>
      <c r="I133" s="16">
        <v>6.5</v>
      </c>
      <c r="J133" s="116">
        <v>0</v>
      </c>
      <c r="K133" s="37"/>
      <c r="L133" s="37"/>
      <c r="M133" s="38"/>
      <c r="N133" s="117"/>
      <c r="O133" s="118"/>
      <c r="P133" s="119"/>
      <c r="Q133" s="120"/>
      <c r="R133" s="111"/>
      <c r="S133"/>
      <c r="T133"/>
      <c r="U133"/>
    </row>
    <row r="134" spans="1:21" s="1" customFormat="1" ht="11.25" customHeight="1" x14ac:dyDescent="0.2">
      <c r="A134" s="83">
        <v>1</v>
      </c>
      <c r="B134" s="115"/>
      <c r="C134" s="115"/>
      <c r="D134" s="1507"/>
      <c r="E134" s="67" t="s">
        <v>34</v>
      </c>
      <c r="F134" s="40" t="s">
        <v>43</v>
      </c>
      <c r="G134" s="121" t="s">
        <v>741</v>
      </c>
      <c r="H134" s="123">
        <f>SUM(H127:H133)</f>
        <v>1358.3999999999999</v>
      </c>
      <c r="I134" s="123">
        <f>SUM(I127:I133)</f>
        <v>1461.1000000000001</v>
      </c>
      <c r="J134" s="123">
        <f>SUM(J127:J133)</f>
        <v>1738.4</v>
      </c>
      <c r="K134" s="123">
        <f>SUM(K127:K133)</f>
        <v>1804.8000000000002</v>
      </c>
      <c r="L134" s="123">
        <f>SUM(L127:L133)</f>
        <v>1824.6</v>
      </c>
      <c r="M134" s="38"/>
      <c r="N134" s="117"/>
      <c r="O134" s="118"/>
      <c r="P134" s="119"/>
      <c r="Q134" s="120"/>
      <c r="R134" s="111"/>
      <c r="S134"/>
      <c r="T134"/>
      <c r="U134"/>
    </row>
    <row r="135" spans="1:21" s="1" customFormat="1" ht="11.25" customHeight="1" x14ac:dyDescent="0.2">
      <c r="A135" s="83">
        <v>1</v>
      </c>
      <c r="B135" s="115"/>
      <c r="C135" s="115" t="s">
        <v>772</v>
      </c>
      <c r="D135" s="1507" t="s">
        <v>773</v>
      </c>
      <c r="E135" s="67" t="s">
        <v>90</v>
      </c>
      <c r="F135" s="40" t="s">
        <v>45</v>
      </c>
      <c r="G135" s="40" t="s">
        <v>8</v>
      </c>
      <c r="H135" s="37">
        <v>536.6</v>
      </c>
      <c r="I135" s="16">
        <v>619.1</v>
      </c>
      <c r="J135" s="116">
        <f>662.1-4.4+5.4+6.7</f>
        <v>669.80000000000007</v>
      </c>
      <c r="K135" s="925">
        <v>701.2</v>
      </c>
      <c r="L135" s="925">
        <v>701.2</v>
      </c>
      <c r="M135" s="38"/>
      <c r="N135" s="117"/>
      <c r="O135" s="118"/>
      <c r="P135" s="119"/>
      <c r="Q135" s="120"/>
      <c r="R135" s="111"/>
      <c r="S135"/>
      <c r="T135"/>
      <c r="U135"/>
    </row>
    <row r="136" spans="1:21" s="1" customFormat="1" ht="11.25" customHeight="1" x14ac:dyDescent="0.2">
      <c r="A136" s="83">
        <v>1</v>
      </c>
      <c r="B136" s="115"/>
      <c r="C136" s="115"/>
      <c r="D136" s="1507"/>
      <c r="E136" s="67" t="s">
        <v>90</v>
      </c>
      <c r="F136" s="40" t="s">
        <v>45</v>
      </c>
      <c r="G136" s="69" t="s">
        <v>738</v>
      </c>
      <c r="H136" s="37"/>
      <c r="I136" s="16"/>
      <c r="J136" s="116">
        <f>4.4</f>
        <v>4.4000000000000004</v>
      </c>
      <c r="K136" s="925"/>
      <c r="L136" s="925"/>
      <c r="M136" s="38"/>
      <c r="N136" s="117"/>
      <c r="O136" s="118"/>
      <c r="P136" s="119"/>
      <c r="Q136" s="120"/>
      <c r="R136" s="111"/>
      <c r="S136"/>
      <c r="T136"/>
      <c r="U136"/>
    </row>
    <row r="137" spans="1:21" s="1" customFormat="1" ht="11.25" customHeight="1" x14ac:dyDescent="0.2">
      <c r="A137" s="83">
        <v>1</v>
      </c>
      <c r="B137" s="115"/>
      <c r="C137" s="115"/>
      <c r="D137" s="1507"/>
      <c r="E137" s="67" t="s">
        <v>90</v>
      </c>
      <c r="F137" s="40" t="s">
        <v>45</v>
      </c>
      <c r="G137" s="40" t="s">
        <v>714</v>
      </c>
      <c r="H137" s="37"/>
      <c r="I137" s="16">
        <v>6.1</v>
      </c>
      <c r="J137" s="116"/>
      <c r="K137" s="866"/>
      <c r="L137" s="866"/>
      <c r="M137" s="38"/>
      <c r="N137" s="117"/>
      <c r="O137" s="118"/>
      <c r="P137" s="119"/>
      <c r="Q137" s="120"/>
      <c r="R137" s="111"/>
      <c r="S137"/>
      <c r="T137"/>
      <c r="U137"/>
    </row>
    <row r="138" spans="1:21" s="1" customFormat="1" ht="11.25" customHeight="1" x14ac:dyDescent="0.2">
      <c r="A138" s="83">
        <v>1</v>
      </c>
      <c r="B138" s="115"/>
      <c r="C138" s="115"/>
      <c r="D138" s="1507"/>
      <c r="E138" s="67" t="s">
        <v>90</v>
      </c>
      <c r="F138" s="40" t="s">
        <v>45</v>
      </c>
      <c r="G138" s="69" t="s">
        <v>9</v>
      </c>
      <c r="H138" s="37">
        <f>1020.9-18.9</f>
        <v>1002</v>
      </c>
      <c r="I138" s="16">
        <v>2.6</v>
      </c>
      <c r="J138" s="116">
        <v>1212.8</v>
      </c>
      <c r="K138" s="16">
        <v>1294.3</v>
      </c>
      <c r="L138" s="16">
        <v>1333.2</v>
      </c>
      <c r="M138" s="38" t="s">
        <v>739</v>
      </c>
      <c r="N138" s="117"/>
      <c r="O138" s="118"/>
      <c r="P138" s="119"/>
      <c r="Q138" s="120"/>
      <c r="R138" s="111"/>
      <c r="S138"/>
      <c r="T138"/>
      <c r="U138"/>
    </row>
    <row r="139" spans="1:21" s="1" customFormat="1" ht="11.25" customHeight="1" x14ac:dyDescent="0.2">
      <c r="A139" s="83">
        <v>1</v>
      </c>
      <c r="B139" s="115"/>
      <c r="C139" s="115"/>
      <c r="D139" s="1507"/>
      <c r="E139" s="67" t="s">
        <v>90</v>
      </c>
      <c r="F139" s="40" t="s">
        <v>45</v>
      </c>
      <c r="G139" s="40" t="s">
        <v>11</v>
      </c>
      <c r="H139" s="37">
        <v>0</v>
      </c>
      <c r="I139" s="16">
        <v>1229.0999999999999</v>
      </c>
      <c r="J139" s="116">
        <f>28.8+13.3</f>
        <v>42.1</v>
      </c>
      <c r="K139" s="16"/>
      <c r="L139" s="16"/>
      <c r="M139" s="38"/>
      <c r="N139" s="117"/>
      <c r="O139" s="118"/>
      <c r="P139" s="119"/>
      <c r="Q139" s="120"/>
      <c r="R139" s="111"/>
      <c r="S139"/>
      <c r="T139"/>
      <c r="U139"/>
    </row>
    <row r="140" spans="1:21" s="1" customFormat="1" ht="11.25" customHeight="1" x14ac:dyDescent="0.2">
      <c r="A140" s="83">
        <v>1</v>
      </c>
      <c r="B140" s="115"/>
      <c r="C140" s="115"/>
      <c r="D140" s="1507"/>
      <c r="E140" s="67" t="s">
        <v>90</v>
      </c>
      <c r="F140" s="40" t="s">
        <v>45</v>
      </c>
      <c r="G140" s="40" t="s">
        <v>12</v>
      </c>
      <c r="H140" s="37">
        <v>106.1</v>
      </c>
      <c r="I140" s="16"/>
      <c r="J140" s="116">
        <v>115.6</v>
      </c>
      <c r="K140" s="16">
        <v>115.6</v>
      </c>
      <c r="L140" s="16">
        <v>115.6</v>
      </c>
      <c r="M140" s="38"/>
      <c r="N140" s="117"/>
      <c r="O140" s="118"/>
      <c r="P140" s="119"/>
      <c r="Q140" s="120"/>
      <c r="R140" s="111"/>
      <c r="S140"/>
      <c r="T140"/>
      <c r="U140"/>
    </row>
    <row r="141" spans="1:21" s="1" customFormat="1" ht="11.25" customHeight="1" x14ac:dyDescent="0.2">
      <c r="A141" s="83">
        <v>1</v>
      </c>
      <c r="B141" s="115"/>
      <c r="C141" s="115"/>
      <c r="D141" s="1507"/>
      <c r="E141" s="67" t="s">
        <v>90</v>
      </c>
      <c r="F141" s="40" t="s">
        <v>45</v>
      </c>
      <c r="G141" s="40" t="s">
        <v>740</v>
      </c>
      <c r="H141" s="37">
        <v>0</v>
      </c>
      <c r="I141" s="16">
        <v>122.6</v>
      </c>
      <c r="J141" s="116">
        <v>0</v>
      </c>
      <c r="K141" s="37">
        <v>0</v>
      </c>
      <c r="L141" s="37">
        <v>0</v>
      </c>
      <c r="M141" s="38"/>
      <c r="N141" s="117"/>
      <c r="O141" s="118"/>
      <c r="P141" s="119"/>
      <c r="Q141" s="120"/>
      <c r="R141" s="111"/>
      <c r="S141"/>
      <c r="T141"/>
      <c r="U141"/>
    </row>
    <row r="142" spans="1:21" s="1" customFormat="1" ht="11.25" customHeight="1" x14ac:dyDescent="0.2">
      <c r="A142" s="83">
        <v>1</v>
      </c>
      <c r="B142" s="115"/>
      <c r="C142" s="115"/>
      <c r="D142" s="1507"/>
      <c r="E142" s="67" t="s">
        <v>90</v>
      </c>
      <c r="F142" s="40" t="s">
        <v>45</v>
      </c>
      <c r="G142" s="121" t="s">
        <v>741</v>
      </c>
      <c r="H142" s="123">
        <f>SUM(H135:H141)</f>
        <v>1644.6999999999998</v>
      </c>
      <c r="I142" s="123">
        <f>SUM(I135:I141)</f>
        <v>1979.5</v>
      </c>
      <c r="J142" s="123">
        <f>SUM(J135:J141)</f>
        <v>2044.6999999999998</v>
      </c>
      <c r="K142" s="123">
        <f>SUM(K135:K141)</f>
        <v>2111.1</v>
      </c>
      <c r="L142" s="123">
        <f>SUM(L135:L141)</f>
        <v>2150</v>
      </c>
      <c r="M142" s="38"/>
      <c r="N142" s="117"/>
      <c r="O142" s="118"/>
      <c r="P142" s="119"/>
      <c r="Q142" s="120"/>
      <c r="R142" s="111"/>
      <c r="S142"/>
      <c r="T142"/>
      <c r="U142"/>
    </row>
    <row r="143" spans="1:21" s="1" customFormat="1" ht="11.25" customHeight="1" x14ac:dyDescent="0.2">
      <c r="A143" s="83">
        <v>1</v>
      </c>
      <c r="B143" s="115"/>
      <c r="C143" s="115" t="s">
        <v>774</v>
      </c>
      <c r="D143" s="1507" t="s">
        <v>775</v>
      </c>
      <c r="E143" s="67" t="s">
        <v>36</v>
      </c>
      <c r="F143" s="40" t="s">
        <v>47</v>
      </c>
      <c r="G143" s="40" t="s">
        <v>8</v>
      </c>
      <c r="H143" s="37">
        <v>528.4</v>
      </c>
      <c r="I143" s="16">
        <v>589.70000000000005</v>
      </c>
      <c r="J143" s="116">
        <v>639.6</v>
      </c>
      <c r="K143" s="925">
        <v>677.3</v>
      </c>
      <c r="L143" s="925">
        <v>677.3</v>
      </c>
      <c r="M143" s="38"/>
      <c r="N143" s="117"/>
      <c r="O143" s="118"/>
      <c r="P143" s="119"/>
      <c r="Q143" s="120"/>
      <c r="R143" s="111"/>
      <c r="S143"/>
      <c r="T143"/>
      <c r="U143"/>
    </row>
    <row r="144" spans="1:21" s="1" customFormat="1" ht="11.25" customHeight="1" x14ac:dyDescent="0.2">
      <c r="A144" s="83">
        <v>1</v>
      </c>
      <c r="B144" s="115"/>
      <c r="C144" s="115"/>
      <c r="D144" s="1507"/>
      <c r="E144" s="67" t="s">
        <v>36</v>
      </c>
      <c r="F144" s="40" t="s">
        <v>47</v>
      </c>
      <c r="G144" s="40" t="s">
        <v>610</v>
      </c>
      <c r="H144" s="37">
        <v>6</v>
      </c>
      <c r="I144" s="16">
        <v>2.8</v>
      </c>
      <c r="J144" s="116"/>
      <c r="K144" s="37"/>
      <c r="L144" s="37"/>
      <c r="M144" s="38"/>
      <c r="N144" s="117"/>
      <c r="O144" s="118"/>
      <c r="P144" s="119"/>
      <c r="Q144" s="120"/>
      <c r="R144" s="111"/>
      <c r="S144"/>
      <c r="T144"/>
      <c r="U144"/>
    </row>
    <row r="145" spans="1:21" s="1" customFormat="1" ht="11.25" customHeight="1" x14ac:dyDescent="0.2">
      <c r="A145" s="83">
        <v>1</v>
      </c>
      <c r="B145" s="115"/>
      <c r="C145" s="115"/>
      <c r="D145" s="1507"/>
      <c r="E145" s="67" t="s">
        <v>36</v>
      </c>
      <c r="F145" s="40" t="s">
        <v>47</v>
      </c>
      <c r="G145" s="40" t="s">
        <v>714</v>
      </c>
      <c r="H145" s="37"/>
      <c r="I145" s="16">
        <v>6.3</v>
      </c>
      <c r="J145" s="116"/>
      <c r="K145" s="37"/>
      <c r="L145" s="37"/>
      <c r="M145" s="38"/>
      <c r="N145" s="117"/>
      <c r="O145" s="118"/>
      <c r="P145" s="119"/>
      <c r="Q145" s="120"/>
      <c r="R145" s="111"/>
      <c r="S145"/>
      <c r="T145"/>
      <c r="U145"/>
    </row>
    <row r="146" spans="1:21" s="1" customFormat="1" ht="11.25" customHeight="1" x14ac:dyDescent="0.2">
      <c r="A146" s="83">
        <v>1</v>
      </c>
      <c r="B146" s="115"/>
      <c r="C146" s="115"/>
      <c r="D146" s="1507"/>
      <c r="E146" s="67" t="s">
        <v>36</v>
      </c>
      <c r="F146" s="40" t="s">
        <v>47</v>
      </c>
      <c r="G146" s="69" t="s">
        <v>9</v>
      </c>
      <c r="H146" s="37">
        <f>949.6-3.7+8.5</f>
        <v>954.4</v>
      </c>
      <c r="I146" s="16">
        <v>1159.8</v>
      </c>
      <c r="J146" s="116">
        <v>1195.9000000000001</v>
      </c>
      <c r="K146" s="16">
        <v>1253.4000000000001</v>
      </c>
      <c r="L146" s="16">
        <v>1273.9000000000001</v>
      </c>
      <c r="M146" s="38" t="s">
        <v>739</v>
      </c>
      <c r="N146" s="117"/>
      <c r="O146" s="118"/>
      <c r="P146" s="119"/>
      <c r="Q146" s="120"/>
      <c r="R146" s="111"/>
      <c r="S146"/>
      <c r="T146"/>
      <c r="U146"/>
    </row>
    <row r="147" spans="1:21" s="1" customFormat="1" ht="11.25" customHeight="1" x14ac:dyDescent="0.2">
      <c r="A147" s="83">
        <v>1</v>
      </c>
      <c r="B147" s="115"/>
      <c r="C147" s="115"/>
      <c r="D147" s="1507"/>
      <c r="E147" s="67" t="s">
        <v>36</v>
      </c>
      <c r="F147" s="40" t="s">
        <v>47</v>
      </c>
      <c r="G147" s="40" t="s">
        <v>11</v>
      </c>
      <c r="H147" s="37">
        <v>3.6</v>
      </c>
      <c r="I147" s="16"/>
      <c r="J147" s="116">
        <f>28.4</f>
        <v>28.4</v>
      </c>
      <c r="K147" s="16"/>
      <c r="L147" s="16"/>
      <c r="M147" s="38"/>
      <c r="N147" s="117"/>
      <c r="O147" s="118"/>
      <c r="P147" s="119"/>
      <c r="Q147" s="120"/>
      <c r="R147" s="111"/>
      <c r="S147"/>
      <c r="T147"/>
      <c r="U147"/>
    </row>
    <row r="148" spans="1:21" s="1" customFormat="1" ht="11.25" customHeight="1" x14ac:dyDescent="0.2">
      <c r="A148" s="83">
        <v>1</v>
      </c>
      <c r="B148" s="115"/>
      <c r="C148" s="115"/>
      <c r="D148" s="1507"/>
      <c r="E148" s="67" t="s">
        <v>36</v>
      </c>
      <c r="F148" s="40" t="s">
        <v>47</v>
      </c>
      <c r="G148" s="40" t="s">
        <v>12</v>
      </c>
      <c r="H148" s="37">
        <v>123.8</v>
      </c>
      <c r="I148" s="16">
        <v>125.2</v>
      </c>
      <c r="J148" s="116">
        <v>152.19999999999999</v>
      </c>
      <c r="K148" s="16">
        <v>154.69999999999999</v>
      </c>
      <c r="L148" s="16">
        <v>155.19999999999999</v>
      </c>
      <c r="M148" s="38"/>
      <c r="N148" s="117"/>
      <c r="O148" s="118"/>
      <c r="P148" s="119"/>
      <c r="Q148" s="120"/>
      <c r="R148" s="111"/>
      <c r="S148"/>
      <c r="T148"/>
      <c r="U148"/>
    </row>
    <row r="149" spans="1:21" s="1" customFormat="1" ht="11.25" customHeight="1" x14ac:dyDescent="0.2">
      <c r="A149" s="83">
        <v>1</v>
      </c>
      <c r="B149" s="115"/>
      <c r="C149" s="115"/>
      <c r="D149" s="1507"/>
      <c r="E149" s="67" t="s">
        <v>36</v>
      </c>
      <c r="F149" s="40" t="s">
        <v>47</v>
      </c>
      <c r="G149" s="40" t="s">
        <v>740</v>
      </c>
      <c r="H149" s="37">
        <f>0.4+0.3+1</f>
        <v>1.7</v>
      </c>
      <c r="I149" s="16">
        <v>2.2000000000000002</v>
      </c>
      <c r="J149" s="116">
        <v>0</v>
      </c>
      <c r="K149" s="16"/>
      <c r="L149" s="16"/>
      <c r="M149" s="38"/>
      <c r="N149" s="117"/>
      <c r="O149" s="118"/>
      <c r="P149" s="119"/>
      <c r="Q149" s="120"/>
      <c r="R149" s="111"/>
      <c r="S149"/>
      <c r="T149"/>
      <c r="U149"/>
    </row>
    <row r="150" spans="1:21" s="1" customFormat="1" ht="11.25" customHeight="1" x14ac:dyDescent="0.2">
      <c r="A150" s="83">
        <v>1</v>
      </c>
      <c r="B150" s="115"/>
      <c r="C150" s="115"/>
      <c r="D150" s="1507"/>
      <c r="E150" s="67" t="s">
        <v>36</v>
      </c>
      <c r="F150" s="40" t="s">
        <v>47</v>
      </c>
      <c r="G150" s="121" t="s">
        <v>741</v>
      </c>
      <c r="H150" s="123">
        <f>SUM(H143:H149)</f>
        <v>1617.8999999999999</v>
      </c>
      <c r="I150" s="123">
        <f>SUM(I143:I149)</f>
        <v>1886</v>
      </c>
      <c r="J150" s="123">
        <f>SUM(J143:J149)</f>
        <v>2016.1000000000001</v>
      </c>
      <c r="K150" s="123">
        <f>SUM(K143:K149)</f>
        <v>2085.4</v>
      </c>
      <c r="L150" s="123">
        <f>SUM(L143:L149)</f>
        <v>2106.4</v>
      </c>
      <c r="M150" s="38"/>
      <c r="N150" s="117"/>
      <c r="O150" s="118"/>
      <c r="P150" s="119"/>
      <c r="Q150" s="120"/>
      <c r="R150" s="111"/>
      <c r="S150"/>
      <c r="T150"/>
      <c r="U150"/>
    </row>
    <row r="151" spans="1:21" s="1" customFormat="1" x14ac:dyDescent="0.2">
      <c r="A151" s="83">
        <v>1</v>
      </c>
      <c r="B151" s="115"/>
      <c r="C151" s="115" t="s">
        <v>776</v>
      </c>
      <c r="D151" s="1502" t="s">
        <v>777</v>
      </c>
      <c r="E151" s="67" t="s">
        <v>86</v>
      </c>
      <c r="F151" s="40" t="s">
        <v>48</v>
      </c>
      <c r="G151" s="40" t="s">
        <v>8</v>
      </c>
      <c r="H151" s="37">
        <v>651.29999999999995</v>
      </c>
      <c r="I151" s="16">
        <v>881.9</v>
      </c>
      <c r="J151" s="116">
        <v>1137.5999999999999</v>
      </c>
      <c r="K151" s="865">
        <v>1204.7</v>
      </c>
      <c r="L151" s="865">
        <v>1204.7</v>
      </c>
      <c r="M151" s="38"/>
      <c r="N151" s="117"/>
      <c r="O151" s="118"/>
      <c r="P151" s="119"/>
      <c r="Q151" s="120"/>
      <c r="R151" s="111"/>
      <c r="S151"/>
      <c r="T151"/>
      <c r="U151"/>
    </row>
    <row r="152" spans="1:21" s="1" customFormat="1" ht="11.25" customHeight="1" x14ac:dyDescent="0.2">
      <c r="A152" s="83">
        <v>1</v>
      </c>
      <c r="B152" s="115"/>
      <c r="C152" s="115"/>
      <c r="D152" s="1478"/>
      <c r="E152" s="67" t="s">
        <v>86</v>
      </c>
      <c r="F152" s="40" t="s">
        <v>48</v>
      </c>
      <c r="G152" s="40" t="s">
        <v>738</v>
      </c>
      <c r="H152" s="37">
        <v>1.2</v>
      </c>
      <c r="I152" s="16">
        <v>13.6</v>
      </c>
      <c r="J152" s="116"/>
      <c r="K152" s="37"/>
      <c r="L152" s="37"/>
      <c r="M152" s="38"/>
      <c r="N152" s="117"/>
      <c r="O152" s="118"/>
      <c r="P152" s="119"/>
      <c r="Q152" s="120"/>
      <c r="R152" s="111"/>
      <c r="S152"/>
      <c r="T152"/>
      <c r="U152"/>
    </row>
    <row r="153" spans="1:21" s="1" customFormat="1" ht="11.25" customHeight="1" x14ac:dyDescent="0.2">
      <c r="A153" s="83">
        <v>1</v>
      </c>
      <c r="B153" s="115"/>
      <c r="C153" s="115"/>
      <c r="D153" s="1478"/>
      <c r="E153" s="67" t="s">
        <v>86</v>
      </c>
      <c r="F153" s="40" t="s">
        <v>48</v>
      </c>
      <c r="G153" s="40" t="s">
        <v>714</v>
      </c>
      <c r="H153" s="37"/>
      <c r="I153" s="16">
        <v>31.2</v>
      </c>
      <c r="J153" s="116"/>
      <c r="K153" s="37"/>
      <c r="L153" s="37"/>
      <c r="M153" s="38"/>
      <c r="N153" s="117"/>
      <c r="O153" s="118"/>
      <c r="P153" s="119"/>
      <c r="Q153" s="120"/>
      <c r="R153" s="111"/>
      <c r="S153"/>
      <c r="T153"/>
      <c r="U153"/>
    </row>
    <row r="154" spans="1:21" s="1" customFormat="1" ht="11.25" customHeight="1" x14ac:dyDescent="0.2">
      <c r="A154" s="83">
        <v>1</v>
      </c>
      <c r="B154" s="115"/>
      <c r="C154" s="115"/>
      <c r="D154" s="1478"/>
      <c r="E154" s="67" t="s">
        <v>86</v>
      </c>
      <c r="F154" s="40" t="s">
        <v>48</v>
      </c>
      <c r="G154" s="40" t="s">
        <v>740</v>
      </c>
      <c r="H154" s="37">
        <f>0.6+0.2+0.4</f>
        <v>1.2000000000000002</v>
      </c>
      <c r="I154" s="16"/>
      <c r="J154" s="116"/>
      <c r="K154" s="37"/>
      <c r="L154" s="37"/>
      <c r="M154" s="38"/>
      <c r="N154" s="117"/>
      <c r="O154" s="118"/>
      <c r="P154" s="119"/>
      <c r="Q154" s="120"/>
      <c r="R154" s="111"/>
      <c r="S154"/>
      <c r="T154"/>
      <c r="U154"/>
    </row>
    <row r="155" spans="1:21" s="1" customFormat="1" ht="11.25" customHeight="1" x14ac:dyDescent="0.2">
      <c r="A155" s="83">
        <v>1</v>
      </c>
      <c r="B155" s="115"/>
      <c r="C155" s="115"/>
      <c r="D155" s="1478"/>
      <c r="E155" s="67" t="s">
        <v>86</v>
      </c>
      <c r="F155" s="40" t="s">
        <v>48</v>
      </c>
      <c r="G155" s="40" t="s">
        <v>11</v>
      </c>
      <c r="H155" s="37">
        <v>0</v>
      </c>
      <c r="I155" s="16"/>
      <c r="J155" s="116">
        <f>28</f>
        <v>28</v>
      </c>
      <c r="K155" s="37"/>
      <c r="L155" s="37"/>
      <c r="M155" s="38"/>
      <c r="N155" s="117"/>
      <c r="O155" s="118"/>
      <c r="P155" s="119"/>
      <c r="Q155" s="120"/>
      <c r="R155" s="111"/>
      <c r="S155"/>
      <c r="T155"/>
      <c r="U155"/>
    </row>
    <row r="156" spans="1:21" s="1" customFormat="1" ht="11.25" customHeight="1" x14ac:dyDescent="0.2">
      <c r="A156" s="83">
        <v>1</v>
      </c>
      <c r="B156" s="115"/>
      <c r="C156" s="115"/>
      <c r="D156" s="1478"/>
      <c r="E156" s="67" t="s">
        <v>86</v>
      </c>
      <c r="F156" s="40" t="s">
        <v>48</v>
      </c>
      <c r="G156" s="69" t="s">
        <v>9</v>
      </c>
      <c r="H156" s="37">
        <f>1098.9-4-5.8</f>
        <v>1089.1000000000001</v>
      </c>
      <c r="I156" s="16">
        <v>1262.5999999999999</v>
      </c>
      <c r="J156" s="116">
        <v>1286.3</v>
      </c>
      <c r="K156" s="16">
        <v>1334.8</v>
      </c>
      <c r="L156" s="16">
        <v>1356.6</v>
      </c>
      <c r="M156" s="38" t="s">
        <v>739</v>
      </c>
      <c r="N156" s="117"/>
      <c r="O156" s="118"/>
      <c r="P156" s="119"/>
      <c r="Q156" s="120"/>
      <c r="R156" s="111"/>
      <c r="S156"/>
      <c r="T156"/>
      <c r="U156"/>
    </row>
    <row r="157" spans="1:21" s="1" customFormat="1" ht="11.25" customHeight="1" x14ac:dyDescent="0.2">
      <c r="A157" s="83">
        <v>1</v>
      </c>
      <c r="B157" s="115"/>
      <c r="C157" s="115"/>
      <c r="D157" s="1478"/>
      <c r="E157" s="67" t="s">
        <v>86</v>
      </c>
      <c r="F157" s="40" t="s">
        <v>48</v>
      </c>
      <c r="G157" s="40" t="s">
        <v>12</v>
      </c>
      <c r="H157" s="37">
        <f>98.6+0.7+5.8</f>
        <v>105.1</v>
      </c>
      <c r="I157" s="16">
        <v>141.6</v>
      </c>
      <c r="J157" s="116">
        <v>134.69999999999999</v>
      </c>
      <c r="K157" s="16">
        <v>134.69999999999999</v>
      </c>
      <c r="L157" s="16">
        <v>134.69999999999999</v>
      </c>
      <c r="M157" s="38"/>
      <c r="N157" s="117"/>
      <c r="O157" s="118"/>
      <c r="P157" s="119"/>
      <c r="Q157" s="120"/>
      <c r="R157" s="111"/>
      <c r="S157"/>
      <c r="T157"/>
      <c r="U157"/>
    </row>
    <row r="158" spans="1:21" s="1" customFormat="1" ht="11.25" customHeight="1" x14ac:dyDescent="0.2">
      <c r="A158" s="83">
        <v>1</v>
      </c>
      <c r="B158" s="115"/>
      <c r="C158" s="115"/>
      <c r="D158" s="1479"/>
      <c r="E158" s="67" t="s">
        <v>86</v>
      </c>
      <c r="F158" s="40" t="s">
        <v>48</v>
      </c>
      <c r="G158" s="121" t="s">
        <v>741</v>
      </c>
      <c r="H158" s="123">
        <f>SUM(H151:H157)</f>
        <v>1847.9</v>
      </c>
      <c r="I158" s="123">
        <f>SUM(I151:I157)</f>
        <v>2330.9</v>
      </c>
      <c r="J158" s="123">
        <f>SUM(J151:J157)</f>
        <v>2586.5999999999995</v>
      </c>
      <c r="K158" s="123">
        <f>SUM(K151:K157)</f>
        <v>2674.2</v>
      </c>
      <c r="L158" s="123">
        <f>SUM(L151:L157)</f>
        <v>2696</v>
      </c>
      <c r="M158" s="38"/>
      <c r="N158" s="117"/>
      <c r="O158" s="118"/>
      <c r="P158" s="119"/>
      <c r="Q158" s="120"/>
      <c r="R158" s="111"/>
      <c r="S158"/>
      <c r="T158"/>
      <c r="U158"/>
    </row>
    <row r="159" spans="1:21" s="1" customFormat="1" x14ac:dyDescent="0.2">
      <c r="A159" s="83">
        <v>1</v>
      </c>
      <c r="B159" s="115"/>
      <c r="C159" s="748" t="s">
        <v>778</v>
      </c>
      <c r="D159" s="1477" t="s">
        <v>779</v>
      </c>
      <c r="E159" s="66" t="s">
        <v>684</v>
      </c>
      <c r="F159" s="69" t="s">
        <v>780</v>
      </c>
      <c r="G159" s="40" t="s">
        <v>8</v>
      </c>
      <c r="H159" s="37">
        <v>651.29999999999995</v>
      </c>
      <c r="I159" s="16"/>
      <c r="J159" s="116"/>
      <c r="K159" s="37"/>
      <c r="L159" s="37"/>
      <c r="M159" s="38"/>
      <c r="N159" s="330"/>
      <c r="O159" s="118"/>
      <c r="P159" s="119"/>
      <c r="Q159" s="120"/>
      <c r="R159" s="111"/>
      <c r="S159"/>
      <c r="T159"/>
      <c r="U159"/>
    </row>
    <row r="160" spans="1:21" s="1" customFormat="1" ht="11.25" customHeight="1" x14ac:dyDescent="0.2">
      <c r="A160" s="83">
        <v>1</v>
      </c>
      <c r="B160" s="115"/>
      <c r="C160" s="115"/>
      <c r="D160" s="1478"/>
      <c r="E160" s="66" t="s">
        <v>684</v>
      </c>
      <c r="F160" s="69" t="s">
        <v>780</v>
      </c>
      <c r="G160" s="40" t="s">
        <v>738</v>
      </c>
      <c r="H160" s="37">
        <v>1.2</v>
      </c>
      <c r="I160" s="16"/>
      <c r="J160" s="116"/>
      <c r="K160" s="37"/>
      <c r="L160" s="37"/>
      <c r="M160" s="38"/>
      <c r="N160" s="117"/>
      <c r="O160" s="118"/>
      <c r="P160" s="119"/>
      <c r="Q160" s="120"/>
      <c r="R160" s="111"/>
      <c r="S160"/>
      <c r="T160"/>
      <c r="U160"/>
    </row>
    <row r="161" spans="1:21" s="1" customFormat="1" ht="11.25" customHeight="1" x14ac:dyDescent="0.2">
      <c r="A161" s="83">
        <v>1</v>
      </c>
      <c r="B161" s="115"/>
      <c r="C161" s="115"/>
      <c r="D161" s="1478"/>
      <c r="E161" s="66" t="s">
        <v>684</v>
      </c>
      <c r="F161" s="69" t="s">
        <v>780</v>
      </c>
      <c r="G161" s="40" t="s">
        <v>740</v>
      </c>
      <c r="H161" s="37">
        <f>0.6+0.2+0.4</f>
        <v>1.2000000000000002</v>
      </c>
      <c r="I161" s="16"/>
      <c r="J161" s="116"/>
      <c r="K161" s="37"/>
      <c r="L161" s="37"/>
      <c r="M161" s="38"/>
      <c r="N161" s="117"/>
      <c r="O161" s="118"/>
      <c r="P161" s="119"/>
      <c r="Q161" s="120"/>
      <c r="R161" s="111"/>
      <c r="S161"/>
      <c r="T161"/>
      <c r="U161"/>
    </row>
    <row r="162" spans="1:21" s="1" customFormat="1" ht="11.25" customHeight="1" x14ac:dyDescent="0.2">
      <c r="A162" s="83">
        <v>1</v>
      </c>
      <c r="B162" s="115"/>
      <c r="C162" s="115"/>
      <c r="D162" s="1478"/>
      <c r="E162" s="66" t="s">
        <v>684</v>
      </c>
      <c r="F162" s="69" t="s">
        <v>780</v>
      </c>
      <c r="G162" s="40" t="s">
        <v>11</v>
      </c>
      <c r="H162" s="37">
        <v>0</v>
      </c>
      <c r="I162" s="16"/>
      <c r="J162" s="116"/>
      <c r="K162" s="37"/>
      <c r="L162" s="37"/>
      <c r="M162" s="38"/>
      <c r="N162" s="117"/>
      <c r="O162" s="118"/>
      <c r="P162" s="119"/>
      <c r="Q162" s="120"/>
      <c r="R162" s="111"/>
      <c r="S162"/>
      <c r="T162"/>
      <c r="U162"/>
    </row>
    <row r="163" spans="1:21" s="1" customFormat="1" ht="24.75" customHeight="1" x14ac:dyDescent="0.2">
      <c r="A163" s="83">
        <v>1</v>
      </c>
      <c r="B163" s="115"/>
      <c r="C163" s="115"/>
      <c r="D163" s="1478"/>
      <c r="E163" s="66" t="s">
        <v>684</v>
      </c>
      <c r="F163" s="69" t="s">
        <v>780</v>
      </c>
      <c r="G163" s="69" t="s">
        <v>9</v>
      </c>
      <c r="H163" s="37">
        <f>1098.9-4-5.8</f>
        <v>1089.1000000000001</v>
      </c>
      <c r="I163" s="16"/>
      <c r="J163" s="116">
        <f>90+445.4-100</f>
        <v>435.4</v>
      </c>
      <c r="K163" s="37">
        <f>89*12+90</f>
        <v>1158</v>
      </c>
      <c r="L163" s="37">
        <f>89*12*1.05+90</f>
        <v>1211.4000000000001</v>
      </c>
      <c r="M163" s="38" t="s">
        <v>739</v>
      </c>
      <c r="N163" s="117"/>
      <c r="O163" s="118"/>
      <c r="P163" s="119"/>
      <c r="Q163" s="120"/>
      <c r="R163" s="111"/>
      <c r="S163"/>
      <c r="T163"/>
      <c r="U163"/>
    </row>
    <row r="164" spans="1:21" s="1" customFormat="1" ht="11.25" customHeight="1" x14ac:dyDescent="0.2">
      <c r="A164" s="83">
        <v>1</v>
      </c>
      <c r="B164" s="115"/>
      <c r="C164" s="115"/>
      <c r="D164" s="1478"/>
      <c r="E164" s="66" t="s">
        <v>684</v>
      </c>
      <c r="F164" s="69" t="s">
        <v>780</v>
      </c>
      <c r="G164" s="40" t="s">
        <v>12</v>
      </c>
      <c r="H164" s="37">
        <f>98.6+0.7+5.8</f>
        <v>105.1</v>
      </c>
      <c r="I164" s="16"/>
      <c r="J164" s="116">
        <v>80.7</v>
      </c>
      <c r="K164" s="37">
        <v>242</v>
      </c>
      <c r="L164" s="37">
        <v>245</v>
      </c>
      <c r="M164" s="38"/>
      <c r="N164" s="117"/>
      <c r="O164" s="118"/>
      <c r="P164" s="119"/>
      <c r="Q164" s="120"/>
      <c r="R164" s="111"/>
      <c r="S164"/>
      <c r="T164"/>
      <c r="U164"/>
    </row>
    <row r="165" spans="1:21" s="1" customFormat="1" ht="11.25" customHeight="1" x14ac:dyDescent="0.2">
      <c r="A165" s="83">
        <v>1</v>
      </c>
      <c r="B165" s="115"/>
      <c r="C165" s="115"/>
      <c r="D165" s="1479"/>
      <c r="E165" s="66" t="s">
        <v>684</v>
      </c>
      <c r="F165" s="69" t="s">
        <v>780</v>
      </c>
      <c r="G165" s="121" t="s">
        <v>741</v>
      </c>
      <c r="H165" s="123">
        <f>SUM(H159:H164)</f>
        <v>1847.9</v>
      </c>
      <c r="I165" s="123">
        <f>SUM(I159:I164)</f>
        <v>0</v>
      </c>
      <c r="J165" s="123">
        <f>SUM(J159:J164)</f>
        <v>516.1</v>
      </c>
      <c r="K165" s="123">
        <f>SUM(K159:K164)</f>
        <v>1400</v>
      </c>
      <c r="L165" s="123">
        <f>SUM(L159:L164)</f>
        <v>1456.4</v>
      </c>
      <c r="M165" s="38"/>
      <c r="N165" s="117"/>
      <c r="O165" s="118"/>
      <c r="P165" s="119"/>
      <c r="Q165" s="120"/>
      <c r="R165" s="111"/>
      <c r="S165"/>
      <c r="T165"/>
      <c r="U165"/>
    </row>
    <row r="166" spans="1:21" s="1" customFormat="1" ht="33.75" x14ac:dyDescent="0.2">
      <c r="A166" s="83">
        <v>1</v>
      </c>
      <c r="B166" s="115"/>
      <c r="C166" s="115" t="s">
        <v>781</v>
      </c>
      <c r="D166" s="48" t="s">
        <v>53</v>
      </c>
      <c r="E166" s="44" t="s">
        <v>54</v>
      </c>
      <c r="F166" s="69" t="s">
        <v>55</v>
      </c>
      <c r="G166" s="69" t="s">
        <v>9</v>
      </c>
      <c r="H166" s="124">
        <v>11.5</v>
      </c>
      <c r="I166" s="16">
        <v>11.5</v>
      </c>
      <c r="J166" s="116">
        <v>11.5</v>
      </c>
      <c r="K166" s="16">
        <v>11.5</v>
      </c>
      <c r="L166" s="16">
        <v>11.5</v>
      </c>
      <c r="M166" s="38" t="s">
        <v>782</v>
      </c>
      <c r="N166" s="117" t="s">
        <v>783</v>
      </c>
      <c r="O166" s="118" t="s">
        <v>784</v>
      </c>
      <c r="P166" s="119" t="s">
        <v>785</v>
      </c>
      <c r="Q166" s="120"/>
      <c r="R166" s="111"/>
      <c r="S166"/>
      <c r="T166"/>
      <c r="U166"/>
    </row>
    <row r="167" spans="1:21" s="1" customFormat="1" ht="11.25" customHeight="1" x14ac:dyDescent="0.2">
      <c r="A167" s="83">
        <v>1</v>
      </c>
      <c r="B167" s="115"/>
      <c r="C167" s="115"/>
      <c r="D167" s="48"/>
      <c r="E167" s="44" t="s">
        <v>54</v>
      </c>
      <c r="F167" s="69" t="s">
        <v>55</v>
      </c>
      <c r="G167" s="121" t="s">
        <v>741</v>
      </c>
      <c r="H167" s="123">
        <f>SUM(H166)</f>
        <v>11.5</v>
      </c>
      <c r="I167" s="123">
        <f>SUM(I166)</f>
        <v>11.5</v>
      </c>
      <c r="J167" s="123">
        <f>SUM(J166)</f>
        <v>11.5</v>
      </c>
      <c r="K167" s="123">
        <f>SUM(K166)</f>
        <v>11.5</v>
      </c>
      <c r="L167" s="123">
        <f>SUM(L166)</f>
        <v>11.5</v>
      </c>
      <c r="M167" s="38"/>
      <c r="N167" s="117"/>
      <c r="O167" s="118"/>
      <c r="P167" s="119"/>
      <c r="Q167" s="120"/>
      <c r="R167" s="111"/>
      <c r="S167"/>
      <c r="T167"/>
      <c r="U167"/>
    </row>
    <row r="168" spans="1:21" s="1" customFormat="1" ht="20.45" customHeight="1" x14ac:dyDescent="0.2">
      <c r="A168" s="83">
        <v>1</v>
      </c>
      <c r="B168" s="115"/>
      <c r="C168" s="115" t="s">
        <v>786</v>
      </c>
      <c r="D168" s="1502" t="s">
        <v>56</v>
      </c>
      <c r="E168" s="66" t="s">
        <v>54</v>
      </c>
      <c r="F168" s="40" t="s">
        <v>57</v>
      </c>
      <c r="G168" s="69" t="s">
        <v>9</v>
      </c>
      <c r="H168" s="125"/>
      <c r="I168" s="16">
        <f>40-24</f>
        <v>16</v>
      </c>
      <c r="J168" s="116"/>
      <c r="K168" s="16"/>
      <c r="L168" s="16"/>
      <c r="M168" s="38" t="s">
        <v>787</v>
      </c>
      <c r="N168" s="117"/>
      <c r="O168" s="118"/>
      <c r="P168" s="119"/>
      <c r="Q168" s="120"/>
      <c r="R168" s="111"/>
      <c r="S168"/>
      <c r="T168"/>
      <c r="U168"/>
    </row>
    <row r="169" spans="1:21" s="1" customFormat="1" ht="11.25" customHeight="1" x14ac:dyDescent="0.2">
      <c r="A169" s="83">
        <v>1</v>
      </c>
      <c r="B169" s="115"/>
      <c r="C169" s="115"/>
      <c r="D169" s="1478"/>
      <c r="E169" s="66" t="s">
        <v>54</v>
      </c>
      <c r="F169" s="40" t="s">
        <v>57</v>
      </c>
      <c r="G169" s="69" t="s">
        <v>58</v>
      </c>
      <c r="H169" s="124"/>
      <c r="I169" s="16"/>
      <c r="J169" s="116"/>
      <c r="K169" s="16"/>
      <c r="L169" s="16"/>
      <c r="M169" s="38"/>
      <c r="N169" s="117"/>
      <c r="O169" s="118"/>
      <c r="P169" s="119"/>
      <c r="Q169" s="120"/>
      <c r="R169" s="111"/>
      <c r="S169"/>
      <c r="T169"/>
      <c r="U169"/>
    </row>
    <row r="170" spans="1:21" s="1" customFormat="1" ht="11.25" customHeight="1" x14ac:dyDescent="0.2">
      <c r="A170" s="83">
        <v>1</v>
      </c>
      <c r="B170" s="115"/>
      <c r="C170" s="115"/>
      <c r="D170" s="1479"/>
      <c r="E170" s="66" t="s">
        <v>54</v>
      </c>
      <c r="F170" s="40" t="s">
        <v>57</v>
      </c>
      <c r="G170" s="69" t="s">
        <v>59</v>
      </c>
      <c r="H170" s="124"/>
      <c r="I170" s="16"/>
      <c r="J170" s="116"/>
      <c r="K170" s="16"/>
      <c r="L170" s="16"/>
      <c r="M170" s="38"/>
      <c r="N170" s="117"/>
      <c r="O170" s="118"/>
      <c r="P170" s="119"/>
      <c r="Q170" s="120"/>
      <c r="R170" s="111"/>
      <c r="S170"/>
      <c r="T170"/>
      <c r="U170"/>
    </row>
    <row r="171" spans="1:21" s="1" customFormat="1" ht="11.25" customHeight="1" x14ac:dyDescent="0.2">
      <c r="A171" s="83">
        <v>1</v>
      </c>
      <c r="B171" s="115"/>
      <c r="C171" s="115"/>
      <c r="D171" s="48"/>
      <c r="E171" s="66" t="s">
        <v>54</v>
      </c>
      <c r="F171" s="40" t="s">
        <v>57</v>
      </c>
      <c r="G171" s="121" t="s">
        <v>741</v>
      </c>
      <c r="H171" s="123">
        <f>SUM(H168:H170)</f>
        <v>0</v>
      </c>
      <c r="I171" s="123">
        <f>SUM(I168:I170)</f>
        <v>16</v>
      </c>
      <c r="J171" s="123">
        <f>SUM(J168:J170)</f>
        <v>0</v>
      </c>
      <c r="K171" s="123">
        <f>SUM(K168:K170)</f>
        <v>0</v>
      </c>
      <c r="L171" s="123">
        <f>SUM(L168:L170)</f>
        <v>0</v>
      </c>
      <c r="M171" s="38"/>
      <c r="N171" s="117"/>
      <c r="O171" s="118"/>
      <c r="P171" s="119"/>
      <c r="Q171" s="120"/>
      <c r="R171" s="111"/>
      <c r="S171"/>
      <c r="T171"/>
      <c r="U171"/>
    </row>
    <row r="172" spans="1:21" s="1" customFormat="1" ht="33.75" x14ac:dyDescent="0.2">
      <c r="A172" s="83">
        <v>1</v>
      </c>
      <c r="B172" s="115"/>
      <c r="C172" s="115" t="s">
        <v>788</v>
      </c>
      <c r="D172" s="1502" t="s">
        <v>789</v>
      </c>
      <c r="E172" s="44" t="s">
        <v>790</v>
      </c>
      <c r="F172" s="126" t="s">
        <v>791</v>
      </c>
      <c r="G172" s="40" t="s">
        <v>58</v>
      </c>
      <c r="H172" s="124">
        <v>1387</v>
      </c>
      <c r="I172" s="16">
        <v>1147.3</v>
      </c>
      <c r="J172" s="116">
        <v>448.2</v>
      </c>
      <c r="K172" s="127"/>
      <c r="L172" s="127"/>
      <c r="M172" s="38"/>
      <c r="N172" s="128" t="s">
        <v>792</v>
      </c>
      <c r="O172" s="118" t="s">
        <v>2283</v>
      </c>
      <c r="P172" s="119" t="s">
        <v>2284</v>
      </c>
      <c r="Q172" s="129"/>
      <c r="R172" s="111"/>
      <c r="S172"/>
      <c r="T172"/>
      <c r="U172"/>
    </row>
    <row r="173" spans="1:21" s="1" customFormat="1" x14ac:dyDescent="0.2">
      <c r="A173" s="83">
        <v>1</v>
      </c>
      <c r="B173" s="115"/>
      <c r="C173" s="115"/>
      <c r="D173" s="1478"/>
      <c r="E173" s="44" t="s">
        <v>790</v>
      </c>
      <c r="F173" s="126" t="s">
        <v>791</v>
      </c>
      <c r="G173" s="69" t="s">
        <v>9</v>
      </c>
      <c r="H173" s="124">
        <v>38.1</v>
      </c>
      <c r="I173" s="16">
        <v>156.69999999999999</v>
      </c>
      <c r="J173" s="116">
        <f>20+99</f>
        <v>119</v>
      </c>
      <c r="K173" s="37"/>
      <c r="L173" s="37"/>
      <c r="M173" s="38" t="s">
        <v>787</v>
      </c>
      <c r="N173" s="117"/>
      <c r="O173" s="118"/>
      <c r="P173" s="119"/>
      <c r="Q173" s="120"/>
      <c r="R173" s="111"/>
      <c r="S173" s="130"/>
      <c r="T173"/>
      <c r="U173"/>
    </row>
    <row r="174" spans="1:21" s="1" customFormat="1" ht="11.25" customHeight="1" x14ac:dyDescent="0.2">
      <c r="A174" s="83">
        <v>1</v>
      </c>
      <c r="B174" s="115"/>
      <c r="C174" s="115"/>
      <c r="D174" s="1479"/>
      <c r="E174" s="44" t="s">
        <v>790</v>
      </c>
      <c r="F174" s="131" t="s">
        <v>791</v>
      </c>
      <c r="G174" s="40" t="s">
        <v>59</v>
      </c>
      <c r="H174" s="124"/>
      <c r="I174" s="16">
        <v>207.4</v>
      </c>
      <c r="J174" s="116">
        <v>222.2</v>
      </c>
      <c r="K174" s="127"/>
      <c r="L174" s="127"/>
      <c r="M174" s="38"/>
      <c r="N174" s="127"/>
      <c r="O174" s="120"/>
      <c r="P174" s="120"/>
      <c r="Q174" s="120"/>
      <c r="R174" s="111"/>
      <c r="S174"/>
      <c r="T174"/>
      <c r="U174"/>
    </row>
    <row r="175" spans="1:21" s="1" customFormat="1" ht="11.25" customHeight="1" x14ac:dyDescent="0.2">
      <c r="A175" s="83">
        <v>1</v>
      </c>
      <c r="B175" s="115"/>
      <c r="C175" s="115"/>
      <c r="D175" s="48"/>
      <c r="E175" s="44" t="s">
        <v>790</v>
      </c>
      <c r="F175" s="126" t="s">
        <v>791</v>
      </c>
      <c r="G175" s="121" t="s">
        <v>741</v>
      </c>
      <c r="H175" s="123">
        <f>SUM(H172:H174)</f>
        <v>1425.1</v>
      </c>
      <c r="I175" s="123">
        <f>SUM(I172:I174)</f>
        <v>1511.4</v>
      </c>
      <c r="J175" s="123">
        <f>SUM(J172:J174)</f>
        <v>789.40000000000009</v>
      </c>
      <c r="K175" s="123">
        <f>SUM(K172:K174)</f>
        <v>0</v>
      </c>
      <c r="L175" s="123">
        <f>SUM(L172:L174)</f>
        <v>0</v>
      </c>
      <c r="M175" s="38"/>
      <c r="N175" s="868"/>
      <c r="O175" s="118"/>
      <c r="P175" s="119"/>
      <c r="Q175" s="120"/>
      <c r="R175" s="111"/>
      <c r="S175"/>
      <c r="T175"/>
      <c r="U175"/>
    </row>
    <row r="176" spans="1:21" s="1" customFormat="1" ht="21" customHeight="1" x14ac:dyDescent="0.2">
      <c r="A176" s="83">
        <v>1</v>
      </c>
      <c r="B176" s="115"/>
      <c r="C176" s="115" t="s">
        <v>793</v>
      </c>
      <c r="D176" s="48" t="s">
        <v>794</v>
      </c>
      <c r="E176" s="66" t="s">
        <v>60</v>
      </c>
      <c r="F176" s="126" t="s">
        <v>795</v>
      </c>
      <c r="G176" s="69" t="s">
        <v>9</v>
      </c>
      <c r="H176" s="127">
        <f>4-1.9</f>
        <v>2.1</v>
      </c>
      <c r="I176" s="17"/>
      <c r="J176" s="116">
        <v>240</v>
      </c>
      <c r="K176" s="127"/>
      <c r="L176" s="127"/>
      <c r="M176" s="38" t="s">
        <v>796</v>
      </c>
      <c r="N176" s="146" t="s">
        <v>1051</v>
      </c>
      <c r="O176" s="867" t="s">
        <v>797</v>
      </c>
      <c r="P176" s="119">
        <v>1</v>
      </c>
      <c r="Q176" s="145" t="s">
        <v>799</v>
      </c>
      <c r="R176" s="111"/>
      <c r="S176"/>
      <c r="T176"/>
      <c r="U176"/>
    </row>
    <row r="177" spans="1:23" s="1" customFormat="1" x14ac:dyDescent="0.2">
      <c r="A177" s="83">
        <v>1</v>
      </c>
      <c r="B177" s="115"/>
      <c r="C177" s="115"/>
      <c r="D177" s="48"/>
      <c r="E177" s="44" t="s">
        <v>44</v>
      </c>
      <c r="F177" s="126" t="s">
        <v>795</v>
      </c>
      <c r="G177" s="66" t="s">
        <v>9</v>
      </c>
      <c r="H177" s="127">
        <v>85.1</v>
      </c>
      <c r="I177" s="16">
        <v>114.2</v>
      </c>
      <c r="J177" s="116">
        <v>186</v>
      </c>
      <c r="K177" s="127"/>
      <c r="L177" s="127"/>
      <c r="M177" s="38" t="s">
        <v>796</v>
      </c>
      <c r="N177" s="869"/>
      <c r="O177" s="118"/>
      <c r="P177" s="119"/>
      <c r="Q177" s="132"/>
      <c r="R177" s="111"/>
      <c r="S177" s="1497"/>
      <c r="T177" s="1498"/>
      <c r="U177"/>
    </row>
    <row r="178" spans="1:23" s="1" customFormat="1" ht="11.25" customHeight="1" x14ac:dyDescent="0.2">
      <c r="A178" s="83">
        <v>1</v>
      </c>
      <c r="B178" s="115"/>
      <c r="C178" s="115"/>
      <c r="D178" s="48"/>
      <c r="E178" s="44" t="s">
        <v>42</v>
      </c>
      <c r="F178" s="126" t="s">
        <v>795</v>
      </c>
      <c r="G178" s="66" t="s">
        <v>9</v>
      </c>
      <c r="H178" s="127">
        <v>5</v>
      </c>
      <c r="I178" s="171">
        <v>13.5</v>
      </c>
      <c r="J178" s="133">
        <v>14.8</v>
      </c>
      <c r="K178" s="127"/>
      <c r="L178" s="127"/>
      <c r="M178" s="38" t="s">
        <v>796</v>
      </c>
      <c r="N178" s="117"/>
      <c r="O178" s="118"/>
      <c r="P178" s="119"/>
      <c r="Q178" s="120"/>
      <c r="R178" s="111"/>
      <c r="S178"/>
      <c r="T178"/>
      <c r="U178"/>
    </row>
    <row r="179" spans="1:23" s="1" customFormat="1" ht="45" x14ac:dyDescent="0.2">
      <c r="A179" s="83">
        <v>1</v>
      </c>
      <c r="B179" s="115"/>
      <c r="C179" s="115"/>
      <c r="D179" s="48"/>
      <c r="E179" s="44" t="s">
        <v>54</v>
      </c>
      <c r="F179" s="126" t="s">
        <v>795</v>
      </c>
      <c r="G179" s="66" t="s">
        <v>9</v>
      </c>
      <c r="H179" s="127">
        <f>20+7.9</f>
        <v>27.9</v>
      </c>
      <c r="I179" s="16"/>
      <c r="J179" s="116"/>
      <c r="K179" s="127"/>
      <c r="L179" s="127"/>
      <c r="M179" s="38" t="s">
        <v>796</v>
      </c>
      <c r="N179" s="128" t="s">
        <v>798</v>
      </c>
      <c r="O179" s="118" t="s">
        <v>2285</v>
      </c>
      <c r="P179" s="119" t="s">
        <v>2286</v>
      </c>
      <c r="Q179" s="146"/>
      <c r="R179" s="111"/>
      <c r="S179"/>
      <c r="T179"/>
      <c r="U179"/>
    </row>
    <row r="180" spans="1:23" s="1" customFormat="1" ht="11.25" customHeight="1" x14ac:dyDescent="0.2">
      <c r="A180" s="83">
        <v>1</v>
      </c>
      <c r="B180" s="115"/>
      <c r="C180" s="115"/>
      <c r="D180" s="48"/>
      <c r="E180" s="44" t="s">
        <v>29</v>
      </c>
      <c r="F180" s="126" t="s">
        <v>795</v>
      </c>
      <c r="G180" s="66" t="s">
        <v>9</v>
      </c>
      <c r="H180" s="127"/>
      <c r="I180" s="16"/>
      <c r="J180" s="116">
        <v>7</v>
      </c>
      <c r="K180" s="127"/>
      <c r="L180" s="127"/>
      <c r="M180" s="38" t="s">
        <v>796</v>
      </c>
      <c r="N180" s="117"/>
      <c r="O180" s="118"/>
      <c r="P180" s="119"/>
      <c r="Q180" s="120"/>
      <c r="R180" s="111"/>
      <c r="S180"/>
      <c r="T180"/>
      <c r="U180"/>
    </row>
    <row r="181" spans="1:23" s="1" customFormat="1" x14ac:dyDescent="0.2">
      <c r="A181" s="83">
        <v>1</v>
      </c>
      <c r="B181" s="115"/>
      <c r="C181" s="115"/>
      <c r="D181" s="48"/>
      <c r="E181" s="44" t="s">
        <v>27</v>
      </c>
      <c r="F181" s="126" t="s">
        <v>795</v>
      </c>
      <c r="G181" s="66" t="s">
        <v>9</v>
      </c>
      <c r="H181" s="127"/>
      <c r="I181" s="16"/>
      <c r="J181" s="116">
        <v>60</v>
      </c>
      <c r="K181" s="127"/>
      <c r="L181" s="127"/>
      <c r="M181" s="38" t="s">
        <v>796</v>
      </c>
      <c r="N181" s="117"/>
      <c r="P181" s="119"/>
      <c r="Q181" s="120"/>
      <c r="R181" s="111"/>
      <c r="S181" s="1497"/>
      <c r="T181" s="1498"/>
      <c r="U181" s="5"/>
      <c r="V181" s="98"/>
      <c r="W181" s="98"/>
    </row>
    <row r="182" spans="1:23" s="1" customFormat="1" ht="11.25" customHeight="1" x14ac:dyDescent="0.2">
      <c r="A182" s="83">
        <v>1</v>
      </c>
      <c r="B182" s="115"/>
      <c r="C182" s="115"/>
      <c r="D182" s="48"/>
      <c r="E182" s="44" t="s">
        <v>17</v>
      </c>
      <c r="F182" s="126" t="s">
        <v>795</v>
      </c>
      <c r="G182" s="66" t="s">
        <v>9</v>
      </c>
      <c r="H182" s="134"/>
      <c r="I182" s="128"/>
      <c r="J182" s="135"/>
      <c r="K182" s="127"/>
      <c r="L182" s="127"/>
      <c r="M182" s="38" t="s">
        <v>796</v>
      </c>
      <c r="N182" s="117"/>
      <c r="O182" s="118"/>
      <c r="P182" s="119"/>
      <c r="Q182" s="120"/>
      <c r="R182" s="111"/>
      <c r="S182"/>
      <c r="T182"/>
      <c r="U182"/>
    </row>
    <row r="183" spans="1:23" s="1" customFormat="1" ht="11.25" customHeight="1" x14ac:dyDescent="0.2">
      <c r="A183" s="83">
        <v>1</v>
      </c>
      <c r="B183" s="115"/>
      <c r="C183" s="115"/>
      <c r="D183" s="48"/>
      <c r="E183" s="44" t="s">
        <v>34</v>
      </c>
      <c r="F183" s="126" t="s">
        <v>795</v>
      </c>
      <c r="G183" s="66" t="s">
        <v>9</v>
      </c>
      <c r="H183" s="127">
        <f>6-6</f>
        <v>0</v>
      </c>
      <c r="I183" s="16">
        <v>17.7</v>
      </c>
      <c r="J183" s="116"/>
      <c r="K183" s="127"/>
      <c r="L183" s="127"/>
      <c r="M183" s="38" t="s">
        <v>796</v>
      </c>
      <c r="N183" s="117"/>
      <c r="O183" s="118"/>
      <c r="P183" s="119"/>
      <c r="Q183" s="120"/>
      <c r="R183" s="111"/>
      <c r="S183"/>
      <c r="T183"/>
      <c r="U183"/>
    </row>
    <row r="184" spans="1:23" s="1" customFormat="1" ht="11.25" customHeight="1" x14ac:dyDescent="0.2">
      <c r="A184" s="83">
        <v>1</v>
      </c>
      <c r="B184" s="115"/>
      <c r="C184" s="115"/>
      <c r="D184" s="48"/>
      <c r="E184" s="44" t="s">
        <v>31</v>
      </c>
      <c r="F184" s="126" t="s">
        <v>795</v>
      </c>
      <c r="G184" s="66" t="s">
        <v>9</v>
      </c>
      <c r="H184" s="127"/>
      <c r="I184" s="16">
        <v>6.5</v>
      </c>
      <c r="J184" s="116"/>
      <c r="K184" s="127"/>
      <c r="L184" s="127"/>
      <c r="M184" s="38" t="s">
        <v>796</v>
      </c>
      <c r="N184" s="117"/>
      <c r="O184" s="118"/>
      <c r="P184" s="119"/>
      <c r="Q184" s="120"/>
      <c r="R184" s="111"/>
      <c r="S184"/>
      <c r="T184"/>
      <c r="U184"/>
    </row>
    <row r="185" spans="1:23" s="1" customFormat="1" ht="11.25" customHeight="1" x14ac:dyDescent="0.2">
      <c r="A185" s="83">
        <v>1</v>
      </c>
      <c r="B185" s="115"/>
      <c r="C185" s="115"/>
      <c r="D185" s="48"/>
      <c r="E185" s="44" t="s">
        <v>6</v>
      </c>
      <c r="F185" s="126" t="s">
        <v>795</v>
      </c>
      <c r="G185" s="66" t="s">
        <v>9</v>
      </c>
      <c r="H185" s="127">
        <v>10</v>
      </c>
      <c r="I185" s="128"/>
      <c r="J185" s="135"/>
      <c r="K185" s="127"/>
      <c r="L185" s="127"/>
      <c r="M185" s="38" t="s">
        <v>796</v>
      </c>
      <c r="N185" s="117"/>
      <c r="O185" s="118"/>
      <c r="P185" s="119"/>
      <c r="Q185" s="120"/>
      <c r="R185" s="1523"/>
      <c r="S185" s="1524"/>
      <c r="T185"/>
      <c r="U185"/>
    </row>
    <row r="186" spans="1:23" s="1" customFormat="1" ht="11.25" customHeight="1" x14ac:dyDescent="0.2">
      <c r="A186" s="83">
        <v>1</v>
      </c>
      <c r="B186" s="115"/>
      <c r="C186" s="115"/>
      <c r="D186" s="48"/>
      <c r="E186" s="44" t="s">
        <v>19</v>
      </c>
      <c r="F186" s="126" t="s">
        <v>795</v>
      </c>
      <c r="G186" s="66" t="s">
        <v>9</v>
      </c>
      <c r="H186" s="127"/>
      <c r="I186" s="128"/>
      <c r="J186" s="116">
        <v>42</v>
      </c>
      <c r="K186" s="127"/>
      <c r="L186" s="127"/>
      <c r="M186" s="38" t="s">
        <v>796</v>
      </c>
      <c r="N186" s="117"/>
      <c r="O186" s="118"/>
      <c r="P186" s="119"/>
      <c r="Q186" s="120"/>
      <c r="R186" s="1523"/>
      <c r="S186" s="1524"/>
      <c r="T186"/>
      <c r="U186"/>
    </row>
    <row r="187" spans="1:23" s="1" customFormat="1" ht="33.75" x14ac:dyDescent="0.2">
      <c r="A187" s="83">
        <v>1</v>
      </c>
      <c r="B187" s="115"/>
      <c r="C187" s="115"/>
      <c r="D187" s="48"/>
      <c r="E187" s="136" t="s">
        <v>800</v>
      </c>
      <c r="F187" s="126" t="s">
        <v>795</v>
      </c>
      <c r="G187" s="66" t="s">
        <v>9</v>
      </c>
      <c r="H187" s="134"/>
      <c r="I187" s="16">
        <v>44.9</v>
      </c>
      <c r="J187" s="116">
        <v>65</v>
      </c>
      <c r="K187" s="127"/>
      <c r="L187" s="127"/>
      <c r="M187" s="38" t="s">
        <v>796</v>
      </c>
      <c r="N187" s="117"/>
      <c r="O187" s="118"/>
      <c r="P187" s="119"/>
      <c r="Q187" s="120"/>
      <c r="R187" s="1523"/>
      <c r="S187" s="1525"/>
      <c r="T187"/>
      <c r="U187"/>
    </row>
    <row r="188" spans="1:23" s="1" customFormat="1" ht="11.25" customHeight="1" x14ac:dyDescent="0.2">
      <c r="A188" s="83">
        <v>1</v>
      </c>
      <c r="B188" s="115"/>
      <c r="C188" s="115"/>
      <c r="D188" s="48"/>
      <c r="E188" s="44" t="s">
        <v>666</v>
      </c>
      <c r="F188" s="126" t="s">
        <v>795</v>
      </c>
      <c r="G188" s="69" t="s">
        <v>9</v>
      </c>
      <c r="H188" s="127"/>
      <c r="I188" s="16">
        <v>11</v>
      </c>
      <c r="J188" s="116"/>
      <c r="K188" s="127"/>
      <c r="L188" s="127"/>
      <c r="M188" s="38" t="s">
        <v>796</v>
      </c>
      <c r="N188" s="117"/>
      <c r="O188" s="118"/>
      <c r="P188" s="119"/>
      <c r="Q188" s="120"/>
      <c r="R188" s="1523"/>
      <c r="S188" s="1524"/>
      <c r="T188"/>
      <c r="U188"/>
    </row>
    <row r="189" spans="1:23" s="1" customFormat="1" ht="16.5" customHeight="1" x14ac:dyDescent="0.2">
      <c r="A189" s="83">
        <v>1</v>
      </c>
      <c r="B189" s="115"/>
      <c r="C189" s="115"/>
      <c r="D189" s="48"/>
      <c r="E189" s="44"/>
      <c r="F189" s="126" t="s">
        <v>795</v>
      </c>
      <c r="G189" s="121" t="s">
        <v>741</v>
      </c>
      <c r="H189" s="123">
        <f>SUM(H176:H188)</f>
        <v>130.1</v>
      </c>
      <c r="I189" s="123">
        <f>SUM(I176:I188)</f>
        <v>207.8</v>
      </c>
      <c r="J189" s="123">
        <f>SUM(J176:J188)</f>
        <v>614.79999999999995</v>
      </c>
      <c r="K189" s="123">
        <f>SUM(K176:K188)</f>
        <v>0</v>
      </c>
      <c r="L189" s="123">
        <f>SUM(L176:L188)</f>
        <v>0</v>
      </c>
      <c r="M189" s="38"/>
      <c r="N189" s="117"/>
      <c r="O189" s="118"/>
      <c r="P189" s="119"/>
      <c r="Q189" s="120"/>
      <c r="R189" s="1523"/>
      <c r="S189" s="1524"/>
      <c r="T189"/>
      <c r="U189"/>
    </row>
    <row r="190" spans="1:23" s="1" customFormat="1" ht="20.45" customHeight="1" x14ac:dyDescent="0.2">
      <c r="A190" s="83">
        <v>1</v>
      </c>
      <c r="B190" s="115"/>
      <c r="C190" s="115" t="s">
        <v>801</v>
      </c>
      <c r="D190" s="1499" t="s">
        <v>802</v>
      </c>
      <c r="E190" s="70" t="s">
        <v>44</v>
      </c>
      <c r="F190" s="40" t="s">
        <v>62</v>
      </c>
      <c r="G190" s="40" t="s">
        <v>8</v>
      </c>
      <c r="H190" s="16">
        <v>258.60000000000002</v>
      </c>
      <c r="I190" s="16">
        <v>311.60000000000002</v>
      </c>
      <c r="J190" s="116">
        <v>321</v>
      </c>
      <c r="K190" s="871">
        <v>346</v>
      </c>
      <c r="L190" s="871">
        <v>346</v>
      </c>
      <c r="M190" s="38"/>
      <c r="N190" s="117"/>
      <c r="O190" s="118"/>
      <c r="P190" s="119"/>
      <c r="Q190" s="120"/>
      <c r="R190" s="111"/>
      <c r="S190"/>
      <c r="T190"/>
      <c r="U190"/>
    </row>
    <row r="191" spans="1:23" s="1" customFormat="1" ht="11.25" customHeight="1" x14ac:dyDescent="0.2">
      <c r="A191" s="83">
        <v>1</v>
      </c>
      <c r="B191" s="115"/>
      <c r="C191" s="115"/>
      <c r="D191" s="1500"/>
      <c r="E191" s="70" t="s">
        <v>44</v>
      </c>
      <c r="F191" s="40" t="s">
        <v>62</v>
      </c>
      <c r="G191" s="69" t="s">
        <v>9</v>
      </c>
      <c r="H191" s="16">
        <v>115.5</v>
      </c>
      <c r="I191" s="16">
        <v>110.4</v>
      </c>
      <c r="J191" s="116">
        <v>132.5</v>
      </c>
      <c r="K191" s="845">
        <v>332.7</v>
      </c>
      <c r="L191" s="871">
        <f>338.3</f>
        <v>338.3</v>
      </c>
      <c r="M191" s="38" t="s">
        <v>739</v>
      </c>
      <c r="N191" s="117"/>
      <c r="O191" s="118"/>
      <c r="P191" s="119"/>
      <c r="Q191" s="120"/>
      <c r="R191" s="111"/>
      <c r="S191"/>
      <c r="T191"/>
      <c r="U191"/>
    </row>
    <row r="192" spans="1:23" s="1" customFormat="1" ht="11.25" customHeight="1" x14ac:dyDescent="0.2">
      <c r="A192" s="83">
        <v>1</v>
      </c>
      <c r="B192" s="115"/>
      <c r="C192" s="115"/>
      <c r="D192" s="1501"/>
      <c r="E192" s="70" t="s">
        <v>44</v>
      </c>
      <c r="F192" s="40" t="s">
        <v>62</v>
      </c>
      <c r="G192" s="40" t="s">
        <v>11</v>
      </c>
      <c r="H192" s="16"/>
      <c r="I192" s="16"/>
      <c r="J192" s="116"/>
      <c r="K192" s="16"/>
      <c r="L192" s="16"/>
      <c r="M192" s="38"/>
      <c r="N192" s="117"/>
      <c r="O192" s="118"/>
      <c r="P192" s="119"/>
      <c r="Q192" s="132"/>
      <c r="R192" s="111"/>
      <c r="S192"/>
      <c r="T192"/>
      <c r="U192"/>
    </row>
    <row r="193" spans="1:21" s="1" customFormat="1" ht="11.25" customHeight="1" x14ac:dyDescent="0.2">
      <c r="A193" s="83">
        <v>1</v>
      </c>
      <c r="B193" s="115"/>
      <c r="C193" s="115"/>
      <c r="D193" s="48"/>
      <c r="E193" s="70" t="s">
        <v>44</v>
      </c>
      <c r="F193" s="40" t="s">
        <v>62</v>
      </c>
      <c r="G193" s="121" t="s">
        <v>741</v>
      </c>
      <c r="H193" s="123">
        <f>SUM(H190:H192)</f>
        <v>374.1</v>
      </c>
      <c r="I193" s="123">
        <f>SUM(I190:I192)</f>
        <v>422</v>
      </c>
      <c r="J193" s="123">
        <f>SUM(J190:J192)</f>
        <v>453.5</v>
      </c>
      <c r="K193" s="123">
        <f>SUM(K190:K192)</f>
        <v>678.7</v>
      </c>
      <c r="L193" s="123">
        <f>SUM(L190:L192)</f>
        <v>684.3</v>
      </c>
      <c r="M193" s="38"/>
      <c r="N193" s="117"/>
      <c r="O193" s="118"/>
      <c r="P193" s="119"/>
      <c r="Q193" s="132"/>
      <c r="R193" s="111"/>
      <c r="S193"/>
      <c r="T193"/>
      <c r="U193"/>
    </row>
    <row r="194" spans="1:21" s="1" customFormat="1" ht="11.25" customHeight="1" x14ac:dyDescent="0.2">
      <c r="A194" s="83">
        <v>1</v>
      </c>
      <c r="B194" s="115"/>
      <c r="C194" s="115" t="s">
        <v>803</v>
      </c>
      <c r="D194" s="1502" t="s">
        <v>63</v>
      </c>
      <c r="E194" s="40">
        <v>9</v>
      </c>
      <c r="F194" s="126" t="s">
        <v>64</v>
      </c>
      <c r="G194" s="69" t="s">
        <v>9</v>
      </c>
      <c r="H194" s="124">
        <v>490</v>
      </c>
      <c r="I194" s="16">
        <v>743.2</v>
      </c>
      <c r="J194" s="116">
        <f>937.8-180-200</f>
        <v>557.79999999999995</v>
      </c>
      <c r="K194" s="37">
        <v>937.8</v>
      </c>
      <c r="L194" s="37">
        <v>937.8</v>
      </c>
      <c r="M194" s="38" t="s">
        <v>782</v>
      </c>
      <c r="N194" s="117" t="s">
        <v>804</v>
      </c>
      <c r="O194" s="118" t="s">
        <v>805</v>
      </c>
      <c r="P194" s="88">
        <v>30</v>
      </c>
      <c r="Q194" s="132"/>
      <c r="R194" s="111"/>
      <c r="S194"/>
      <c r="T194"/>
      <c r="U194"/>
    </row>
    <row r="195" spans="1:21" s="1" customFormat="1" ht="11.25" customHeight="1" x14ac:dyDescent="0.2">
      <c r="A195" s="83">
        <v>1</v>
      </c>
      <c r="B195" s="115"/>
      <c r="C195" s="115"/>
      <c r="D195" s="1478"/>
      <c r="E195" s="40">
        <v>9</v>
      </c>
      <c r="F195" s="126" t="s">
        <v>64</v>
      </c>
      <c r="G195" s="40" t="s">
        <v>10</v>
      </c>
      <c r="H195" s="37"/>
      <c r="I195" s="16">
        <v>0</v>
      </c>
      <c r="J195" s="116">
        <v>0</v>
      </c>
      <c r="K195" s="37">
        <v>0</v>
      </c>
      <c r="L195" s="37">
        <v>0</v>
      </c>
      <c r="M195" s="38"/>
      <c r="N195" s="117"/>
      <c r="O195" s="118"/>
      <c r="P195" s="119"/>
      <c r="Q195" s="132"/>
      <c r="R195" s="111"/>
      <c r="S195"/>
      <c r="T195"/>
      <c r="U195"/>
    </row>
    <row r="196" spans="1:21" s="1" customFormat="1" ht="11.25" customHeight="1" x14ac:dyDescent="0.2">
      <c r="A196" s="83">
        <v>1</v>
      </c>
      <c r="B196" s="115"/>
      <c r="C196" s="115"/>
      <c r="D196" s="1479"/>
      <c r="E196" s="40">
        <v>9</v>
      </c>
      <c r="F196" s="126" t="s">
        <v>64</v>
      </c>
      <c r="G196" s="126" t="s">
        <v>11</v>
      </c>
      <c r="H196" s="127">
        <v>0</v>
      </c>
      <c r="I196" s="16">
        <v>0</v>
      </c>
      <c r="J196" s="116">
        <v>0</v>
      </c>
      <c r="K196" s="127">
        <v>0</v>
      </c>
      <c r="L196" s="127">
        <v>0</v>
      </c>
      <c r="M196" s="38"/>
      <c r="N196" s="117"/>
      <c r="O196" s="118"/>
      <c r="P196" s="119"/>
      <c r="Q196" s="132"/>
      <c r="R196" s="111"/>
      <c r="S196"/>
      <c r="T196"/>
      <c r="U196"/>
    </row>
    <row r="197" spans="1:21" s="1" customFormat="1" ht="11.25" customHeight="1" x14ac:dyDescent="0.2">
      <c r="A197" s="83">
        <v>1</v>
      </c>
      <c r="B197" s="115"/>
      <c r="C197" s="115"/>
      <c r="D197" s="48"/>
      <c r="E197" s="40">
        <v>9</v>
      </c>
      <c r="F197" s="126" t="s">
        <v>64</v>
      </c>
      <c r="G197" s="121" t="s">
        <v>741</v>
      </c>
      <c r="H197" s="123">
        <f>SUM(H194:H196)</f>
        <v>490</v>
      </c>
      <c r="I197" s="123">
        <f>SUM(I194:I196)</f>
        <v>743.2</v>
      </c>
      <c r="J197" s="123">
        <f>SUM(J194:J196)</f>
        <v>557.79999999999995</v>
      </c>
      <c r="K197" s="123">
        <f>SUM(K194:K196)</f>
        <v>937.8</v>
      </c>
      <c r="L197" s="123">
        <f>SUM(L194:L196)</f>
        <v>937.8</v>
      </c>
      <c r="M197" s="38"/>
      <c r="N197" s="117"/>
      <c r="O197" s="118"/>
      <c r="P197" s="119"/>
      <c r="Q197" s="132"/>
      <c r="R197" s="111"/>
      <c r="S197"/>
      <c r="T197"/>
      <c r="U197"/>
    </row>
    <row r="198" spans="1:21" s="1" customFormat="1" ht="27" customHeight="1" x14ac:dyDescent="0.2">
      <c r="A198" s="83">
        <v>1</v>
      </c>
      <c r="B198" s="115"/>
      <c r="C198" s="115" t="s">
        <v>806</v>
      </c>
      <c r="D198" s="48" t="s">
        <v>807</v>
      </c>
      <c r="E198" s="40">
        <v>18</v>
      </c>
      <c r="F198" s="126" t="s">
        <v>66</v>
      </c>
      <c r="G198" s="69" t="s">
        <v>9</v>
      </c>
      <c r="H198" s="137">
        <v>571.9</v>
      </c>
      <c r="I198" s="16">
        <v>734.6</v>
      </c>
      <c r="J198" s="116">
        <f>600+200+200</f>
        <v>1000</v>
      </c>
      <c r="K198" s="127">
        <v>1000</v>
      </c>
      <c r="L198" s="127">
        <v>1000</v>
      </c>
      <c r="M198" s="38" t="s">
        <v>782</v>
      </c>
      <c r="N198" s="117" t="s">
        <v>808</v>
      </c>
      <c r="O198" s="118" t="s">
        <v>2287</v>
      </c>
      <c r="P198" s="119">
        <v>100</v>
      </c>
      <c r="Q198" s="132"/>
      <c r="R198" s="111"/>
      <c r="S198"/>
      <c r="T198"/>
      <c r="U198"/>
    </row>
    <row r="199" spans="1:21" s="1" customFormat="1" ht="11.25" customHeight="1" x14ac:dyDescent="0.2">
      <c r="A199" s="83">
        <v>1</v>
      </c>
      <c r="B199" s="115"/>
      <c r="C199" s="115"/>
      <c r="D199" s="48"/>
      <c r="E199" s="40">
        <v>18</v>
      </c>
      <c r="F199" s="126" t="s">
        <v>66</v>
      </c>
      <c r="G199" s="121" t="s">
        <v>741</v>
      </c>
      <c r="H199" s="123">
        <f>SUM(H198)</f>
        <v>571.9</v>
      </c>
      <c r="I199" s="123">
        <f>SUM(I198)</f>
        <v>734.6</v>
      </c>
      <c r="J199" s="123">
        <f>SUM(J198)</f>
        <v>1000</v>
      </c>
      <c r="K199" s="123">
        <f>SUM(K198)</f>
        <v>1000</v>
      </c>
      <c r="L199" s="123">
        <f>SUM(L198)</f>
        <v>1000</v>
      </c>
      <c r="M199" s="38"/>
      <c r="N199" s="117"/>
      <c r="O199" s="118"/>
      <c r="P199" s="119"/>
      <c r="Q199" s="132"/>
      <c r="R199" s="111"/>
      <c r="S199"/>
      <c r="T199"/>
      <c r="U199"/>
    </row>
    <row r="200" spans="1:21" s="1" customFormat="1" ht="33.75" x14ac:dyDescent="0.2">
      <c r="A200" s="83">
        <v>1</v>
      </c>
      <c r="B200" s="115"/>
      <c r="C200" s="115" t="s">
        <v>809</v>
      </c>
      <c r="D200" s="35" t="s">
        <v>810</v>
      </c>
      <c r="E200" s="40">
        <v>11</v>
      </c>
      <c r="F200" s="126" t="s">
        <v>811</v>
      </c>
      <c r="G200" s="126" t="s">
        <v>11</v>
      </c>
      <c r="H200" s="124">
        <v>0.2</v>
      </c>
      <c r="I200" s="16">
        <v>3</v>
      </c>
      <c r="J200" s="116">
        <f>1.6+0.4+0.3</f>
        <v>2.2999999999999998</v>
      </c>
      <c r="K200" s="16">
        <v>2</v>
      </c>
      <c r="L200" s="16">
        <v>2</v>
      </c>
      <c r="M200" s="38"/>
      <c r="N200" s="117" t="s">
        <v>798</v>
      </c>
      <c r="O200" s="118" t="s">
        <v>812</v>
      </c>
      <c r="P200" s="119">
        <v>2</v>
      </c>
      <c r="Q200" s="132"/>
      <c r="R200" s="111"/>
      <c r="S200"/>
      <c r="T200"/>
      <c r="U200"/>
    </row>
    <row r="201" spans="1:21" s="1" customFormat="1" ht="11.25" customHeight="1" x14ac:dyDescent="0.2">
      <c r="A201" s="83">
        <v>1</v>
      </c>
      <c r="B201" s="115"/>
      <c r="C201" s="115"/>
      <c r="D201" s="35"/>
      <c r="E201" s="40" t="s">
        <v>6</v>
      </c>
      <c r="F201" s="126" t="s">
        <v>811</v>
      </c>
      <c r="G201" s="126" t="s">
        <v>11</v>
      </c>
      <c r="H201" s="37">
        <v>8.3000000000000007</v>
      </c>
      <c r="I201" s="16">
        <f>77.3+21.7</f>
        <v>99</v>
      </c>
      <c r="J201" s="116">
        <f>51.4+14.6+8.4</f>
        <v>74.400000000000006</v>
      </c>
      <c r="K201" s="16">
        <v>69.3</v>
      </c>
      <c r="L201" s="16">
        <v>70.599999999999994</v>
      </c>
      <c r="M201" s="38"/>
      <c r="N201" s="117"/>
      <c r="O201" s="118"/>
      <c r="P201" s="119"/>
      <c r="Q201" s="132"/>
      <c r="R201" s="111"/>
      <c r="S201"/>
      <c r="T201"/>
      <c r="U201"/>
    </row>
    <row r="202" spans="1:21" s="1" customFormat="1" ht="11.25" customHeight="1" x14ac:dyDescent="0.2">
      <c r="A202" s="83">
        <v>1</v>
      </c>
      <c r="B202" s="115"/>
      <c r="C202" s="115"/>
      <c r="D202" s="35"/>
      <c r="E202" s="40" t="s">
        <v>27</v>
      </c>
      <c r="F202" s="126" t="s">
        <v>811</v>
      </c>
      <c r="G202" s="126" t="s">
        <v>11</v>
      </c>
      <c r="H202" s="127">
        <v>8.3000000000000007</v>
      </c>
      <c r="I202" s="16">
        <f>77.3+21.7</f>
        <v>99</v>
      </c>
      <c r="J202" s="116">
        <f>51.4+14.6+10.3</f>
        <v>76.3</v>
      </c>
      <c r="K202" s="16">
        <v>69.3</v>
      </c>
      <c r="L202" s="16">
        <v>70.599999999999994</v>
      </c>
      <c r="M202" s="38"/>
      <c r="N202" s="117"/>
      <c r="O202" s="118"/>
      <c r="P202" s="119"/>
      <c r="Q202" s="132"/>
      <c r="R202" s="111"/>
      <c r="S202"/>
      <c r="T202"/>
      <c r="U202"/>
    </row>
    <row r="203" spans="1:21" s="1" customFormat="1" ht="11.25" customHeight="1" x14ac:dyDescent="0.2">
      <c r="A203" s="83">
        <v>1</v>
      </c>
      <c r="B203" s="115"/>
      <c r="C203" s="115"/>
      <c r="D203" s="35"/>
      <c r="E203" s="40"/>
      <c r="F203" s="126" t="s">
        <v>811</v>
      </c>
      <c r="G203" s="121" t="s">
        <v>741</v>
      </c>
      <c r="H203" s="123">
        <f>SUM(H200:H202)</f>
        <v>16.8</v>
      </c>
      <c r="I203" s="123">
        <f>SUM(I200:I202)</f>
        <v>201</v>
      </c>
      <c r="J203" s="123">
        <f>SUM(J200:J202)</f>
        <v>153</v>
      </c>
      <c r="K203" s="123">
        <f>SUM(K200:K202)</f>
        <v>140.6</v>
      </c>
      <c r="L203" s="123">
        <f>SUM(L200:L202)</f>
        <v>143.19999999999999</v>
      </c>
      <c r="M203" s="38"/>
      <c r="N203" s="117"/>
      <c r="O203" s="118"/>
      <c r="P203" s="119"/>
      <c r="Q203" s="132"/>
      <c r="R203" s="111"/>
      <c r="S203"/>
      <c r="T203"/>
      <c r="U203"/>
    </row>
    <row r="204" spans="1:21" s="1" customFormat="1" ht="23.25" customHeight="1" x14ac:dyDescent="0.2">
      <c r="A204" s="83">
        <v>1</v>
      </c>
      <c r="B204" s="115"/>
      <c r="C204" s="115" t="s">
        <v>813</v>
      </c>
      <c r="D204" s="35" t="s">
        <v>814</v>
      </c>
      <c r="E204" s="40">
        <v>11</v>
      </c>
      <c r="F204" s="126" t="s">
        <v>815</v>
      </c>
      <c r="G204" s="69" t="s">
        <v>58</v>
      </c>
      <c r="H204" s="137">
        <v>571.9</v>
      </c>
      <c r="I204" s="16">
        <v>27.2</v>
      </c>
      <c r="J204" s="116">
        <f>192+2.1</f>
        <v>194.1</v>
      </c>
      <c r="K204" s="16">
        <v>193.4</v>
      </c>
      <c r="L204" s="127"/>
      <c r="M204" s="38"/>
      <c r="N204" s="117" t="s">
        <v>798</v>
      </c>
      <c r="O204" s="118" t="s">
        <v>812</v>
      </c>
      <c r="P204" s="119">
        <v>2</v>
      </c>
      <c r="Q204" s="132"/>
      <c r="R204" s="111"/>
      <c r="S204"/>
      <c r="T204"/>
      <c r="U204"/>
    </row>
    <row r="205" spans="1:21" s="1" customFormat="1" ht="23.25" customHeight="1" x14ac:dyDescent="0.2">
      <c r="A205" s="83">
        <v>1</v>
      </c>
      <c r="B205" s="115"/>
      <c r="C205" s="115"/>
      <c r="D205" s="35"/>
      <c r="E205" s="40">
        <v>11</v>
      </c>
      <c r="F205" s="126" t="s">
        <v>815</v>
      </c>
      <c r="G205" s="69" t="s">
        <v>59</v>
      </c>
      <c r="H205" s="137"/>
      <c r="I205" s="16">
        <v>7.2</v>
      </c>
      <c r="J205" s="116">
        <f>50.5+0.4</f>
        <v>50.9</v>
      </c>
      <c r="K205" s="16">
        <v>50.9</v>
      </c>
      <c r="L205" s="127"/>
      <c r="M205" s="38"/>
      <c r="N205" s="117"/>
      <c r="O205" s="118"/>
      <c r="P205" s="119"/>
      <c r="Q205" s="132"/>
      <c r="R205" s="111"/>
      <c r="S205"/>
      <c r="T205"/>
      <c r="U205"/>
    </row>
    <row r="206" spans="1:21" s="1" customFormat="1" ht="11.25" customHeight="1" x14ac:dyDescent="0.2">
      <c r="A206" s="83">
        <v>1</v>
      </c>
      <c r="B206" s="115"/>
      <c r="C206" s="115"/>
      <c r="D206" s="48"/>
      <c r="E206" s="40">
        <v>11</v>
      </c>
      <c r="F206" s="126" t="s">
        <v>815</v>
      </c>
      <c r="G206" s="121" t="s">
        <v>741</v>
      </c>
      <c r="H206" s="123">
        <f>SUM(H204)</f>
        <v>571.9</v>
      </c>
      <c r="I206" s="123">
        <f>SUM(I204:I205)</f>
        <v>34.4</v>
      </c>
      <c r="J206" s="123">
        <f>SUM(J204:J205)</f>
        <v>245</v>
      </c>
      <c r="K206" s="123">
        <f>SUM(K204:K205)</f>
        <v>244.3</v>
      </c>
      <c r="L206" s="123">
        <f>SUM(L204:L205)</f>
        <v>0</v>
      </c>
      <c r="M206" s="38"/>
      <c r="N206" s="117"/>
      <c r="O206" s="118"/>
      <c r="P206" s="119"/>
      <c r="Q206" s="132"/>
      <c r="R206" s="111"/>
      <c r="S206"/>
      <c r="T206"/>
      <c r="U206"/>
    </row>
    <row r="207" spans="1:21" s="1" customFormat="1" ht="11.25" customHeight="1" x14ac:dyDescent="0.2">
      <c r="A207" s="83">
        <v>1</v>
      </c>
      <c r="B207" s="115"/>
      <c r="C207" s="115" t="s">
        <v>816</v>
      </c>
      <c r="D207" s="1502" t="s">
        <v>51</v>
      </c>
      <c r="E207" s="138">
        <v>6</v>
      </c>
      <c r="F207" s="139" t="s">
        <v>52</v>
      </c>
      <c r="G207" s="40" t="s">
        <v>8</v>
      </c>
      <c r="H207" s="124">
        <v>80.599999999999994</v>
      </c>
      <c r="I207" s="16"/>
      <c r="J207" s="116">
        <f>348.7+105.5-202.7-14.8</f>
        <v>236.7</v>
      </c>
      <c r="K207" s="927">
        <v>500</v>
      </c>
      <c r="L207" s="927">
        <v>500</v>
      </c>
      <c r="M207" s="38"/>
      <c r="N207" s="117" t="s">
        <v>2288</v>
      </c>
      <c r="O207" s="118"/>
      <c r="P207" s="119"/>
      <c r="Q207" s="132"/>
      <c r="R207" s="111"/>
      <c r="S207"/>
      <c r="T207"/>
      <c r="U207"/>
    </row>
    <row r="208" spans="1:21" s="1" customFormat="1" ht="11.25" customHeight="1" x14ac:dyDescent="0.2">
      <c r="A208" s="83">
        <v>1</v>
      </c>
      <c r="B208" s="115"/>
      <c r="C208" s="115"/>
      <c r="D208" s="1478"/>
      <c r="E208" s="138">
        <v>6</v>
      </c>
      <c r="F208" s="139" t="s">
        <v>52</v>
      </c>
      <c r="G208" s="69" t="s">
        <v>610</v>
      </c>
      <c r="H208" s="124"/>
      <c r="I208" s="16"/>
      <c r="J208" s="116">
        <f>105.5-105.5</f>
        <v>0</v>
      </c>
      <c r="K208" s="927"/>
      <c r="L208" s="927"/>
      <c r="M208" s="38"/>
      <c r="N208" s="117"/>
      <c r="O208" s="118"/>
      <c r="P208" s="119"/>
      <c r="Q208" s="132"/>
      <c r="R208" s="111"/>
      <c r="S208"/>
      <c r="T208"/>
      <c r="U208"/>
    </row>
    <row r="209" spans="1:21" s="1" customFormat="1" ht="11.25" customHeight="1" x14ac:dyDescent="0.2">
      <c r="A209" s="83">
        <v>1</v>
      </c>
      <c r="B209" s="115"/>
      <c r="C209" s="115"/>
      <c r="D209" s="1478"/>
      <c r="E209" s="138">
        <v>6</v>
      </c>
      <c r="F209" s="139" t="s">
        <v>52</v>
      </c>
      <c r="G209" s="40" t="s">
        <v>11</v>
      </c>
      <c r="H209" s="37">
        <f>16.4-16.4</f>
        <v>0</v>
      </c>
      <c r="I209" s="16">
        <f>16.9-16.9</f>
        <v>0</v>
      </c>
      <c r="J209" s="116">
        <f>17.8-17.8</f>
        <v>0</v>
      </c>
      <c r="K209" s="37"/>
      <c r="L209" s="37"/>
      <c r="M209" s="38"/>
      <c r="N209" s="117"/>
      <c r="O209" s="118"/>
      <c r="P209" s="119"/>
      <c r="Q209" s="132"/>
      <c r="R209" s="111"/>
      <c r="S209"/>
      <c r="T209"/>
      <c r="U209"/>
    </row>
    <row r="210" spans="1:21" s="1" customFormat="1" ht="11.25" customHeight="1" x14ac:dyDescent="0.2">
      <c r="A210" s="83">
        <v>1</v>
      </c>
      <c r="B210" s="115"/>
      <c r="C210" s="115"/>
      <c r="D210" s="1478"/>
      <c r="E210" s="138">
        <v>6</v>
      </c>
      <c r="F210" s="139" t="s">
        <v>52</v>
      </c>
      <c r="G210" s="69" t="s">
        <v>9</v>
      </c>
      <c r="H210" s="37"/>
      <c r="I210" s="16"/>
      <c r="J210" s="116">
        <f>12-12</f>
        <v>0</v>
      </c>
      <c r="K210" s="37"/>
      <c r="L210" s="37"/>
      <c r="M210" s="38"/>
      <c r="N210" s="117"/>
      <c r="O210" s="118"/>
      <c r="P210" s="119"/>
      <c r="Q210" s="132"/>
      <c r="R210" s="111"/>
      <c r="S210"/>
      <c r="T210"/>
      <c r="U210"/>
    </row>
    <row r="211" spans="1:21" s="1" customFormat="1" ht="11.25" customHeight="1" x14ac:dyDescent="0.2">
      <c r="A211" s="83">
        <v>1</v>
      </c>
      <c r="B211" s="115"/>
      <c r="C211" s="115"/>
      <c r="D211" s="1479"/>
      <c r="E211" s="138">
        <v>6</v>
      </c>
      <c r="F211" s="139" t="s">
        <v>52</v>
      </c>
      <c r="G211" s="121" t="s">
        <v>741</v>
      </c>
      <c r="H211" s="123">
        <f>SUM(H207:H209)</f>
        <v>80.599999999999994</v>
      </c>
      <c r="I211" s="123">
        <f>SUM(I207:I210)</f>
        <v>0</v>
      </c>
      <c r="J211" s="123">
        <f t="shared" ref="J211:L211" si="1">SUM(J207:J210)</f>
        <v>236.7</v>
      </c>
      <c r="K211" s="123">
        <f t="shared" si="1"/>
        <v>500</v>
      </c>
      <c r="L211" s="123">
        <f t="shared" si="1"/>
        <v>500</v>
      </c>
      <c r="M211" s="38"/>
      <c r="N211" s="117"/>
      <c r="O211" s="118"/>
      <c r="P211" s="119"/>
      <c r="Q211" s="132"/>
      <c r="R211" s="111"/>
      <c r="S211"/>
      <c r="T211"/>
      <c r="U211"/>
    </row>
    <row r="212" spans="1:21" s="1" customFormat="1" ht="21.75" customHeight="1" x14ac:dyDescent="0.2">
      <c r="A212" s="83">
        <v>1</v>
      </c>
      <c r="B212" s="115"/>
      <c r="C212" s="115" t="s">
        <v>817</v>
      </c>
      <c r="D212" s="140" t="s">
        <v>818</v>
      </c>
      <c r="E212" s="138">
        <v>17</v>
      </c>
      <c r="F212" s="139" t="s">
        <v>819</v>
      </c>
      <c r="G212" s="44" t="s">
        <v>9</v>
      </c>
      <c r="H212" s="69"/>
      <c r="I212" s="16"/>
      <c r="J212" s="116">
        <v>5</v>
      </c>
      <c r="K212" s="16">
        <v>5</v>
      </c>
      <c r="L212" s="16">
        <v>5</v>
      </c>
      <c r="M212" s="38" t="s">
        <v>796</v>
      </c>
      <c r="N212" s="117" t="s">
        <v>820</v>
      </c>
      <c r="O212" s="118" t="s">
        <v>2289</v>
      </c>
      <c r="P212" s="119">
        <v>1</v>
      </c>
      <c r="Q212" s="132"/>
      <c r="R212" s="111"/>
      <c r="S212"/>
      <c r="T212"/>
      <c r="U212"/>
    </row>
    <row r="213" spans="1:21" s="1" customFormat="1" ht="11.25" customHeight="1" x14ac:dyDescent="0.2">
      <c r="A213" s="83">
        <v>1</v>
      </c>
      <c r="B213" s="115"/>
      <c r="C213" s="115"/>
      <c r="D213" s="56"/>
      <c r="E213" s="138">
        <v>17</v>
      </c>
      <c r="F213" s="139"/>
      <c r="G213" s="121" t="s">
        <v>741</v>
      </c>
      <c r="H213" s="69"/>
      <c r="I213" s="141">
        <f>SUM(I212)</f>
        <v>0</v>
      </c>
      <c r="J213" s="141">
        <f t="shared" ref="J213:L213" si="2">SUM(J212)</f>
        <v>5</v>
      </c>
      <c r="K213" s="141">
        <f t="shared" si="2"/>
        <v>5</v>
      </c>
      <c r="L213" s="141">
        <f t="shared" si="2"/>
        <v>5</v>
      </c>
      <c r="M213" s="38"/>
      <c r="N213" s="117"/>
      <c r="O213" s="118"/>
      <c r="P213" s="119"/>
      <c r="Q213" s="132"/>
      <c r="R213" s="111"/>
      <c r="S213"/>
      <c r="T213"/>
      <c r="U213"/>
    </row>
    <row r="214" spans="1:21" s="1" customFormat="1" ht="34.15" customHeight="1" x14ac:dyDescent="0.2">
      <c r="A214" s="83">
        <v>1</v>
      </c>
      <c r="B214" s="115"/>
      <c r="C214" s="115" t="s">
        <v>2262</v>
      </c>
      <c r="D214" s="56" t="s">
        <v>2263</v>
      </c>
      <c r="E214" s="138">
        <v>17</v>
      </c>
      <c r="F214" s="139" t="s">
        <v>2264</v>
      </c>
      <c r="G214" s="66" t="s">
        <v>9</v>
      </c>
      <c r="H214" s="69"/>
      <c r="I214" s="16"/>
      <c r="J214" s="116">
        <f>16.9</f>
        <v>16.899999999999999</v>
      </c>
      <c r="K214" s="16">
        <f>16.4-16.4</f>
        <v>0</v>
      </c>
      <c r="L214" s="16"/>
      <c r="M214" s="38"/>
      <c r="N214" s="117" t="s">
        <v>820</v>
      </c>
      <c r="O214" s="118" t="s">
        <v>2265</v>
      </c>
      <c r="P214" s="119">
        <v>15</v>
      </c>
      <c r="Q214" s="132"/>
      <c r="R214" s="111"/>
      <c r="S214"/>
      <c r="T214"/>
      <c r="U214"/>
    </row>
    <row r="215" spans="1:21" s="1" customFormat="1" ht="11.25" customHeight="1" x14ac:dyDescent="0.2">
      <c r="A215" s="83">
        <v>1</v>
      </c>
      <c r="B215" s="115"/>
      <c r="C215" s="115"/>
      <c r="D215" s="56"/>
      <c r="E215" s="138">
        <v>17</v>
      </c>
      <c r="F215" s="139" t="s">
        <v>2264</v>
      </c>
      <c r="G215" s="66" t="s">
        <v>58</v>
      </c>
      <c r="H215" s="69"/>
      <c r="I215" s="16"/>
      <c r="J215" s="116">
        <v>126</v>
      </c>
      <c r="K215" s="16"/>
      <c r="L215" s="16"/>
      <c r="M215" s="38"/>
      <c r="N215" s="117"/>
      <c r="O215" s="118"/>
      <c r="P215" s="119"/>
      <c r="Q215" s="132"/>
      <c r="R215" s="111"/>
      <c r="S215"/>
      <c r="T215"/>
      <c r="U215"/>
    </row>
    <row r="216" spans="1:21" s="1" customFormat="1" ht="11.25" customHeight="1" x14ac:dyDescent="0.2">
      <c r="A216" s="83">
        <v>1</v>
      </c>
      <c r="B216" s="115"/>
      <c r="C216" s="115"/>
      <c r="D216" s="56"/>
      <c r="E216" s="138">
        <v>17</v>
      </c>
      <c r="F216" s="139" t="s">
        <v>2264</v>
      </c>
      <c r="G216" s="66" t="s">
        <v>59</v>
      </c>
      <c r="H216" s="69"/>
      <c r="I216" s="16"/>
      <c r="J216" s="116">
        <v>23</v>
      </c>
      <c r="K216" s="16"/>
      <c r="L216" s="16"/>
      <c r="M216" s="38"/>
      <c r="N216" s="117"/>
      <c r="O216" s="118"/>
      <c r="P216" s="119"/>
      <c r="Q216" s="132"/>
      <c r="R216" s="111"/>
      <c r="S216"/>
      <c r="T216"/>
      <c r="U216"/>
    </row>
    <row r="217" spans="1:21" s="1" customFormat="1" ht="11.25" customHeight="1" x14ac:dyDescent="0.2">
      <c r="A217" s="83">
        <v>1</v>
      </c>
      <c r="B217" s="115"/>
      <c r="C217" s="115"/>
      <c r="D217" s="56"/>
      <c r="E217" s="138"/>
      <c r="F217" s="139"/>
      <c r="G217" s="121" t="s">
        <v>741</v>
      </c>
      <c r="H217" s="69"/>
      <c r="I217" s="141">
        <f>SUM(I214:I216)</f>
        <v>0</v>
      </c>
      <c r="J217" s="141">
        <f t="shared" ref="J217:L217" si="3">SUM(J214:J216)</f>
        <v>165.9</v>
      </c>
      <c r="K217" s="141">
        <f t="shared" si="3"/>
        <v>0</v>
      </c>
      <c r="L217" s="141">
        <f t="shared" si="3"/>
        <v>0</v>
      </c>
      <c r="M217" s="38"/>
      <c r="N217" s="117"/>
      <c r="O217" s="118"/>
      <c r="P217" s="119"/>
      <c r="Q217" s="132"/>
      <c r="R217" s="111"/>
      <c r="S217"/>
      <c r="T217"/>
      <c r="U217"/>
    </row>
    <row r="218" spans="1:21" s="1" customFormat="1" ht="22.5" x14ac:dyDescent="0.2">
      <c r="A218" s="83">
        <v>1</v>
      </c>
      <c r="B218" s="115"/>
      <c r="C218" s="115" t="s">
        <v>2510</v>
      </c>
      <c r="D218" s="1432" t="s">
        <v>2508</v>
      </c>
      <c r="E218" s="138">
        <v>11</v>
      </c>
      <c r="F218" s="139" t="s">
        <v>2509</v>
      </c>
      <c r="G218" s="66" t="s">
        <v>59</v>
      </c>
      <c r="H218" s="69"/>
      <c r="I218" s="16"/>
      <c r="J218" s="116">
        <v>13.2</v>
      </c>
      <c r="K218" s="16"/>
      <c r="L218" s="16"/>
      <c r="M218" s="38"/>
      <c r="N218" s="128" t="s">
        <v>2521</v>
      </c>
      <c r="O218" s="118" t="s">
        <v>2522</v>
      </c>
      <c r="P218" s="119">
        <v>1</v>
      </c>
      <c r="Q218" s="132"/>
      <c r="R218" s="111"/>
      <c r="S218"/>
      <c r="T218"/>
      <c r="U218"/>
    </row>
    <row r="219" spans="1:21" s="1" customFormat="1" ht="11.25" customHeight="1" x14ac:dyDescent="0.2">
      <c r="A219" s="83">
        <v>1</v>
      </c>
      <c r="B219" s="115"/>
      <c r="C219" s="115"/>
      <c r="D219" s="56"/>
      <c r="E219" s="138"/>
      <c r="F219" s="139"/>
      <c r="G219" s="121" t="s">
        <v>741</v>
      </c>
      <c r="H219" s="69"/>
      <c r="I219" s="141">
        <f>SUM(I218)</f>
        <v>0</v>
      </c>
      <c r="J219" s="141">
        <f t="shared" ref="J219:L219" si="4">SUM(J218)</f>
        <v>13.2</v>
      </c>
      <c r="K219" s="141">
        <f t="shared" si="4"/>
        <v>0</v>
      </c>
      <c r="L219" s="141">
        <f t="shared" si="4"/>
        <v>0</v>
      </c>
      <c r="M219" s="38"/>
      <c r="N219" s="117"/>
      <c r="O219" s="118"/>
      <c r="P219" s="119"/>
      <c r="Q219" s="132"/>
      <c r="R219" s="111"/>
      <c r="S219"/>
      <c r="T219"/>
      <c r="U219"/>
    </row>
    <row r="220" spans="1:21" s="1" customFormat="1" ht="22.15" customHeight="1" x14ac:dyDescent="0.2">
      <c r="A220" s="83">
        <v>1</v>
      </c>
      <c r="B220" s="115"/>
      <c r="C220" s="115" t="s">
        <v>2528</v>
      </c>
      <c r="D220" s="56" t="s">
        <v>2530</v>
      </c>
      <c r="E220" s="138">
        <v>11</v>
      </c>
      <c r="F220" s="139" t="s">
        <v>2529</v>
      </c>
      <c r="G220" s="66" t="s">
        <v>9</v>
      </c>
      <c r="H220" s="69"/>
      <c r="I220" s="16"/>
      <c r="J220" s="116">
        <v>32.6</v>
      </c>
      <c r="K220" s="16">
        <v>59.7</v>
      </c>
      <c r="L220" s="16">
        <v>31.3</v>
      </c>
      <c r="M220" s="38"/>
      <c r="N220" s="128" t="s">
        <v>783</v>
      </c>
      <c r="O220" s="118" t="s">
        <v>2535</v>
      </c>
      <c r="P220" s="119">
        <v>200</v>
      </c>
      <c r="Q220" s="132"/>
      <c r="R220" s="111"/>
      <c r="S220"/>
      <c r="T220"/>
      <c r="U220"/>
    </row>
    <row r="221" spans="1:21" s="1" customFormat="1" ht="11.25" customHeight="1" x14ac:dyDescent="0.2">
      <c r="A221" s="83">
        <v>1</v>
      </c>
      <c r="B221" s="115"/>
      <c r="C221" s="115"/>
      <c r="D221" s="56"/>
      <c r="E221" s="138">
        <v>11</v>
      </c>
      <c r="F221" s="139" t="s">
        <v>2529</v>
      </c>
      <c r="G221" s="66" t="s">
        <v>58</v>
      </c>
      <c r="H221" s="69"/>
      <c r="I221" s="16"/>
      <c r="J221" s="116">
        <v>223.7</v>
      </c>
      <c r="K221" s="16">
        <v>410.1</v>
      </c>
      <c r="L221" s="16">
        <v>215.2</v>
      </c>
      <c r="M221" s="38"/>
      <c r="N221" s="117"/>
      <c r="O221" s="118"/>
      <c r="P221" s="119"/>
      <c r="Q221" s="132"/>
      <c r="R221" s="111"/>
      <c r="S221"/>
      <c r="T221"/>
      <c r="U221"/>
    </row>
    <row r="222" spans="1:21" s="1" customFormat="1" ht="11.25" customHeight="1" x14ac:dyDescent="0.2">
      <c r="A222" s="83">
        <v>1</v>
      </c>
      <c r="B222" s="115"/>
      <c r="C222" s="115"/>
      <c r="D222" s="56"/>
      <c r="E222" s="138">
        <v>11</v>
      </c>
      <c r="F222" s="139" t="s">
        <v>2529</v>
      </c>
      <c r="G222" s="66" t="s">
        <v>59</v>
      </c>
      <c r="H222" s="69"/>
      <c r="I222" s="16"/>
      <c r="J222" s="116">
        <v>39.5</v>
      </c>
      <c r="K222" s="16">
        <v>72.400000000000006</v>
      </c>
      <c r="L222" s="16">
        <v>38</v>
      </c>
      <c r="M222" s="38"/>
      <c r="N222" s="117"/>
      <c r="O222" s="118"/>
      <c r="P222" s="119"/>
      <c r="Q222" s="132"/>
      <c r="R222" s="111"/>
      <c r="S222"/>
      <c r="T222"/>
      <c r="U222"/>
    </row>
    <row r="223" spans="1:21" s="1" customFormat="1" ht="11.25" customHeight="1" x14ac:dyDescent="0.2">
      <c r="A223" s="83">
        <v>1</v>
      </c>
      <c r="B223" s="115"/>
      <c r="C223" s="115"/>
      <c r="D223" s="56"/>
      <c r="E223" s="138"/>
      <c r="F223" s="139"/>
      <c r="G223" s="121" t="s">
        <v>741</v>
      </c>
      <c r="H223" s="69"/>
      <c r="I223" s="141">
        <f>SUM(I220:I222)</f>
        <v>0</v>
      </c>
      <c r="J223" s="141">
        <f t="shared" ref="J223:L223" si="5">SUM(J220:J222)</f>
        <v>295.8</v>
      </c>
      <c r="K223" s="141">
        <f t="shared" si="5"/>
        <v>542.20000000000005</v>
      </c>
      <c r="L223" s="141">
        <f t="shared" si="5"/>
        <v>284.5</v>
      </c>
      <c r="M223" s="38"/>
      <c r="N223" s="117"/>
      <c r="O223" s="118"/>
      <c r="P223" s="119"/>
      <c r="Q223" s="132"/>
      <c r="R223" s="111"/>
      <c r="S223"/>
      <c r="T223"/>
      <c r="U223"/>
    </row>
    <row r="224" spans="1:21" s="1" customFormat="1" ht="33.75" x14ac:dyDescent="0.2">
      <c r="A224" s="83">
        <v>1</v>
      </c>
      <c r="B224" s="142" t="s">
        <v>821</v>
      </c>
      <c r="C224" s="142" t="s">
        <v>821</v>
      </c>
      <c r="D224" s="143" t="s">
        <v>49</v>
      </c>
      <c r="E224" s="40">
        <v>6</v>
      </c>
      <c r="F224" s="48"/>
      <c r="G224" s="81"/>
      <c r="H224" s="123"/>
      <c r="I224" s="302">
        <f>I231</f>
        <v>6485.9</v>
      </c>
      <c r="J224" s="144">
        <f>J231</f>
        <v>6836.2</v>
      </c>
      <c r="K224" s="21">
        <f>K231</f>
        <v>7150.5999999999995</v>
      </c>
      <c r="L224" s="21">
        <f>L231</f>
        <v>7450.5999999999995</v>
      </c>
      <c r="M224" s="38"/>
      <c r="N224" s="117"/>
      <c r="O224" s="145" t="s">
        <v>822</v>
      </c>
      <c r="P224" s="181">
        <v>927</v>
      </c>
      <c r="Q224" s="132"/>
      <c r="R224" s="111"/>
      <c r="S224"/>
      <c r="T224"/>
      <c r="U224"/>
    </row>
    <row r="225" spans="1:21" s="1" customFormat="1" ht="33.75" x14ac:dyDescent="0.2">
      <c r="A225" s="83">
        <v>1</v>
      </c>
      <c r="B225" s="146"/>
      <c r="C225" s="146"/>
      <c r="D225" s="146"/>
      <c r="E225" s="147">
        <v>6</v>
      </c>
      <c r="F225" s="136" t="s">
        <v>50</v>
      </c>
      <c r="G225" s="69" t="s">
        <v>9</v>
      </c>
      <c r="H225" s="124">
        <v>600</v>
      </c>
      <c r="I225" s="16">
        <v>4188.7</v>
      </c>
      <c r="J225" s="740">
        <f>4395.4-200-200-23-207</f>
        <v>3765.3999999999996</v>
      </c>
      <c r="K225" s="16">
        <f>4395.4-200-200</f>
        <v>3995.3999999999996</v>
      </c>
      <c r="L225" s="37">
        <v>4295.3999999999996</v>
      </c>
      <c r="M225" s="38" t="s">
        <v>782</v>
      </c>
      <c r="N225" s="117"/>
      <c r="O225" s="145" t="s">
        <v>823</v>
      </c>
      <c r="P225" s="1174">
        <v>320</v>
      </c>
      <c r="Q225" s="132"/>
      <c r="R225" s="111"/>
      <c r="S225"/>
      <c r="T225"/>
      <c r="U225"/>
    </row>
    <row r="226" spans="1:21" s="1" customFormat="1" ht="22.5" x14ac:dyDescent="0.2">
      <c r="A226" s="83">
        <v>1</v>
      </c>
      <c r="B226" s="115"/>
      <c r="C226" s="115"/>
      <c r="D226" s="35"/>
      <c r="E226" s="147">
        <v>6</v>
      </c>
      <c r="F226" s="136" t="s">
        <v>50</v>
      </c>
      <c r="G226" s="69" t="s">
        <v>740</v>
      </c>
      <c r="H226" s="124">
        <f>0.5+0.2+0.3</f>
        <v>1</v>
      </c>
      <c r="I226" s="16"/>
      <c r="J226" s="116"/>
      <c r="K226" s="37"/>
      <c r="L226" s="37"/>
      <c r="M226" s="38"/>
      <c r="N226" s="117"/>
      <c r="O226" s="118" t="s">
        <v>824</v>
      </c>
      <c r="P226" s="1173">
        <v>160</v>
      </c>
      <c r="Q226" s="132"/>
      <c r="R226" s="111"/>
      <c r="S226"/>
      <c r="T226"/>
      <c r="U226"/>
    </row>
    <row r="227" spans="1:21" s="1" customFormat="1" ht="22.5" x14ac:dyDescent="0.2">
      <c r="A227" s="83">
        <v>1</v>
      </c>
      <c r="B227" s="115"/>
      <c r="C227" s="115"/>
      <c r="D227" s="35"/>
      <c r="E227" s="147">
        <v>6</v>
      </c>
      <c r="F227" s="136" t="s">
        <v>50</v>
      </c>
      <c r="G227" s="69" t="s">
        <v>11</v>
      </c>
      <c r="H227" s="37">
        <f>3.6-3.6</f>
        <v>0</v>
      </c>
      <c r="I227" s="16"/>
      <c r="J227" s="116"/>
      <c r="K227" s="37"/>
      <c r="L227" s="37"/>
      <c r="M227" s="38"/>
      <c r="N227" s="117"/>
      <c r="O227" s="118" t="s">
        <v>825</v>
      </c>
      <c r="P227" s="1173">
        <v>300</v>
      </c>
      <c r="Q227" s="132"/>
      <c r="R227" s="111"/>
      <c r="S227"/>
      <c r="T227"/>
      <c r="U227"/>
    </row>
    <row r="228" spans="1:21" s="1" customFormat="1" ht="24" customHeight="1" x14ac:dyDescent="0.2">
      <c r="A228" s="83">
        <v>1</v>
      </c>
      <c r="B228" s="115"/>
      <c r="C228" s="115"/>
      <c r="D228" s="35"/>
      <c r="E228" s="147">
        <v>6</v>
      </c>
      <c r="F228" s="136" t="s">
        <v>50</v>
      </c>
      <c r="G228" s="40" t="s">
        <v>10</v>
      </c>
      <c r="H228" s="124">
        <v>2530</v>
      </c>
      <c r="I228" s="16"/>
      <c r="J228" s="116"/>
      <c r="K228" s="37"/>
      <c r="L228" s="37"/>
      <c r="M228" s="38"/>
      <c r="N228" s="117"/>
      <c r="O228" s="118" t="s">
        <v>2290</v>
      </c>
      <c r="P228" s="119">
        <v>15</v>
      </c>
      <c r="Q228" s="132"/>
      <c r="R228" s="111"/>
      <c r="S228"/>
      <c r="T228"/>
      <c r="U228"/>
    </row>
    <row r="229" spans="1:21" s="1" customFormat="1" ht="25.15" customHeight="1" x14ac:dyDescent="0.2">
      <c r="A229" s="83">
        <v>1</v>
      </c>
      <c r="B229" s="115"/>
      <c r="C229" s="115"/>
      <c r="D229" s="35"/>
      <c r="E229" s="147">
        <v>6</v>
      </c>
      <c r="F229" s="136" t="s">
        <v>50</v>
      </c>
      <c r="G229" s="40" t="s">
        <v>8</v>
      </c>
      <c r="H229" s="124">
        <v>1337.4</v>
      </c>
      <c r="I229" s="16">
        <v>2297.1999999999998</v>
      </c>
      <c r="J229" s="116">
        <f>3070.8-9.2</f>
        <v>3061.6000000000004</v>
      </c>
      <c r="K229" s="928">
        <v>3155.2</v>
      </c>
      <c r="L229" s="928">
        <v>3155.2</v>
      </c>
      <c r="M229" s="38"/>
      <c r="N229" s="117"/>
      <c r="O229" s="118"/>
      <c r="P229" s="119"/>
      <c r="Q229" s="132"/>
      <c r="R229" s="111"/>
      <c r="S229"/>
      <c r="T229"/>
      <c r="U229"/>
    </row>
    <row r="230" spans="1:21" s="1" customFormat="1" ht="11.25" customHeight="1" x14ac:dyDescent="0.2">
      <c r="A230" s="83">
        <v>1</v>
      </c>
      <c r="B230" s="115"/>
      <c r="C230" s="115"/>
      <c r="D230" s="35"/>
      <c r="E230" s="147">
        <v>6</v>
      </c>
      <c r="F230" s="136" t="s">
        <v>50</v>
      </c>
      <c r="G230" s="40" t="s">
        <v>738</v>
      </c>
      <c r="H230" s="124">
        <v>2.6</v>
      </c>
      <c r="I230" s="16"/>
      <c r="J230" s="116">
        <f>9.2</f>
        <v>9.1999999999999993</v>
      </c>
      <c r="K230" s="37"/>
      <c r="L230" s="37"/>
      <c r="M230" s="38"/>
      <c r="N230" s="117"/>
      <c r="O230" s="118"/>
      <c r="P230" s="119"/>
      <c r="Q230" s="132"/>
      <c r="R230" s="111"/>
      <c r="S230"/>
      <c r="T230"/>
      <c r="U230"/>
    </row>
    <row r="231" spans="1:21" s="1" customFormat="1" ht="11.25" customHeight="1" x14ac:dyDescent="0.2">
      <c r="A231" s="83">
        <v>1</v>
      </c>
      <c r="B231" s="115"/>
      <c r="C231" s="115"/>
      <c r="D231" s="35"/>
      <c r="E231" s="147">
        <v>6</v>
      </c>
      <c r="F231" s="136" t="s">
        <v>50</v>
      </c>
      <c r="G231" s="121" t="s">
        <v>741</v>
      </c>
      <c r="H231" s="123">
        <f>SUM(H225:H230)</f>
        <v>4471</v>
      </c>
      <c r="I231" s="123">
        <f>SUM(I225:I230)</f>
        <v>6485.9</v>
      </c>
      <c r="J231" s="123">
        <f>SUM(J225:J230)</f>
        <v>6836.2</v>
      </c>
      <c r="K231" s="123">
        <f>SUM(K225:K230)</f>
        <v>7150.5999999999995</v>
      </c>
      <c r="L231" s="123">
        <f>SUM(L225:L230)</f>
        <v>7450.5999999999995</v>
      </c>
      <c r="M231" s="38"/>
      <c r="N231" s="117"/>
      <c r="O231" s="118"/>
      <c r="P231" s="119"/>
      <c r="Q231" s="132"/>
      <c r="R231" s="111"/>
      <c r="S231"/>
      <c r="T231"/>
      <c r="U231"/>
    </row>
    <row r="232" spans="1:21" s="1" customFormat="1" ht="22.5" x14ac:dyDescent="0.2">
      <c r="A232" s="83">
        <v>1</v>
      </c>
      <c r="B232" s="142" t="s">
        <v>826</v>
      </c>
      <c r="C232" s="142" t="s">
        <v>826</v>
      </c>
      <c r="D232" s="143" t="s">
        <v>67</v>
      </c>
      <c r="E232" s="40">
        <v>11</v>
      </c>
      <c r="F232" s="40"/>
      <c r="G232" s="81"/>
      <c r="H232" s="123"/>
      <c r="I232" s="302">
        <f>I234+I239+I244+I247+I249+I251+I255+I258+I266</f>
        <v>2919.8</v>
      </c>
      <c r="J232" s="144">
        <f>J234+J239+J244+J247+J249+J251+J255+J258+J266</f>
        <v>3222.4</v>
      </c>
      <c r="K232" s="21">
        <f>K234+K239+K244+K247+K249+K251+K255+K258+K266</f>
        <v>3279.3999999999996</v>
      </c>
      <c r="L232" s="21">
        <f>L234+L239+L244+L247+L249+L251+L255+L258+L266</f>
        <v>3320.2</v>
      </c>
      <c r="M232" s="38"/>
      <c r="N232" s="117"/>
      <c r="O232" s="145"/>
      <c r="P232" s="81"/>
      <c r="Q232" s="132"/>
      <c r="R232" s="111"/>
      <c r="S232"/>
      <c r="T232"/>
      <c r="U232"/>
    </row>
    <row r="233" spans="1:21" s="1" customFormat="1" ht="22.5" x14ac:dyDescent="0.2">
      <c r="A233" s="83">
        <v>1</v>
      </c>
      <c r="B233" s="148"/>
      <c r="C233" s="148" t="s">
        <v>827</v>
      </c>
      <c r="D233" s="48" t="s">
        <v>68</v>
      </c>
      <c r="E233" s="40">
        <v>11</v>
      </c>
      <c r="F233" s="40" t="s">
        <v>69</v>
      </c>
      <c r="G233" s="69" t="s">
        <v>9</v>
      </c>
      <c r="H233" s="124">
        <v>20</v>
      </c>
      <c r="I233" s="16">
        <v>19.8</v>
      </c>
      <c r="J233" s="116">
        <v>30</v>
      </c>
      <c r="K233" s="37">
        <v>30</v>
      </c>
      <c r="L233" s="37">
        <v>30</v>
      </c>
      <c r="M233" s="38" t="s">
        <v>782</v>
      </c>
      <c r="N233" s="117" t="s">
        <v>828</v>
      </c>
      <c r="O233" s="118" t="s">
        <v>829</v>
      </c>
      <c r="P233" s="119">
        <v>80</v>
      </c>
      <c r="Q233" s="132"/>
      <c r="R233" s="111"/>
      <c r="S233"/>
      <c r="T233"/>
      <c r="U233"/>
    </row>
    <row r="234" spans="1:21" s="1" customFormat="1" ht="22.5" x14ac:dyDescent="0.2">
      <c r="A234" s="83">
        <v>1</v>
      </c>
      <c r="B234" s="148"/>
      <c r="C234" s="148"/>
      <c r="D234" s="48"/>
      <c r="E234" s="40">
        <v>11</v>
      </c>
      <c r="F234" s="40" t="s">
        <v>69</v>
      </c>
      <c r="G234" s="121" t="s">
        <v>741</v>
      </c>
      <c r="H234" s="123">
        <f>SUM(H233)</f>
        <v>20</v>
      </c>
      <c r="I234" s="123">
        <f>SUM(I233)</f>
        <v>19.8</v>
      </c>
      <c r="J234" s="123">
        <f>SUM(J233)</f>
        <v>30</v>
      </c>
      <c r="K234" s="123">
        <f>SUM(K233)</f>
        <v>30</v>
      </c>
      <c r="L234" s="123">
        <f>SUM(L233)</f>
        <v>30</v>
      </c>
      <c r="M234" s="38"/>
      <c r="N234" s="117" t="s">
        <v>828</v>
      </c>
      <c r="O234" s="118" t="s">
        <v>830</v>
      </c>
      <c r="P234" s="119">
        <v>16</v>
      </c>
      <c r="Q234" s="132"/>
      <c r="R234" s="111"/>
      <c r="S234"/>
      <c r="T234"/>
      <c r="U234"/>
    </row>
    <row r="235" spans="1:21" s="1" customFormat="1" ht="33.75" x14ac:dyDescent="0.2">
      <c r="A235" s="83">
        <v>1</v>
      </c>
      <c r="B235" s="148"/>
      <c r="C235" s="148" t="s">
        <v>831</v>
      </c>
      <c r="D235" s="48" t="s">
        <v>832</v>
      </c>
      <c r="E235" s="44" t="s">
        <v>38</v>
      </c>
      <c r="F235" s="40" t="s">
        <v>70</v>
      </c>
      <c r="G235" s="69" t="s">
        <v>9</v>
      </c>
      <c r="H235" s="16">
        <f>1329.3-7.7</f>
        <v>1321.6</v>
      </c>
      <c r="I235" s="16">
        <v>1574.8</v>
      </c>
      <c r="J235" s="116">
        <v>1706.2</v>
      </c>
      <c r="K235" s="16">
        <v>1788.3</v>
      </c>
      <c r="L235" s="16">
        <v>1821.8</v>
      </c>
      <c r="M235" s="38" t="s">
        <v>739</v>
      </c>
      <c r="N235" s="117"/>
      <c r="O235" s="118"/>
      <c r="P235" s="119"/>
      <c r="Q235" s="132"/>
      <c r="R235" s="111"/>
      <c r="S235"/>
      <c r="T235"/>
      <c r="U235"/>
    </row>
    <row r="236" spans="1:21" s="1" customFormat="1" ht="11.25" customHeight="1" x14ac:dyDescent="0.2">
      <c r="A236" s="83">
        <v>1</v>
      </c>
      <c r="B236" s="148"/>
      <c r="C236" s="148"/>
      <c r="D236" s="48"/>
      <c r="E236" s="44" t="s">
        <v>38</v>
      </c>
      <c r="F236" s="40" t="s">
        <v>70</v>
      </c>
      <c r="G236" s="40" t="s">
        <v>8</v>
      </c>
      <c r="H236" s="16">
        <v>84.5</v>
      </c>
      <c r="I236" s="16">
        <v>95.1</v>
      </c>
      <c r="J236" s="116">
        <v>109.5</v>
      </c>
      <c r="K236" s="929">
        <v>109.5</v>
      </c>
      <c r="L236" s="930">
        <v>109.5</v>
      </c>
      <c r="M236" s="38"/>
      <c r="N236" s="117"/>
      <c r="O236" s="118"/>
      <c r="P236" s="119"/>
      <c r="Q236" s="132"/>
      <c r="R236" s="111"/>
      <c r="S236"/>
      <c r="T236"/>
      <c r="U236"/>
    </row>
    <row r="237" spans="1:21" s="1" customFormat="1" ht="11.25" customHeight="1" x14ac:dyDescent="0.2">
      <c r="A237" s="83">
        <v>1</v>
      </c>
      <c r="B237" s="148"/>
      <c r="C237" s="148"/>
      <c r="D237" s="48"/>
      <c r="E237" s="44" t="s">
        <v>38</v>
      </c>
      <c r="F237" s="40" t="s">
        <v>70</v>
      </c>
      <c r="G237" s="40" t="s">
        <v>12</v>
      </c>
      <c r="H237" s="16">
        <v>68.099999999999994</v>
      </c>
      <c r="I237" s="16">
        <v>98.2</v>
      </c>
      <c r="J237" s="116">
        <v>100.8</v>
      </c>
      <c r="K237" s="16">
        <v>100.8</v>
      </c>
      <c r="L237" s="16">
        <v>100.8</v>
      </c>
      <c r="M237" s="38"/>
      <c r="N237" s="117"/>
      <c r="O237" s="118"/>
      <c r="P237" s="119"/>
      <c r="Q237" s="132"/>
      <c r="R237" s="111"/>
      <c r="S237"/>
      <c r="T237"/>
      <c r="U237"/>
    </row>
    <row r="238" spans="1:21" s="1" customFormat="1" ht="11.25" customHeight="1" x14ac:dyDescent="0.2">
      <c r="A238" s="83">
        <v>1</v>
      </c>
      <c r="B238" s="148"/>
      <c r="C238" s="148"/>
      <c r="D238" s="48"/>
      <c r="E238" s="44" t="s">
        <v>38</v>
      </c>
      <c r="F238" s="40" t="s">
        <v>70</v>
      </c>
      <c r="G238" s="40" t="s">
        <v>11</v>
      </c>
      <c r="H238" s="37">
        <v>0</v>
      </c>
      <c r="I238" s="16">
        <v>31.9</v>
      </c>
      <c r="J238" s="116">
        <f>6.5</f>
        <v>6.5</v>
      </c>
      <c r="K238" s="16">
        <v>0</v>
      </c>
      <c r="L238" s="16">
        <v>0</v>
      </c>
      <c r="M238" s="38"/>
      <c r="N238" s="117"/>
      <c r="O238" s="118"/>
      <c r="P238" s="119"/>
      <c r="Q238" s="132"/>
      <c r="R238" s="111"/>
      <c r="S238"/>
      <c r="T238"/>
      <c r="U238"/>
    </row>
    <row r="239" spans="1:21" s="1" customFormat="1" ht="11.25" customHeight="1" x14ac:dyDescent="0.2">
      <c r="A239" s="83">
        <v>1</v>
      </c>
      <c r="B239" s="148"/>
      <c r="C239" s="148"/>
      <c r="D239" s="48"/>
      <c r="E239" s="44" t="s">
        <v>38</v>
      </c>
      <c r="F239" s="40" t="s">
        <v>70</v>
      </c>
      <c r="G239" s="121" t="s">
        <v>741</v>
      </c>
      <c r="H239" s="123">
        <f>SUM(H235:H238)</f>
        <v>1474.1999999999998</v>
      </c>
      <c r="I239" s="123">
        <f>SUM(I235:I238)</f>
        <v>1800</v>
      </c>
      <c r="J239" s="123">
        <f>SUM(J235:J238)</f>
        <v>1923</v>
      </c>
      <c r="K239" s="123">
        <f>SUM(K235:K238)</f>
        <v>1998.6</v>
      </c>
      <c r="L239" s="123">
        <f>SUM(L235:L238)</f>
        <v>2032.1</v>
      </c>
      <c r="M239" s="38"/>
      <c r="N239" s="117"/>
      <c r="O239" s="118"/>
      <c r="P239" s="119"/>
      <c r="Q239" s="132"/>
      <c r="R239" s="111"/>
      <c r="S239"/>
      <c r="T239"/>
      <c r="U239"/>
    </row>
    <row r="240" spans="1:21" s="1" customFormat="1" ht="33.75" x14ac:dyDescent="0.2">
      <c r="A240" s="83">
        <v>1</v>
      </c>
      <c r="B240" s="148"/>
      <c r="C240" s="148" t="s">
        <v>833</v>
      </c>
      <c r="D240" s="48" t="s">
        <v>834</v>
      </c>
      <c r="E240" s="44" t="s">
        <v>40</v>
      </c>
      <c r="F240" s="40" t="s">
        <v>71</v>
      </c>
      <c r="G240" s="69" t="s">
        <v>9</v>
      </c>
      <c r="H240" s="16">
        <v>323.5</v>
      </c>
      <c r="I240" s="16">
        <v>330.4</v>
      </c>
      <c r="J240" s="116">
        <v>387.4</v>
      </c>
      <c r="K240" s="16">
        <v>404.5</v>
      </c>
      <c r="L240" s="16">
        <v>411.5</v>
      </c>
      <c r="M240" s="38" t="s">
        <v>739</v>
      </c>
      <c r="N240" s="117"/>
      <c r="O240" s="118"/>
      <c r="P240" s="119"/>
      <c r="Q240" s="132"/>
      <c r="R240" s="111"/>
      <c r="S240"/>
      <c r="T240"/>
      <c r="U240"/>
    </row>
    <row r="241" spans="1:21" s="1" customFormat="1" ht="11.25" customHeight="1" x14ac:dyDescent="0.2">
      <c r="A241" s="83">
        <v>1</v>
      </c>
      <c r="B241" s="148"/>
      <c r="C241" s="148"/>
      <c r="D241" s="48"/>
      <c r="E241" s="44" t="s">
        <v>40</v>
      </c>
      <c r="F241" s="40" t="s">
        <v>71</v>
      </c>
      <c r="G241" s="69" t="s">
        <v>8</v>
      </c>
      <c r="H241" s="37">
        <v>40.5</v>
      </c>
      <c r="I241" s="16">
        <v>44.3</v>
      </c>
      <c r="J241" s="116">
        <v>47.8</v>
      </c>
      <c r="K241" s="16">
        <v>47.8</v>
      </c>
      <c r="L241" s="16">
        <v>47.8</v>
      </c>
      <c r="M241" s="38"/>
      <c r="N241" s="117"/>
      <c r="O241" s="118"/>
      <c r="P241" s="119"/>
      <c r="Q241" s="132"/>
      <c r="R241" s="111"/>
      <c r="S241"/>
      <c r="T241"/>
      <c r="U241"/>
    </row>
    <row r="242" spans="1:21" s="1" customFormat="1" ht="11.25" customHeight="1" x14ac:dyDescent="0.2">
      <c r="A242" s="83">
        <v>1</v>
      </c>
      <c r="B242" s="148"/>
      <c r="C242" s="148"/>
      <c r="D242" s="48"/>
      <c r="E242" s="44" t="s">
        <v>40</v>
      </c>
      <c r="F242" s="40" t="s">
        <v>71</v>
      </c>
      <c r="G242" s="40" t="s">
        <v>12</v>
      </c>
      <c r="H242" s="37">
        <v>12.2</v>
      </c>
      <c r="I242" s="16">
        <v>24.5</v>
      </c>
      <c r="J242" s="116">
        <v>26.8</v>
      </c>
      <c r="K242" s="16">
        <v>26.8</v>
      </c>
      <c r="L242" s="16">
        <v>26.8</v>
      </c>
      <c r="M242" s="38"/>
      <c r="N242" s="117"/>
      <c r="O242" s="118"/>
      <c r="P242" s="119"/>
      <c r="Q242" s="132"/>
      <c r="R242" s="111"/>
      <c r="S242"/>
      <c r="T242"/>
      <c r="U242"/>
    </row>
    <row r="243" spans="1:21" s="1" customFormat="1" ht="11.25" customHeight="1" x14ac:dyDescent="0.2">
      <c r="A243" s="83">
        <v>1</v>
      </c>
      <c r="B243" s="148"/>
      <c r="C243" s="148"/>
      <c r="D243" s="48"/>
      <c r="E243" s="44" t="s">
        <v>40</v>
      </c>
      <c r="F243" s="40" t="s">
        <v>71</v>
      </c>
      <c r="G243" s="40" t="s">
        <v>11</v>
      </c>
      <c r="H243" s="37">
        <v>0</v>
      </c>
      <c r="I243" s="16">
        <v>13.1</v>
      </c>
      <c r="J243" s="116">
        <f>2.8</f>
        <v>2.8</v>
      </c>
      <c r="K243" s="37">
        <v>0</v>
      </c>
      <c r="L243" s="37">
        <v>0</v>
      </c>
      <c r="M243" s="38"/>
      <c r="N243" s="117"/>
      <c r="O243" s="118"/>
      <c r="P243" s="119"/>
      <c r="Q243" s="132"/>
      <c r="R243" s="111"/>
      <c r="S243"/>
      <c r="T243"/>
      <c r="U243"/>
    </row>
    <row r="244" spans="1:21" s="1" customFormat="1" ht="11.25" customHeight="1" x14ac:dyDescent="0.2">
      <c r="A244" s="83">
        <v>1</v>
      </c>
      <c r="B244" s="148"/>
      <c r="C244" s="148"/>
      <c r="D244" s="48"/>
      <c r="E244" s="44" t="s">
        <v>40</v>
      </c>
      <c r="F244" s="40" t="s">
        <v>71</v>
      </c>
      <c r="G244" s="121" t="s">
        <v>741</v>
      </c>
      <c r="H244" s="123">
        <f>SUM(H240:H243)</f>
        <v>376.2</v>
      </c>
      <c r="I244" s="123">
        <f>SUM(I240:I243)</f>
        <v>412.3</v>
      </c>
      <c r="J244" s="123">
        <f>SUM(J240:J243)</f>
        <v>464.8</v>
      </c>
      <c r="K244" s="123">
        <f>SUM(K240:K243)</f>
        <v>479.1</v>
      </c>
      <c r="L244" s="123">
        <f>SUM(L240:L243)</f>
        <v>486.1</v>
      </c>
      <c r="M244" s="38"/>
      <c r="N244" s="117"/>
      <c r="O244" s="118"/>
      <c r="P244" s="119"/>
      <c r="Q244" s="132"/>
      <c r="R244" s="111"/>
      <c r="S244"/>
      <c r="T244"/>
      <c r="U244"/>
    </row>
    <row r="245" spans="1:21" s="1" customFormat="1" ht="22.5" x14ac:dyDescent="0.2">
      <c r="A245" s="83">
        <v>1</v>
      </c>
      <c r="B245" s="148"/>
      <c r="C245" s="148" t="s">
        <v>835</v>
      </c>
      <c r="D245" s="48" t="s">
        <v>72</v>
      </c>
      <c r="E245" s="44" t="s">
        <v>54</v>
      </c>
      <c r="F245" s="40" t="s">
        <v>73</v>
      </c>
      <c r="G245" s="40" t="s">
        <v>11</v>
      </c>
      <c r="H245" s="124">
        <v>275.5</v>
      </c>
      <c r="I245" s="16">
        <v>342.7</v>
      </c>
      <c r="J245" s="116">
        <v>432</v>
      </c>
      <c r="K245" s="37">
        <v>432</v>
      </c>
      <c r="L245" s="37">
        <v>432</v>
      </c>
      <c r="M245" s="38"/>
      <c r="N245" s="117" t="s">
        <v>836</v>
      </c>
      <c r="O245" s="118" t="s">
        <v>837</v>
      </c>
      <c r="P245" s="119">
        <v>62</v>
      </c>
      <c r="Q245" s="132"/>
      <c r="R245" s="111"/>
      <c r="S245"/>
      <c r="T245"/>
      <c r="U245"/>
    </row>
    <row r="246" spans="1:21" s="1" customFormat="1" x14ac:dyDescent="0.2">
      <c r="A246" s="83">
        <v>1</v>
      </c>
      <c r="B246" s="148"/>
      <c r="C246" s="148"/>
      <c r="D246" s="48"/>
      <c r="E246" s="44" t="s">
        <v>54</v>
      </c>
      <c r="F246" s="40" t="s">
        <v>73</v>
      </c>
      <c r="G246" s="40" t="s">
        <v>9</v>
      </c>
      <c r="H246" s="124"/>
      <c r="I246" s="16">
        <v>10</v>
      </c>
      <c r="J246" s="116"/>
      <c r="K246" s="37"/>
      <c r="L246" s="37"/>
      <c r="M246" s="38"/>
      <c r="N246" s="117"/>
      <c r="O246" s="118"/>
      <c r="P246" s="119"/>
      <c r="Q246" s="132"/>
      <c r="R246" s="111"/>
      <c r="S246"/>
      <c r="T246"/>
      <c r="U246"/>
    </row>
    <row r="247" spans="1:21" s="1" customFormat="1" ht="11.25" customHeight="1" x14ac:dyDescent="0.2">
      <c r="A247" s="83">
        <v>1</v>
      </c>
      <c r="B247" s="148"/>
      <c r="C247" s="148"/>
      <c r="D247" s="48"/>
      <c r="E247" s="44" t="s">
        <v>54</v>
      </c>
      <c r="F247" s="40" t="s">
        <v>73</v>
      </c>
      <c r="G247" s="121" t="s">
        <v>741</v>
      </c>
      <c r="H247" s="123">
        <f>SUM(H245)</f>
        <v>275.5</v>
      </c>
      <c r="I247" s="123">
        <f>SUM(I245:I246)</f>
        <v>352.7</v>
      </c>
      <c r="J247" s="123">
        <f t="shared" ref="J247:L247" si="6">SUM(J245:J246)</f>
        <v>432</v>
      </c>
      <c r="K247" s="123">
        <f t="shared" si="6"/>
        <v>432</v>
      </c>
      <c r="L247" s="123">
        <f t="shared" si="6"/>
        <v>432</v>
      </c>
      <c r="M247" s="38"/>
      <c r="N247" s="117"/>
      <c r="O247" s="118"/>
      <c r="P247" s="119"/>
      <c r="Q247" s="132"/>
      <c r="R247" s="111"/>
      <c r="S247"/>
      <c r="T247"/>
      <c r="U247"/>
    </row>
    <row r="248" spans="1:21" s="1" customFormat="1" ht="22.5" x14ac:dyDescent="0.2">
      <c r="A248" s="83">
        <v>1</v>
      </c>
      <c r="B248" s="148"/>
      <c r="C248" s="148" t="s">
        <v>838</v>
      </c>
      <c r="D248" s="48" t="s">
        <v>74</v>
      </c>
      <c r="E248" s="44" t="s">
        <v>54</v>
      </c>
      <c r="F248" s="69" t="s">
        <v>75</v>
      </c>
      <c r="G248" s="69" t="s">
        <v>9</v>
      </c>
      <c r="H248" s="124">
        <v>90</v>
      </c>
      <c r="I248" s="16">
        <v>98.8</v>
      </c>
      <c r="J248" s="116">
        <v>100</v>
      </c>
      <c r="K248" s="16">
        <v>100</v>
      </c>
      <c r="L248" s="16">
        <v>100</v>
      </c>
      <c r="M248" s="38" t="s">
        <v>796</v>
      </c>
      <c r="N248" s="117" t="s">
        <v>836</v>
      </c>
      <c r="O248" s="118" t="s">
        <v>839</v>
      </c>
      <c r="P248" s="119">
        <v>37</v>
      </c>
      <c r="Q248" s="132"/>
      <c r="R248" s="111"/>
      <c r="S248"/>
      <c r="T248"/>
      <c r="U248"/>
    </row>
    <row r="249" spans="1:21" s="1" customFormat="1" ht="11.25" customHeight="1" x14ac:dyDescent="0.2">
      <c r="A249" s="83">
        <v>1</v>
      </c>
      <c r="B249" s="148"/>
      <c r="C249" s="148"/>
      <c r="D249" s="48"/>
      <c r="E249" s="44" t="s">
        <v>54</v>
      </c>
      <c r="F249" s="69" t="s">
        <v>75</v>
      </c>
      <c r="G249" s="121" t="s">
        <v>741</v>
      </c>
      <c r="H249" s="123">
        <f>SUM(H248:H248)</f>
        <v>90</v>
      </c>
      <c r="I249" s="123">
        <f>SUM(I248:I248)</f>
        <v>98.8</v>
      </c>
      <c r="J249" s="123">
        <f>SUM(J248:J248)</f>
        <v>100</v>
      </c>
      <c r="K249" s="123">
        <f>SUM(K248:K248)</f>
        <v>100</v>
      </c>
      <c r="L249" s="123">
        <f>SUM(L248:L248)</f>
        <v>100</v>
      </c>
      <c r="M249" s="38"/>
      <c r="N249" s="117"/>
      <c r="O249" s="118"/>
      <c r="P249" s="119"/>
      <c r="Q249" s="132"/>
      <c r="R249" s="111"/>
      <c r="S249"/>
      <c r="T249"/>
      <c r="U249"/>
    </row>
    <row r="250" spans="1:21" s="1" customFormat="1" ht="22.5" x14ac:dyDescent="0.2">
      <c r="A250" s="83">
        <v>1</v>
      </c>
      <c r="B250" s="148"/>
      <c r="C250" s="148" t="s">
        <v>840</v>
      </c>
      <c r="D250" s="48" t="s">
        <v>76</v>
      </c>
      <c r="E250" s="40">
        <v>11</v>
      </c>
      <c r="F250" s="40" t="s">
        <v>77</v>
      </c>
      <c r="G250" s="69" t="s">
        <v>9</v>
      </c>
      <c r="H250" s="124">
        <v>10</v>
      </c>
      <c r="I250" s="16">
        <v>10</v>
      </c>
      <c r="J250" s="116">
        <v>22.1</v>
      </c>
      <c r="K250" s="37">
        <v>22.1</v>
      </c>
      <c r="L250" s="37">
        <v>22.1</v>
      </c>
      <c r="M250" s="38" t="s">
        <v>796</v>
      </c>
      <c r="N250" s="117" t="s">
        <v>828</v>
      </c>
      <c r="O250" s="118" t="s">
        <v>841</v>
      </c>
      <c r="P250" s="119">
        <v>4</v>
      </c>
      <c r="Q250" s="132"/>
      <c r="R250" s="111"/>
      <c r="S250"/>
      <c r="T250"/>
      <c r="U250"/>
    </row>
    <row r="251" spans="1:21" s="1" customFormat="1" ht="11.25" customHeight="1" x14ac:dyDescent="0.2">
      <c r="A251" s="83">
        <v>1</v>
      </c>
      <c r="B251" s="148"/>
      <c r="C251" s="148"/>
      <c r="D251" s="48"/>
      <c r="E251" s="40">
        <v>11</v>
      </c>
      <c r="F251" s="40" t="s">
        <v>77</v>
      </c>
      <c r="G251" s="121" t="s">
        <v>741</v>
      </c>
      <c r="H251" s="123">
        <f>SUM(H250)</f>
        <v>10</v>
      </c>
      <c r="I251" s="123">
        <f>SUM(I250)</f>
        <v>10</v>
      </c>
      <c r="J251" s="123">
        <f>SUM(J250)</f>
        <v>22.1</v>
      </c>
      <c r="K251" s="123">
        <f>SUM(K250)</f>
        <v>22.1</v>
      </c>
      <c r="L251" s="123">
        <f>SUM(L250)</f>
        <v>22.1</v>
      </c>
      <c r="M251" s="38"/>
      <c r="N251" s="117"/>
      <c r="O251" s="118"/>
      <c r="P251" s="119"/>
      <c r="Q251" s="132"/>
      <c r="R251" s="111"/>
      <c r="S251"/>
      <c r="T251"/>
      <c r="U251"/>
    </row>
    <row r="252" spans="1:21" s="1" customFormat="1" ht="33.75" x14ac:dyDescent="0.2">
      <c r="A252" s="83">
        <v>1</v>
      </c>
      <c r="B252" s="148"/>
      <c r="C252" s="148" t="s">
        <v>842</v>
      </c>
      <c r="D252" s="1502" t="s">
        <v>843</v>
      </c>
      <c r="E252" s="40">
        <v>11</v>
      </c>
      <c r="F252" s="69" t="s">
        <v>78</v>
      </c>
      <c r="G252" s="69" t="s">
        <v>9</v>
      </c>
      <c r="H252" s="124">
        <v>22.9</v>
      </c>
      <c r="I252" s="16">
        <v>26</v>
      </c>
      <c r="J252" s="116">
        <v>28</v>
      </c>
      <c r="K252" s="127">
        <v>28</v>
      </c>
      <c r="L252" s="127">
        <v>28</v>
      </c>
      <c r="M252" s="38" t="s">
        <v>796</v>
      </c>
      <c r="N252" s="117" t="s">
        <v>792</v>
      </c>
      <c r="O252" s="1175" t="s">
        <v>2291</v>
      </c>
      <c r="P252" s="119" t="s">
        <v>2292</v>
      </c>
      <c r="Q252" s="132"/>
      <c r="R252" s="111"/>
      <c r="S252"/>
      <c r="T252"/>
      <c r="U252"/>
    </row>
    <row r="253" spans="1:21" s="1" customFormat="1" ht="11.25" customHeight="1" x14ac:dyDescent="0.2">
      <c r="A253" s="83">
        <v>1</v>
      </c>
      <c r="B253" s="148"/>
      <c r="C253" s="148"/>
      <c r="D253" s="1478"/>
      <c r="E253" s="40">
        <v>11</v>
      </c>
      <c r="F253" s="69" t="s">
        <v>78</v>
      </c>
      <c r="G253" s="40" t="s">
        <v>58</v>
      </c>
      <c r="H253" s="124">
        <v>103</v>
      </c>
      <c r="I253" s="16">
        <v>7.9</v>
      </c>
      <c r="J253" s="116">
        <v>12.6</v>
      </c>
      <c r="K253" s="127"/>
      <c r="L253" s="127"/>
      <c r="M253" s="38"/>
      <c r="N253" s="318" t="s">
        <v>792</v>
      </c>
      <c r="O253" s="118" t="s">
        <v>2293</v>
      </c>
      <c r="P253" s="119">
        <v>19</v>
      </c>
      <c r="Q253" s="132"/>
      <c r="R253" s="111"/>
      <c r="S253"/>
      <c r="T253"/>
      <c r="U253"/>
    </row>
    <row r="254" spans="1:21" s="1" customFormat="1" ht="11.25" customHeight="1" x14ac:dyDescent="0.2">
      <c r="A254" s="83">
        <v>1</v>
      </c>
      <c r="B254" s="148"/>
      <c r="C254" s="148"/>
      <c r="D254" s="1479"/>
      <c r="E254" s="40">
        <v>11</v>
      </c>
      <c r="F254" s="69" t="s">
        <v>78</v>
      </c>
      <c r="G254" s="40" t="s">
        <v>59</v>
      </c>
      <c r="H254" s="124">
        <v>18.5</v>
      </c>
      <c r="I254" s="16"/>
      <c r="J254" s="116"/>
      <c r="K254" s="127"/>
      <c r="L254" s="127"/>
      <c r="M254" s="38"/>
      <c r="N254" s="117"/>
      <c r="O254" s="118"/>
      <c r="P254" s="119"/>
      <c r="Q254" s="132"/>
      <c r="R254" s="111"/>
      <c r="S254"/>
      <c r="T254"/>
      <c r="U254"/>
    </row>
    <row r="255" spans="1:21" s="1" customFormat="1" ht="11.25" customHeight="1" x14ac:dyDescent="0.2">
      <c r="A255" s="83">
        <v>1</v>
      </c>
      <c r="B255" s="148"/>
      <c r="C255" s="148"/>
      <c r="D255" s="48"/>
      <c r="E255" s="40">
        <v>11</v>
      </c>
      <c r="F255" s="69" t="s">
        <v>78</v>
      </c>
      <c r="G255" s="121" t="s">
        <v>741</v>
      </c>
      <c r="H255" s="123">
        <f>SUM(H252:H254)</f>
        <v>144.4</v>
      </c>
      <c r="I255" s="123">
        <f>SUM(I252:I254)</f>
        <v>33.9</v>
      </c>
      <c r="J255" s="123">
        <f>SUM(J252:J254)</f>
        <v>40.6</v>
      </c>
      <c r="K255" s="123">
        <f>SUM(K252:K254)</f>
        <v>28</v>
      </c>
      <c r="L255" s="123">
        <f>SUM(L252:L254)</f>
        <v>28</v>
      </c>
      <c r="M255" s="38"/>
      <c r="N255" s="117"/>
      <c r="O255" s="118"/>
      <c r="P255" s="119"/>
      <c r="Q255" s="132"/>
      <c r="R255" s="111"/>
      <c r="S255"/>
      <c r="T255"/>
      <c r="U255"/>
    </row>
    <row r="256" spans="1:21" s="1" customFormat="1" ht="45" x14ac:dyDescent="0.2">
      <c r="A256" s="83">
        <v>1</v>
      </c>
      <c r="B256" s="148"/>
      <c r="C256" s="148" t="s">
        <v>844</v>
      </c>
      <c r="D256" s="48" t="s">
        <v>79</v>
      </c>
      <c r="E256" s="40">
        <v>11</v>
      </c>
      <c r="F256" s="69" t="s">
        <v>80</v>
      </c>
      <c r="G256" s="69" t="s">
        <v>9</v>
      </c>
      <c r="H256" s="124">
        <v>50</v>
      </c>
      <c r="I256" s="16">
        <v>50</v>
      </c>
      <c r="J256" s="116">
        <f>50-10</f>
        <v>40</v>
      </c>
      <c r="K256" s="16">
        <v>50</v>
      </c>
      <c r="L256" s="16">
        <v>50</v>
      </c>
      <c r="M256" s="38" t="s">
        <v>796</v>
      </c>
      <c r="N256" s="117" t="s">
        <v>792</v>
      </c>
      <c r="O256" s="118" t="s">
        <v>2294</v>
      </c>
      <c r="P256" s="119" t="s">
        <v>2295</v>
      </c>
      <c r="Q256" s="132"/>
      <c r="R256" s="111"/>
      <c r="S256"/>
      <c r="T256"/>
      <c r="U256"/>
    </row>
    <row r="257" spans="1:21" s="1" customFormat="1" ht="22.5" x14ac:dyDescent="0.2">
      <c r="A257" s="83">
        <v>1</v>
      </c>
      <c r="B257" s="148"/>
      <c r="C257" s="148"/>
      <c r="D257" s="48"/>
      <c r="E257" s="40" t="s">
        <v>17</v>
      </c>
      <c r="F257" s="69" t="s">
        <v>80</v>
      </c>
      <c r="G257" s="69" t="s">
        <v>9</v>
      </c>
      <c r="H257" s="124"/>
      <c r="I257" s="16"/>
      <c r="J257" s="116">
        <v>10</v>
      </c>
      <c r="K257" s="16"/>
      <c r="L257" s="16"/>
      <c r="M257" s="38"/>
      <c r="N257" s="117"/>
      <c r="O257" s="118" t="s">
        <v>2527</v>
      </c>
      <c r="P257" s="119"/>
      <c r="Q257" s="132"/>
      <c r="R257" s="111"/>
      <c r="S257"/>
      <c r="T257"/>
      <c r="U257"/>
    </row>
    <row r="258" spans="1:21" s="1" customFormat="1" ht="11.25" customHeight="1" x14ac:dyDescent="0.2">
      <c r="A258" s="83">
        <v>1</v>
      </c>
      <c r="B258" s="148"/>
      <c r="C258" s="148"/>
      <c r="D258" s="48"/>
      <c r="E258" s="40">
        <v>11</v>
      </c>
      <c r="F258" s="69" t="s">
        <v>80</v>
      </c>
      <c r="G258" s="121" t="s">
        <v>741</v>
      </c>
      <c r="H258" s="123">
        <f>SUM(H256)</f>
        <v>50</v>
      </c>
      <c r="I258" s="123">
        <f>SUM(I256:I257)</f>
        <v>50</v>
      </c>
      <c r="J258" s="123">
        <f t="shared" ref="J258:L258" si="7">SUM(J256:J257)</f>
        <v>50</v>
      </c>
      <c r="K258" s="123">
        <f t="shared" si="7"/>
        <v>50</v>
      </c>
      <c r="L258" s="123">
        <f t="shared" si="7"/>
        <v>50</v>
      </c>
      <c r="M258" s="38"/>
      <c r="N258" s="117"/>
      <c r="O258" s="118"/>
      <c r="P258" s="119"/>
      <c r="Q258" s="132"/>
      <c r="R258" s="111"/>
      <c r="S258"/>
      <c r="T258"/>
      <c r="U258"/>
    </row>
    <row r="259" spans="1:21" s="1" customFormat="1" ht="22.5" x14ac:dyDescent="0.2">
      <c r="A259" s="83">
        <v>1</v>
      </c>
      <c r="B259" s="148"/>
      <c r="C259" s="148" t="s">
        <v>845</v>
      </c>
      <c r="D259" s="48" t="s">
        <v>846</v>
      </c>
      <c r="E259" s="40" t="s">
        <v>2266</v>
      </c>
      <c r="F259" s="126" t="s">
        <v>2267</v>
      </c>
      <c r="G259" s="69" t="s">
        <v>58</v>
      </c>
      <c r="H259" s="124">
        <v>82.4</v>
      </c>
      <c r="I259" s="16">
        <v>18.899999999999999</v>
      </c>
      <c r="J259" s="116"/>
      <c r="K259" s="127"/>
      <c r="L259" s="127"/>
      <c r="M259" s="38"/>
      <c r="N259" s="149"/>
      <c r="O259" s="118"/>
      <c r="P259" s="119"/>
      <c r="Q259" s="132"/>
      <c r="R259" s="111"/>
      <c r="S259"/>
      <c r="T259"/>
      <c r="U259"/>
    </row>
    <row r="260" spans="1:21" s="1" customFormat="1" x14ac:dyDescent="0.2">
      <c r="A260" s="83">
        <v>1</v>
      </c>
      <c r="B260" s="148"/>
      <c r="C260" s="148"/>
      <c r="D260" s="48"/>
      <c r="E260" s="40" t="s">
        <v>17</v>
      </c>
      <c r="F260" s="126" t="s">
        <v>2267</v>
      </c>
      <c r="G260" s="69" t="s">
        <v>11</v>
      </c>
      <c r="H260" s="127"/>
      <c r="I260" s="16">
        <v>23.8</v>
      </c>
      <c r="J260" s="116">
        <v>31.8</v>
      </c>
      <c r="K260" s="37">
        <v>27.6</v>
      </c>
      <c r="L260" s="37">
        <v>27.6</v>
      </c>
      <c r="M260" s="38"/>
      <c r="N260" s="117"/>
      <c r="O260" s="118"/>
      <c r="P260" s="119"/>
      <c r="Q260" s="132"/>
      <c r="R260" s="111"/>
      <c r="S260"/>
      <c r="T260"/>
      <c r="U260"/>
    </row>
    <row r="261" spans="1:21" s="1" customFormat="1" x14ac:dyDescent="0.2">
      <c r="A261" s="83">
        <v>1</v>
      </c>
      <c r="B261" s="148"/>
      <c r="C261" s="148"/>
      <c r="D261" s="48"/>
      <c r="E261" s="40" t="s">
        <v>21</v>
      </c>
      <c r="F261" s="126" t="s">
        <v>2267</v>
      </c>
      <c r="G261" s="69" t="s">
        <v>11</v>
      </c>
      <c r="H261" s="127"/>
      <c r="I261" s="16">
        <v>11</v>
      </c>
      <c r="J261" s="116">
        <v>15.9</v>
      </c>
      <c r="K261" s="37">
        <v>13.8</v>
      </c>
      <c r="L261" s="37">
        <v>13.8</v>
      </c>
      <c r="M261" s="38"/>
      <c r="N261" s="117"/>
      <c r="O261" s="118"/>
      <c r="P261" s="119"/>
      <c r="Q261" s="132"/>
      <c r="R261" s="111"/>
      <c r="S261"/>
      <c r="T261"/>
      <c r="U261"/>
    </row>
    <row r="262" spans="1:21" s="1" customFormat="1" x14ac:dyDescent="0.2">
      <c r="A262" s="83">
        <v>1</v>
      </c>
      <c r="B262" s="148"/>
      <c r="C262" s="148"/>
      <c r="D262" s="48"/>
      <c r="E262" s="40" t="s">
        <v>19</v>
      </c>
      <c r="F262" s="126" t="s">
        <v>2267</v>
      </c>
      <c r="G262" s="69" t="s">
        <v>11</v>
      </c>
      <c r="H262" s="127"/>
      <c r="I262" s="16">
        <v>20.399999999999999</v>
      </c>
      <c r="J262" s="116">
        <v>27.6</v>
      </c>
      <c r="K262" s="37">
        <v>24</v>
      </c>
      <c r="L262" s="37">
        <v>24</v>
      </c>
      <c r="M262" s="38"/>
      <c r="N262" s="117"/>
      <c r="O262" s="118"/>
      <c r="P262" s="119"/>
      <c r="Q262" s="132"/>
      <c r="R262" s="111"/>
      <c r="S262"/>
      <c r="T262"/>
      <c r="U262"/>
    </row>
    <row r="263" spans="1:21" s="1" customFormat="1" x14ac:dyDescent="0.2">
      <c r="A263" s="83">
        <v>1</v>
      </c>
      <c r="B263" s="148"/>
      <c r="C263" s="148"/>
      <c r="D263" s="48"/>
      <c r="E263" s="40" t="s">
        <v>6</v>
      </c>
      <c r="F263" s="126" t="s">
        <v>2267</v>
      </c>
      <c r="G263" s="69" t="s">
        <v>11</v>
      </c>
      <c r="H263" s="127"/>
      <c r="I263" s="16">
        <v>20.2</v>
      </c>
      <c r="J263" s="116">
        <v>25.7</v>
      </c>
      <c r="K263" s="37">
        <v>23.1</v>
      </c>
      <c r="L263" s="37">
        <v>23.4</v>
      </c>
      <c r="M263" s="38"/>
      <c r="N263" s="117"/>
      <c r="O263" s="118"/>
      <c r="P263" s="119"/>
      <c r="Q263" s="132"/>
      <c r="R263" s="111"/>
      <c r="S263"/>
      <c r="T263"/>
      <c r="U263"/>
    </row>
    <row r="264" spans="1:21" s="1" customFormat="1" x14ac:dyDescent="0.2">
      <c r="A264" s="83">
        <v>1</v>
      </c>
      <c r="B264" s="148"/>
      <c r="C264" s="148"/>
      <c r="D264" s="48"/>
      <c r="E264" s="40" t="s">
        <v>13</v>
      </c>
      <c r="F264" s="126" t="s">
        <v>2267</v>
      </c>
      <c r="G264" s="69" t="s">
        <v>11</v>
      </c>
      <c r="H264" s="127"/>
      <c r="I264" s="16">
        <v>15.2</v>
      </c>
      <c r="J264" s="116">
        <v>19.2</v>
      </c>
      <c r="K264" s="37">
        <v>16.7</v>
      </c>
      <c r="L264" s="37">
        <v>16.7</v>
      </c>
      <c r="M264" s="38"/>
      <c r="N264" s="117"/>
      <c r="O264" s="118"/>
      <c r="P264" s="119"/>
      <c r="Q264" s="132"/>
      <c r="R264" s="111"/>
      <c r="S264"/>
      <c r="T264"/>
      <c r="U264"/>
    </row>
    <row r="265" spans="1:21" s="1" customFormat="1" x14ac:dyDescent="0.2">
      <c r="A265" s="83">
        <v>1</v>
      </c>
      <c r="B265" s="148"/>
      <c r="C265" s="148"/>
      <c r="D265" s="48"/>
      <c r="E265" s="40" t="s">
        <v>42</v>
      </c>
      <c r="F265" s="126" t="s">
        <v>2267</v>
      </c>
      <c r="G265" s="69" t="s">
        <v>11</v>
      </c>
      <c r="H265" s="127"/>
      <c r="I265" s="16">
        <v>32.799999999999997</v>
      </c>
      <c r="J265" s="116">
        <v>39.700000000000003</v>
      </c>
      <c r="K265" s="37">
        <v>34.4</v>
      </c>
      <c r="L265" s="37">
        <v>34.4</v>
      </c>
      <c r="M265" s="38"/>
      <c r="N265" s="117"/>
      <c r="O265" s="118"/>
      <c r="P265" s="119"/>
      <c r="Q265" s="132"/>
      <c r="R265" s="111"/>
      <c r="S265"/>
      <c r="T265"/>
      <c r="U265"/>
    </row>
    <row r="266" spans="1:21" s="1" customFormat="1" x14ac:dyDescent="0.2">
      <c r="A266" s="83">
        <v>1</v>
      </c>
      <c r="B266" s="148"/>
      <c r="C266" s="148"/>
      <c r="D266" s="48"/>
      <c r="E266" s="40"/>
      <c r="F266" s="126"/>
      <c r="G266" s="121" t="s">
        <v>741</v>
      </c>
      <c r="H266" s="123">
        <f>SUM(H259:H259)</f>
        <v>82.4</v>
      </c>
      <c r="I266" s="123">
        <f>SUM(I259:I265)</f>
        <v>142.30000000000001</v>
      </c>
      <c r="J266" s="123">
        <f>SUM(J259:J265)</f>
        <v>159.90000000000003</v>
      </c>
      <c r="K266" s="123">
        <f>SUM(K259:K265)</f>
        <v>139.6</v>
      </c>
      <c r="L266" s="123">
        <f>SUM(L259:L265)</f>
        <v>139.9</v>
      </c>
      <c r="M266" s="38"/>
      <c r="N266" s="117"/>
      <c r="O266" s="118"/>
      <c r="P266" s="119"/>
      <c r="Q266" s="132"/>
      <c r="R266" s="111"/>
      <c r="S266"/>
      <c r="T266">
        <f>159.9-138.8</f>
        <v>21.099999999999994</v>
      </c>
      <c r="U266"/>
    </row>
    <row r="267" spans="1:21" s="1" customFormat="1" ht="33.75" x14ac:dyDescent="0.2">
      <c r="A267" s="83">
        <v>1</v>
      </c>
      <c r="B267" s="142" t="s">
        <v>847</v>
      </c>
      <c r="C267" s="142" t="s">
        <v>847</v>
      </c>
      <c r="D267" s="143" t="s">
        <v>81</v>
      </c>
      <c r="E267" s="40"/>
      <c r="F267" s="40"/>
      <c r="G267" s="81"/>
      <c r="H267" s="123"/>
      <c r="I267" s="302">
        <f>I272+I274</f>
        <v>412.2</v>
      </c>
      <c r="J267" s="144">
        <f>J272+J274</f>
        <v>434.4</v>
      </c>
      <c r="K267" s="21">
        <f>K272+K274</f>
        <v>460.8</v>
      </c>
      <c r="L267" s="21">
        <f>L272+L274</f>
        <v>465.5</v>
      </c>
      <c r="M267" s="38"/>
      <c r="N267" s="117"/>
      <c r="O267" s="118"/>
      <c r="P267" s="119"/>
      <c r="Q267" s="132"/>
      <c r="R267" s="111"/>
      <c r="S267"/>
      <c r="T267"/>
      <c r="U267"/>
    </row>
    <row r="268" spans="1:21" s="1" customFormat="1" ht="21" customHeight="1" x14ac:dyDescent="0.2">
      <c r="A268" s="83">
        <v>1</v>
      </c>
      <c r="B268" s="148"/>
      <c r="C268" s="148" t="s">
        <v>848</v>
      </c>
      <c r="D268" s="48" t="s">
        <v>849</v>
      </c>
      <c r="E268" s="44" t="s">
        <v>42</v>
      </c>
      <c r="F268" s="40" t="s">
        <v>82</v>
      </c>
      <c r="G268" s="69" t="s">
        <v>9</v>
      </c>
      <c r="H268" s="16">
        <v>232.6</v>
      </c>
      <c r="I268" s="16">
        <v>237.7</v>
      </c>
      <c r="J268" s="116">
        <v>276.7</v>
      </c>
      <c r="K268" s="16">
        <v>303.10000000000002</v>
      </c>
      <c r="L268" s="16">
        <v>307.8</v>
      </c>
      <c r="M268" s="38" t="s">
        <v>739</v>
      </c>
      <c r="N268" s="117"/>
      <c r="O268" s="118"/>
      <c r="P268" s="119"/>
      <c r="Q268" s="132"/>
      <c r="R268" s="111"/>
      <c r="S268"/>
      <c r="T268"/>
      <c r="U268"/>
    </row>
    <row r="269" spans="1:21" s="1" customFormat="1" ht="11.25" customHeight="1" x14ac:dyDescent="0.2">
      <c r="A269" s="83">
        <v>1</v>
      </c>
      <c r="B269" s="148"/>
      <c r="C269" s="148"/>
      <c r="D269" s="48"/>
      <c r="E269" s="44" t="s">
        <v>42</v>
      </c>
      <c r="F269" s="40" t="s">
        <v>82</v>
      </c>
      <c r="G269" s="40" t="s">
        <v>12</v>
      </c>
      <c r="H269" s="37">
        <v>110.6</v>
      </c>
      <c r="I269" s="16">
        <v>59.7</v>
      </c>
      <c r="J269" s="116">
        <v>77.7</v>
      </c>
      <c r="K269" s="16">
        <v>77.7</v>
      </c>
      <c r="L269" s="16">
        <v>77.7</v>
      </c>
      <c r="M269" s="38"/>
      <c r="N269" s="117"/>
      <c r="O269" s="118"/>
      <c r="P269" s="119"/>
      <c r="Q269" s="132"/>
      <c r="R269" s="111"/>
      <c r="S269"/>
      <c r="T269"/>
      <c r="U269"/>
    </row>
    <row r="270" spans="1:21" s="1" customFormat="1" ht="11.25" customHeight="1" x14ac:dyDescent="0.2">
      <c r="A270" s="83">
        <v>1</v>
      </c>
      <c r="B270" s="148"/>
      <c r="C270" s="148"/>
      <c r="D270" s="48"/>
      <c r="E270" s="44" t="s">
        <v>42</v>
      </c>
      <c r="F270" s="40" t="s">
        <v>82</v>
      </c>
      <c r="G270" s="40" t="s">
        <v>740</v>
      </c>
      <c r="H270" s="37">
        <v>0</v>
      </c>
      <c r="I270" s="16">
        <v>0</v>
      </c>
      <c r="J270" s="116">
        <v>0</v>
      </c>
      <c r="K270" s="37">
        <v>0</v>
      </c>
      <c r="L270" s="37">
        <v>0</v>
      </c>
      <c r="M270" s="38"/>
      <c r="N270" s="117"/>
      <c r="O270" s="118"/>
      <c r="P270" s="119"/>
      <c r="Q270" s="132"/>
      <c r="R270" s="111"/>
      <c r="S270"/>
      <c r="T270"/>
      <c r="U270"/>
    </row>
    <row r="271" spans="1:21" s="1" customFormat="1" ht="11.25" customHeight="1" x14ac:dyDescent="0.2">
      <c r="A271" s="83">
        <v>1</v>
      </c>
      <c r="B271" s="148"/>
      <c r="C271" s="148"/>
      <c r="D271" s="48"/>
      <c r="E271" s="44" t="s">
        <v>42</v>
      </c>
      <c r="F271" s="40" t="s">
        <v>82</v>
      </c>
      <c r="G271" s="40" t="s">
        <v>11</v>
      </c>
      <c r="H271" s="37"/>
      <c r="I271" s="16">
        <v>32.799999999999997</v>
      </c>
      <c r="J271" s="116"/>
      <c r="K271" s="37"/>
      <c r="L271" s="37"/>
      <c r="M271" s="38"/>
      <c r="N271" s="117"/>
      <c r="O271" s="118"/>
      <c r="P271" s="119"/>
      <c r="Q271" s="132"/>
      <c r="R271" s="111"/>
      <c r="S271"/>
      <c r="T271"/>
      <c r="U271"/>
    </row>
    <row r="272" spans="1:21" s="1" customFormat="1" ht="11.25" customHeight="1" x14ac:dyDescent="0.2">
      <c r="A272" s="83">
        <v>1</v>
      </c>
      <c r="B272" s="148"/>
      <c r="C272" s="148"/>
      <c r="D272" s="48"/>
      <c r="E272" s="44" t="s">
        <v>42</v>
      </c>
      <c r="F272" s="40" t="s">
        <v>82</v>
      </c>
      <c r="G272" s="121" t="s">
        <v>741</v>
      </c>
      <c r="H272" s="123">
        <f>SUM(H268:H270)</f>
        <v>343.2</v>
      </c>
      <c r="I272" s="123">
        <f>SUM(I268:I271)</f>
        <v>330.2</v>
      </c>
      <c r="J272" s="123">
        <f t="shared" ref="J272:L272" si="8">SUM(J268:J271)</f>
        <v>354.4</v>
      </c>
      <c r="K272" s="123">
        <f t="shared" si="8"/>
        <v>380.8</v>
      </c>
      <c r="L272" s="123">
        <f t="shared" si="8"/>
        <v>385.5</v>
      </c>
      <c r="M272" s="38"/>
      <c r="N272" s="117"/>
      <c r="O272" s="118"/>
      <c r="P272" s="119"/>
      <c r="Q272" s="132"/>
      <c r="R272" s="111"/>
      <c r="S272"/>
      <c r="T272"/>
      <c r="U272"/>
    </row>
    <row r="273" spans="1:21" s="1" customFormat="1" ht="33.75" x14ac:dyDescent="0.2">
      <c r="A273" s="83">
        <v>1</v>
      </c>
      <c r="B273" s="148"/>
      <c r="C273" s="148" t="s">
        <v>850</v>
      </c>
      <c r="D273" s="48" t="s">
        <v>83</v>
      </c>
      <c r="E273" s="20" t="s">
        <v>54</v>
      </c>
      <c r="F273" s="40" t="s">
        <v>84</v>
      </c>
      <c r="G273" s="69" t="s">
        <v>9</v>
      </c>
      <c r="H273" s="124">
        <v>87.9</v>
      </c>
      <c r="I273" s="16">
        <v>82</v>
      </c>
      <c r="J273" s="116">
        <v>80</v>
      </c>
      <c r="K273" s="37">
        <v>80</v>
      </c>
      <c r="L273" s="37">
        <v>80</v>
      </c>
      <c r="M273" s="38" t="s">
        <v>796</v>
      </c>
      <c r="N273" s="149" t="s">
        <v>828</v>
      </c>
      <c r="O273" s="118" t="s">
        <v>851</v>
      </c>
      <c r="P273" s="119">
        <v>20</v>
      </c>
      <c r="Q273" s="132"/>
      <c r="R273" s="111"/>
      <c r="S273"/>
      <c r="T273"/>
      <c r="U273"/>
    </row>
    <row r="274" spans="1:21" s="1" customFormat="1" ht="11.25" customHeight="1" x14ac:dyDescent="0.2">
      <c r="A274" s="83">
        <v>1</v>
      </c>
      <c r="B274" s="148"/>
      <c r="C274" s="148"/>
      <c r="D274" s="48"/>
      <c r="E274" s="150"/>
      <c r="F274" s="40" t="s">
        <v>84</v>
      </c>
      <c r="G274" s="121" t="s">
        <v>741</v>
      </c>
      <c r="H274" s="123">
        <f>SUM(H273:H273)</f>
        <v>87.9</v>
      </c>
      <c r="I274" s="123">
        <f>SUM(I273:I273)</f>
        <v>82</v>
      </c>
      <c r="J274" s="123">
        <f>SUM(J273:J273)</f>
        <v>80</v>
      </c>
      <c r="K274" s="123">
        <f>SUM(K273:K273)</f>
        <v>80</v>
      </c>
      <c r="L274" s="123">
        <f>SUM(L273:L273)</f>
        <v>80</v>
      </c>
      <c r="M274" s="38"/>
      <c r="N274" s="117"/>
      <c r="O274" s="118"/>
      <c r="P274" s="119"/>
      <c r="Q274" s="132"/>
      <c r="R274" s="111"/>
      <c r="S274"/>
      <c r="T274"/>
      <c r="U274"/>
    </row>
    <row r="275" spans="1:21" s="1" customFormat="1" ht="22.5" x14ac:dyDescent="0.2">
      <c r="A275" s="83">
        <v>1</v>
      </c>
      <c r="B275" s="107"/>
      <c r="C275" s="107"/>
      <c r="D275" s="108" t="s">
        <v>852</v>
      </c>
      <c r="E275" s="109"/>
      <c r="F275" s="110"/>
      <c r="G275" s="109"/>
      <c r="H275" s="109"/>
      <c r="I275" s="109"/>
      <c r="J275" s="109"/>
      <c r="K275" s="108"/>
      <c r="L275" s="108"/>
      <c r="M275" s="38"/>
      <c r="N275" s="82"/>
      <c r="O275" s="89"/>
      <c r="P275" s="119"/>
      <c r="Q275" s="132"/>
      <c r="R275" s="111"/>
      <c r="S275"/>
      <c r="T275"/>
      <c r="U275"/>
    </row>
    <row r="276" spans="1:21" s="1" customFormat="1" ht="24.6" customHeight="1" x14ac:dyDescent="0.2">
      <c r="A276" s="83">
        <v>1</v>
      </c>
      <c r="B276" s="142" t="s">
        <v>853</v>
      </c>
      <c r="C276" s="142" t="s">
        <v>853</v>
      </c>
      <c r="D276" s="113" t="s">
        <v>85</v>
      </c>
      <c r="E276" s="71"/>
      <c r="F276" s="40"/>
      <c r="G276" s="37"/>
      <c r="H276" s="151"/>
      <c r="I276" s="21">
        <f>I279</f>
        <v>79.5</v>
      </c>
      <c r="J276" s="21">
        <f>J279</f>
        <v>380</v>
      </c>
      <c r="K276" s="21">
        <f>K279</f>
        <v>200</v>
      </c>
      <c r="L276" s="21">
        <f>L279</f>
        <v>200</v>
      </c>
      <c r="M276" s="38"/>
      <c r="N276" s="149" t="s">
        <v>783</v>
      </c>
      <c r="O276" s="118" t="s">
        <v>2296</v>
      </c>
      <c r="P276" s="119">
        <v>3</v>
      </c>
      <c r="Q276" s="132"/>
      <c r="R276" s="111"/>
      <c r="S276"/>
      <c r="T276"/>
      <c r="U276"/>
    </row>
    <row r="277" spans="1:21" s="1" customFormat="1" ht="11.25" customHeight="1" x14ac:dyDescent="0.2">
      <c r="A277" s="83">
        <v>1</v>
      </c>
      <c r="B277" s="146"/>
      <c r="C277" s="146"/>
      <c r="D277" s="146"/>
      <c r="E277" s="1504">
        <v>11</v>
      </c>
      <c r="F277" s="44" t="s">
        <v>87</v>
      </c>
      <c r="G277" s="69" t="s">
        <v>9</v>
      </c>
      <c r="H277" s="152">
        <f>150+13.5</f>
        <v>163.5</v>
      </c>
      <c r="I277" s="16">
        <v>79.5</v>
      </c>
      <c r="J277" s="116">
        <f>300+12</f>
        <v>312</v>
      </c>
      <c r="K277" s="37">
        <v>200</v>
      </c>
      <c r="L277" s="37">
        <v>200</v>
      </c>
      <c r="M277" s="38" t="s">
        <v>796</v>
      </c>
      <c r="N277" s="117"/>
      <c r="O277" s="145"/>
      <c r="P277" s="81"/>
      <c r="Q277" s="132"/>
      <c r="R277" s="111"/>
      <c r="S277"/>
      <c r="T277"/>
      <c r="U277"/>
    </row>
    <row r="278" spans="1:21" s="1" customFormat="1" ht="11.25" customHeight="1" x14ac:dyDescent="0.2">
      <c r="A278" s="83">
        <v>1</v>
      </c>
      <c r="B278" s="146"/>
      <c r="C278" s="146"/>
      <c r="D278" s="146"/>
      <c r="E278" s="1505"/>
      <c r="F278" s="44" t="s">
        <v>87</v>
      </c>
      <c r="G278" s="69" t="s">
        <v>11</v>
      </c>
      <c r="H278" s="152"/>
      <c r="I278" s="16"/>
      <c r="J278" s="116">
        <v>68</v>
      </c>
      <c r="K278" s="37"/>
      <c r="L278" s="37"/>
      <c r="M278" s="38"/>
      <c r="N278" s="117"/>
      <c r="O278" s="145"/>
      <c r="P278" s="81"/>
      <c r="Q278" s="132"/>
      <c r="R278" s="111"/>
      <c r="S278"/>
      <c r="T278"/>
      <c r="U278"/>
    </row>
    <row r="279" spans="1:21" s="1" customFormat="1" ht="11.25" customHeight="1" x14ac:dyDescent="0.2">
      <c r="A279" s="83">
        <v>1</v>
      </c>
      <c r="B279" s="148"/>
      <c r="C279" s="148"/>
      <c r="D279" s="48"/>
      <c r="E279" s="153"/>
      <c r="F279" s="44" t="s">
        <v>87</v>
      </c>
      <c r="G279" s="154" t="s">
        <v>4</v>
      </c>
      <c r="H279" s="123">
        <f>SUM(H277:H277)</f>
        <v>163.5</v>
      </c>
      <c r="I279" s="123">
        <f>SUM(I277:I277)</f>
        <v>79.5</v>
      </c>
      <c r="J279" s="123">
        <f>SUM(J277:J278)</f>
        <v>380</v>
      </c>
      <c r="K279" s="123">
        <f t="shared" ref="K279:L279" si="9">SUM(K277:K278)</f>
        <v>200</v>
      </c>
      <c r="L279" s="123">
        <f t="shared" si="9"/>
        <v>200</v>
      </c>
      <c r="M279" s="38"/>
      <c r="N279" s="117"/>
      <c r="O279" s="145"/>
      <c r="P279" s="81"/>
      <c r="Q279" s="132"/>
      <c r="R279" s="111"/>
      <c r="S279"/>
      <c r="T279"/>
      <c r="U279"/>
    </row>
    <row r="280" spans="1:21" s="1" customFormat="1" ht="33.75" x14ac:dyDescent="0.2">
      <c r="A280" s="83">
        <v>1</v>
      </c>
      <c r="B280" s="142" t="s">
        <v>854</v>
      </c>
      <c r="C280" s="142" t="s">
        <v>854</v>
      </c>
      <c r="D280" s="143" t="s">
        <v>88</v>
      </c>
      <c r="E280" s="153"/>
      <c r="F280" s="40"/>
      <c r="G280" s="121" t="s">
        <v>741</v>
      </c>
      <c r="H280" s="123"/>
      <c r="I280" s="21">
        <f>I305</f>
        <v>1289.0000000000002</v>
      </c>
      <c r="J280" s="21">
        <f>J305</f>
        <v>1200.0000000000002</v>
      </c>
      <c r="K280" s="21">
        <f>K305</f>
        <v>1200</v>
      </c>
      <c r="L280" s="21">
        <f>L305</f>
        <v>1200</v>
      </c>
      <c r="M280" s="38"/>
      <c r="N280" s="149"/>
      <c r="O280" s="145"/>
      <c r="P280" s="81"/>
      <c r="Q280" s="132"/>
      <c r="R280" s="111"/>
      <c r="S280"/>
      <c r="T280"/>
      <c r="U280"/>
    </row>
    <row r="281" spans="1:21" s="1" customFormat="1" ht="18.75" customHeight="1" x14ac:dyDescent="0.2">
      <c r="A281" s="83">
        <v>1</v>
      </c>
      <c r="B281" s="146"/>
      <c r="C281" s="146"/>
      <c r="D281" s="146"/>
      <c r="E281" s="44" t="s">
        <v>6</v>
      </c>
      <c r="F281" s="44" t="s">
        <v>89</v>
      </c>
      <c r="G281" s="69" t="s">
        <v>9</v>
      </c>
      <c r="H281" s="152"/>
      <c r="I281" s="16">
        <v>30</v>
      </c>
      <c r="J281" s="116">
        <f>21.1+30+5.2+5</f>
        <v>61.300000000000004</v>
      </c>
      <c r="K281" s="37"/>
      <c r="L281" s="37"/>
      <c r="M281" s="38"/>
      <c r="N281" s="1111" t="s">
        <v>2164</v>
      </c>
      <c r="O281" s="145"/>
      <c r="P281" s="81"/>
      <c r="Q281" s="132"/>
      <c r="R281" s="111"/>
      <c r="S281"/>
      <c r="T281"/>
      <c r="U281"/>
    </row>
    <row r="282" spans="1:21" s="1" customFormat="1" ht="18.75" customHeight="1" x14ac:dyDescent="0.2">
      <c r="A282" s="83">
        <v>1</v>
      </c>
      <c r="B282" s="148"/>
      <c r="C282" s="148"/>
      <c r="D282" s="48"/>
      <c r="E282" s="44" t="s">
        <v>13</v>
      </c>
      <c r="F282" s="44" t="s">
        <v>89</v>
      </c>
      <c r="G282" s="69" t="s">
        <v>9</v>
      </c>
      <c r="H282" s="37">
        <f>24.2+13.5</f>
        <v>37.700000000000003</v>
      </c>
      <c r="I282" s="16">
        <v>115.9</v>
      </c>
      <c r="J282" s="116">
        <f>11.6+28.8+13.1+4.5</f>
        <v>58</v>
      </c>
      <c r="K282" s="37"/>
      <c r="L282" s="37"/>
      <c r="M282" s="38"/>
      <c r="N282" s="1111" t="s">
        <v>2234</v>
      </c>
      <c r="O282" s="145"/>
      <c r="P282" s="81"/>
      <c r="Q282" s="132"/>
      <c r="R282" s="111"/>
      <c r="S282"/>
      <c r="T282"/>
      <c r="U282"/>
    </row>
    <row r="283" spans="1:21" s="1" customFormat="1" ht="18.75" customHeight="1" x14ac:dyDescent="0.2">
      <c r="A283" s="83">
        <v>1</v>
      </c>
      <c r="B283" s="148"/>
      <c r="C283" s="148"/>
      <c r="D283" s="48"/>
      <c r="E283" s="44" t="s">
        <v>17</v>
      </c>
      <c r="F283" s="44" t="s">
        <v>89</v>
      </c>
      <c r="G283" s="69" t="s">
        <v>9</v>
      </c>
      <c r="H283" s="37">
        <f>6.3</f>
        <v>6.3</v>
      </c>
      <c r="I283" s="16">
        <v>59.9</v>
      </c>
      <c r="J283" s="116">
        <f>10.1+19.3+4.2+11.7</f>
        <v>45.3</v>
      </c>
      <c r="K283" s="37"/>
      <c r="L283" s="37"/>
      <c r="M283" s="38"/>
      <c r="N283" s="1111" t="s">
        <v>2235</v>
      </c>
      <c r="O283" s="118"/>
      <c r="P283" s="119"/>
      <c r="Q283" s="120"/>
      <c r="R283" s="111"/>
      <c r="S283"/>
      <c r="T283"/>
      <c r="U283"/>
    </row>
    <row r="284" spans="1:21" s="1" customFormat="1" ht="18" customHeight="1" x14ac:dyDescent="0.2">
      <c r="A284" s="83">
        <v>1</v>
      </c>
      <c r="B284" s="148"/>
      <c r="C284" s="148"/>
      <c r="D284" s="48"/>
      <c r="E284" s="44" t="s">
        <v>19</v>
      </c>
      <c r="F284" s="44" t="s">
        <v>89</v>
      </c>
      <c r="G284" s="69" t="s">
        <v>9</v>
      </c>
      <c r="H284" s="37">
        <f>6.5</f>
        <v>6.5</v>
      </c>
      <c r="I284" s="16">
        <v>23.1</v>
      </c>
      <c r="J284" s="116">
        <f>11.2+1.9+8.2+3</f>
        <v>24.299999999999997</v>
      </c>
      <c r="K284" s="37"/>
      <c r="L284" s="37"/>
      <c r="M284" s="38"/>
      <c r="N284" s="1111" t="s">
        <v>2236</v>
      </c>
      <c r="O284" s="118"/>
      <c r="P284" s="119"/>
      <c r="Q284" s="120"/>
      <c r="R284" s="111"/>
      <c r="S284"/>
      <c r="T284"/>
      <c r="U284"/>
    </row>
    <row r="285" spans="1:21" s="1" customFormat="1" ht="14.45" customHeight="1" x14ac:dyDescent="0.2">
      <c r="A285" s="83">
        <v>1</v>
      </c>
      <c r="B285" s="148"/>
      <c r="C285" s="148"/>
      <c r="D285" s="48"/>
      <c r="E285" s="44" t="s">
        <v>21</v>
      </c>
      <c r="F285" s="44" t="s">
        <v>89</v>
      </c>
      <c r="G285" s="69" t="s">
        <v>9</v>
      </c>
      <c r="H285" s="37">
        <v>3.5</v>
      </c>
      <c r="I285" s="16">
        <v>63.1</v>
      </c>
      <c r="J285" s="116">
        <f>10.4+52.3+9+9.6</f>
        <v>81.299999999999983</v>
      </c>
      <c r="K285" s="37"/>
      <c r="L285" s="37"/>
      <c r="M285" s="38"/>
      <c r="N285" s="1111" t="s">
        <v>2237</v>
      </c>
      <c r="O285" s="118"/>
      <c r="P285" s="119"/>
      <c r="Q285" s="120"/>
      <c r="R285" s="111"/>
      <c r="S285"/>
      <c r="T285"/>
      <c r="U285"/>
    </row>
    <row r="286" spans="1:21" s="1" customFormat="1" ht="16.149999999999999" customHeight="1" x14ac:dyDescent="0.2">
      <c r="A286" s="83">
        <v>1</v>
      </c>
      <c r="B286" s="148"/>
      <c r="C286" s="148"/>
      <c r="D286" s="48"/>
      <c r="E286" s="44" t="s">
        <v>15</v>
      </c>
      <c r="F286" s="44" t="s">
        <v>89</v>
      </c>
      <c r="G286" s="69" t="s">
        <v>9</v>
      </c>
      <c r="H286" s="37">
        <f>2.2+3</f>
        <v>5.2</v>
      </c>
      <c r="I286" s="16">
        <v>42.6</v>
      </c>
      <c r="J286" s="116">
        <f>18.7+15+1.4+3</f>
        <v>38.1</v>
      </c>
      <c r="K286" s="37"/>
      <c r="L286" s="37"/>
      <c r="M286" s="38"/>
      <c r="N286" s="1111" t="s">
        <v>659</v>
      </c>
      <c r="O286" s="118"/>
      <c r="P286" s="119"/>
      <c r="Q286" s="120"/>
      <c r="R286" s="111"/>
      <c r="S286"/>
      <c r="T286"/>
      <c r="U286"/>
    </row>
    <row r="287" spans="1:21" s="1" customFormat="1" ht="11.25" customHeight="1" x14ac:dyDescent="0.2">
      <c r="A287" s="83">
        <v>1</v>
      </c>
      <c r="B287" s="148"/>
      <c r="C287" s="148"/>
      <c r="D287" s="48"/>
      <c r="E287" s="44" t="s">
        <v>23</v>
      </c>
      <c r="F287" s="44" t="s">
        <v>89</v>
      </c>
      <c r="G287" s="69" t="s">
        <v>9</v>
      </c>
      <c r="H287" s="37">
        <f>4.7+1.2</f>
        <v>5.9</v>
      </c>
      <c r="I287" s="16">
        <v>11.5</v>
      </c>
      <c r="J287" s="116">
        <f>4.2+11.7+8.3</f>
        <v>24.2</v>
      </c>
      <c r="K287" s="37"/>
      <c r="L287" s="37"/>
      <c r="M287" s="38"/>
      <c r="N287" s="1111" t="s">
        <v>660</v>
      </c>
      <c r="O287" s="118"/>
      <c r="P287" s="119"/>
      <c r="Q287" s="120"/>
      <c r="R287" s="111"/>
      <c r="S287"/>
      <c r="T287"/>
      <c r="U287"/>
    </row>
    <row r="288" spans="1:21" s="1" customFormat="1" ht="17.45" customHeight="1" x14ac:dyDescent="0.2">
      <c r="A288" s="83">
        <v>1</v>
      </c>
      <c r="B288" s="148"/>
      <c r="C288" s="148"/>
      <c r="D288" s="48"/>
      <c r="E288" s="44" t="s">
        <v>25</v>
      </c>
      <c r="F288" s="44" t="s">
        <v>89</v>
      </c>
      <c r="G288" s="69" t="s">
        <v>9</v>
      </c>
      <c r="H288" s="37">
        <f>6+1.5+12+11.7</f>
        <v>31.2</v>
      </c>
      <c r="I288" s="16">
        <v>29.5</v>
      </c>
      <c r="J288" s="116">
        <f>42.5+14.1+0.3+3.6</f>
        <v>60.5</v>
      </c>
      <c r="K288" s="37"/>
      <c r="L288" s="37"/>
      <c r="M288" s="38"/>
      <c r="N288" s="1112" t="s">
        <v>2238</v>
      </c>
      <c r="O288" s="118"/>
      <c r="P288" s="119"/>
      <c r="Q288" s="120"/>
      <c r="R288" s="111"/>
      <c r="S288"/>
      <c r="T288"/>
      <c r="U288"/>
    </row>
    <row r="289" spans="1:21" s="1" customFormat="1" ht="15.6" customHeight="1" x14ac:dyDescent="0.2">
      <c r="A289" s="83">
        <v>1</v>
      </c>
      <c r="B289" s="148"/>
      <c r="C289" s="148"/>
      <c r="D289" s="48"/>
      <c r="E289" s="44" t="s">
        <v>27</v>
      </c>
      <c r="F289" s="44" t="s">
        <v>89</v>
      </c>
      <c r="G289" s="69" t="s">
        <v>9</v>
      </c>
      <c r="H289" s="37">
        <f>2+11.4</f>
        <v>13.4</v>
      </c>
      <c r="I289" s="16">
        <v>67.2</v>
      </c>
      <c r="J289" s="116">
        <f>22.8+23.1+1.9+4.3</f>
        <v>52.1</v>
      </c>
      <c r="K289" s="37"/>
      <c r="L289" s="37"/>
      <c r="M289" s="38"/>
      <c r="N289" s="1111" t="s">
        <v>2240</v>
      </c>
      <c r="O289" s="118"/>
      <c r="P289" s="119"/>
      <c r="Q289" s="120"/>
      <c r="R289" s="111"/>
      <c r="S289"/>
      <c r="T289"/>
      <c r="U289"/>
    </row>
    <row r="290" spans="1:21" s="1" customFormat="1" ht="15.6" customHeight="1" x14ac:dyDescent="0.2">
      <c r="A290" s="83">
        <v>1</v>
      </c>
      <c r="B290" s="148"/>
      <c r="C290" s="148"/>
      <c r="D290" s="48"/>
      <c r="E290" s="44" t="s">
        <v>664</v>
      </c>
      <c r="F290" s="44" t="s">
        <v>89</v>
      </c>
      <c r="G290" s="69" t="s">
        <v>9</v>
      </c>
      <c r="H290" s="37">
        <v>6</v>
      </c>
      <c r="I290" s="16">
        <v>56.3</v>
      </c>
      <c r="J290" s="116">
        <f>18.2+16.7+4+7.1</f>
        <v>46</v>
      </c>
      <c r="K290" s="37"/>
      <c r="L290" s="37"/>
      <c r="M290" s="38"/>
      <c r="N290" s="1111" t="s">
        <v>2239</v>
      </c>
      <c r="O290" s="118"/>
      <c r="P290" s="119"/>
      <c r="Q290" s="120"/>
      <c r="R290" s="111"/>
      <c r="S290"/>
      <c r="T290"/>
      <c r="U290"/>
    </row>
    <row r="291" spans="1:21" s="1" customFormat="1" ht="15.6" customHeight="1" x14ac:dyDescent="0.2">
      <c r="A291" s="83">
        <v>1</v>
      </c>
      <c r="B291" s="148"/>
      <c r="C291" s="148"/>
      <c r="D291" s="48"/>
      <c r="E291" s="44" t="s">
        <v>666</v>
      </c>
      <c r="F291" s="44" t="s">
        <v>89</v>
      </c>
      <c r="G291" s="69" t="s">
        <v>9</v>
      </c>
      <c r="H291" s="37">
        <f>34+2.6+3.5+1.9+10.8</f>
        <v>52.8</v>
      </c>
      <c r="I291" s="16">
        <v>182.8</v>
      </c>
      <c r="J291" s="116">
        <f>18.2+123.5+3.3+23-60+7.2</f>
        <v>115.2</v>
      </c>
      <c r="K291" s="37"/>
      <c r="L291" s="37"/>
      <c r="M291" s="38"/>
      <c r="N291" s="1111" t="s">
        <v>2241</v>
      </c>
      <c r="O291" s="118"/>
      <c r="P291" s="119"/>
      <c r="Q291" s="120"/>
      <c r="R291" s="111"/>
      <c r="S291"/>
      <c r="T291"/>
      <c r="U291"/>
    </row>
    <row r="292" spans="1:21" s="1" customFormat="1" ht="15.6" customHeight="1" x14ac:dyDescent="0.2">
      <c r="A292" s="83">
        <v>1</v>
      </c>
      <c r="B292" s="148"/>
      <c r="C292" s="148"/>
      <c r="D292" s="48"/>
      <c r="E292" s="44" t="s">
        <v>29</v>
      </c>
      <c r="F292" s="44" t="s">
        <v>89</v>
      </c>
      <c r="G292" s="69" t="s">
        <v>9</v>
      </c>
      <c r="H292" s="37">
        <f>88.3+14.3+4.9</f>
        <v>107.5</v>
      </c>
      <c r="I292" s="16">
        <v>91.9</v>
      </c>
      <c r="J292" s="116">
        <f>32.6+28.1+4.4+1.7+3.4</f>
        <v>70.200000000000017</v>
      </c>
      <c r="K292" s="37"/>
      <c r="L292" s="37"/>
      <c r="M292" s="38"/>
      <c r="N292" s="1111" t="s">
        <v>2242</v>
      </c>
      <c r="O292" s="118"/>
      <c r="P292" s="119"/>
      <c r="Q292" s="120"/>
      <c r="R292" s="111"/>
      <c r="S292"/>
      <c r="T292"/>
      <c r="U292"/>
    </row>
    <row r="293" spans="1:21" s="1" customFormat="1" ht="15.6" customHeight="1" x14ac:dyDescent="0.2">
      <c r="A293" s="83">
        <v>1</v>
      </c>
      <c r="B293" s="148"/>
      <c r="C293" s="148"/>
      <c r="D293" s="48"/>
      <c r="E293" s="44" t="s">
        <v>31</v>
      </c>
      <c r="F293" s="44" t="s">
        <v>89</v>
      </c>
      <c r="G293" s="69" t="s">
        <v>9</v>
      </c>
      <c r="H293" s="37">
        <v>2.5</v>
      </c>
      <c r="I293" s="16">
        <v>115.2</v>
      </c>
      <c r="J293" s="116">
        <f>1.5+68.8+21.5+1.5+2.9</f>
        <v>96.2</v>
      </c>
      <c r="K293" s="37"/>
      <c r="L293" s="37"/>
      <c r="M293" s="38"/>
      <c r="N293" s="1111" t="s">
        <v>2243</v>
      </c>
      <c r="O293" s="118"/>
      <c r="P293" s="119"/>
      <c r="Q293" s="120"/>
      <c r="R293" s="111"/>
      <c r="S293"/>
      <c r="T293"/>
      <c r="U293"/>
    </row>
    <row r="294" spans="1:21" s="1" customFormat="1" ht="15.6" customHeight="1" x14ac:dyDescent="0.2">
      <c r="A294" s="83">
        <v>1</v>
      </c>
      <c r="B294" s="148"/>
      <c r="C294" s="148"/>
      <c r="D294" s="48"/>
      <c r="E294" s="44" t="s">
        <v>33</v>
      </c>
      <c r="F294" s="44" t="s">
        <v>89</v>
      </c>
      <c r="G294" s="69" t="s">
        <v>9</v>
      </c>
      <c r="H294" s="37">
        <f>8+3.1</f>
        <v>11.1</v>
      </c>
      <c r="I294" s="16">
        <v>20.9</v>
      </c>
      <c r="J294" s="116">
        <f>4.2+6+5</f>
        <v>15.2</v>
      </c>
      <c r="K294" s="37"/>
      <c r="L294" s="37"/>
      <c r="M294" s="38"/>
      <c r="N294" s="1111" t="s">
        <v>2244</v>
      </c>
      <c r="O294" s="118"/>
      <c r="P294" s="119"/>
      <c r="Q294" s="120"/>
      <c r="R294" s="111"/>
      <c r="S294"/>
      <c r="T294"/>
      <c r="U294"/>
    </row>
    <row r="295" spans="1:21" s="1" customFormat="1" ht="15.6" customHeight="1" x14ac:dyDescent="0.2">
      <c r="A295" s="83">
        <v>1</v>
      </c>
      <c r="B295" s="148"/>
      <c r="C295" s="148"/>
      <c r="D295" s="48"/>
      <c r="E295" s="44" t="s">
        <v>671</v>
      </c>
      <c r="F295" s="44" t="s">
        <v>89</v>
      </c>
      <c r="G295" s="69" t="s">
        <v>9</v>
      </c>
      <c r="H295" s="37">
        <f>20.6+4</f>
        <v>24.6</v>
      </c>
      <c r="I295" s="16">
        <v>14</v>
      </c>
      <c r="J295" s="116">
        <f>3.5</f>
        <v>3.5</v>
      </c>
      <c r="K295" s="37"/>
      <c r="L295" s="37"/>
      <c r="M295" s="38"/>
      <c r="N295" s="1111" t="s">
        <v>2245</v>
      </c>
      <c r="O295" s="118"/>
      <c r="P295" s="119"/>
      <c r="Q295" s="120"/>
      <c r="R295" s="111"/>
      <c r="S295"/>
      <c r="T295"/>
      <c r="U295"/>
    </row>
    <row r="296" spans="1:21" s="1" customFormat="1" ht="15.6" customHeight="1" x14ac:dyDescent="0.2">
      <c r="A296" s="83">
        <v>1</v>
      </c>
      <c r="B296" s="148"/>
      <c r="C296" s="148"/>
      <c r="D296" s="48"/>
      <c r="E296" s="44" t="s">
        <v>34</v>
      </c>
      <c r="F296" s="44" t="s">
        <v>89</v>
      </c>
      <c r="G296" s="69" t="s">
        <v>9</v>
      </c>
      <c r="H296" s="37">
        <v>23.8</v>
      </c>
      <c r="I296" s="16">
        <v>38.9</v>
      </c>
      <c r="J296" s="116">
        <f>1.6+13+15</f>
        <v>29.6</v>
      </c>
      <c r="K296" s="37"/>
      <c r="L296" s="37"/>
      <c r="M296" s="38"/>
      <c r="N296" s="1111" t="s">
        <v>2246</v>
      </c>
      <c r="O296" s="118"/>
      <c r="P296" s="119"/>
      <c r="Q296" s="120"/>
      <c r="R296" s="111"/>
      <c r="S296"/>
      <c r="T296"/>
      <c r="U296"/>
    </row>
    <row r="297" spans="1:21" s="1" customFormat="1" ht="15.6" customHeight="1" x14ac:dyDescent="0.2">
      <c r="A297" s="83">
        <v>1</v>
      </c>
      <c r="B297" s="148"/>
      <c r="C297" s="148"/>
      <c r="D297" s="48"/>
      <c r="E297" s="44" t="s">
        <v>90</v>
      </c>
      <c r="F297" s="44" t="s">
        <v>89</v>
      </c>
      <c r="G297" s="69" t="s">
        <v>9</v>
      </c>
      <c r="H297" s="37">
        <v>3</v>
      </c>
      <c r="I297" s="16">
        <v>58</v>
      </c>
      <c r="J297" s="116">
        <f>31+33.5</f>
        <v>64.5</v>
      </c>
      <c r="K297" s="37"/>
      <c r="L297" s="37"/>
      <c r="M297" s="38"/>
      <c r="N297" s="1111" t="s">
        <v>2247</v>
      </c>
      <c r="O297" s="118"/>
      <c r="P297" s="119"/>
      <c r="Q297" s="120"/>
      <c r="R297" s="111"/>
      <c r="S297"/>
      <c r="T297"/>
      <c r="U297"/>
    </row>
    <row r="298" spans="1:21" s="1" customFormat="1" ht="15.6" customHeight="1" x14ac:dyDescent="0.2">
      <c r="A298" s="83">
        <v>1</v>
      </c>
      <c r="B298" s="148"/>
      <c r="C298" s="148"/>
      <c r="D298" s="48"/>
      <c r="E298" s="44" t="s">
        <v>510</v>
      </c>
      <c r="F298" s="44" t="s">
        <v>89</v>
      </c>
      <c r="G298" s="69" t="s">
        <v>9</v>
      </c>
      <c r="H298" s="37">
        <v>1</v>
      </c>
      <c r="I298" s="16">
        <v>18.399999999999999</v>
      </c>
      <c r="J298" s="116">
        <f>18+13-23+10.7+3.3</f>
        <v>22</v>
      </c>
      <c r="K298" s="37"/>
      <c r="L298" s="37"/>
      <c r="M298" s="38"/>
      <c r="N298" s="1111" t="s">
        <v>2248</v>
      </c>
      <c r="O298" s="118"/>
      <c r="P298" s="119"/>
      <c r="Q298" s="120"/>
      <c r="R298" s="111"/>
      <c r="S298"/>
      <c r="T298"/>
      <c r="U298"/>
    </row>
    <row r="299" spans="1:21" s="1" customFormat="1" ht="15.6" customHeight="1" x14ac:dyDescent="0.2">
      <c r="A299" s="83">
        <v>1</v>
      </c>
      <c r="B299" s="148"/>
      <c r="C299" s="148"/>
      <c r="D299" s="48"/>
      <c r="E299" s="44" t="s">
        <v>38</v>
      </c>
      <c r="F299" s="44" t="s">
        <v>89</v>
      </c>
      <c r="G299" s="69" t="s">
        <v>9</v>
      </c>
      <c r="H299" s="37">
        <f>5.3</f>
        <v>5.3</v>
      </c>
      <c r="I299" s="16">
        <v>21.4</v>
      </c>
      <c r="J299" s="116">
        <f>0.9+3</f>
        <v>3.9</v>
      </c>
      <c r="K299" s="37"/>
      <c r="L299" s="37"/>
      <c r="M299" s="38"/>
      <c r="N299" s="1111" t="s">
        <v>675</v>
      </c>
      <c r="O299" s="118"/>
      <c r="P299" s="119"/>
      <c r="Q299" s="120"/>
      <c r="R299" s="111"/>
      <c r="S299"/>
      <c r="T299"/>
      <c r="U299"/>
    </row>
    <row r="300" spans="1:21" s="1" customFormat="1" ht="15.6" customHeight="1" x14ac:dyDescent="0.2">
      <c r="A300" s="83">
        <v>1</v>
      </c>
      <c r="B300" s="148"/>
      <c r="C300" s="148"/>
      <c r="D300" s="48"/>
      <c r="E300" s="44" t="s">
        <v>40</v>
      </c>
      <c r="F300" s="44" t="s">
        <v>89</v>
      </c>
      <c r="G300" s="69" t="s">
        <v>9</v>
      </c>
      <c r="H300" s="37">
        <v>0.6</v>
      </c>
      <c r="I300" s="16">
        <v>14.2</v>
      </c>
      <c r="J300" s="116">
        <f>4+5.4</f>
        <v>9.4</v>
      </c>
      <c r="K300" s="37"/>
      <c r="L300" s="37"/>
      <c r="M300" s="38"/>
      <c r="N300" s="1111" t="s">
        <v>2249</v>
      </c>
      <c r="O300" s="118"/>
      <c r="P300" s="119"/>
      <c r="Q300" s="120"/>
      <c r="R300" s="111"/>
      <c r="S300"/>
      <c r="T300"/>
      <c r="U300"/>
    </row>
    <row r="301" spans="1:21" s="1" customFormat="1" ht="18" customHeight="1" x14ac:dyDescent="0.2">
      <c r="A301" s="83">
        <v>1</v>
      </c>
      <c r="B301" s="148"/>
      <c r="C301" s="148"/>
      <c r="D301" s="48"/>
      <c r="E301" s="44" t="s">
        <v>44</v>
      </c>
      <c r="F301" s="44" t="s">
        <v>89</v>
      </c>
      <c r="G301" s="69" t="s">
        <v>9</v>
      </c>
      <c r="H301" s="37"/>
      <c r="I301" s="16"/>
      <c r="J301" s="116">
        <f>44.4+5.4+1.3</f>
        <v>51.099999999999994</v>
      </c>
      <c r="K301" s="37"/>
      <c r="L301" s="37"/>
      <c r="M301" s="38"/>
      <c r="N301" s="1111" t="s">
        <v>678</v>
      </c>
      <c r="O301" s="118"/>
      <c r="P301" s="119"/>
      <c r="Q301" s="120"/>
      <c r="R301" s="111"/>
      <c r="S301"/>
      <c r="T301"/>
      <c r="U301"/>
    </row>
    <row r="302" spans="1:21" s="1" customFormat="1" ht="18" customHeight="1" x14ac:dyDescent="0.2">
      <c r="A302" s="83">
        <v>1</v>
      </c>
      <c r="B302" s="148"/>
      <c r="C302" s="148"/>
      <c r="D302" s="48"/>
      <c r="E302" s="44" t="s">
        <v>86</v>
      </c>
      <c r="F302" s="44" t="s">
        <v>89</v>
      </c>
      <c r="G302" s="69" t="s">
        <v>9</v>
      </c>
      <c r="H302" s="37">
        <f>12+4+0.6+1.2</f>
        <v>17.8</v>
      </c>
      <c r="I302" s="16">
        <v>18</v>
      </c>
      <c r="J302" s="116">
        <f>7.2+7+1.8+1.7+1.2</f>
        <v>18.899999999999999</v>
      </c>
      <c r="K302" s="37"/>
      <c r="L302" s="37"/>
      <c r="M302" s="38"/>
      <c r="N302" s="1111" t="s">
        <v>679</v>
      </c>
      <c r="O302" s="118"/>
      <c r="P302" s="119"/>
      <c r="Q302" s="120"/>
      <c r="R302" s="111"/>
      <c r="S302"/>
      <c r="T302"/>
      <c r="U302"/>
    </row>
    <row r="303" spans="1:21" s="1" customFormat="1" ht="11.25" customHeight="1" x14ac:dyDescent="0.2">
      <c r="A303" s="83">
        <v>1</v>
      </c>
      <c r="B303" s="148"/>
      <c r="C303" s="148"/>
      <c r="D303" s="48"/>
      <c r="E303" s="44" t="s">
        <v>42</v>
      </c>
      <c r="F303" s="44" t="s">
        <v>89</v>
      </c>
      <c r="G303" s="69" t="s">
        <v>9</v>
      </c>
      <c r="H303" s="37"/>
      <c r="I303" s="16">
        <v>5</v>
      </c>
      <c r="J303" s="116">
        <f>1</f>
        <v>1</v>
      </c>
      <c r="K303" s="37"/>
      <c r="L303" s="37"/>
      <c r="M303" s="38"/>
      <c r="N303" s="1111" t="s">
        <v>1247</v>
      </c>
      <c r="O303" s="118"/>
      <c r="P303" s="119"/>
      <c r="Q303" s="120"/>
      <c r="R303" s="111"/>
      <c r="S303"/>
      <c r="T303"/>
      <c r="U303"/>
    </row>
    <row r="304" spans="1:21" s="1" customFormat="1" ht="33.75" x14ac:dyDescent="0.2">
      <c r="A304" s="83">
        <v>1</v>
      </c>
      <c r="B304" s="148"/>
      <c r="C304" s="148"/>
      <c r="D304" s="48"/>
      <c r="E304" s="44" t="s">
        <v>54</v>
      </c>
      <c r="F304" s="44" t="s">
        <v>89</v>
      </c>
      <c r="G304" s="69" t="s">
        <v>9</v>
      </c>
      <c r="H304" s="37">
        <f>230-13.5-64.4-146.5+26-4.1+131.4-94.6</f>
        <v>64.300000000000011</v>
      </c>
      <c r="I304" s="16">
        <v>191.2</v>
      </c>
      <c r="J304" s="116">
        <f>1200-319-4.2-533.4+23-32.7-94.6-30.9</f>
        <v>208.2</v>
      </c>
      <c r="K304" s="127">
        <v>1200</v>
      </c>
      <c r="L304" s="127">
        <v>1200</v>
      </c>
      <c r="M304" s="38"/>
      <c r="N304" s="1110" t="s">
        <v>783</v>
      </c>
      <c r="O304" s="686" t="s">
        <v>2415</v>
      </c>
      <c r="P304" s="119">
        <v>1</v>
      </c>
      <c r="Q304" s="120"/>
      <c r="R304" s="111"/>
      <c r="S304"/>
      <c r="T304"/>
      <c r="U304"/>
    </row>
    <row r="305" spans="1:21" s="1" customFormat="1" ht="11.25" customHeight="1" x14ac:dyDescent="0.2">
      <c r="A305" s="83">
        <v>1</v>
      </c>
      <c r="B305" s="148"/>
      <c r="C305" s="148"/>
      <c r="D305" s="48"/>
      <c r="E305" s="155"/>
      <c r="F305" s="44" t="s">
        <v>89</v>
      </c>
      <c r="G305" s="69" t="s">
        <v>9</v>
      </c>
      <c r="H305" s="123">
        <f>SUM(H281:H304)</f>
        <v>430.00000000000011</v>
      </c>
      <c r="I305" s="123">
        <f>SUM(I281:I304)</f>
        <v>1289.0000000000002</v>
      </c>
      <c r="J305" s="123">
        <f>SUM(J281:J304)</f>
        <v>1200.0000000000002</v>
      </c>
      <c r="K305" s="123">
        <f>SUM(K281:K304)</f>
        <v>1200</v>
      </c>
      <c r="L305" s="123">
        <f>SUM(L281:L304)</f>
        <v>1200</v>
      </c>
      <c r="M305" s="38" t="s">
        <v>796</v>
      </c>
      <c r="N305" s="117"/>
      <c r="O305" s="118"/>
      <c r="P305" s="119"/>
      <c r="Q305" s="120"/>
      <c r="R305" s="111"/>
      <c r="S305"/>
      <c r="T305"/>
      <c r="U305"/>
    </row>
    <row r="306" spans="1:21" s="1" customFormat="1" ht="24.6" customHeight="1" x14ac:dyDescent="0.2">
      <c r="A306" s="83">
        <v>1</v>
      </c>
      <c r="B306" s="142" t="s">
        <v>855</v>
      </c>
      <c r="C306" s="142" t="s">
        <v>855</v>
      </c>
      <c r="D306" s="143" t="s">
        <v>856</v>
      </c>
      <c r="E306" s="156"/>
      <c r="F306" s="157"/>
      <c r="G306" s="157"/>
      <c r="H306" s="142"/>
      <c r="I306" s="158">
        <f>SUM(I315,I319,I322,I329,I333,I337,I353,I325,I349,I356,I363,I358)</f>
        <v>2021.3</v>
      </c>
      <c r="J306" s="158">
        <f t="shared" ref="J306:L306" si="10">SUM(J315,J319,J322,J329,J333,J337,J353,J325,J349,J356,J363,J358)</f>
        <v>5617.7</v>
      </c>
      <c r="K306" s="158">
        <f t="shared" si="10"/>
        <v>17353.05</v>
      </c>
      <c r="L306" s="158">
        <f t="shared" si="10"/>
        <v>19203.25</v>
      </c>
      <c r="M306" s="38"/>
      <c r="N306" s="82"/>
      <c r="O306" s="159"/>
      <c r="P306" s="148"/>
      <c r="Q306" s="82"/>
      <c r="R306" s="111"/>
      <c r="S306"/>
      <c r="T306"/>
      <c r="U306"/>
    </row>
    <row r="307" spans="1:21" s="1" customFormat="1" ht="11.25" customHeight="1" x14ac:dyDescent="0.2">
      <c r="A307" s="83">
        <v>1</v>
      </c>
      <c r="B307" s="160"/>
      <c r="C307" s="160"/>
      <c r="D307" s="82"/>
      <c r="E307" s="160"/>
      <c r="F307" s="81"/>
      <c r="G307" s="162" t="s">
        <v>9</v>
      </c>
      <c r="H307" s="142"/>
      <c r="I307" s="161">
        <f>SUM(I312,I316,I320,I323,I326,I330,I335,I336,I338,I339,I340,I341,I342,I345,I346,I347,I350,I354,I360,I361,I362,I348)</f>
        <v>1703.6999999999998</v>
      </c>
      <c r="J307" s="161">
        <f t="shared" ref="J307:L307" si="11">SUM(J312,J316,J320,J323,J326,J330,J335,J336,J338,J339,J340,J341,J342,J345,J346,J347,J350,J354,J360,J361,J362,J348)</f>
        <v>1955.1999999999998</v>
      </c>
      <c r="K307" s="161">
        <f t="shared" si="11"/>
        <v>6119.2</v>
      </c>
      <c r="L307" s="161">
        <f t="shared" si="11"/>
        <v>10078.700000000001</v>
      </c>
      <c r="M307" s="38"/>
      <c r="N307" s="82"/>
      <c r="O307" s="159"/>
      <c r="P307" s="148"/>
      <c r="Q307" s="82"/>
      <c r="R307" s="111"/>
      <c r="S307"/>
      <c r="T307"/>
      <c r="U307"/>
    </row>
    <row r="308" spans="1:21" s="1" customFormat="1" ht="11.25" customHeight="1" x14ac:dyDescent="0.2">
      <c r="A308" s="83">
        <v>1</v>
      </c>
      <c r="B308" s="160"/>
      <c r="C308" s="160"/>
      <c r="D308" s="82"/>
      <c r="E308" s="160"/>
      <c r="F308" s="81"/>
      <c r="G308" s="162" t="s">
        <v>58</v>
      </c>
      <c r="H308" s="142"/>
      <c r="I308" s="161">
        <f>SUM(I314,I321,I328,I332,I352)</f>
        <v>98</v>
      </c>
      <c r="J308" s="161">
        <f>SUM(J314,J321,J328,J332,J352)</f>
        <v>2669.9250000000002</v>
      </c>
      <c r="K308" s="161">
        <f>SUM(K314,K321,K328,K332,K352)</f>
        <v>9142.2250000000004</v>
      </c>
      <c r="L308" s="161">
        <f>SUM(L314,L321,L328,L332,L352)</f>
        <v>5022.25</v>
      </c>
      <c r="M308" s="38"/>
      <c r="N308" s="82"/>
      <c r="O308" s="159"/>
      <c r="P308" s="148"/>
      <c r="Q308" s="82"/>
      <c r="R308" s="111"/>
      <c r="S308"/>
      <c r="T308"/>
      <c r="U308"/>
    </row>
    <row r="309" spans="1:21" s="1" customFormat="1" ht="11.25" customHeight="1" x14ac:dyDescent="0.2">
      <c r="A309" s="83">
        <v>1</v>
      </c>
      <c r="B309" s="160"/>
      <c r="C309" s="160"/>
      <c r="D309" s="82"/>
      <c r="E309" s="160"/>
      <c r="F309" s="81"/>
      <c r="G309" s="162" t="s">
        <v>11</v>
      </c>
      <c r="H309" s="142"/>
      <c r="I309" s="161">
        <f>SUM(I317,I355)</f>
        <v>217.5</v>
      </c>
      <c r="J309" s="161">
        <f>SUM(J317,J355)</f>
        <v>0</v>
      </c>
      <c r="K309" s="161">
        <f>SUM(K317,K355)</f>
        <v>0</v>
      </c>
      <c r="L309" s="161">
        <f>SUM(L317,L355)</f>
        <v>0</v>
      </c>
      <c r="M309" s="38"/>
      <c r="N309" s="82"/>
      <c r="O309" s="159"/>
      <c r="P309" s="148"/>
      <c r="Q309" s="82"/>
      <c r="R309" s="111"/>
      <c r="S309"/>
      <c r="T309"/>
      <c r="U309"/>
    </row>
    <row r="310" spans="1:21" s="1" customFormat="1" ht="11.25" customHeight="1" x14ac:dyDescent="0.2">
      <c r="A310" s="83">
        <v>1</v>
      </c>
      <c r="B310" s="160"/>
      <c r="C310" s="160"/>
      <c r="D310" s="82"/>
      <c r="E310" s="160"/>
      <c r="F310" s="81"/>
      <c r="G310" s="162" t="s">
        <v>226</v>
      </c>
      <c r="H310" s="142"/>
      <c r="I310" s="161">
        <f>I318</f>
        <v>2.1</v>
      </c>
      <c r="J310" s="161">
        <f t="shared" ref="J310:L310" si="12">J318</f>
        <v>350</v>
      </c>
      <c r="K310" s="161">
        <f t="shared" si="12"/>
        <v>147.9</v>
      </c>
      <c r="L310" s="161">
        <f t="shared" si="12"/>
        <v>0</v>
      </c>
      <c r="M310" s="38"/>
      <c r="N310" s="82"/>
      <c r="O310" s="159"/>
      <c r="P310" s="148"/>
      <c r="Q310" s="82"/>
      <c r="R310" s="111"/>
      <c r="S310"/>
      <c r="T310"/>
      <c r="U310"/>
    </row>
    <row r="311" spans="1:21" s="1" customFormat="1" ht="11.25" customHeight="1" x14ac:dyDescent="0.2">
      <c r="A311" s="83">
        <v>1</v>
      </c>
      <c r="B311" s="160"/>
      <c r="C311" s="160"/>
      <c r="D311" s="82"/>
      <c r="E311" s="160"/>
      <c r="F311" s="81"/>
      <c r="G311" s="162" t="s">
        <v>713</v>
      </c>
      <c r="H311" s="142"/>
      <c r="I311" s="161">
        <f>SUM(I313,I327,I331,I351)</f>
        <v>0</v>
      </c>
      <c r="J311" s="161">
        <f>SUM(J313,J327,J331,J351)</f>
        <v>642.57500000000005</v>
      </c>
      <c r="K311" s="161">
        <f>SUM(K313,K327,K331,K351)</f>
        <v>1529.7250000000001</v>
      </c>
      <c r="L311" s="161">
        <f>SUM(L313,L327,L331,L351)</f>
        <v>802.30000000000007</v>
      </c>
      <c r="M311" s="38"/>
      <c r="N311" s="82"/>
      <c r="O311" s="159"/>
      <c r="P311" s="148"/>
      <c r="Q311" s="82"/>
      <c r="R311" s="111"/>
      <c r="S311"/>
      <c r="T311"/>
      <c r="U311"/>
    </row>
    <row r="312" spans="1:21" s="1" customFormat="1" ht="22.5" x14ac:dyDescent="0.2">
      <c r="A312" s="83">
        <v>1</v>
      </c>
      <c r="B312" s="148"/>
      <c r="C312" s="148" t="s">
        <v>857</v>
      </c>
      <c r="D312" s="1506" t="s">
        <v>858</v>
      </c>
      <c r="E312" s="81">
        <v>9</v>
      </c>
      <c r="F312" s="163" t="s">
        <v>98</v>
      </c>
      <c r="G312" s="37" t="s">
        <v>9</v>
      </c>
      <c r="H312" s="124">
        <v>74.8</v>
      </c>
      <c r="I312" s="16">
        <v>38.4</v>
      </c>
      <c r="J312" s="116"/>
      <c r="K312" s="37"/>
      <c r="L312" s="16"/>
      <c r="M312" s="38" t="s">
        <v>2221</v>
      </c>
      <c r="N312" s="117" t="s">
        <v>859</v>
      </c>
      <c r="O312" s="118" t="s">
        <v>2297</v>
      </c>
      <c r="P312" s="119">
        <v>30</v>
      </c>
      <c r="Q312" s="120" t="s">
        <v>861</v>
      </c>
      <c r="R312" s="111"/>
      <c r="S312"/>
      <c r="T312"/>
      <c r="U312"/>
    </row>
    <row r="313" spans="1:21" s="1" customFormat="1" ht="11.25" customHeight="1" x14ac:dyDescent="0.2">
      <c r="A313" s="83">
        <v>1</v>
      </c>
      <c r="B313" s="148"/>
      <c r="C313" s="148"/>
      <c r="D313" s="1506"/>
      <c r="E313" s="81">
        <v>9</v>
      </c>
      <c r="F313" s="163" t="s">
        <v>98</v>
      </c>
      <c r="G313" s="16" t="s">
        <v>713</v>
      </c>
      <c r="H313" s="16"/>
      <c r="I313" s="16"/>
      <c r="J313" s="116">
        <v>350</v>
      </c>
      <c r="K313" s="16">
        <f>778.6-J313</f>
        <v>428.6</v>
      </c>
      <c r="L313" s="16"/>
      <c r="M313" s="38" t="s">
        <v>2221</v>
      </c>
      <c r="N313" s="117" t="s">
        <v>859</v>
      </c>
      <c r="O313" s="145"/>
      <c r="P313" s="119"/>
      <c r="Q313" s="120" t="s">
        <v>861</v>
      </c>
      <c r="R313" s="111"/>
      <c r="S313"/>
      <c r="T313"/>
      <c r="U313"/>
    </row>
    <row r="314" spans="1:21" s="1" customFormat="1" ht="11.25" customHeight="1" x14ac:dyDescent="0.2">
      <c r="A314" s="83">
        <v>1</v>
      </c>
      <c r="B314" s="148"/>
      <c r="C314" s="148"/>
      <c r="D314" s="1506"/>
      <c r="E314" s="81">
        <v>9</v>
      </c>
      <c r="F314" s="163" t="s">
        <v>98</v>
      </c>
      <c r="G314" s="16" t="s">
        <v>58</v>
      </c>
      <c r="H314" s="16"/>
      <c r="I314" s="16"/>
      <c r="J314" s="116">
        <v>1981</v>
      </c>
      <c r="K314" s="16">
        <f>4412-J314</f>
        <v>2431</v>
      </c>
      <c r="L314" s="16"/>
      <c r="M314" s="38" t="s">
        <v>2221</v>
      </c>
      <c r="N314" s="117" t="s">
        <v>859</v>
      </c>
      <c r="O314" s="118"/>
      <c r="P314" s="119"/>
      <c r="Q314" s="120" t="s">
        <v>861</v>
      </c>
      <c r="R314" s="111"/>
      <c r="S314"/>
      <c r="T314"/>
      <c r="U314"/>
    </row>
    <row r="315" spans="1:21" s="1" customFormat="1" ht="11.25" customHeight="1" x14ac:dyDescent="0.2">
      <c r="A315" s="83">
        <v>1</v>
      </c>
      <c r="B315" s="148"/>
      <c r="C315" s="148"/>
      <c r="D315" s="1506"/>
      <c r="E315" s="81">
        <v>9</v>
      </c>
      <c r="F315" s="163" t="s">
        <v>98</v>
      </c>
      <c r="G315" s="121" t="s">
        <v>741</v>
      </c>
      <c r="H315" s="123">
        <f>SUM(H312:H314)</f>
        <v>74.8</v>
      </c>
      <c r="I315" s="123">
        <f>SUM(I312:I314)</f>
        <v>38.4</v>
      </c>
      <c r="J315" s="123">
        <f t="shared" ref="J315:L315" si="13">SUM(J312:J314)</f>
        <v>2331</v>
      </c>
      <c r="K315" s="123">
        <f t="shared" si="13"/>
        <v>2859.6</v>
      </c>
      <c r="L315" s="123">
        <f t="shared" si="13"/>
        <v>0</v>
      </c>
      <c r="M315" s="38" t="s">
        <v>2221</v>
      </c>
      <c r="N315" s="117" t="s">
        <v>859</v>
      </c>
      <c r="O315" s="118"/>
      <c r="P315" s="119"/>
      <c r="Q315" s="120"/>
      <c r="R315" s="111"/>
      <c r="S315"/>
      <c r="T315"/>
      <c r="U315"/>
    </row>
    <row r="316" spans="1:21" s="1" customFormat="1" ht="22.5" x14ac:dyDescent="0.2">
      <c r="A316" s="83">
        <v>1</v>
      </c>
      <c r="B316" s="148"/>
      <c r="C316" s="148" t="s">
        <v>862</v>
      </c>
      <c r="D316" s="92" t="s">
        <v>863</v>
      </c>
      <c r="E316" s="119">
        <v>9</v>
      </c>
      <c r="F316" s="163" t="s">
        <v>98</v>
      </c>
      <c r="G316" s="37" t="s">
        <v>9</v>
      </c>
      <c r="H316" s="124"/>
      <c r="I316" s="16">
        <v>16.3</v>
      </c>
      <c r="J316" s="116">
        <v>150</v>
      </c>
      <c r="K316" s="37">
        <v>100</v>
      </c>
      <c r="L316" s="37"/>
      <c r="M316" s="38" t="s">
        <v>787</v>
      </c>
      <c r="N316" s="117" t="s">
        <v>2471</v>
      </c>
      <c r="O316" s="118" t="s">
        <v>2298</v>
      </c>
      <c r="P316" s="119">
        <v>1</v>
      </c>
      <c r="Q316" s="120" t="s">
        <v>799</v>
      </c>
      <c r="R316" s="111"/>
      <c r="S316"/>
      <c r="T316"/>
      <c r="U316"/>
    </row>
    <row r="317" spans="1:21" s="1" customFormat="1" ht="22.5" x14ac:dyDescent="0.2">
      <c r="A317" s="83">
        <v>1</v>
      </c>
      <c r="B317" s="148"/>
      <c r="C317" s="148"/>
      <c r="D317" s="92"/>
      <c r="E317" s="119">
        <v>9</v>
      </c>
      <c r="F317" s="163" t="s">
        <v>98</v>
      </c>
      <c r="G317" s="16" t="s">
        <v>11</v>
      </c>
      <c r="H317" s="124"/>
      <c r="I317" s="16"/>
      <c r="J317" s="116">
        <f>350-350</f>
        <v>0</v>
      </c>
      <c r="K317" s="37">
        <f>16-16</f>
        <v>0</v>
      </c>
      <c r="L317" s="37"/>
      <c r="M317" s="38"/>
      <c r="N317" s="117" t="s">
        <v>2471</v>
      </c>
      <c r="O317" s="145"/>
      <c r="P317" s="119"/>
      <c r="Q317" s="120" t="s">
        <v>799</v>
      </c>
      <c r="R317" s="111"/>
      <c r="S317"/>
      <c r="T317"/>
      <c r="U317"/>
    </row>
    <row r="318" spans="1:21" s="1" customFormat="1" ht="22.5" x14ac:dyDescent="0.2">
      <c r="A318" s="83">
        <v>1</v>
      </c>
      <c r="B318" s="148"/>
      <c r="C318" s="148"/>
      <c r="D318" s="92"/>
      <c r="E318" s="119">
        <v>9</v>
      </c>
      <c r="F318" s="163" t="s">
        <v>98</v>
      </c>
      <c r="G318" s="16" t="s">
        <v>226</v>
      </c>
      <c r="H318" s="124"/>
      <c r="I318" s="16">
        <v>2.1</v>
      </c>
      <c r="J318" s="116">
        <v>350</v>
      </c>
      <c r="K318" s="16">
        <v>147.9</v>
      </c>
      <c r="L318" s="37"/>
      <c r="M318" s="38"/>
      <c r="N318" s="117" t="s">
        <v>2471</v>
      </c>
      <c r="O318" s="145"/>
      <c r="P318" s="119"/>
      <c r="Q318" s="120" t="s">
        <v>799</v>
      </c>
      <c r="R318" s="111"/>
      <c r="S318"/>
      <c r="T318"/>
      <c r="U318"/>
    </row>
    <row r="319" spans="1:21" s="1" customFormat="1" ht="18" customHeight="1" x14ac:dyDescent="0.2">
      <c r="A319" s="83">
        <v>1</v>
      </c>
      <c r="B319" s="148"/>
      <c r="C319" s="148"/>
      <c r="D319" s="92"/>
      <c r="E319" s="119">
        <v>9</v>
      </c>
      <c r="F319" s="163" t="s">
        <v>98</v>
      </c>
      <c r="G319" s="121" t="s">
        <v>741</v>
      </c>
      <c r="H319" s="123"/>
      <c r="I319" s="123">
        <f>SUM(I316:I318)</f>
        <v>18.400000000000002</v>
      </c>
      <c r="J319" s="123">
        <f t="shared" ref="J319:L319" si="14">SUM(J316:J318)</f>
        <v>500</v>
      </c>
      <c r="K319" s="123">
        <f t="shared" si="14"/>
        <v>247.9</v>
      </c>
      <c r="L319" s="123">
        <f t="shared" si="14"/>
        <v>0</v>
      </c>
      <c r="M319" s="38"/>
      <c r="N319" s="117" t="s">
        <v>2471</v>
      </c>
      <c r="O319" s="118"/>
      <c r="P319" s="119"/>
      <c r="Q319" s="120"/>
      <c r="R319" s="111"/>
      <c r="S319"/>
      <c r="T319"/>
      <c r="U319"/>
    </row>
    <row r="320" spans="1:21" s="1" customFormat="1" ht="11.25" customHeight="1" x14ac:dyDescent="0.2">
      <c r="A320" s="83">
        <v>1</v>
      </c>
      <c r="B320" s="148"/>
      <c r="C320" s="148" t="s">
        <v>865</v>
      </c>
      <c r="D320" s="1503" t="s">
        <v>866</v>
      </c>
      <c r="E320" s="119">
        <v>9</v>
      </c>
      <c r="F320" s="163" t="s">
        <v>98</v>
      </c>
      <c r="G320" s="165" t="s">
        <v>9</v>
      </c>
      <c r="H320" s="166">
        <v>180.8</v>
      </c>
      <c r="I320" s="16">
        <v>8.6</v>
      </c>
      <c r="J320" s="116"/>
      <c r="K320" s="16"/>
      <c r="L320" s="16"/>
      <c r="M320" s="38" t="s">
        <v>787</v>
      </c>
      <c r="N320" s="117"/>
      <c r="O320" s="118"/>
      <c r="P320" s="119"/>
      <c r="Q320" s="120" t="s">
        <v>799</v>
      </c>
      <c r="R320" s="111"/>
      <c r="S320"/>
      <c r="T320"/>
      <c r="U320"/>
    </row>
    <row r="321" spans="1:21" s="1" customFormat="1" ht="11.25" customHeight="1" x14ac:dyDescent="0.2">
      <c r="A321" s="83">
        <v>1</v>
      </c>
      <c r="B321" s="148"/>
      <c r="C321" s="148"/>
      <c r="D321" s="1503"/>
      <c r="E321" s="119">
        <v>9</v>
      </c>
      <c r="F321" s="163" t="s">
        <v>98</v>
      </c>
      <c r="G321" s="165" t="s">
        <v>58</v>
      </c>
      <c r="H321" s="167">
        <v>1172</v>
      </c>
      <c r="I321" s="16">
        <v>98</v>
      </c>
      <c r="J321" s="116"/>
      <c r="K321" s="16"/>
      <c r="L321" s="16"/>
      <c r="M321" s="38"/>
      <c r="N321" s="117"/>
      <c r="O321" s="118"/>
      <c r="P321" s="119"/>
      <c r="Q321" s="120" t="s">
        <v>799</v>
      </c>
      <c r="R321" s="111"/>
      <c r="S321"/>
      <c r="T321"/>
      <c r="U321"/>
    </row>
    <row r="322" spans="1:21" s="1" customFormat="1" ht="11.25" customHeight="1" x14ac:dyDescent="0.2">
      <c r="A322" s="83">
        <v>1</v>
      </c>
      <c r="B322" s="148"/>
      <c r="C322" s="148"/>
      <c r="D322" s="1503"/>
      <c r="E322" s="119">
        <v>9</v>
      </c>
      <c r="F322" s="163" t="s">
        <v>98</v>
      </c>
      <c r="G322" s="121" t="s">
        <v>741</v>
      </c>
      <c r="H322" s="123">
        <f>SUM(H320:H321)</f>
        <v>1352.8</v>
      </c>
      <c r="I322" s="123">
        <f>SUM(I320:I321)</f>
        <v>106.6</v>
      </c>
      <c r="J322" s="123">
        <f>SUM(J320:J321)</f>
        <v>0</v>
      </c>
      <c r="K322" s="123">
        <f>SUM(K320:K321)</f>
        <v>0</v>
      </c>
      <c r="L322" s="123">
        <f>SUM(L320:L321)</f>
        <v>0</v>
      </c>
      <c r="M322" s="38"/>
      <c r="N322" s="117"/>
      <c r="O322" s="118"/>
      <c r="P322" s="119"/>
      <c r="Q322" s="120"/>
      <c r="R322" s="111"/>
      <c r="S322"/>
      <c r="T322"/>
      <c r="U322"/>
    </row>
    <row r="323" spans="1:21" s="1" customFormat="1" x14ac:dyDescent="0.2">
      <c r="A323" s="83">
        <v>1</v>
      </c>
      <c r="B323" s="148"/>
      <c r="C323" s="148" t="s">
        <v>868</v>
      </c>
      <c r="D323" s="1463" t="s">
        <v>869</v>
      </c>
      <c r="E323" s="119">
        <v>9</v>
      </c>
      <c r="F323" s="163" t="s">
        <v>98</v>
      </c>
      <c r="G323" s="37" t="s">
        <v>9</v>
      </c>
      <c r="H323" s="16"/>
      <c r="I323" s="16"/>
      <c r="J323" s="116"/>
      <c r="K323" s="16">
        <v>161.80000000000001</v>
      </c>
      <c r="L323" s="16">
        <f>2000+2061.8-161.8-1300</f>
        <v>2600</v>
      </c>
      <c r="M323" s="168" t="s">
        <v>870</v>
      </c>
      <c r="N323" s="117" t="s">
        <v>867</v>
      </c>
      <c r="O323" s="118" t="s">
        <v>939</v>
      </c>
      <c r="P323" s="119">
        <v>1</v>
      </c>
      <c r="Q323" s="120" t="s">
        <v>871</v>
      </c>
      <c r="R323" s="111"/>
      <c r="S323"/>
      <c r="T323"/>
      <c r="U323"/>
    </row>
    <row r="324" spans="1:21" s="1" customFormat="1" x14ac:dyDescent="0.2">
      <c r="A324" s="83">
        <v>1</v>
      </c>
      <c r="B324" s="148"/>
      <c r="C324" s="148"/>
      <c r="D324" s="1465"/>
      <c r="E324" s="119">
        <v>9</v>
      </c>
      <c r="F324" s="163" t="s">
        <v>98</v>
      </c>
      <c r="G324" s="37" t="s">
        <v>61</v>
      </c>
      <c r="H324" s="16"/>
      <c r="I324" s="16"/>
      <c r="J324" s="116"/>
      <c r="K324" s="16"/>
      <c r="L324" s="16">
        <v>1300</v>
      </c>
      <c r="M324" s="168"/>
      <c r="N324" s="117" t="s">
        <v>867</v>
      </c>
      <c r="O324" s="118"/>
      <c r="P324" s="119"/>
      <c r="Q324" s="120" t="s">
        <v>871</v>
      </c>
      <c r="R324" s="111"/>
      <c r="S324"/>
      <c r="T324"/>
      <c r="U324"/>
    </row>
    <row r="325" spans="1:21" s="1" customFormat="1" x14ac:dyDescent="0.2">
      <c r="A325" s="83">
        <v>1</v>
      </c>
      <c r="B325" s="148"/>
      <c r="C325" s="148"/>
      <c r="D325" s="82"/>
      <c r="E325" s="119">
        <v>9</v>
      </c>
      <c r="F325" s="163" t="s">
        <v>98</v>
      </c>
      <c r="G325" s="121" t="s">
        <v>741</v>
      </c>
      <c r="H325" s="123">
        <v>100</v>
      </c>
      <c r="I325" s="123">
        <f>SUM(I323:I324)</f>
        <v>0</v>
      </c>
      <c r="J325" s="123">
        <f t="shared" ref="J325:L325" si="15">SUM(J323:J324)</f>
        <v>0</v>
      </c>
      <c r="K325" s="123">
        <f t="shared" si="15"/>
        <v>161.80000000000001</v>
      </c>
      <c r="L325" s="123">
        <f t="shared" si="15"/>
        <v>3900</v>
      </c>
      <c r="M325" s="38"/>
      <c r="N325" s="117" t="s">
        <v>867</v>
      </c>
      <c r="O325" s="145"/>
      <c r="P325" s="119"/>
      <c r="Q325" s="120"/>
      <c r="R325" s="111"/>
      <c r="S325"/>
      <c r="T325"/>
      <c r="U325"/>
    </row>
    <row r="326" spans="1:21" s="1" customFormat="1" ht="11.25" customHeight="1" x14ac:dyDescent="0.2">
      <c r="A326" s="83">
        <v>1</v>
      </c>
      <c r="B326" s="148"/>
      <c r="C326" s="148" t="s">
        <v>872</v>
      </c>
      <c r="D326" s="1506" t="s">
        <v>873</v>
      </c>
      <c r="E326" s="119">
        <v>9</v>
      </c>
      <c r="F326" s="163" t="s">
        <v>98</v>
      </c>
      <c r="G326" s="173" t="s">
        <v>9</v>
      </c>
      <c r="H326" s="124">
        <v>14.9</v>
      </c>
      <c r="I326" s="894">
        <v>7.8</v>
      </c>
      <c r="J326" s="169">
        <v>84.9</v>
      </c>
      <c r="K326" s="171">
        <f>1344.8/2</f>
        <v>672.4</v>
      </c>
      <c r="L326" s="171">
        <f>1344.8/2-84.9</f>
        <v>587.5</v>
      </c>
      <c r="M326" s="38" t="s">
        <v>2221</v>
      </c>
      <c r="N326" s="172" t="s">
        <v>867</v>
      </c>
      <c r="O326" s="118" t="s">
        <v>874</v>
      </c>
      <c r="P326" s="119">
        <v>1</v>
      </c>
      <c r="Q326" s="120" t="s">
        <v>875</v>
      </c>
      <c r="R326" s="111"/>
      <c r="S326"/>
      <c r="T326"/>
      <c r="U326"/>
    </row>
    <row r="327" spans="1:21" s="1" customFormat="1" ht="11.25" customHeight="1" x14ac:dyDescent="0.2">
      <c r="A327" s="83">
        <v>1</v>
      </c>
      <c r="B327" s="148"/>
      <c r="C327" s="148"/>
      <c r="D327" s="1506"/>
      <c r="E327" s="119">
        <v>9</v>
      </c>
      <c r="F327" s="163" t="s">
        <v>98</v>
      </c>
      <c r="G327" s="173" t="s">
        <v>713</v>
      </c>
      <c r="H327" s="16"/>
      <c r="I327" s="894"/>
      <c r="J327" s="169"/>
      <c r="K327" s="894">
        <f>213.2/2</f>
        <v>106.6</v>
      </c>
      <c r="L327" s="894">
        <f>213.2/2</f>
        <v>106.6</v>
      </c>
      <c r="M327" s="38" t="s">
        <v>2221</v>
      </c>
      <c r="N327" s="172" t="s">
        <v>867</v>
      </c>
      <c r="O327" s="118" t="s">
        <v>905</v>
      </c>
      <c r="P327" s="119">
        <v>1</v>
      </c>
      <c r="Q327" s="120" t="s">
        <v>875</v>
      </c>
      <c r="R327" s="111"/>
      <c r="S327"/>
      <c r="T327"/>
      <c r="U327"/>
    </row>
    <row r="328" spans="1:21" s="1" customFormat="1" ht="11.25" customHeight="1" x14ac:dyDescent="0.2">
      <c r="A328" s="83">
        <v>1</v>
      </c>
      <c r="B328" s="148"/>
      <c r="C328" s="148"/>
      <c r="D328" s="1506"/>
      <c r="E328" s="119">
        <v>9</v>
      </c>
      <c r="F328" s="163" t="s">
        <v>98</v>
      </c>
      <c r="G328" s="173" t="s">
        <v>58</v>
      </c>
      <c r="H328" s="16"/>
      <c r="I328" s="894"/>
      <c r="J328" s="169"/>
      <c r="K328" s="894">
        <f>1206/2</f>
        <v>603</v>
      </c>
      <c r="L328" s="894">
        <f>1206/2</f>
        <v>603</v>
      </c>
      <c r="M328" s="38" t="s">
        <v>2221</v>
      </c>
      <c r="N328" s="172" t="s">
        <v>867</v>
      </c>
      <c r="O328" s="145"/>
      <c r="P328" s="119"/>
      <c r="Q328" s="120" t="s">
        <v>875</v>
      </c>
      <c r="R328" s="111"/>
      <c r="S328"/>
      <c r="T328"/>
      <c r="U328"/>
    </row>
    <row r="329" spans="1:21" s="1" customFormat="1" ht="11.25" customHeight="1" x14ac:dyDescent="0.2">
      <c r="A329" s="83">
        <v>1</v>
      </c>
      <c r="B329" s="148"/>
      <c r="C329" s="148"/>
      <c r="D329" s="1506"/>
      <c r="E329" s="119">
        <v>9</v>
      </c>
      <c r="F329" s="163" t="s">
        <v>98</v>
      </c>
      <c r="G329" s="121" t="s">
        <v>741</v>
      </c>
      <c r="H329" s="123">
        <f>SUM(H326:H328)</f>
        <v>14.9</v>
      </c>
      <c r="I329" s="123">
        <f>SUM(I326:I328)</f>
        <v>7.8</v>
      </c>
      <c r="J329" s="123">
        <f>SUM(J326:J328)</f>
        <v>84.9</v>
      </c>
      <c r="K329" s="123">
        <f t="shared" ref="K329:L329" si="16">SUM(K326:K328)</f>
        <v>1382</v>
      </c>
      <c r="L329" s="123">
        <f t="shared" si="16"/>
        <v>1297.0999999999999</v>
      </c>
      <c r="M329" s="38" t="s">
        <v>2221</v>
      </c>
      <c r="N329" s="172" t="s">
        <v>867</v>
      </c>
      <c r="O329" s="118"/>
      <c r="P329" s="119"/>
      <c r="Q329" s="120"/>
      <c r="R329" s="111"/>
      <c r="S329"/>
      <c r="T329"/>
      <c r="U329"/>
    </row>
    <row r="330" spans="1:21" s="1" customFormat="1" ht="11.25" customHeight="1" x14ac:dyDescent="0.2">
      <c r="A330" s="83">
        <v>1</v>
      </c>
      <c r="B330" s="148"/>
      <c r="C330" s="148" t="s">
        <v>876</v>
      </c>
      <c r="D330" s="1506" t="s">
        <v>877</v>
      </c>
      <c r="E330" s="119">
        <v>9</v>
      </c>
      <c r="F330" s="163" t="s">
        <v>98</v>
      </c>
      <c r="G330" s="173" t="s">
        <v>9</v>
      </c>
      <c r="H330" s="16"/>
      <c r="I330" s="16">
        <v>6.7</v>
      </c>
      <c r="J330" s="116">
        <v>57</v>
      </c>
      <c r="K330" s="16">
        <v>42.5</v>
      </c>
      <c r="L330" s="16"/>
      <c r="M330" s="38" t="s">
        <v>2221</v>
      </c>
      <c r="N330" s="117" t="s">
        <v>859</v>
      </c>
      <c r="O330" s="118" t="s">
        <v>905</v>
      </c>
      <c r="P330" s="119">
        <v>1</v>
      </c>
      <c r="Q330" s="120" t="s">
        <v>878</v>
      </c>
      <c r="R330" s="111"/>
      <c r="S330"/>
      <c r="T330"/>
      <c r="U330"/>
    </row>
    <row r="331" spans="1:21" s="1" customFormat="1" ht="11.25" customHeight="1" x14ac:dyDescent="0.2">
      <c r="A331" s="83">
        <v>1</v>
      </c>
      <c r="B331" s="148"/>
      <c r="C331" s="148"/>
      <c r="D331" s="1506"/>
      <c r="E331" s="119">
        <v>9</v>
      </c>
      <c r="F331" s="163" t="s">
        <v>98</v>
      </c>
      <c r="G331" s="173" t="s">
        <v>713</v>
      </c>
      <c r="H331" s="16"/>
      <c r="I331" s="16"/>
      <c r="J331" s="116">
        <f>1621/2*0.15</f>
        <v>121.57499999999999</v>
      </c>
      <c r="K331" s="16">
        <f>420.4-J331</f>
        <v>298.82499999999999</v>
      </c>
      <c r="L331" s="16"/>
      <c r="M331" s="38" t="s">
        <v>2221</v>
      </c>
      <c r="N331" s="117" t="s">
        <v>859</v>
      </c>
      <c r="O331" s="145" t="s">
        <v>2299</v>
      </c>
      <c r="P331" s="88">
        <v>60</v>
      </c>
      <c r="Q331" s="120" t="s">
        <v>878</v>
      </c>
      <c r="R331" s="111"/>
      <c r="S331"/>
      <c r="T331"/>
      <c r="U331"/>
    </row>
    <row r="332" spans="1:21" s="1" customFormat="1" ht="11.25" customHeight="1" x14ac:dyDescent="0.2">
      <c r="A332" s="83">
        <v>1</v>
      </c>
      <c r="B332" s="148"/>
      <c r="C332" s="148"/>
      <c r="D332" s="1506"/>
      <c r="E332" s="119">
        <v>9</v>
      </c>
      <c r="F332" s="163" t="s">
        <v>98</v>
      </c>
      <c r="G332" s="173" t="s">
        <v>58</v>
      </c>
      <c r="H332" s="16"/>
      <c r="I332" s="16"/>
      <c r="J332" s="116">
        <f>1621/2*0.85</f>
        <v>688.92499999999995</v>
      </c>
      <c r="K332" s="16">
        <f>2377.9-J332</f>
        <v>1688.9750000000001</v>
      </c>
      <c r="L332" s="16"/>
      <c r="M332" s="38" t="s">
        <v>2221</v>
      </c>
      <c r="N332" s="117" t="s">
        <v>859</v>
      </c>
      <c r="O332" s="145"/>
      <c r="P332" s="119"/>
      <c r="Q332" s="120" t="s">
        <v>878</v>
      </c>
      <c r="R332" s="111"/>
      <c r="S332"/>
      <c r="T332"/>
      <c r="U332"/>
    </row>
    <row r="333" spans="1:21" s="1" customFormat="1" ht="11.25" customHeight="1" x14ac:dyDescent="0.2">
      <c r="A333" s="83">
        <v>1</v>
      </c>
      <c r="B333" s="148"/>
      <c r="C333" s="148"/>
      <c r="D333" s="1506"/>
      <c r="E333" s="119"/>
      <c r="F333" s="163" t="s">
        <v>98</v>
      </c>
      <c r="G333" s="121" t="s">
        <v>741</v>
      </c>
      <c r="H333" s="123">
        <f>SUM(H330:H332)</f>
        <v>0</v>
      </c>
      <c r="I333" s="123">
        <f>SUM(I330:I332)</f>
        <v>6.7</v>
      </c>
      <c r="J333" s="123">
        <f t="shared" ref="J333:L333" si="17">SUM(J330:J332)</f>
        <v>867.5</v>
      </c>
      <c r="K333" s="123">
        <f t="shared" si="17"/>
        <v>2030.3000000000002</v>
      </c>
      <c r="L333" s="123">
        <f t="shared" si="17"/>
        <v>0</v>
      </c>
      <c r="M333" s="38" t="s">
        <v>2221</v>
      </c>
      <c r="N333" s="117" t="s">
        <v>859</v>
      </c>
      <c r="O333" s="118"/>
      <c r="P333" s="119"/>
      <c r="Q333" s="120"/>
      <c r="R333" s="111"/>
      <c r="S333"/>
      <c r="T333"/>
      <c r="U333"/>
    </row>
    <row r="334" spans="1:21" s="1" customFormat="1" ht="25.9" customHeight="1" x14ac:dyDescent="0.2">
      <c r="A334" s="83">
        <v>1</v>
      </c>
      <c r="B334" s="148"/>
      <c r="C334" s="148" t="s">
        <v>879</v>
      </c>
      <c r="D334" s="1503" t="s">
        <v>880</v>
      </c>
      <c r="E334" s="119">
        <v>9</v>
      </c>
      <c r="F334" s="163" t="s">
        <v>98</v>
      </c>
      <c r="G334" s="173" t="s">
        <v>61</v>
      </c>
      <c r="H334" s="174">
        <v>250.1</v>
      </c>
      <c r="I334" s="1128"/>
      <c r="J334" s="175"/>
      <c r="K334" s="37"/>
      <c r="L334" s="16">
        <v>1700</v>
      </c>
      <c r="M334" s="38" t="s">
        <v>2221</v>
      </c>
      <c r="N334" s="117" t="s">
        <v>859</v>
      </c>
      <c r="O334" s="118" t="s">
        <v>905</v>
      </c>
      <c r="P334" s="119">
        <v>1</v>
      </c>
      <c r="Q334" s="120" t="s">
        <v>799</v>
      </c>
      <c r="R334" s="111"/>
      <c r="S334"/>
      <c r="T334"/>
      <c r="U334"/>
    </row>
    <row r="335" spans="1:21" s="1" customFormat="1" x14ac:dyDescent="0.2">
      <c r="A335" s="83">
        <v>1</v>
      </c>
      <c r="B335" s="148"/>
      <c r="C335" s="148"/>
      <c r="D335" s="1503"/>
      <c r="E335" s="119">
        <v>9</v>
      </c>
      <c r="F335" s="163" t="s">
        <v>98</v>
      </c>
      <c r="G335" s="173" t="s">
        <v>9</v>
      </c>
      <c r="H335" s="167">
        <v>5.9</v>
      </c>
      <c r="I335" s="16">
        <v>1542.1</v>
      </c>
      <c r="J335" s="116">
        <f>57.6+18.1</f>
        <v>75.7</v>
      </c>
      <c r="K335" s="37">
        <v>1000</v>
      </c>
      <c r="L335" s="16"/>
      <c r="M335" s="38" t="s">
        <v>2221</v>
      </c>
      <c r="N335" s="117" t="s">
        <v>859</v>
      </c>
      <c r="O335" s="118"/>
      <c r="P335" s="119"/>
      <c r="Q335" s="120" t="s">
        <v>799</v>
      </c>
      <c r="R335" s="111"/>
      <c r="S335"/>
      <c r="T335"/>
      <c r="U335"/>
    </row>
    <row r="336" spans="1:21" s="1" customFormat="1" x14ac:dyDescent="0.2">
      <c r="A336" s="83">
        <v>1</v>
      </c>
      <c r="B336" s="148"/>
      <c r="C336" s="148"/>
      <c r="D336" s="1503"/>
      <c r="E336" s="119" t="s">
        <v>34</v>
      </c>
      <c r="F336" s="163" t="s">
        <v>98</v>
      </c>
      <c r="G336" s="88" t="s">
        <v>9</v>
      </c>
      <c r="H336" s="167"/>
      <c r="I336" s="63">
        <f>2</f>
        <v>2</v>
      </c>
      <c r="J336" s="176">
        <v>4.4000000000000004</v>
      </c>
      <c r="K336" s="37"/>
      <c r="L336" s="37"/>
      <c r="M336" s="38" t="s">
        <v>2221</v>
      </c>
      <c r="N336" s="117" t="s">
        <v>859</v>
      </c>
      <c r="O336" s="686"/>
      <c r="P336" s="119"/>
      <c r="Q336" s="120" t="s">
        <v>799</v>
      </c>
      <c r="R336" s="111"/>
      <c r="S336"/>
      <c r="T336"/>
      <c r="U336"/>
    </row>
    <row r="337" spans="1:21" s="1" customFormat="1" ht="11.25" customHeight="1" x14ac:dyDescent="0.2">
      <c r="A337" s="83">
        <v>1</v>
      </c>
      <c r="B337" s="148"/>
      <c r="C337" s="148"/>
      <c r="D337" s="1503"/>
      <c r="E337" s="119"/>
      <c r="F337" s="163" t="s">
        <v>98</v>
      </c>
      <c r="G337" s="121" t="s">
        <v>741</v>
      </c>
      <c r="H337" s="123">
        <f>SUM(H334:H335)</f>
        <v>256</v>
      </c>
      <c r="I337" s="123">
        <f>SUM(I334:I336)</f>
        <v>1544.1</v>
      </c>
      <c r="J337" s="123">
        <f t="shared" ref="J337:L337" si="18">SUM(J334:J336)</f>
        <v>80.100000000000009</v>
      </c>
      <c r="K337" s="123">
        <f t="shared" si="18"/>
        <v>1000</v>
      </c>
      <c r="L337" s="123">
        <f t="shared" si="18"/>
        <v>1700</v>
      </c>
      <c r="M337" s="38" t="s">
        <v>2221</v>
      </c>
      <c r="N337" s="117" t="s">
        <v>859</v>
      </c>
      <c r="O337" s="118"/>
      <c r="P337" s="119"/>
      <c r="Q337" s="120"/>
      <c r="R337" s="111"/>
      <c r="S337"/>
      <c r="T337"/>
      <c r="U337"/>
    </row>
    <row r="338" spans="1:21" s="1" customFormat="1" x14ac:dyDescent="0.2">
      <c r="A338" s="83">
        <v>1</v>
      </c>
      <c r="B338" s="148"/>
      <c r="C338" s="148" t="s">
        <v>881</v>
      </c>
      <c r="D338" s="92" t="s">
        <v>2269</v>
      </c>
      <c r="E338" s="119">
        <v>9</v>
      </c>
      <c r="F338" s="163" t="s">
        <v>98</v>
      </c>
      <c r="G338" s="88" t="s">
        <v>9</v>
      </c>
      <c r="H338" s="16"/>
      <c r="I338" s="16"/>
      <c r="J338" s="116"/>
      <c r="K338" s="16">
        <v>70</v>
      </c>
      <c r="L338" s="16">
        <v>500</v>
      </c>
      <c r="M338" s="38" t="s">
        <v>2221</v>
      </c>
      <c r="N338" s="117" t="s">
        <v>882</v>
      </c>
      <c r="O338" s="118"/>
      <c r="P338" s="88"/>
      <c r="Q338" s="120" t="s">
        <v>799</v>
      </c>
      <c r="R338" s="111"/>
      <c r="S338"/>
      <c r="T338"/>
      <c r="U338"/>
    </row>
    <row r="339" spans="1:21" s="1" customFormat="1" ht="33.75" x14ac:dyDescent="0.2">
      <c r="A339" s="83">
        <v>1</v>
      </c>
      <c r="B339" s="148"/>
      <c r="C339" s="148" t="s">
        <v>884</v>
      </c>
      <c r="D339" s="92" t="s">
        <v>885</v>
      </c>
      <c r="E339" s="119">
        <v>9</v>
      </c>
      <c r="F339" s="163" t="s">
        <v>98</v>
      </c>
      <c r="G339" s="88" t="s">
        <v>9</v>
      </c>
      <c r="H339" s="16"/>
      <c r="I339" s="16"/>
      <c r="J339" s="116">
        <f>70-50</f>
        <v>20</v>
      </c>
      <c r="K339" s="16">
        <f>50</f>
        <v>50</v>
      </c>
      <c r="L339" s="16">
        <v>500</v>
      </c>
      <c r="M339" s="38" t="s">
        <v>870</v>
      </c>
      <c r="N339" s="117" t="s">
        <v>2203</v>
      </c>
      <c r="O339" s="118" t="s">
        <v>2300</v>
      </c>
      <c r="P339" s="88" t="s">
        <v>860</v>
      </c>
      <c r="Q339" s="120" t="s">
        <v>886</v>
      </c>
      <c r="R339" s="111"/>
      <c r="S339"/>
      <c r="T339"/>
      <c r="U339"/>
    </row>
    <row r="340" spans="1:21" s="1" customFormat="1" ht="22.5" x14ac:dyDescent="0.2">
      <c r="A340" s="83">
        <v>1</v>
      </c>
      <c r="B340" s="148"/>
      <c r="C340" s="148" t="s">
        <v>887</v>
      </c>
      <c r="D340" s="92" t="s">
        <v>888</v>
      </c>
      <c r="E340" s="119">
        <v>9</v>
      </c>
      <c r="F340" s="163" t="s">
        <v>98</v>
      </c>
      <c r="G340" s="88" t="s">
        <v>9</v>
      </c>
      <c r="H340" s="16"/>
      <c r="I340" s="32"/>
      <c r="J340" s="116"/>
      <c r="K340" s="47">
        <v>70</v>
      </c>
      <c r="L340" s="16">
        <v>500</v>
      </c>
      <c r="M340" s="38" t="s">
        <v>870</v>
      </c>
      <c r="N340" s="117" t="s">
        <v>882</v>
      </c>
      <c r="O340" s="118"/>
      <c r="P340" s="88"/>
      <c r="Q340" s="120" t="s">
        <v>889</v>
      </c>
      <c r="R340" s="111"/>
      <c r="S340"/>
      <c r="T340"/>
      <c r="U340"/>
    </row>
    <row r="341" spans="1:21" s="1" customFormat="1" x14ac:dyDescent="0.2">
      <c r="A341" s="83">
        <v>1</v>
      </c>
      <c r="B341" s="148"/>
      <c r="C341" s="148" t="s">
        <v>890</v>
      </c>
      <c r="D341" s="92" t="s">
        <v>891</v>
      </c>
      <c r="E341" s="119">
        <v>9</v>
      </c>
      <c r="F341" s="163" t="s">
        <v>98</v>
      </c>
      <c r="G341" s="88" t="s">
        <v>9</v>
      </c>
      <c r="H341" s="16"/>
      <c r="I341" s="32"/>
      <c r="J341" s="116"/>
      <c r="K341" s="47">
        <v>70</v>
      </c>
      <c r="L341" s="16">
        <v>500</v>
      </c>
      <c r="M341" s="38" t="s">
        <v>870</v>
      </c>
      <c r="N341" s="117" t="s">
        <v>882</v>
      </c>
      <c r="O341" s="118"/>
      <c r="P341" s="88"/>
      <c r="Q341" s="120" t="s">
        <v>886</v>
      </c>
      <c r="R341" s="111"/>
      <c r="S341"/>
      <c r="T341"/>
      <c r="U341"/>
    </row>
    <row r="342" spans="1:21" s="1" customFormat="1" ht="22.5" x14ac:dyDescent="0.2">
      <c r="A342" s="83">
        <v>1</v>
      </c>
      <c r="B342" s="148"/>
      <c r="C342" s="148" t="s">
        <v>2220</v>
      </c>
      <c r="D342" s="92" t="s">
        <v>893</v>
      </c>
      <c r="E342" s="119">
        <v>9</v>
      </c>
      <c r="F342" s="163" t="s">
        <v>98</v>
      </c>
      <c r="G342" s="88" t="s">
        <v>9</v>
      </c>
      <c r="H342" s="16"/>
      <c r="I342" s="16"/>
      <c r="J342" s="116">
        <f>70-50</f>
        <v>20</v>
      </c>
      <c r="K342" s="16">
        <f>50</f>
        <v>50</v>
      </c>
      <c r="L342" s="16">
        <v>1000</v>
      </c>
      <c r="M342" s="38" t="s">
        <v>870</v>
      </c>
      <c r="N342" s="117" t="s">
        <v>867</v>
      </c>
      <c r="O342" s="118" t="s">
        <v>883</v>
      </c>
      <c r="P342" s="88">
        <v>1</v>
      </c>
      <c r="Q342" s="120" t="s">
        <v>894</v>
      </c>
      <c r="R342" s="111"/>
      <c r="S342"/>
      <c r="T342"/>
      <c r="U342"/>
    </row>
    <row r="343" spans="1:21" s="1" customFormat="1" ht="33.75" x14ac:dyDescent="0.2">
      <c r="A343" s="83">
        <v>1</v>
      </c>
      <c r="B343" s="148"/>
      <c r="C343" s="148" t="s">
        <v>892</v>
      </c>
      <c r="D343" s="92" t="s">
        <v>2272</v>
      </c>
      <c r="E343" s="119">
        <v>9</v>
      </c>
      <c r="F343" s="163" t="s">
        <v>98</v>
      </c>
      <c r="G343" s="88" t="s">
        <v>9</v>
      </c>
      <c r="H343" s="16"/>
      <c r="I343" s="16"/>
      <c r="J343" s="116"/>
      <c r="K343" s="16">
        <v>30</v>
      </c>
      <c r="L343" s="16"/>
      <c r="M343" s="38" t="s">
        <v>870</v>
      </c>
      <c r="N343" s="128" t="s">
        <v>2200</v>
      </c>
      <c r="O343" s="118" t="s">
        <v>2282</v>
      </c>
      <c r="P343" s="88">
        <v>1</v>
      </c>
      <c r="Q343" s="120" t="s">
        <v>878</v>
      </c>
      <c r="R343" s="111"/>
      <c r="S343"/>
      <c r="T343"/>
      <c r="U343"/>
    </row>
    <row r="344" spans="1:21" s="1" customFormat="1" ht="33.75" x14ac:dyDescent="0.2">
      <c r="A344" s="83">
        <v>1</v>
      </c>
      <c r="B344" s="148"/>
      <c r="C344" s="148" t="s">
        <v>895</v>
      </c>
      <c r="D344" s="92" t="s">
        <v>2273</v>
      </c>
      <c r="E344" s="119">
        <v>9</v>
      </c>
      <c r="F344" s="163" t="s">
        <v>98</v>
      </c>
      <c r="G344" s="88" t="s">
        <v>9</v>
      </c>
      <c r="H344" s="16"/>
      <c r="I344" s="16"/>
      <c r="J344" s="116"/>
      <c r="K344" s="16">
        <v>30</v>
      </c>
      <c r="L344" s="16"/>
      <c r="M344" s="38" t="s">
        <v>870</v>
      </c>
      <c r="N344" s="128" t="s">
        <v>2200</v>
      </c>
      <c r="O344" s="118" t="s">
        <v>2282</v>
      </c>
      <c r="P344" s="88">
        <v>1</v>
      </c>
      <c r="Q344" s="120" t="s">
        <v>889</v>
      </c>
      <c r="R344" s="111"/>
      <c r="S344"/>
      <c r="T344"/>
      <c r="U344"/>
    </row>
    <row r="345" spans="1:21" s="1" customFormat="1" ht="33.75" x14ac:dyDescent="0.2">
      <c r="A345" s="83">
        <v>1</v>
      </c>
      <c r="B345" s="148"/>
      <c r="C345" s="148" t="s">
        <v>899</v>
      </c>
      <c r="D345" s="82" t="s">
        <v>896</v>
      </c>
      <c r="E345" s="81">
        <v>2</v>
      </c>
      <c r="F345" s="81" t="s">
        <v>65</v>
      </c>
      <c r="G345" s="88" t="s">
        <v>9</v>
      </c>
      <c r="H345" s="16"/>
      <c r="I345" s="16"/>
      <c r="J345" s="116">
        <f>50-50</f>
        <v>0</v>
      </c>
      <c r="K345" s="37">
        <f>50</f>
        <v>50</v>
      </c>
      <c r="L345" s="16">
        <v>500</v>
      </c>
      <c r="M345" s="38" t="s">
        <v>870</v>
      </c>
      <c r="N345" s="117" t="s">
        <v>897</v>
      </c>
      <c r="O345" s="1176" t="s">
        <v>898</v>
      </c>
      <c r="P345" s="88">
        <v>1</v>
      </c>
      <c r="Q345" s="40" t="s">
        <v>799</v>
      </c>
      <c r="R345" s="111"/>
      <c r="S345"/>
      <c r="T345"/>
      <c r="U345"/>
    </row>
    <row r="346" spans="1:21" s="1" customFormat="1" ht="22.5" x14ac:dyDescent="0.2">
      <c r="A346" s="83">
        <v>1</v>
      </c>
      <c r="B346" s="148"/>
      <c r="C346" s="148" t="s">
        <v>900</v>
      </c>
      <c r="D346" s="82" t="s">
        <v>93</v>
      </c>
      <c r="E346" s="81">
        <v>6</v>
      </c>
      <c r="F346" s="81" t="s">
        <v>94</v>
      </c>
      <c r="G346" s="88" t="s">
        <v>9</v>
      </c>
      <c r="H346" s="16"/>
      <c r="I346" s="16">
        <v>3</v>
      </c>
      <c r="J346" s="116">
        <f>800-83.7</f>
        <v>716.3</v>
      </c>
      <c r="K346" s="16">
        <f>3200+83.7</f>
        <v>3283.7</v>
      </c>
      <c r="L346" s="16">
        <v>3200</v>
      </c>
      <c r="M346" s="38" t="s">
        <v>2221</v>
      </c>
      <c r="N346" s="117" t="s">
        <v>2252</v>
      </c>
      <c r="O346" s="118" t="s">
        <v>2251</v>
      </c>
      <c r="P346" s="119">
        <v>1</v>
      </c>
      <c r="Q346" s="120" t="s">
        <v>861</v>
      </c>
      <c r="R346" s="111"/>
      <c r="S346"/>
      <c r="T346"/>
      <c r="U346"/>
    </row>
    <row r="347" spans="1:21" s="1" customFormat="1" ht="21.75" customHeight="1" x14ac:dyDescent="0.2">
      <c r="A347" s="83">
        <v>1</v>
      </c>
      <c r="B347" s="148"/>
      <c r="C347" s="148" t="s">
        <v>903</v>
      </c>
      <c r="D347" s="1463" t="s">
        <v>2427</v>
      </c>
      <c r="E347" s="81" t="s">
        <v>684</v>
      </c>
      <c r="F347" s="81" t="s">
        <v>901</v>
      </c>
      <c r="G347" s="88" t="s">
        <v>9</v>
      </c>
      <c r="H347" s="16"/>
      <c r="I347" s="16"/>
      <c r="J347" s="116">
        <f>101.9+170</f>
        <v>271.89999999999998</v>
      </c>
      <c r="K347" s="16">
        <f>130</f>
        <v>130</v>
      </c>
      <c r="L347" s="16"/>
      <c r="M347" s="38" t="s">
        <v>2221</v>
      </c>
      <c r="N347" s="117">
        <v>731.9</v>
      </c>
      <c r="P347" s="119"/>
      <c r="Q347" s="120" t="s">
        <v>861</v>
      </c>
      <c r="R347" s="111"/>
      <c r="S347"/>
      <c r="T347"/>
      <c r="U347"/>
    </row>
    <row r="348" spans="1:21" s="1" customFormat="1" ht="18.75" customHeight="1" x14ac:dyDescent="0.2">
      <c r="A348" s="83">
        <v>1</v>
      </c>
      <c r="B348" s="148"/>
      <c r="C348" s="148" t="s">
        <v>903</v>
      </c>
      <c r="D348" s="1465"/>
      <c r="E348" s="88" t="s">
        <v>902</v>
      </c>
      <c r="F348" s="81" t="s">
        <v>901</v>
      </c>
      <c r="G348" s="88" t="s">
        <v>9</v>
      </c>
      <c r="H348" s="16"/>
      <c r="I348" s="16"/>
      <c r="J348" s="116">
        <f>500+45</f>
        <v>545</v>
      </c>
      <c r="K348" s="16"/>
      <c r="L348" s="16"/>
      <c r="M348" s="38" t="s">
        <v>2221</v>
      </c>
      <c r="N348" s="117" t="s">
        <v>2268</v>
      </c>
      <c r="O348" s="118" t="s">
        <v>2250</v>
      </c>
      <c r="P348" s="119">
        <v>100</v>
      </c>
      <c r="Q348" s="120" t="s">
        <v>861</v>
      </c>
      <c r="R348" s="111"/>
      <c r="S348"/>
      <c r="T348"/>
      <c r="U348"/>
    </row>
    <row r="349" spans="1:21" s="1" customFormat="1" ht="13.5" customHeight="1" x14ac:dyDescent="0.2">
      <c r="A349" s="83">
        <v>1</v>
      </c>
      <c r="B349" s="148"/>
      <c r="C349" s="148"/>
      <c r="D349" s="92"/>
      <c r="E349" s="119"/>
      <c r="F349" s="83"/>
      <c r="G349" s="121" t="s">
        <v>741</v>
      </c>
      <c r="H349" s="123">
        <v>1559.4</v>
      </c>
      <c r="I349" s="123">
        <f>SUM(I338:I348)</f>
        <v>3</v>
      </c>
      <c r="J349" s="123">
        <f t="shared" ref="J349:L349" si="19">SUM(J338:J348)</f>
        <v>1573.1999999999998</v>
      </c>
      <c r="K349" s="123">
        <f t="shared" si="19"/>
        <v>3833.7</v>
      </c>
      <c r="L349" s="123">
        <f t="shared" si="19"/>
        <v>6700</v>
      </c>
      <c r="M349" s="38" t="s">
        <v>2221</v>
      </c>
      <c r="N349" s="117"/>
      <c r="O349" s="145"/>
      <c r="P349" s="119"/>
      <c r="Q349" s="120"/>
      <c r="R349" s="111"/>
      <c r="S349"/>
      <c r="T349"/>
      <c r="U349"/>
    </row>
    <row r="350" spans="1:21" s="1" customFormat="1" x14ac:dyDescent="0.2">
      <c r="A350" s="83">
        <v>1</v>
      </c>
      <c r="B350" s="148"/>
      <c r="C350" s="148" t="s">
        <v>904</v>
      </c>
      <c r="D350" s="1508" t="s">
        <v>95</v>
      </c>
      <c r="E350" s="119">
        <v>9</v>
      </c>
      <c r="F350" s="83" t="s">
        <v>96</v>
      </c>
      <c r="G350" s="173" t="s">
        <v>9</v>
      </c>
      <c r="H350" s="124">
        <v>61.5</v>
      </c>
      <c r="I350" s="16">
        <v>9.8000000000000007</v>
      </c>
      <c r="J350" s="116">
        <v>10</v>
      </c>
      <c r="K350" s="15">
        <v>110</v>
      </c>
      <c r="L350" s="15"/>
      <c r="M350" s="38" t="s">
        <v>2221</v>
      </c>
      <c r="N350" s="117" t="s">
        <v>859</v>
      </c>
      <c r="O350" s="118" t="s">
        <v>2279</v>
      </c>
      <c r="P350" s="119">
        <v>1</v>
      </c>
      <c r="Q350" s="120" t="s">
        <v>799</v>
      </c>
      <c r="R350" s="111"/>
      <c r="S350"/>
      <c r="T350"/>
      <c r="U350"/>
    </row>
    <row r="351" spans="1:21" s="1" customFormat="1" ht="11.25" customHeight="1" x14ac:dyDescent="0.2">
      <c r="A351" s="83">
        <v>1</v>
      </c>
      <c r="B351" s="148"/>
      <c r="C351" s="148"/>
      <c r="D351" s="1509"/>
      <c r="E351" s="119">
        <v>9</v>
      </c>
      <c r="F351" s="83" t="s">
        <v>96</v>
      </c>
      <c r="G351" s="173" t="s">
        <v>713</v>
      </c>
      <c r="H351" s="16"/>
      <c r="I351" s="32"/>
      <c r="J351" s="177">
        <v>171</v>
      </c>
      <c r="K351" s="179">
        <f>(1562.4-171)/2</f>
        <v>695.7</v>
      </c>
      <c r="L351" s="179">
        <f>(1562.4-171)/2</f>
        <v>695.7</v>
      </c>
      <c r="M351" s="38" t="s">
        <v>2221</v>
      </c>
      <c r="N351" s="117" t="s">
        <v>859</v>
      </c>
      <c r="O351" s="118" t="s">
        <v>905</v>
      </c>
      <c r="P351" s="119">
        <v>1</v>
      </c>
      <c r="Q351" s="120" t="s">
        <v>799</v>
      </c>
      <c r="R351" s="111"/>
      <c r="S351"/>
      <c r="T351"/>
      <c r="U351"/>
    </row>
    <row r="352" spans="1:21" s="1" customFormat="1" ht="11.25" customHeight="1" x14ac:dyDescent="0.2">
      <c r="A352" s="83">
        <v>1</v>
      </c>
      <c r="B352" s="148"/>
      <c r="C352" s="148"/>
      <c r="D352" s="1509"/>
      <c r="E352" s="119">
        <v>9</v>
      </c>
      <c r="F352" s="83" t="s">
        <v>96</v>
      </c>
      <c r="G352" s="173" t="s">
        <v>58</v>
      </c>
      <c r="H352" s="16"/>
      <c r="I352" s="32"/>
      <c r="J352" s="177"/>
      <c r="K352" s="179">
        <f>8838.5/2</f>
        <v>4419.25</v>
      </c>
      <c r="L352" s="179">
        <f>8838.5/2</f>
        <v>4419.25</v>
      </c>
      <c r="M352" s="38" t="s">
        <v>2221</v>
      </c>
      <c r="N352" s="117" t="s">
        <v>859</v>
      </c>
      <c r="O352" s="145" t="s">
        <v>2280</v>
      </c>
      <c r="P352" s="119">
        <v>5</v>
      </c>
      <c r="Q352" s="120" t="s">
        <v>799</v>
      </c>
      <c r="R352" s="111"/>
      <c r="S352"/>
      <c r="T352"/>
      <c r="U352"/>
    </row>
    <row r="353" spans="1:21" s="1" customFormat="1" ht="11.25" customHeight="1" x14ac:dyDescent="0.2">
      <c r="A353" s="83">
        <v>1</v>
      </c>
      <c r="B353" s="148"/>
      <c r="C353" s="148"/>
      <c r="D353" s="1510"/>
      <c r="E353" s="119">
        <v>9</v>
      </c>
      <c r="F353" s="83" t="s">
        <v>96</v>
      </c>
      <c r="G353" s="121" t="s">
        <v>741</v>
      </c>
      <c r="H353" s="123">
        <f>SUM(H350:H352)</f>
        <v>61.5</v>
      </c>
      <c r="I353" s="123">
        <f>SUM(I350:I352)</f>
        <v>9.8000000000000007</v>
      </c>
      <c r="J353" s="123">
        <f t="shared" ref="J353:K353" si="20">SUM(J350:J352)</f>
        <v>181</v>
      </c>
      <c r="K353" s="180">
        <f t="shared" si="20"/>
        <v>5224.95</v>
      </c>
      <c r="L353" s="180">
        <f>SUM(L350:L352)</f>
        <v>5114.95</v>
      </c>
      <c r="M353" s="38" t="s">
        <v>2221</v>
      </c>
      <c r="N353" s="117" t="s">
        <v>859</v>
      </c>
      <c r="O353" s="118"/>
      <c r="P353" s="119"/>
      <c r="Q353" s="120"/>
      <c r="R353" s="111"/>
      <c r="S353"/>
      <c r="T353"/>
      <c r="U353"/>
    </row>
    <row r="354" spans="1:21" s="1" customFormat="1" ht="11.25" customHeight="1" x14ac:dyDescent="0.2">
      <c r="A354" s="83">
        <v>1</v>
      </c>
      <c r="B354" s="148"/>
      <c r="C354" s="148" t="s">
        <v>2270</v>
      </c>
      <c r="D354" s="1503" t="s">
        <v>100</v>
      </c>
      <c r="E354" s="119">
        <v>9</v>
      </c>
      <c r="F354" s="83" t="s">
        <v>101</v>
      </c>
      <c r="G354" s="173" t="s">
        <v>9</v>
      </c>
      <c r="H354" s="37"/>
      <c r="I354" s="16">
        <v>69</v>
      </c>
      <c r="J354" s="116"/>
      <c r="K354" s="37"/>
      <c r="L354" s="37"/>
      <c r="M354" s="38" t="s">
        <v>787</v>
      </c>
      <c r="N354" s="117"/>
      <c r="O354" s="118"/>
      <c r="P354" s="119"/>
      <c r="Q354" s="120" t="s">
        <v>878</v>
      </c>
      <c r="R354" s="111"/>
      <c r="S354"/>
      <c r="T354"/>
      <c r="U354"/>
    </row>
    <row r="355" spans="1:21" s="1" customFormat="1" ht="12.6" customHeight="1" x14ac:dyDescent="0.2">
      <c r="A355" s="83">
        <v>1</v>
      </c>
      <c r="B355" s="148"/>
      <c r="C355" s="148"/>
      <c r="D355" s="1503"/>
      <c r="E355" s="119">
        <v>9</v>
      </c>
      <c r="F355" s="83" t="s">
        <v>101</v>
      </c>
      <c r="G355" s="181" t="s">
        <v>11</v>
      </c>
      <c r="H355" s="37"/>
      <c r="I355" s="16">
        <v>217.5</v>
      </c>
      <c r="J355" s="116"/>
      <c r="K355" s="37"/>
      <c r="L355" s="37"/>
      <c r="M355" s="38"/>
      <c r="N355" s="117"/>
      <c r="O355" s="118"/>
      <c r="P355" s="119"/>
      <c r="Q355" s="120" t="s">
        <v>878</v>
      </c>
      <c r="R355" s="111"/>
      <c r="S355"/>
      <c r="T355"/>
      <c r="U355"/>
    </row>
    <row r="356" spans="1:21" s="1" customFormat="1" ht="12.6" customHeight="1" x14ac:dyDescent="0.2">
      <c r="A356" s="83">
        <v>1</v>
      </c>
      <c r="B356" s="148"/>
      <c r="C356" s="148"/>
      <c r="D356" s="92"/>
      <c r="E356" s="182">
        <v>9</v>
      </c>
      <c r="F356" s="183" t="s">
        <v>101</v>
      </c>
      <c r="G356" s="121" t="s">
        <v>741</v>
      </c>
      <c r="H356" s="123"/>
      <c r="I356" s="123">
        <f>SUM(I354:I355)</f>
        <v>286.5</v>
      </c>
      <c r="J356" s="123">
        <f t="shared" ref="J356:L356" si="21">SUM(J354:J355)</f>
        <v>0</v>
      </c>
      <c r="K356" s="123">
        <f t="shared" si="21"/>
        <v>0</v>
      </c>
      <c r="L356" s="123">
        <f t="shared" si="21"/>
        <v>0</v>
      </c>
      <c r="M356" s="38"/>
      <c r="N356" s="117"/>
      <c r="O356" s="118"/>
      <c r="P356" s="119"/>
      <c r="Q356" s="120"/>
      <c r="R356" s="111"/>
      <c r="S356"/>
      <c r="T356"/>
      <c r="U356"/>
    </row>
    <row r="357" spans="1:21" s="1" customFormat="1" ht="34.5" customHeight="1" x14ac:dyDescent="0.2">
      <c r="A357" s="83">
        <v>1</v>
      </c>
      <c r="B357" s="148"/>
      <c r="C357" s="148" t="s">
        <v>2271</v>
      </c>
      <c r="D357" s="35" t="s">
        <v>2512</v>
      </c>
      <c r="E357" s="397">
        <v>9</v>
      </c>
      <c r="F357" s="69" t="s">
        <v>2518</v>
      </c>
      <c r="G357" s="69" t="s">
        <v>9</v>
      </c>
      <c r="H357" s="124">
        <v>87.9</v>
      </c>
      <c r="I357" s="16"/>
      <c r="J357" s="116"/>
      <c r="K357" s="37">
        <v>354</v>
      </c>
      <c r="L357" s="37">
        <v>300</v>
      </c>
      <c r="M357" s="38" t="s">
        <v>870</v>
      </c>
      <c r="N357" s="128" t="s">
        <v>2550</v>
      </c>
      <c r="O357" s="118" t="s">
        <v>2551</v>
      </c>
      <c r="P357" s="119">
        <v>1</v>
      </c>
      <c r="Q357" s="120" t="s">
        <v>861</v>
      </c>
      <c r="R357" s="111"/>
      <c r="S357"/>
      <c r="T357"/>
      <c r="U357"/>
    </row>
    <row r="358" spans="1:21" s="1" customFormat="1" ht="12.6" customHeight="1" x14ac:dyDescent="0.2">
      <c r="A358" s="83">
        <v>1</v>
      </c>
      <c r="B358" s="148"/>
      <c r="C358" s="148"/>
      <c r="D358" s="48"/>
      <c r="E358" s="397">
        <v>9</v>
      </c>
      <c r="F358" s="69" t="s">
        <v>2518</v>
      </c>
      <c r="G358" s="121" t="s">
        <v>741</v>
      </c>
      <c r="H358" s="123">
        <f>SUM(H357:H357)</f>
        <v>87.9</v>
      </c>
      <c r="I358" s="123">
        <f>SUM(I357:I357)</f>
        <v>0</v>
      </c>
      <c r="J358" s="123">
        <f>SUM(J357:J357)</f>
        <v>0</v>
      </c>
      <c r="K358" s="123">
        <f>SUM(K357:K357)</f>
        <v>354</v>
      </c>
      <c r="L358" s="123">
        <f>SUM(L357:L357)</f>
        <v>300</v>
      </c>
      <c r="M358" s="38"/>
      <c r="N358" s="117"/>
      <c r="O358" s="118"/>
      <c r="P358" s="119"/>
      <c r="Q358" s="120"/>
      <c r="R358" s="111"/>
      <c r="S358"/>
      <c r="T358"/>
      <c r="U358"/>
    </row>
    <row r="359" spans="1:21" s="1" customFormat="1" ht="12.6" customHeight="1" x14ac:dyDescent="0.2">
      <c r="A359" s="83">
        <v>1</v>
      </c>
      <c r="B359" s="148"/>
      <c r="C359" s="148" t="s">
        <v>2511</v>
      </c>
      <c r="D359" s="741" t="s">
        <v>906</v>
      </c>
      <c r="E359" s="182">
        <v>9</v>
      </c>
      <c r="F359" s="183" t="s">
        <v>907</v>
      </c>
      <c r="G359" s="81"/>
      <c r="H359" s="37"/>
      <c r="I359" s="16"/>
      <c r="J359" s="740"/>
      <c r="K359" s="37"/>
      <c r="L359" s="37"/>
      <c r="M359" s="38"/>
      <c r="N359" s="117"/>
      <c r="O359" s="118"/>
      <c r="P359" s="119"/>
      <c r="Q359" s="120"/>
      <c r="R359" s="111"/>
      <c r="S359"/>
      <c r="T359"/>
      <c r="U359"/>
    </row>
    <row r="360" spans="1:21" s="1" customFormat="1" ht="21.6" customHeight="1" x14ac:dyDescent="0.2">
      <c r="A360" s="83">
        <v>1</v>
      </c>
      <c r="B360" s="148"/>
      <c r="C360" s="148"/>
      <c r="D360" s="184" t="s">
        <v>908</v>
      </c>
      <c r="E360" s="182">
        <v>9</v>
      </c>
      <c r="F360" s="183" t="s">
        <v>907</v>
      </c>
      <c r="G360" s="81" t="s">
        <v>9</v>
      </c>
      <c r="H360" s="37"/>
      <c r="I360" s="16"/>
      <c r="J360" s="740"/>
      <c r="K360" s="37">
        <v>150</v>
      </c>
      <c r="L360" s="37"/>
      <c r="M360" s="38" t="s">
        <v>870</v>
      </c>
      <c r="N360" s="117" t="s">
        <v>1049</v>
      </c>
      <c r="O360" s="118" t="s">
        <v>2281</v>
      </c>
      <c r="P360" s="119" t="s">
        <v>860</v>
      </c>
      <c r="Q360" s="120" t="s">
        <v>875</v>
      </c>
      <c r="R360" s="111"/>
      <c r="S360"/>
      <c r="T360"/>
      <c r="U360"/>
    </row>
    <row r="361" spans="1:21" s="1" customFormat="1" ht="12.6" customHeight="1" x14ac:dyDescent="0.2">
      <c r="A361" s="83">
        <v>1</v>
      </c>
      <c r="B361" s="148"/>
      <c r="C361" s="148"/>
      <c r="D361" s="184" t="s">
        <v>909</v>
      </c>
      <c r="E361" s="182">
        <v>9</v>
      </c>
      <c r="F361" s="183" t="s">
        <v>907</v>
      </c>
      <c r="G361" s="81" t="s">
        <v>9</v>
      </c>
      <c r="H361" s="37"/>
      <c r="I361" s="16"/>
      <c r="J361" s="740"/>
      <c r="K361" s="16">
        <f>150-41.2</f>
        <v>108.8</v>
      </c>
      <c r="L361" s="16">
        <v>41.2</v>
      </c>
      <c r="M361" s="38" t="s">
        <v>870</v>
      </c>
      <c r="N361" s="117" t="s">
        <v>1049</v>
      </c>
      <c r="O361" s="118"/>
      <c r="P361" s="119"/>
      <c r="Q361" s="120" t="s">
        <v>889</v>
      </c>
      <c r="R361" s="111"/>
      <c r="S361"/>
      <c r="T361"/>
      <c r="U361"/>
    </row>
    <row r="362" spans="1:21" s="1" customFormat="1" ht="12.6" customHeight="1" x14ac:dyDescent="0.2">
      <c r="A362" s="83">
        <v>1</v>
      </c>
      <c r="B362" s="148"/>
      <c r="C362" s="148"/>
      <c r="D362" s="184" t="s">
        <v>910</v>
      </c>
      <c r="E362" s="182">
        <v>9</v>
      </c>
      <c r="F362" s="183" t="s">
        <v>907</v>
      </c>
      <c r="G362" s="81" t="s">
        <v>9</v>
      </c>
      <c r="H362" s="37"/>
      <c r="I362" s="16"/>
      <c r="J362" s="740"/>
      <c r="K362" s="16"/>
      <c r="L362" s="16">
        <v>150</v>
      </c>
      <c r="M362" s="38" t="s">
        <v>870</v>
      </c>
      <c r="N362" s="117" t="s">
        <v>1049</v>
      </c>
      <c r="O362" s="118"/>
      <c r="P362" s="119"/>
      <c r="Q362" s="120" t="s">
        <v>911</v>
      </c>
      <c r="R362" s="111"/>
      <c r="S362"/>
      <c r="T362"/>
      <c r="U362"/>
    </row>
    <row r="363" spans="1:21" s="1" customFormat="1" ht="12.6" customHeight="1" x14ac:dyDescent="0.2">
      <c r="A363" s="83">
        <v>1</v>
      </c>
      <c r="B363" s="148"/>
      <c r="C363" s="148"/>
      <c r="D363" s="92"/>
      <c r="E363" s="182"/>
      <c r="F363" s="183"/>
      <c r="G363" s="121" t="s">
        <v>741</v>
      </c>
      <c r="H363" s="123"/>
      <c r="I363" s="123">
        <f>SUM(I360:I362)</f>
        <v>0</v>
      </c>
      <c r="J363" s="123">
        <f t="shared" ref="J363:L363" si="22">SUM(J360:J362)</f>
        <v>0</v>
      </c>
      <c r="K363" s="123">
        <f t="shared" si="22"/>
        <v>258.8</v>
      </c>
      <c r="L363" s="123">
        <f t="shared" si="22"/>
        <v>191.2</v>
      </c>
      <c r="M363" s="38"/>
      <c r="N363" s="117"/>
      <c r="O363" s="118"/>
      <c r="P363" s="119"/>
      <c r="Q363" s="120"/>
      <c r="R363" s="111"/>
      <c r="S363"/>
      <c r="T363"/>
      <c r="U363"/>
    </row>
    <row r="364" spans="1:21" s="1" customFormat="1" ht="12.6" customHeight="1" x14ac:dyDescent="0.2">
      <c r="A364" s="83">
        <v>1</v>
      </c>
      <c r="B364" s="148"/>
      <c r="C364" s="148"/>
      <c r="D364" s="92"/>
      <c r="E364" s="119"/>
      <c r="F364" s="83"/>
      <c r="G364" s="185" t="s">
        <v>608</v>
      </c>
      <c r="H364" s="164"/>
      <c r="I364" s="185">
        <f>SUM(I356,I353,I349,I337,I333,I329,I325,I322,I319,I315,I305,I279,I274,I272,I266,I258,I255,I251,I249,I247,I244,I239,I234,I231,I203,I199,I197,I193,I189,I175,I171,I167,I211,I158,I150,I142,I134,I126,I118,I110,I102,I94,I87,I79,I71,I63,I55,I47,I39,I31,I23,I15,I206,I165,I213,I363,I217,I219,I358,I223)</f>
        <v>62045.500000000007</v>
      </c>
      <c r="J364" s="185">
        <f t="shared" ref="J364:L364" si="23">SUM(J356,J353,J349,J337,J333,J329,J325,J322,J319,J315,J305,J279,J274,J272,J266,J258,J255,J251,J249,J247,J244,J239,J234,J231,J203,J199,J197,J193,J189,J175,J171,J167,J211,J158,J150,J142,J134,J126,J118,J110,J102,J94,J87,J79,J71,J63,J55,J47,J39,J31,J23,J15,J206,J165,J213,J363,J217,J219,J358,J223)</f>
        <v>71678.900000000009</v>
      </c>
      <c r="K364" s="185">
        <f t="shared" si="23"/>
        <v>85995.050000000017</v>
      </c>
      <c r="L364" s="185">
        <f t="shared" si="23"/>
        <v>88115.95</v>
      </c>
      <c r="M364" s="38"/>
      <c r="N364" s="117"/>
      <c r="O364" s="118"/>
      <c r="P364" s="119"/>
      <c r="Q364" s="120"/>
      <c r="R364" s="111"/>
      <c r="S364"/>
      <c r="T364"/>
      <c r="U364"/>
    </row>
    <row r="365" spans="1:21" s="1" customFormat="1" ht="12.6" customHeight="1" x14ac:dyDescent="0.2">
      <c r="A365" s="83">
        <v>1</v>
      </c>
      <c r="B365" s="148"/>
      <c r="C365" s="148"/>
      <c r="D365" s="92"/>
      <c r="E365" s="182"/>
      <c r="F365" s="183"/>
      <c r="G365" s="88" t="s">
        <v>9</v>
      </c>
      <c r="H365" s="37"/>
      <c r="I365" s="37">
        <f>SUM(I11,I19,I27,I35,I43,I51,I59,I67,I75,I83,I90,I98,I106,I114,I122,I130,I138,I146,I156,I166,I168,I173,I176,I177,I178,I179,I180,I181,I182,I183,I184,I185,I186,I187,I191,I194,I198,I225,I233,I235,I240,I248,I250,I252,I256,I268,I273,I277,I281,I282,I283,I284,I285,I286,I287,I288,I289,I290,I291,I292,I293,I294,I295,I296,I297,I298,I299,I300,I301,I302,I303,I304,I312,I316,I320,I323,I326,I330,I335,I338,I339,I340,I341,I342,I345,I346:I347,I350,I354,I188,I336,I163,I212,I360,I361,I362,I246,I348,I214,I344,I343,I210,I357,I257,I220)</f>
        <v>27972.300000000007</v>
      </c>
      <c r="J365" s="37">
        <f t="shared" ref="J365:L365" si="24">SUM(J11,J19,J27,J35,J43,J51,J59,J67,J75,J83,J90,J98,J106,J114,J122,J130,J138,J146,J156,J166,J168,J173,J176,J177,J178,J179,J180,J181,J182,J183,J184,J185,J186,J187,J191,J194,J198,J225,J233,J235,J240,J248,J250,J252,J256,J268,J273,J277,J281,J282,J283,J284,J285,J286,J287,J288,J289,J290,J291,J292,J293,J294,J295,J296,J297,J298,J299,J300,J301,J302,J303,J304,J312,J316,J320,J323,J326,J330,J335,J338,J339,J340,J341,J342,J345,J346:J347,J350,J354,J188,J336,J163,J212,J360,J361,J362,J246,J348,J214,J344,J343,J210,J357,J257,J220)</f>
        <v>31975.400000000009</v>
      </c>
      <c r="K365" s="37">
        <f t="shared" si="24"/>
        <v>38273.499999999993</v>
      </c>
      <c r="L365" s="37">
        <f t="shared" si="24"/>
        <v>42855.6</v>
      </c>
      <c r="M365" s="38"/>
      <c r="N365" s="117"/>
      <c r="O365" s="118"/>
      <c r="P365" s="119"/>
      <c r="Q365" s="120"/>
      <c r="R365" s="111"/>
      <c r="S365"/>
      <c r="T365"/>
      <c r="U365"/>
    </row>
    <row r="366" spans="1:21" s="1" customFormat="1" ht="12.6" customHeight="1" x14ac:dyDescent="0.2">
      <c r="A366" s="83">
        <v>1</v>
      </c>
      <c r="B366" s="148"/>
      <c r="C366" s="148"/>
      <c r="D366" s="92"/>
      <c r="E366" s="182"/>
      <c r="F366" s="183"/>
      <c r="G366" s="81" t="s">
        <v>11</v>
      </c>
      <c r="H366" s="37"/>
      <c r="I366" s="37">
        <f>SUM(I355,I271,I245,I243,I238,I227,I202,I201,I200,I192,I209,I155,I147,I139,I131,I123,I115,I107,I99,I91,I84,I76,I68,I61,I52,I45,I36,I28,I21,I12,I317,I162,I260,I261,I262,I263,I264,I265,I278)</f>
        <v>3544.3999999999996</v>
      </c>
      <c r="J366" s="37">
        <f>SUM(J355,J271,J245,J243,J238,J227,J202,J201,J200,J192,J209,J155,J147,J139,J131,J123,J115,J107,J99,J91,J84,J76,J68,J61,J52,J45,J36,J28,J21,J12,J317,J162,J260,J261,J262,J263,J264,J265,J278)</f>
        <v>1272.1000000000001</v>
      </c>
      <c r="K366" s="37">
        <f>SUM(K355,K271,K245,K243,K238,K227,K202,K201,K200,K192,K209,K155,K147,K139,K131,K123,K115,K107,K99,K91,K84,K76,K68,K61,K52,K45,K36,K28,K21,K12,K317,K162,K260,K261,K262,K263,K264,K265,K278)</f>
        <v>847.2</v>
      </c>
      <c r="L366" s="37">
        <f>SUM(L355,L271,L245,L243,L238,L227,L202,L201,L200,L192,L209,L155,L147,L139,L131,L123,L115,L107,L99,L91,L84,L76,L68,L61,L52,L45,L36,L28,L21,L12,L317,L162,L260,L261,L262,L263,L264,L265,L278)</f>
        <v>850.1</v>
      </c>
      <c r="M366" s="38"/>
      <c r="N366" s="117"/>
      <c r="O366" s="118"/>
      <c r="P366" s="119"/>
      <c r="Q366" s="120"/>
      <c r="R366" s="111"/>
      <c r="S366"/>
      <c r="T366"/>
      <c r="U366"/>
    </row>
    <row r="367" spans="1:21" s="1" customFormat="1" ht="12.6" customHeight="1" x14ac:dyDescent="0.2">
      <c r="A367" s="83">
        <v>1</v>
      </c>
      <c r="B367" s="148"/>
      <c r="C367" s="148"/>
      <c r="D367" s="92"/>
      <c r="E367" s="182"/>
      <c r="F367" s="183"/>
      <c r="G367" s="81" t="s">
        <v>58</v>
      </c>
      <c r="H367" s="37"/>
      <c r="I367" s="37">
        <f>SUM(I352,I332,I328,I321,I314,I259,I253,I172,I169,I204,I215,I221)</f>
        <v>1299.3</v>
      </c>
      <c r="J367" s="37">
        <f t="shared" ref="J367:L367" si="25">SUM(J352,J332,J328,J321,J314,J259,J253,J172,J169,J204,J215,J221)</f>
        <v>3674.5249999999996</v>
      </c>
      <c r="K367" s="37">
        <f t="shared" si="25"/>
        <v>9745.7250000000004</v>
      </c>
      <c r="L367" s="37">
        <f t="shared" si="25"/>
        <v>5237.45</v>
      </c>
      <c r="M367" s="38"/>
      <c r="N367" s="117"/>
      <c r="O367" s="118"/>
      <c r="P367" s="119"/>
      <c r="Q367" s="120"/>
      <c r="R367" s="111"/>
      <c r="S367"/>
      <c r="T367"/>
      <c r="U367"/>
    </row>
    <row r="368" spans="1:21" s="1" customFormat="1" ht="12.6" customHeight="1" x14ac:dyDescent="0.2">
      <c r="A368" s="83">
        <v>1</v>
      </c>
      <c r="B368" s="148"/>
      <c r="C368" s="148"/>
      <c r="D368" s="92"/>
      <c r="E368" s="182"/>
      <c r="F368" s="183"/>
      <c r="G368" s="81" t="s">
        <v>59</v>
      </c>
      <c r="H368" s="37"/>
      <c r="I368" s="37">
        <f>SUM(I254,I174,I170,I205,I216,I218,I222)</f>
        <v>214.6</v>
      </c>
      <c r="J368" s="37">
        <f t="shared" ref="J368:L368" si="26">SUM(J254,J174,J170,J205,J216,J218,J222)</f>
        <v>348.79999999999995</v>
      </c>
      <c r="K368" s="37">
        <f t="shared" si="26"/>
        <v>123.30000000000001</v>
      </c>
      <c r="L368" s="37">
        <f t="shared" si="26"/>
        <v>38</v>
      </c>
      <c r="M368" s="38"/>
      <c r="N368" s="117"/>
      <c r="O368" s="118"/>
      <c r="P368" s="119"/>
      <c r="Q368" s="120"/>
      <c r="R368" s="111"/>
      <c r="S368"/>
      <c r="T368"/>
      <c r="U368"/>
    </row>
    <row r="369" spans="1:21" s="1" customFormat="1" ht="12.6" customHeight="1" x14ac:dyDescent="0.2">
      <c r="A369" s="83">
        <v>1</v>
      </c>
      <c r="B369" s="148"/>
      <c r="C369" s="148"/>
      <c r="D369" s="92"/>
      <c r="E369" s="182"/>
      <c r="F369" s="183"/>
      <c r="G369" s="81" t="s">
        <v>8</v>
      </c>
      <c r="H369" s="37"/>
      <c r="I369" s="37">
        <f>SUM(I241,I236,I229,I190,I207,I151,I143,I135,I127,I119,I111,I103,I95,I88,I80,I72,I64,I56,I48,I40,I32,I24,I16,I8,I159)</f>
        <v>26235.8</v>
      </c>
      <c r="J369" s="16">
        <f>SUM(J241,J236,J229,J190,J207,J151,J143,J135,J127,J119,J111,J103,J95,J88,J80,J72,J64,J56,J48,J40,J32,J24,J16,J8,J159)</f>
        <v>30866.200000000004</v>
      </c>
      <c r="K369" s="37">
        <f>SUM(K241,K236,K229,K190,K207,K151,K143,K135,K127,K119,K111,K103,K95,K88,K80,K72,K64,K56,K48,K40,K32,K24,K16,K8,K159)</f>
        <v>32717.999999999996</v>
      </c>
      <c r="L369" s="37">
        <f>SUM(L241,L236,L229,L190,L207,L151,L143,L135,L127,L119,L111,L103,L95,L88,L80,L72,L64,L56,L48,L40,L32,L24,L16,L8,L159)</f>
        <v>32717.999999999996</v>
      </c>
      <c r="M369" s="38"/>
      <c r="N369" s="117"/>
      <c r="O369" s="118"/>
      <c r="P369" s="119"/>
      <c r="Q369" s="120"/>
      <c r="R369" s="111"/>
      <c r="S369"/>
      <c r="T369"/>
      <c r="U369"/>
    </row>
    <row r="370" spans="1:21" s="1" customFormat="1" ht="12.6" customHeight="1" x14ac:dyDescent="0.2">
      <c r="A370" s="83">
        <v>1</v>
      </c>
      <c r="B370" s="148"/>
      <c r="C370" s="148"/>
      <c r="D370" s="92"/>
      <c r="E370" s="182"/>
      <c r="F370" s="183"/>
      <c r="G370" s="81" t="s">
        <v>12</v>
      </c>
      <c r="H370" s="37"/>
      <c r="I370" s="37">
        <f>SUM(I13,I20,I29,I37,I44,I53,I60,I69,I77,I85,I92,I100,I108,I116,I124,I132,I140,I148,I157,I237,I242,I269,I164)</f>
        <v>1870.2</v>
      </c>
      <c r="J370" s="37">
        <f>SUM(J13,J20,J29,J37,J44,J53,J60,J69,J77,J85,J92,J100,J108,J116,J124,J132,J140,J148,J157,J237,J242,J269,J164)</f>
        <v>2443.7999999999997</v>
      </c>
      <c r="K370" s="37">
        <f>SUM(K13,K20,K29,K37,K44,K53,K60,K69,K77,K85,K92,K100,K108,K116,K124,K132,K140,K148,K157,K237,K242,K269,K164)</f>
        <v>2609.6999999999998</v>
      </c>
      <c r="L370" s="37">
        <f>SUM(L13,L20,L29,L37,L44,L53,L60,L69,L77,L85,L92,L100,L108,L116,L124,L132,L140,L148,L157,L237,L242,L269,L164)</f>
        <v>2614.5000000000005</v>
      </c>
      <c r="M370" s="38"/>
      <c r="N370" s="117"/>
      <c r="O370" s="118"/>
      <c r="P370" s="119"/>
      <c r="Q370" s="120"/>
      <c r="R370" s="111"/>
      <c r="S370"/>
      <c r="T370"/>
      <c r="U370"/>
    </row>
    <row r="371" spans="1:21" s="1" customFormat="1" ht="12.6" customHeight="1" x14ac:dyDescent="0.2">
      <c r="A371" s="83">
        <v>1</v>
      </c>
      <c r="B371" s="148"/>
      <c r="C371" s="148"/>
      <c r="D371" s="92"/>
      <c r="E371" s="182"/>
      <c r="F371" s="183"/>
      <c r="G371" s="81" t="s">
        <v>10</v>
      </c>
      <c r="H371" s="37"/>
      <c r="I371" s="37"/>
      <c r="J371" s="37"/>
      <c r="K371" s="37"/>
      <c r="L371" s="37"/>
      <c r="M371" s="38"/>
      <c r="N371" s="117"/>
      <c r="O371" s="118"/>
      <c r="P371" s="119"/>
      <c r="Q371" s="120"/>
      <c r="R371" s="111"/>
      <c r="S371"/>
      <c r="T371"/>
      <c r="U371"/>
    </row>
    <row r="372" spans="1:21" s="1" customFormat="1" ht="12.6" customHeight="1" x14ac:dyDescent="0.2">
      <c r="A372" s="83">
        <v>1</v>
      </c>
      <c r="B372" s="148"/>
      <c r="C372" s="148"/>
      <c r="D372" s="92"/>
      <c r="E372" s="182"/>
      <c r="F372" s="183"/>
      <c r="G372" s="81" t="s">
        <v>61</v>
      </c>
      <c r="H372" s="37"/>
      <c r="I372" s="37">
        <f>SUM(I334,I324)</f>
        <v>0</v>
      </c>
      <c r="J372" s="37">
        <f t="shared" ref="J372:L372" si="27">SUM(J334,J324)</f>
        <v>0</v>
      </c>
      <c r="K372" s="37">
        <f t="shared" si="27"/>
        <v>0</v>
      </c>
      <c r="L372" s="37">
        <f t="shared" si="27"/>
        <v>3000</v>
      </c>
      <c r="M372" s="38"/>
      <c r="N372" s="117"/>
      <c r="O372" s="118"/>
      <c r="P372" s="119"/>
      <c r="Q372" s="120"/>
      <c r="R372" s="111"/>
      <c r="S372"/>
      <c r="T372"/>
      <c r="U372"/>
    </row>
    <row r="373" spans="1:21" s="1" customFormat="1" ht="12.6" customHeight="1" x14ac:dyDescent="0.2">
      <c r="A373" s="83">
        <v>1</v>
      </c>
      <c r="B373" s="148"/>
      <c r="C373" s="148"/>
      <c r="D373" s="92"/>
      <c r="E373" s="182"/>
      <c r="F373" s="183"/>
      <c r="G373" s="81" t="s">
        <v>713</v>
      </c>
      <c r="H373" s="37"/>
      <c r="I373" s="37">
        <f>I351+I331+I327+I313</f>
        <v>0</v>
      </c>
      <c r="J373" s="37">
        <f>J351+J331+J327+J313</f>
        <v>642.57500000000005</v>
      </c>
      <c r="K373" s="37">
        <f>K351+K331+K327+K313</f>
        <v>1529.7249999999999</v>
      </c>
      <c r="L373" s="37">
        <f>L351+L331+L327+L313</f>
        <v>802.30000000000007</v>
      </c>
      <c r="M373" s="38"/>
      <c r="N373" s="117"/>
      <c r="O373" s="118"/>
      <c r="P373" s="119"/>
      <c r="Q373" s="120"/>
      <c r="R373" s="111"/>
      <c r="S373"/>
      <c r="T373"/>
      <c r="U373"/>
    </row>
    <row r="374" spans="1:21" s="1" customFormat="1" ht="12.6" customHeight="1" x14ac:dyDescent="0.2">
      <c r="A374" s="83">
        <v>1</v>
      </c>
      <c r="B374" s="148"/>
      <c r="C374" s="148"/>
      <c r="D374" s="92"/>
      <c r="E374" s="182"/>
      <c r="F374" s="183"/>
      <c r="G374" s="88" t="s">
        <v>99</v>
      </c>
      <c r="H374" s="37"/>
      <c r="I374" s="37"/>
      <c r="J374" s="37"/>
      <c r="K374" s="37"/>
      <c r="L374" s="37"/>
      <c r="M374" s="38"/>
      <c r="N374" s="117"/>
      <c r="O374" s="118"/>
      <c r="P374" s="119"/>
      <c r="Q374" s="120"/>
      <c r="R374" s="111"/>
      <c r="S374"/>
      <c r="T374"/>
      <c r="U374"/>
    </row>
    <row r="375" spans="1:21" s="1" customFormat="1" ht="12.6" customHeight="1" x14ac:dyDescent="0.2">
      <c r="A375" s="83">
        <v>1</v>
      </c>
      <c r="B375" s="148"/>
      <c r="C375" s="148"/>
      <c r="D375" s="92"/>
      <c r="E375" s="182"/>
      <c r="F375" s="183"/>
      <c r="G375" s="81" t="s">
        <v>740</v>
      </c>
      <c r="H375" s="37"/>
      <c r="I375" s="37">
        <f>I14+I22+I30+I38+I46+I54+I62+I70+I78+I86+I93+I101+I109+I117+I125+I133+I141+I149+I154+I226+I270+I161</f>
        <v>264.29999999999995</v>
      </c>
      <c r="J375" s="37">
        <f>J14+J22+J30+J38+J46+J54+J62+J70+J78+J86+J93+J101+J109+J117+J125+J133+J141+J149+J154+J226+J270</f>
        <v>0</v>
      </c>
      <c r="K375" s="37">
        <f>K14+K22+K30+K38+K46+K54+K62+K70+K78+K86+K93+K101+K109+K117+K125+K133+K141+K149+K154+K226+K270</f>
        <v>0</v>
      </c>
      <c r="L375" s="37">
        <f>L14+L22+L30+L38+L46+L54+L62+L70+L78+L86+L93+L101+L109+L117+L125+L133+L141+L149+L154+L226+L270</f>
        <v>0</v>
      </c>
      <c r="M375" s="38"/>
      <c r="N375" s="117"/>
      <c r="O375" s="118"/>
      <c r="P375" s="119"/>
      <c r="Q375" s="120"/>
      <c r="R375" s="111"/>
      <c r="S375"/>
      <c r="T375"/>
      <c r="U375"/>
    </row>
    <row r="376" spans="1:21" s="1" customFormat="1" ht="12.6" customHeight="1" x14ac:dyDescent="0.2">
      <c r="A376" s="83">
        <v>1</v>
      </c>
      <c r="B376" s="148"/>
      <c r="C376" s="148"/>
      <c r="D376" s="92"/>
      <c r="E376" s="182"/>
      <c r="F376" s="183"/>
      <c r="G376" s="81" t="s">
        <v>610</v>
      </c>
      <c r="H376" s="37"/>
      <c r="I376" s="37">
        <f>SUM(I9,I17,I25,I33,I41,I49,I57,I65,I73,I81,I96,I104,I112,I120,I128,I144,I152,I208,I136,I230)</f>
        <v>181.5</v>
      </c>
      <c r="J376" s="16">
        <f t="shared" ref="J376:L376" si="28">SUM(J9,J17,J25,J33,J41,J49,J57,J65,J73,J81,J96,J104,J112,J120,J128,J144,J152,J208,J136,J230)</f>
        <v>105.5</v>
      </c>
      <c r="K376" s="37">
        <f t="shared" si="28"/>
        <v>0</v>
      </c>
      <c r="L376" s="37">
        <f t="shared" si="28"/>
        <v>0</v>
      </c>
      <c r="M376" s="38"/>
      <c r="N376" s="117"/>
      <c r="O376" s="118"/>
      <c r="P376" s="119"/>
      <c r="Q376" s="120"/>
      <c r="R376" s="111"/>
      <c r="S376"/>
      <c r="T376"/>
      <c r="U376"/>
    </row>
    <row r="377" spans="1:21" s="1" customFormat="1" ht="12.6" customHeight="1" x14ac:dyDescent="0.2">
      <c r="A377" s="83">
        <v>1</v>
      </c>
      <c r="B377" s="148"/>
      <c r="C377" s="148"/>
      <c r="D377" s="92"/>
      <c r="E377" s="182"/>
      <c r="F377" s="183"/>
      <c r="G377" s="81" t="s">
        <v>714</v>
      </c>
      <c r="H377" s="37"/>
      <c r="I377" s="37">
        <f>SUM(I10,I18,I26,I34,I42,I50,I58,I66,I74,I82,I89,I97,I105,I113,I121,I129,I137,I145,I153,)</f>
        <v>460.99999999999994</v>
      </c>
      <c r="J377" s="37">
        <f>SUM(J10,J18,J26,J34,J42,J50,J58,J66,J74,J82,J89,J97,J105,J113,J121,J129,J137,J145,J153,)</f>
        <v>0</v>
      </c>
      <c r="K377" s="37">
        <f>SUM(K10,K18,K26,K34,K42,K50,K58,K66,K74,K82,K89,K97,K105,K113,K121,K129,K137,K145,K153,)</f>
        <v>0</v>
      </c>
      <c r="L377" s="37">
        <f>SUM(L10,L18,L26,L34,L42,L50,L58,L66,L74,L82,L89,L97,L105,L113,L121,L129,L137,L145,L153,)</f>
        <v>0</v>
      </c>
      <c r="M377" s="38"/>
      <c r="N377" s="117"/>
      <c r="O377" s="118"/>
      <c r="P377" s="119"/>
      <c r="Q377" s="120"/>
      <c r="R377" s="111"/>
      <c r="S377"/>
      <c r="T377"/>
      <c r="U377"/>
    </row>
    <row r="378" spans="1:21" s="1" customFormat="1" ht="12.6" customHeight="1" x14ac:dyDescent="0.2">
      <c r="A378" s="83">
        <v>1</v>
      </c>
      <c r="B378" s="148"/>
      <c r="C378" s="148"/>
      <c r="D378" s="92"/>
      <c r="E378" s="182"/>
      <c r="F378" s="183"/>
      <c r="G378" s="88" t="s">
        <v>226</v>
      </c>
      <c r="H378" s="37"/>
      <c r="I378" s="37">
        <f>I318</f>
        <v>2.1</v>
      </c>
      <c r="J378" s="37">
        <f t="shared" ref="J378:L378" si="29">J318</f>
        <v>350</v>
      </c>
      <c r="K378" s="37">
        <f t="shared" si="29"/>
        <v>147.9</v>
      </c>
      <c r="L378" s="37">
        <f t="shared" si="29"/>
        <v>0</v>
      </c>
      <c r="M378" s="38"/>
      <c r="N378" s="117"/>
      <c r="O378" s="118"/>
      <c r="P378" s="119"/>
      <c r="Q378" s="120"/>
      <c r="R378" s="111"/>
      <c r="S378"/>
      <c r="T378"/>
      <c r="U378"/>
    </row>
    <row r="379" spans="1:21" s="1" customFormat="1" ht="12.6" customHeight="1" x14ac:dyDescent="0.2">
      <c r="A379" s="83">
        <v>1</v>
      </c>
      <c r="B379" s="148"/>
      <c r="C379" s="148"/>
      <c r="D379" s="92"/>
      <c r="E379" s="182"/>
      <c r="F379" s="183"/>
      <c r="G379" s="185" t="s">
        <v>608</v>
      </c>
      <c r="H379" s="164"/>
      <c r="I379" s="185">
        <f>SUM(I365:I378)</f>
        <v>62045.500000000007</v>
      </c>
      <c r="J379" s="185">
        <f t="shared" ref="J379:L379" si="30">SUM(J365:J378)</f>
        <v>71678.900000000023</v>
      </c>
      <c r="K379" s="185">
        <f t="shared" si="30"/>
        <v>85995.049999999988</v>
      </c>
      <c r="L379" s="185">
        <f t="shared" si="30"/>
        <v>88115.95</v>
      </c>
      <c r="M379" s="38"/>
      <c r="N379" s="117"/>
      <c r="O379" s="118"/>
      <c r="P379" s="119"/>
      <c r="Q379" s="120"/>
      <c r="R379" s="111"/>
      <c r="S379"/>
      <c r="T379"/>
      <c r="U379"/>
    </row>
    <row r="380" spans="1:21" s="1" customFormat="1" ht="12.6" customHeight="1" x14ac:dyDescent="0.2">
      <c r="A380" s="83">
        <v>1</v>
      </c>
      <c r="B380" s="148"/>
      <c r="C380" s="148"/>
      <c r="D380" s="92"/>
      <c r="E380" s="119"/>
      <c r="F380" s="83"/>
      <c r="G380" s="186"/>
      <c r="H380" s="37"/>
      <c r="I380" s="37">
        <f>I364-I379</f>
        <v>0</v>
      </c>
      <c r="J380" s="37">
        <f>J364-J379</f>
        <v>0</v>
      </c>
      <c r="K380" s="37">
        <f>K364-K379</f>
        <v>0</v>
      </c>
      <c r="L380" s="37">
        <f>L364-L379</f>
        <v>0</v>
      </c>
      <c r="M380" s="38"/>
      <c r="N380" s="117"/>
      <c r="O380" s="118"/>
      <c r="P380" s="119"/>
      <c r="Q380" s="120"/>
      <c r="R380" s="111"/>
      <c r="S380"/>
      <c r="T380"/>
      <c r="U380"/>
    </row>
    <row r="381" spans="1:21" ht="22.5" x14ac:dyDescent="0.2">
      <c r="A381" s="69">
        <v>2</v>
      </c>
      <c r="B381" s="107"/>
      <c r="C381" s="107"/>
      <c r="D381" s="108" t="s">
        <v>916</v>
      </c>
      <c r="E381" s="109"/>
      <c r="F381" s="110"/>
      <c r="G381" s="109"/>
      <c r="H381" s="109"/>
      <c r="I381" s="109"/>
      <c r="J381" s="109"/>
      <c r="K381" s="109"/>
      <c r="L381" s="1065"/>
      <c r="M381" s="192"/>
      <c r="N381" s="1094"/>
      <c r="O381" s="89"/>
      <c r="P381" s="81"/>
      <c r="Q381" s="89"/>
    </row>
    <row r="382" spans="1:21" ht="22.5" x14ac:dyDescent="0.2">
      <c r="A382" s="69">
        <v>2</v>
      </c>
      <c r="B382" s="142" t="s">
        <v>917</v>
      </c>
      <c r="C382" s="142" t="s">
        <v>917</v>
      </c>
      <c r="D382" s="188" t="s">
        <v>914</v>
      </c>
      <c r="E382" s="148">
        <v>10</v>
      </c>
      <c r="F382" s="81" t="s">
        <v>103</v>
      </c>
      <c r="G382" s="298" t="s">
        <v>9</v>
      </c>
      <c r="H382" s="7">
        <v>70</v>
      </c>
      <c r="I382" s="16">
        <v>70</v>
      </c>
      <c r="J382" s="116">
        <v>70</v>
      </c>
      <c r="K382" s="170">
        <v>80</v>
      </c>
      <c r="L382" s="1066">
        <v>90</v>
      </c>
      <c r="M382" s="192" t="s">
        <v>796</v>
      </c>
      <c r="N382" s="318" t="s">
        <v>918</v>
      </c>
      <c r="O382" s="189" t="s">
        <v>2230</v>
      </c>
      <c r="P382" s="190" t="s">
        <v>2229</v>
      </c>
      <c r="Q382" s="74"/>
    </row>
    <row r="383" spans="1:21" ht="12.75" customHeight="1" x14ac:dyDescent="0.2">
      <c r="A383" s="69">
        <v>2</v>
      </c>
      <c r="B383" s="44"/>
      <c r="C383" s="44"/>
      <c r="D383" s="48"/>
      <c r="E383" s="40">
        <v>10</v>
      </c>
      <c r="F383" s="48"/>
      <c r="G383" s="121" t="s">
        <v>608</v>
      </c>
      <c r="H383" s="123">
        <f>SUM(H382)</f>
        <v>70</v>
      </c>
      <c r="I383" s="123">
        <f>SUM(I382)</f>
        <v>70</v>
      </c>
      <c r="J383" s="123">
        <f t="shared" ref="J383:L383" si="31">SUM(J382)</f>
        <v>70</v>
      </c>
      <c r="K383" s="123">
        <f t="shared" si="31"/>
        <v>80</v>
      </c>
      <c r="L383" s="1067">
        <f t="shared" si="31"/>
        <v>90</v>
      </c>
      <c r="M383" s="192"/>
      <c r="N383" s="318"/>
      <c r="O383" s="189"/>
      <c r="P383" s="190"/>
      <c r="Q383" s="74"/>
    </row>
    <row r="384" spans="1:21" ht="22.5" x14ac:dyDescent="0.2">
      <c r="A384" s="69">
        <v>2</v>
      </c>
      <c r="B384" s="142" t="s">
        <v>919</v>
      </c>
      <c r="C384" s="142" t="s">
        <v>919</v>
      </c>
      <c r="D384" s="191" t="s">
        <v>104</v>
      </c>
      <c r="E384" s="148">
        <v>32</v>
      </c>
      <c r="F384" s="81" t="s">
        <v>105</v>
      </c>
      <c r="G384" s="298" t="s">
        <v>9</v>
      </c>
      <c r="H384" s="7">
        <v>10</v>
      </c>
      <c r="I384" s="16">
        <v>30</v>
      </c>
      <c r="J384" s="116">
        <v>50</v>
      </c>
      <c r="K384" s="7">
        <v>50</v>
      </c>
      <c r="L384" s="1068">
        <v>50</v>
      </c>
      <c r="M384" s="192" t="s">
        <v>796</v>
      </c>
      <c r="N384" s="318" t="s">
        <v>920</v>
      </c>
      <c r="O384" s="149" t="s">
        <v>921</v>
      </c>
      <c r="P384" s="1345">
        <v>50</v>
      </c>
      <c r="Q384" s="74"/>
    </row>
    <row r="385" spans="1:17" ht="12.75" customHeight="1" x14ac:dyDescent="0.2">
      <c r="A385" s="69">
        <v>2</v>
      </c>
      <c r="B385" s="44"/>
      <c r="C385" s="44"/>
      <c r="D385" s="48"/>
      <c r="E385" s="40">
        <v>32</v>
      </c>
      <c r="F385" s="48"/>
      <c r="G385" s="121" t="s">
        <v>608</v>
      </c>
      <c r="H385" s="123">
        <f>SUM(H384)</f>
        <v>10</v>
      </c>
      <c r="I385" s="123">
        <f>SUM(I384)</f>
        <v>30</v>
      </c>
      <c r="J385" s="123">
        <f t="shared" ref="J385:L385" si="32">SUM(J384)</f>
        <v>50</v>
      </c>
      <c r="K385" s="123">
        <f t="shared" si="32"/>
        <v>50</v>
      </c>
      <c r="L385" s="1067">
        <f t="shared" si="32"/>
        <v>50</v>
      </c>
      <c r="M385" s="192"/>
      <c r="N385" s="318"/>
      <c r="O385" s="149"/>
      <c r="P385" s="40"/>
      <c r="Q385" s="74"/>
    </row>
    <row r="386" spans="1:17" ht="22.5" x14ac:dyDescent="0.2">
      <c r="A386" s="69">
        <v>2</v>
      </c>
      <c r="B386" s="107"/>
      <c r="C386" s="107"/>
      <c r="D386" s="108" t="s">
        <v>922</v>
      </c>
      <c r="E386" s="109"/>
      <c r="F386" s="110"/>
      <c r="G386" s="109"/>
      <c r="H386" s="109"/>
      <c r="I386" s="109"/>
      <c r="J386" s="109"/>
      <c r="K386" s="109"/>
      <c r="L386" s="1065"/>
      <c r="M386" s="192"/>
      <c r="N386" s="318"/>
      <c r="O386" s="149"/>
      <c r="P386" s="40"/>
      <c r="Q386" s="74"/>
    </row>
    <row r="387" spans="1:17" ht="22.5" x14ac:dyDescent="0.2">
      <c r="A387" s="69">
        <v>2</v>
      </c>
      <c r="B387" s="142" t="s">
        <v>923</v>
      </c>
      <c r="C387" s="142" t="s">
        <v>923</v>
      </c>
      <c r="D387" s="191" t="s">
        <v>106</v>
      </c>
      <c r="E387" s="148"/>
      <c r="F387" s="81"/>
      <c r="G387" s="192"/>
      <c r="H387" s="7"/>
      <c r="I387" s="144">
        <f>I390+I422+I427</f>
        <v>583.4</v>
      </c>
      <c r="J387" s="144">
        <f t="shared" ref="J387:L387" si="33">J390+J422+J427</f>
        <v>929.00000000000011</v>
      </c>
      <c r="K387" s="144">
        <f t="shared" si="33"/>
        <v>754.6</v>
      </c>
      <c r="L387" s="144">
        <f t="shared" si="33"/>
        <v>443.3</v>
      </c>
      <c r="M387" s="192"/>
      <c r="N387" s="318"/>
      <c r="O387" s="149"/>
      <c r="P387" s="40"/>
      <c r="Q387" s="74"/>
    </row>
    <row r="388" spans="1:17" ht="67.5" x14ac:dyDescent="0.2">
      <c r="A388" s="69">
        <v>2</v>
      </c>
      <c r="B388" s="44"/>
      <c r="C388" s="44" t="s">
        <v>924</v>
      </c>
      <c r="D388" s="1130" t="s">
        <v>925</v>
      </c>
      <c r="E388" s="40">
        <v>32</v>
      </c>
      <c r="F388" s="48" t="s">
        <v>107</v>
      </c>
      <c r="G388" s="16" t="s">
        <v>11</v>
      </c>
      <c r="H388" s="37">
        <v>240.9</v>
      </c>
      <c r="I388" s="116">
        <f>SUM(I406,I407,I408,I409,I410,I411,I412,I413,I414,I417,I418,I416)</f>
        <v>240.89999999999998</v>
      </c>
      <c r="J388" s="116">
        <f t="shared" ref="J388:L388" si="34">SUM(J406,J407,J408,J409,J410,J411,J412,J413,J414,J417,J418,J416)</f>
        <v>243.3</v>
      </c>
      <c r="K388" s="116">
        <f t="shared" si="34"/>
        <v>243.3</v>
      </c>
      <c r="L388" s="116">
        <f t="shared" si="34"/>
        <v>243.3</v>
      </c>
      <c r="M388" s="192"/>
      <c r="N388" s="318" t="s">
        <v>926</v>
      </c>
      <c r="O388" s="193" t="s">
        <v>927</v>
      </c>
      <c r="P388" s="1345">
        <v>35</v>
      </c>
      <c r="Q388" s="74"/>
    </row>
    <row r="389" spans="1:17" ht="12.75" customHeight="1" x14ac:dyDescent="0.2">
      <c r="A389" s="69">
        <v>2</v>
      </c>
      <c r="B389" s="44"/>
      <c r="C389" s="44" t="s">
        <v>924</v>
      </c>
      <c r="D389" s="48"/>
      <c r="E389" s="40">
        <v>32</v>
      </c>
      <c r="F389" s="48" t="s">
        <v>107</v>
      </c>
      <c r="G389" s="16" t="s">
        <v>9</v>
      </c>
      <c r="H389" s="37">
        <v>70</v>
      </c>
      <c r="I389" s="116">
        <f>SUM(I391:I405,I415)</f>
        <v>200</v>
      </c>
      <c r="J389" s="116">
        <f t="shared" ref="J389:L389" si="35">SUM(J391:J405,J415)</f>
        <v>200</v>
      </c>
      <c r="K389" s="116">
        <f t="shared" si="35"/>
        <v>200</v>
      </c>
      <c r="L389" s="116">
        <f t="shared" si="35"/>
        <v>200</v>
      </c>
      <c r="M389" s="192" t="s">
        <v>796</v>
      </c>
      <c r="N389" s="318"/>
      <c r="O389" s="149"/>
      <c r="P389" s="40"/>
      <c r="Q389" s="74"/>
    </row>
    <row r="390" spans="1:17" ht="12.75" customHeight="1" x14ac:dyDescent="0.2">
      <c r="A390" s="69">
        <v>2</v>
      </c>
      <c r="B390" s="44"/>
      <c r="C390" s="136"/>
      <c r="D390" s="48"/>
      <c r="E390" s="40"/>
      <c r="F390" s="48" t="s">
        <v>107</v>
      </c>
      <c r="G390" s="121" t="s">
        <v>608</v>
      </c>
      <c r="H390" s="123">
        <f>SUM(H388:H389)</f>
        <v>310.89999999999998</v>
      </c>
      <c r="I390" s="123">
        <f>I388+I389</f>
        <v>440.9</v>
      </c>
      <c r="J390" s="123">
        <f t="shared" ref="J390:L390" si="36">J388+J389</f>
        <v>443.3</v>
      </c>
      <c r="K390" s="123">
        <f t="shared" si="36"/>
        <v>443.3</v>
      </c>
      <c r="L390" s="1067">
        <f t="shared" si="36"/>
        <v>443.3</v>
      </c>
      <c r="M390" s="192"/>
      <c r="N390" s="318"/>
      <c r="O390" s="149"/>
      <c r="P390" s="43"/>
      <c r="Q390" s="74"/>
    </row>
    <row r="391" spans="1:17" ht="33.75" x14ac:dyDescent="0.2">
      <c r="A391" s="69">
        <v>2</v>
      </c>
      <c r="B391" s="44"/>
      <c r="C391" s="194" t="s">
        <v>928</v>
      </c>
      <c r="D391" s="195" t="s">
        <v>929</v>
      </c>
      <c r="E391" s="196">
        <v>32</v>
      </c>
      <c r="F391" s="197" t="s">
        <v>107</v>
      </c>
      <c r="G391" s="742" t="s">
        <v>9</v>
      </c>
      <c r="H391" s="198">
        <v>14.8</v>
      </c>
      <c r="I391" s="1131">
        <v>14.8</v>
      </c>
      <c r="J391" s="199">
        <v>17.600000000000001</v>
      </c>
      <c r="K391" s="200"/>
      <c r="L391" s="1070"/>
      <c r="M391" s="192" t="s">
        <v>787</v>
      </c>
      <c r="N391" s="1095" t="s">
        <v>930</v>
      </c>
      <c r="O391" s="1177" t="s">
        <v>931</v>
      </c>
      <c r="P391" s="1346">
        <v>3</v>
      </c>
      <c r="Q391" s="203"/>
    </row>
    <row r="392" spans="1:17" ht="45" x14ac:dyDescent="0.2">
      <c r="A392" s="69">
        <v>2</v>
      </c>
      <c r="B392" s="44"/>
      <c r="C392" s="204" t="s">
        <v>932</v>
      </c>
      <c r="D392" s="205" t="s">
        <v>933</v>
      </c>
      <c r="E392" s="81">
        <v>32</v>
      </c>
      <c r="F392" s="82" t="s">
        <v>934</v>
      </c>
      <c r="G392" s="743" t="s">
        <v>9</v>
      </c>
      <c r="H392" s="198">
        <v>30</v>
      </c>
      <c r="I392" s="1131">
        <v>30</v>
      </c>
      <c r="J392" s="199"/>
      <c r="K392" s="206"/>
      <c r="L392" s="1071"/>
      <c r="M392" s="192" t="s">
        <v>787</v>
      </c>
      <c r="N392" s="1095" t="s">
        <v>935</v>
      </c>
      <c r="O392" s="1177"/>
      <c r="P392" s="1346"/>
      <c r="Q392" s="203"/>
    </row>
    <row r="393" spans="1:17" ht="22.5" x14ac:dyDescent="0.2">
      <c r="A393" s="69">
        <v>2</v>
      </c>
      <c r="B393" s="44"/>
      <c r="C393" s="194" t="s">
        <v>936</v>
      </c>
      <c r="D393" s="208" t="s">
        <v>937</v>
      </c>
      <c r="E393" s="196">
        <v>32</v>
      </c>
      <c r="F393" s="197" t="s">
        <v>107</v>
      </c>
      <c r="G393" s="742" t="s">
        <v>9</v>
      </c>
      <c r="H393" s="198">
        <v>15</v>
      </c>
      <c r="I393" s="1131">
        <v>15</v>
      </c>
      <c r="J393" s="199"/>
      <c r="K393" s="209"/>
      <c r="L393" s="1072"/>
      <c r="M393" s="192" t="s">
        <v>787</v>
      </c>
      <c r="N393" s="1178" t="s">
        <v>938</v>
      </c>
      <c r="O393" s="1177"/>
      <c r="P393" s="1346"/>
      <c r="Q393" s="1179"/>
    </row>
    <row r="394" spans="1:17" x14ac:dyDescent="0.2">
      <c r="A394" s="69">
        <v>2</v>
      </c>
      <c r="B394" s="44"/>
      <c r="C394" s="194" t="s">
        <v>940</v>
      </c>
      <c r="D394" s="1491" t="s">
        <v>941</v>
      </c>
      <c r="E394" s="210">
        <v>32</v>
      </c>
      <c r="F394" s="211" t="s">
        <v>107</v>
      </c>
      <c r="G394" s="743" t="s">
        <v>9</v>
      </c>
      <c r="H394" s="212">
        <v>10</v>
      </c>
      <c r="I394" s="1132">
        <v>10</v>
      </c>
      <c r="J394" s="213">
        <f>4.5-1.5</f>
        <v>3</v>
      </c>
      <c r="K394" s="200"/>
      <c r="L394" s="1070"/>
      <c r="M394" s="192" t="s">
        <v>787</v>
      </c>
      <c r="N394" s="1178" t="s">
        <v>938</v>
      </c>
      <c r="O394" s="1177" t="s">
        <v>942</v>
      </c>
      <c r="P394" s="1346">
        <v>3</v>
      </c>
      <c r="Q394" s="1179"/>
    </row>
    <row r="395" spans="1:17" x14ac:dyDescent="0.2">
      <c r="A395" s="69">
        <v>2</v>
      </c>
      <c r="B395" s="72"/>
      <c r="C395" s="214"/>
      <c r="D395" s="1492"/>
      <c r="E395" s="216">
        <v>21</v>
      </c>
      <c r="F395" s="211" t="s">
        <v>107</v>
      </c>
      <c r="G395" s="744" t="s">
        <v>9</v>
      </c>
      <c r="H395" s="218"/>
      <c r="I395" s="1133"/>
      <c r="J395" s="219">
        <f>1.5</f>
        <v>1.5</v>
      </c>
      <c r="K395" s="220"/>
      <c r="L395" s="1073"/>
      <c r="M395" s="192" t="s">
        <v>787</v>
      </c>
      <c r="N395" s="1438" t="s">
        <v>696</v>
      </c>
      <c r="O395" s="1439" t="s">
        <v>2517</v>
      </c>
      <c r="P395" s="1434">
        <v>1</v>
      </c>
      <c r="Q395" s="1182"/>
    </row>
    <row r="396" spans="1:17" ht="56.25" x14ac:dyDescent="0.2">
      <c r="A396" s="69">
        <v>2</v>
      </c>
      <c r="B396" s="72"/>
      <c r="C396" s="214" t="s">
        <v>943</v>
      </c>
      <c r="D396" s="215" t="s">
        <v>944</v>
      </c>
      <c r="E396" s="216">
        <v>32</v>
      </c>
      <c r="F396" s="217" t="s">
        <v>107</v>
      </c>
      <c r="G396" s="744" t="s">
        <v>9</v>
      </c>
      <c r="H396" s="218"/>
      <c r="I396" s="1133">
        <v>0</v>
      </c>
      <c r="J396" s="219">
        <v>15</v>
      </c>
      <c r="K396" s="220">
        <f>100-100</f>
        <v>0</v>
      </c>
      <c r="L396" s="1073">
        <f>150-89.9</f>
        <v>60.099999999999994</v>
      </c>
      <c r="M396" s="192" t="s">
        <v>870</v>
      </c>
      <c r="N396" s="1180" t="s">
        <v>938</v>
      </c>
      <c r="O396" s="1181" t="s">
        <v>939</v>
      </c>
      <c r="P396" s="1347">
        <v>1</v>
      </c>
      <c r="Q396" s="1182" t="s">
        <v>875</v>
      </c>
    </row>
    <row r="397" spans="1:17" ht="56.25" x14ac:dyDescent="0.2">
      <c r="A397" s="69">
        <v>2</v>
      </c>
      <c r="B397" s="221"/>
      <c r="C397" s="222" t="s">
        <v>945</v>
      </c>
      <c r="D397" s="223" t="s">
        <v>946</v>
      </c>
      <c r="E397" s="224">
        <v>32</v>
      </c>
      <c r="F397" s="225" t="s">
        <v>934</v>
      </c>
      <c r="G397" s="745" t="s">
        <v>9</v>
      </c>
      <c r="H397" s="226"/>
      <c r="I397" s="1134">
        <v>76</v>
      </c>
      <c r="J397" s="227"/>
      <c r="K397" s="228"/>
      <c r="L397" s="1074"/>
      <c r="M397" s="192" t="s">
        <v>787</v>
      </c>
      <c r="N397" s="1183" t="s">
        <v>938</v>
      </c>
      <c r="O397" s="1184"/>
      <c r="P397" s="1348"/>
      <c r="Q397" s="1185"/>
    </row>
    <row r="398" spans="1:17" ht="45" x14ac:dyDescent="0.2">
      <c r="A398" s="69">
        <v>2</v>
      </c>
      <c r="B398" s="221"/>
      <c r="C398" s="222" t="s">
        <v>948</v>
      </c>
      <c r="D398" s="231" t="s">
        <v>949</v>
      </c>
      <c r="E398" s="230">
        <v>32</v>
      </c>
      <c r="F398" s="232" t="s">
        <v>934</v>
      </c>
      <c r="G398" s="746" t="s">
        <v>9</v>
      </c>
      <c r="H398" s="233"/>
      <c r="I398" s="1135">
        <v>54.2</v>
      </c>
      <c r="J398" s="234"/>
      <c r="K398" s="235"/>
      <c r="L398" s="1075"/>
      <c r="M398" s="192" t="s">
        <v>787</v>
      </c>
      <c r="N398" s="1183" t="s">
        <v>938</v>
      </c>
      <c r="O398" s="1184"/>
      <c r="P398" s="1348"/>
      <c r="Q398" s="1185"/>
    </row>
    <row r="399" spans="1:17" ht="33.75" x14ac:dyDescent="0.2">
      <c r="A399" s="69">
        <v>2</v>
      </c>
      <c r="B399" s="221"/>
      <c r="C399" s="222" t="s">
        <v>951</v>
      </c>
      <c r="D399" s="223" t="s">
        <v>952</v>
      </c>
      <c r="E399" s="224">
        <v>32</v>
      </c>
      <c r="F399" s="225" t="s">
        <v>934</v>
      </c>
      <c r="G399" s="745" t="s">
        <v>9</v>
      </c>
      <c r="H399" s="226"/>
      <c r="I399" s="1134"/>
      <c r="J399" s="227">
        <f>97.9-37.9</f>
        <v>60.000000000000007</v>
      </c>
      <c r="K399" s="236"/>
      <c r="L399" s="1076"/>
      <c r="M399" s="192" t="s">
        <v>870</v>
      </c>
      <c r="N399" s="1183" t="s">
        <v>938</v>
      </c>
      <c r="O399" s="1184" t="s">
        <v>953</v>
      </c>
      <c r="P399" s="1348">
        <v>1.5</v>
      </c>
      <c r="Q399" s="1185" t="s">
        <v>799</v>
      </c>
    </row>
    <row r="400" spans="1:17" ht="33.75" x14ac:dyDescent="0.2">
      <c r="A400" s="69">
        <v>2</v>
      </c>
      <c r="B400" s="221"/>
      <c r="C400" s="222" t="s">
        <v>954</v>
      </c>
      <c r="D400" s="223" t="s">
        <v>955</v>
      </c>
      <c r="E400" s="224">
        <v>32</v>
      </c>
      <c r="F400" s="225" t="s">
        <v>934</v>
      </c>
      <c r="G400" s="745" t="s">
        <v>9</v>
      </c>
      <c r="H400" s="226"/>
      <c r="I400" s="1134"/>
      <c r="J400" s="227">
        <f>36.6-11.6</f>
        <v>25</v>
      </c>
      <c r="K400" s="236"/>
      <c r="L400" s="1076"/>
      <c r="M400" s="192" t="s">
        <v>870</v>
      </c>
      <c r="N400" s="1183" t="s">
        <v>938</v>
      </c>
      <c r="O400" s="1184" t="s">
        <v>2301</v>
      </c>
      <c r="P400" s="1348">
        <v>1</v>
      </c>
      <c r="Q400" s="1185" t="s">
        <v>878</v>
      </c>
    </row>
    <row r="401" spans="1:17" ht="33.75" x14ac:dyDescent="0.2">
      <c r="A401" s="69">
        <v>2</v>
      </c>
      <c r="B401" s="221"/>
      <c r="C401" s="222" t="s">
        <v>956</v>
      </c>
      <c r="D401" s="223" t="s">
        <v>957</v>
      </c>
      <c r="E401" s="224">
        <v>32</v>
      </c>
      <c r="F401" s="225" t="s">
        <v>934</v>
      </c>
      <c r="G401" s="745" t="s">
        <v>9</v>
      </c>
      <c r="H401" s="226"/>
      <c r="I401" s="1134"/>
      <c r="J401" s="227">
        <f>28.4-8.5</f>
        <v>19.899999999999999</v>
      </c>
      <c r="K401" s="236"/>
      <c r="L401" s="1076"/>
      <c r="M401" s="192" t="s">
        <v>870</v>
      </c>
      <c r="N401" s="1183" t="s">
        <v>958</v>
      </c>
      <c r="O401" s="1184" t="s">
        <v>959</v>
      </c>
      <c r="P401" s="1348">
        <v>1</v>
      </c>
      <c r="Q401" s="1185" t="s">
        <v>894</v>
      </c>
    </row>
    <row r="402" spans="1:17" ht="33.75" x14ac:dyDescent="0.2">
      <c r="A402" s="69">
        <v>2</v>
      </c>
      <c r="B402" s="221"/>
      <c r="C402" s="222" t="s">
        <v>960</v>
      </c>
      <c r="D402" s="223" t="s">
        <v>961</v>
      </c>
      <c r="E402" s="224">
        <v>32</v>
      </c>
      <c r="F402" s="225" t="s">
        <v>934</v>
      </c>
      <c r="G402" s="745" t="s">
        <v>9</v>
      </c>
      <c r="H402" s="226"/>
      <c r="I402" s="1134"/>
      <c r="J402" s="227"/>
      <c r="K402" s="236">
        <v>17.2</v>
      </c>
      <c r="L402" s="1074"/>
      <c r="M402" s="192" t="s">
        <v>870</v>
      </c>
      <c r="N402" s="1183" t="s">
        <v>958</v>
      </c>
      <c r="O402" s="1184"/>
      <c r="P402" s="1348"/>
      <c r="Q402" s="1185"/>
    </row>
    <row r="403" spans="1:17" ht="45" x14ac:dyDescent="0.2">
      <c r="A403" s="69">
        <v>2</v>
      </c>
      <c r="B403" s="221"/>
      <c r="C403" s="222" t="s">
        <v>962</v>
      </c>
      <c r="D403" s="223" t="s">
        <v>963</v>
      </c>
      <c r="E403" s="224">
        <v>32</v>
      </c>
      <c r="F403" s="225" t="s">
        <v>934</v>
      </c>
      <c r="G403" s="745" t="s">
        <v>9</v>
      </c>
      <c r="H403" s="226"/>
      <c r="I403" s="1134"/>
      <c r="J403" s="227"/>
      <c r="K403" s="236">
        <v>45</v>
      </c>
      <c r="L403" s="1076">
        <v>50</v>
      </c>
      <c r="M403" s="192" t="s">
        <v>870</v>
      </c>
      <c r="N403" s="1183" t="s">
        <v>958</v>
      </c>
      <c r="O403" s="1184"/>
      <c r="P403" s="1348"/>
      <c r="Q403" s="1185"/>
    </row>
    <row r="404" spans="1:17" ht="45" x14ac:dyDescent="0.2">
      <c r="A404" s="69">
        <v>2</v>
      </c>
      <c r="B404" s="221"/>
      <c r="C404" s="222" t="s">
        <v>964</v>
      </c>
      <c r="D404" s="223" t="s">
        <v>965</v>
      </c>
      <c r="E404" s="224">
        <v>32</v>
      </c>
      <c r="F404" s="225" t="s">
        <v>934</v>
      </c>
      <c r="G404" s="745" t="s">
        <v>9</v>
      </c>
      <c r="H404" s="226"/>
      <c r="I404" s="1134"/>
      <c r="J404" s="227"/>
      <c r="K404" s="236">
        <v>37.799999999999997</v>
      </c>
      <c r="L404" s="1074"/>
      <c r="M404" s="192" t="s">
        <v>870</v>
      </c>
      <c r="N404" s="1183" t="s">
        <v>938</v>
      </c>
      <c r="O404" s="1184"/>
      <c r="P404" s="1348"/>
      <c r="Q404" s="1185"/>
    </row>
    <row r="405" spans="1:17" x14ac:dyDescent="0.2">
      <c r="A405" s="69">
        <v>2</v>
      </c>
      <c r="B405" s="221"/>
      <c r="C405" s="238" t="s">
        <v>966</v>
      </c>
      <c r="D405" s="1493" t="s">
        <v>967</v>
      </c>
      <c r="E405" s="239">
        <v>32</v>
      </c>
      <c r="F405" s="240" t="s">
        <v>107</v>
      </c>
      <c r="G405" s="745" t="s">
        <v>9</v>
      </c>
      <c r="H405" s="226"/>
      <c r="I405" s="1134"/>
      <c r="J405" s="227">
        <f>58</f>
        <v>58</v>
      </c>
      <c r="K405" s="1134"/>
      <c r="L405" s="1074"/>
      <c r="M405" s="192"/>
      <c r="N405" s="1096" t="s">
        <v>968</v>
      </c>
      <c r="O405" s="246"/>
      <c r="P405" s="1349"/>
      <c r="Q405" s="1185"/>
    </row>
    <row r="406" spans="1:17" x14ac:dyDescent="0.2">
      <c r="A406" s="69">
        <v>2</v>
      </c>
      <c r="B406" s="237"/>
      <c r="C406" s="238" t="s">
        <v>966</v>
      </c>
      <c r="D406" s="1494"/>
      <c r="E406" s="239">
        <v>32</v>
      </c>
      <c r="F406" s="240" t="s">
        <v>107</v>
      </c>
      <c r="G406" s="241" t="s">
        <v>11</v>
      </c>
      <c r="H406" s="242">
        <v>67.900000000000006</v>
      </c>
      <c r="I406" s="1136">
        <v>67.900000000000006</v>
      </c>
      <c r="J406" s="243">
        <v>70</v>
      </c>
      <c r="K406" s="244">
        <f>70</f>
        <v>70</v>
      </c>
      <c r="L406" s="1077">
        <f>70</f>
        <v>70</v>
      </c>
      <c r="M406" s="192"/>
      <c r="N406" s="1096" t="s">
        <v>968</v>
      </c>
      <c r="O406" s="246" t="s">
        <v>969</v>
      </c>
      <c r="P406" s="1349">
        <v>60</v>
      </c>
      <c r="Q406" s="247"/>
    </row>
    <row r="407" spans="1:17" ht="22.5" x14ac:dyDescent="0.2">
      <c r="A407" s="69">
        <v>2</v>
      </c>
      <c r="B407" s="45"/>
      <c r="C407" s="248" t="s">
        <v>970</v>
      </c>
      <c r="D407" s="249" t="s">
        <v>971</v>
      </c>
      <c r="E407" s="84">
        <v>32</v>
      </c>
      <c r="F407" s="250" t="s">
        <v>107</v>
      </c>
      <c r="G407" s="251" t="s">
        <v>11</v>
      </c>
      <c r="H407" s="252">
        <v>10</v>
      </c>
      <c r="I407" s="1137">
        <v>10</v>
      </c>
      <c r="J407" s="253">
        <v>5</v>
      </c>
      <c r="K407" s="254">
        <v>5</v>
      </c>
      <c r="L407" s="1078">
        <v>5</v>
      </c>
      <c r="M407" s="192"/>
      <c r="N407" s="1097" t="s">
        <v>935</v>
      </c>
      <c r="O407" s="78" t="s">
        <v>972</v>
      </c>
      <c r="P407" s="1350">
        <v>55</v>
      </c>
      <c r="Q407" s="56"/>
    </row>
    <row r="408" spans="1:17" ht="22.5" x14ac:dyDescent="0.2">
      <c r="A408" s="69">
        <v>2</v>
      </c>
      <c r="B408" s="44"/>
      <c r="C408" s="204" t="s">
        <v>973</v>
      </c>
      <c r="D408" s="255" t="s">
        <v>974</v>
      </c>
      <c r="E408" s="81">
        <v>32</v>
      </c>
      <c r="F408" s="82" t="s">
        <v>107</v>
      </c>
      <c r="G408" s="256" t="s">
        <v>11</v>
      </c>
      <c r="H408" s="257">
        <v>50</v>
      </c>
      <c r="I408" s="1138">
        <v>50</v>
      </c>
      <c r="J408" s="258">
        <v>20</v>
      </c>
      <c r="K408" s="259">
        <v>30</v>
      </c>
      <c r="L408" s="1079">
        <v>30</v>
      </c>
      <c r="M408" s="192"/>
      <c r="N408" s="1095" t="s">
        <v>968</v>
      </c>
      <c r="O408" s="89" t="s">
        <v>975</v>
      </c>
      <c r="P408" s="1351">
        <v>22</v>
      </c>
      <c r="Q408" s="74"/>
    </row>
    <row r="409" spans="1:17" ht="33.75" x14ac:dyDescent="0.2">
      <c r="A409" s="69">
        <v>2</v>
      </c>
      <c r="B409" s="44"/>
      <c r="C409" s="204" t="s">
        <v>976</v>
      </c>
      <c r="D409" s="255" t="s">
        <v>977</v>
      </c>
      <c r="E409" s="81">
        <v>32</v>
      </c>
      <c r="F409" s="82" t="s">
        <v>934</v>
      </c>
      <c r="G409" s="256" t="s">
        <v>11</v>
      </c>
      <c r="H409" s="257"/>
      <c r="I409" s="1138">
        <v>2</v>
      </c>
      <c r="J409" s="258"/>
      <c r="K409" s="81"/>
      <c r="L409" s="4"/>
      <c r="M409" s="192"/>
      <c r="N409" s="1095" t="s">
        <v>968</v>
      </c>
      <c r="O409" s="89"/>
      <c r="P409" s="1351"/>
      <c r="Q409" s="74"/>
    </row>
    <row r="410" spans="1:17" ht="33.75" x14ac:dyDescent="0.2">
      <c r="A410" s="69">
        <v>2</v>
      </c>
      <c r="B410" s="44"/>
      <c r="C410" s="256" t="s">
        <v>979</v>
      </c>
      <c r="D410" s="260" t="s">
        <v>980</v>
      </c>
      <c r="E410" s="210">
        <v>32</v>
      </c>
      <c r="F410" s="211" t="s">
        <v>934</v>
      </c>
      <c r="G410" s="256" t="s">
        <v>11</v>
      </c>
      <c r="H410" s="212"/>
      <c r="I410" s="1132">
        <v>55.8</v>
      </c>
      <c r="J410" s="213"/>
      <c r="K410" s="210"/>
      <c r="L410" s="1080"/>
      <c r="M410" s="1107"/>
      <c r="N410" s="1095" t="s">
        <v>968</v>
      </c>
      <c r="O410" s="207"/>
      <c r="P410" s="1351"/>
      <c r="Q410" s="74"/>
    </row>
    <row r="411" spans="1:17" ht="22.5" x14ac:dyDescent="0.2">
      <c r="A411" s="69">
        <v>2</v>
      </c>
      <c r="B411" s="44"/>
      <c r="C411" s="256" t="s">
        <v>981</v>
      </c>
      <c r="D411" s="262" t="s">
        <v>982</v>
      </c>
      <c r="E411" s="210">
        <v>32</v>
      </c>
      <c r="F411" s="211" t="s">
        <v>934</v>
      </c>
      <c r="G411" s="256" t="s">
        <v>11</v>
      </c>
      <c r="H411" s="212"/>
      <c r="I411" s="1132">
        <v>7.2</v>
      </c>
      <c r="J411" s="213"/>
      <c r="K411" s="261">
        <v>10</v>
      </c>
      <c r="L411" s="1081"/>
      <c r="M411" s="1107"/>
      <c r="N411" s="1095" t="s">
        <v>983</v>
      </c>
      <c r="O411" s="207"/>
      <c r="P411" s="1351"/>
      <c r="Q411" s="74"/>
    </row>
    <row r="412" spans="1:17" ht="22.5" x14ac:dyDescent="0.2">
      <c r="A412" s="69">
        <v>2</v>
      </c>
      <c r="B412" s="44"/>
      <c r="C412" s="256" t="s">
        <v>984</v>
      </c>
      <c r="D412" s="260" t="s">
        <v>985</v>
      </c>
      <c r="E412" s="210">
        <v>32</v>
      </c>
      <c r="F412" s="211" t="s">
        <v>934</v>
      </c>
      <c r="G412" s="256" t="s">
        <v>11</v>
      </c>
      <c r="H412" s="212"/>
      <c r="I412" s="1132">
        <v>43</v>
      </c>
      <c r="J412" s="213">
        <v>31.9</v>
      </c>
      <c r="K412" s="261">
        <v>35</v>
      </c>
      <c r="L412" s="1080"/>
      <c r="M412" s="1107"/>
      <c r="N412" s="1095" t="s">
        <v>935</v>
      </c>
      <c r="O412" s="207" t="s">
        <v>986</v>
      </c>
      <c r="P412" s="1351">
        <v>1</v>
      </c>
      <c r="Q412" s="74" t="s">
        <v>878</v>
      </c>
    </row>
    <row r="413" spans="1:17" ht="56.25" x14ac:dyDescent="0.2">
      <c r="A413" s="69">
        <v>2</v>
      </c>
      <c r="B413" s="44"/>
      <c r="C413" s="256" t="s">
        <v>987</v>
      </c>
      <c r="D413" s="262" t="s">
        <v>988</v>
      </c>
      <c r="E413" s="210">
        <v>32</v>
      </c>
      <c r="F413" s="211" t="s">
        <v>107</v>
      </c>
      <c r="G413" s="256" t="s">
        <v>11</v>
      </c>
      <c r="H413" s="212">
        <v>2</v>
      </c>
      <c r="I413" s="1132">
        <v>5</v>
      </c>
      <c r="J413" s="213">
        <f>52.8+1.6</f>
        <v>54.4</v>
      </c>
      <c r="K413" s="261">
        <f>36.8+1.6</f>
        <v>38.4</v>
      </c>
      <c r="L413" s="1080"/>
      <c r="M413" s="1107"/>
      <c r="N413" s="1095" t="s">
        <v>968</v>
      </c>
      <c r="O413" s="207" t="s">
        <v>2416</v>
      </c>
      <c r="P413" s="81">
        <v>50</v>
      </c>
      <c r="Q413" s="1179" t="s">
        <v>871</v>
      </c>
    </row>
    <row r="414" spans="1:17" ht="45" x14ac:dyDescent="0.2">
      <c r="A414" s="69">
        <v>2</v>
      </c>
      <c r="B414" s="263"/>
      <c r="C414" s="264" t="s">
        <v>989</v>
      </c>
      <c r="D414" s="1473" t="s">
        <v>2514</v>
      </c>
      <c r="E414" s="266">
        <v>32</v>
      </c>
      <c r="F414" s="267" t="s">
        <v>934</v>
      </c>
      <c r="G414" s="264" t="s">
        <v>11</v>
      </c>
      <c r="H414" s="252"/>
      <c r="I414" s="1137"/>
      <c r="J414" s="253">
        <f>62-2.2</f>
        <v>59.8</v>
      </c>
      <c r="K414" s="268">
        <v>54.9</v>
      </c>
      <c r="L414" s="1081">
        <f>35.8+1.6</f>
        <v>37.4</v>
      </c>
      <c r="M414" s="1107"/>
      <c r="N414" s="1095" t="s">
        <v>958</v>
      </c>
      <c r="O414" s="207" t="s">
        <v>2417</v>
      </c>
      <c r="P414" s="1351">
        <v>1.8</v>
      </c>
      <c r="Q414" s="1186" t="s">
        <v>950</v>
      </c>
    </row>
    <row r="415" spans="1:17" x14ac:dyDescent="0.2">
      <c r="A415" s="69">
        <v>2</v>
      </c>
      <c r="B415" s="263"/>
      <c r="C415" s="269"/>
      <c r="D415" s="1495"/>
      <c r="E415" s="266">
        <v>32</v>
      </c>
      <c r="F415" s="267" t="s">
        <v>107</v>
      </c>
      <c r="G415" s="1440" t="s">
        <v>9</v>
      </c>
      <c r="H415" s="1445"/>
      <c r="I415" s="1137"/>
      <c r="J415" s="253"/>
      <c r="K415" s="1444">
        <v>100</v>
      </c>
      <c r="L415" s="1082">
        <v>89.9</v>
      </c>
      <c r="M415" s="1107"/>
      <c r="N415" s="1095" t="s">
        <v>958</v>
      </c>
      <c r="O415" s="1187"/>
      <c r="P415" s="1350"/>
      <c r="Q415" s="1186"/>
    </row>
    <row r="416" spans="1:17" ht="22.5" x14ac:dyDescent="0.2">
      <c r="A416" s="69">
        <v>2</v>
      </c>
      <c r="B416" s="263"/>
      <c r="C416" s="269"/>
      <c r="D416" s="1496"/>
      <c r="E416" s="271">
        <v>20</v>
      </c>
      <c r="F416" s="267" t="s">
        <v>934</v>
      </c>
      <c r="G416" s="1440" t="s">
        <v>11</v>
      </c>
      <c r="H416" s="252"/>
      <c r="I416" s="1137"/>
      <c r="J416" s="253">
        <f>2.2</f>
        <v>2.2000000000000002</v>
      </c>
      <c r="K416" s="268"/>
      <c r="L416" s="1082"/>
      <c r="M416" s="1107"/>
      <c r="N416" s="1441" t="s">
        <v>2515</v>
      </c>
      <c r="O416" s="1442" t="s">
        <v>2516</v>
      </c>
      <c r="P416" s="1443">
        <v>1</v>
      </c>
      <c r="Q416" s="1186" t="s">
        <v>950</v>
      </c>
    </row>
    <row r="417" spans="1:17" ht="33.75" x14ac:dyDescent="0.2">
      <c r="A417" s="69">
        <v>2</v>
      </c>
      <c r="B417" s="263"/>
      <c r="C417" s="269" t="s">
        <v>990</v>
      </c>
      <c r="D417" s="270" t="s">
        <v>991</v>
      </c>
      <c r="E417" s="271">
        <v>32</v>
      </c>
      <c r="F417" s="272" t="s">
        <v>934</v>
      </c>
      <c r="G417" s="269" t="s">
        <v>11</v>
      </c>
      <c r="H417" s="252"/>
      <c r="I417" s="1137"/>
      <c r="J417" s="253"/>
      <c r="K417" s="268"/>
      <c r="L417" s="1082">
        <v>57</v>
      </c>
      <c r="M417" s="1107"/>
      <c r="N417" s="1097" t="s">
        <v>968</v>
      </c>
      <c r="O417" s="1187"/>
      <c r="P417" s="1350"/>
      <c r="Q417" s="1186"/>
    </row>
    <row r="418" spans="1:17" ht="33.75" x14ac:dyDescent="0.2">
      <c r="A418" s="69">
        <v>2</v>
      </c>
      <c r="B418" s="263"/>
      <c r="C418" s="269" t="s">
        <v>992</v>
      </c>
      <c r="D418" s="270" t="s">
        <v>993</v>
      </c>
      <c r="E418" s="271">
        <v>32</v>
      </c>
      <c r="F418" s="272" t="s">
        <v>934</v>
      </c>
      <c r="G418" s="269" t="s">
        <v>11</v>
      </c>
      <c r="H418" s="252"/>
      <c r="I418" s="1137"/>
      <c r="J418" s="253"/>
      <c r="K418" s="268"/>
      <c r="L418" s="1082">
        <v>43.9</v>
      </c>
      <c r="M418" s="1107"/>
      <c r="N418" s="1097" t="s">
        <v>968</v>
      </c>
      <c r="O418" s="1187"/>
      <c r="P418" s="1350"/>
      <c r="Q418" s="1186"/>
    </row>
    <row r="419" spans="1:17" ht="33.75" x14ac:dyDescent="0.2">
      <c r="A419" s="69">
        <v>2</v>
      </c>
      <c r="B419" s="45"/>
      <c r="C419" s="273" t="s">
        <v>994</v>
      </c>
      <c r="D419" s="1130" t="s">
        <v>995</v>
      </c>
      <c r="E419" s="274">
        <v>32</v>
      </c>
      <c r="F419" s="275" t="s">
        <v>996</v>
      </c>
      <c r="G419" s="276" t="s">
        <v>58</v>
      </c>
      <c r="H419" s="277"/>
      <c r="I419" s="1139">
        <v>47.7</v>
      </c>
      <c r="J419" s="278">
        <v>129.6</v>
      </c>
      <c r="K419" s="277">
        <v>20.3</v>
      </c>
      <c r="L419" s="1083"/>
      <c r="M419" s="1107"/>
      <c r="N419" s="1098" t="s">
        <v>935</v>
      </c>
      <c r="O419" s="1188" t="s">
        <v>2302</v>
      </c>
      <c r="P419" s="1352">
        <v>6</v>
      </c>
      <c r="Q419" s="56" t="s">
        <v>878</v>
      </c>
    </row>
    <row r="420" spans="1:17" x14ac:dyDescent="0.2">
      <c r="A420" s="69">
        <v>2</v>
      </c>
      <c r="B420" s="45"/>
      <c r="C420" s="273" t="s">
        <v>994</v>
      </c>
      <c r="D420" s="275"/>
      <c r="E420" s="274">
        <v>32</v>
      </c>
      <c r="F420" s="275" t="s">
        <v>996</v>
      </c>
      <c r="G420" s="276" t="s">
        <v>59</v>
      </c>
      <c r="H420" s="277"/>
      <c r="I420" s="1139">
        <v>8.4</v>
      </c>
      <c r="J420" s="278">
        <v>22.9</v>
      </c>
      <c r="K420" s="279">
        <v>3.6</v>
      </c>
      <c r="L420" s="1084"/>
      <c r="M420" s="1107"/>
      <c r="N420" s="1098" t="s">
        <v>935</v>
      </c>
      <c r="O420" s="280"/>
      <c r="P420" s="1345"/>
      <c r="Q420" s="56" t="s">
        <v>878</v>
      </c>
    </row>
    <row r="421" spans="1:17" x14ac:dyDescent="0.2">
      <c r="A421" s="69">
        <v>2</v>
      </c>
      <c r="B421" s="44"/>
      <c r="C421" s="281" t="s">
        <v>994</v>
      </c>
      <c r="D421" s="282"/>
      <c r="E421" s="283">
        <v>32</v>
      </c>
      <c r="F421" s="282" t="s">
        <v>996</v>
      </c>
      <c r="G421" s="747" t="s">
        <v>9</v>
      </c>
      <c r="H421" s="279"/>
      <c r="I421" s="1140">
        <v>86.4</v>
      </c>
      <c r="J421" s="284">
        <v>159.1</v>
      </c>
      <c r="K421" s="279">
        <v>0</v>
      </c>
      <c r="L421" s="1084"/>
      <c r="M421" s="1107" t="s">
        <v>787</v>
      </c>
      <c r="N421" s="1099" t="s">
        <v>935</v>
      </c>
      <c r="O421" s="280"/>
      <c r="P421" s="40"/>
      <c r="Q421" s="56" t="s">
        <v>878</v>
      </c>
    </row>
    <row r="422" spans="1:17" x14ac:dyDescent="0.2">
      <c r="A422" s="69">
        <v>2</v>
      </c>
      <c r="B422" s="44"/>
      <c r="C422" s="281" t="s">
        <v>994</v>
      </c>
      <c r="D422" s="282"/>
      <c r="E422" s="283">
        <v>32</v>
      </c>
      <c r="F422" s="282" t="s">
        <v>996</v>
      </c>
      <c r="G422" s="286" t="s">
        <v>608</v>
      </c>
      <c r="H422" s="287">
        <f>SUM(H419:H421)</f>
        <v>0</v>
      </c>
      <c r="I422" s="287">
        <f>SUM(I419:I421)</f>
        <v>142.5</v>
      </c>
      <c r="J422" s="287">
        <f>SUM(J419:J421)</f>
        <v>311.60000000000002</v>
      </c>
      <c r="K422" s="287">
        <f t="shared" ref="K422:L422" si="37">SUM(K419:K421)</f>
        <v>23.900000000000002</v>
      </c>
      <c r="L422" s="1085">
        <f t="shared" si="37"/>
        <v>0</v>
      </c>
      <c r="M422" s="1107"/>
      <c r="N422" s="1100"/>
      <c r="O422" s="280"/>
      <c r="P422" s="40"/>
      <c r="Q422" s="74"/>
    </row>
    <row r="423" spans="1:17" ht="22.5" x14ac:dyDescent="0.2">
      <c r="A423" s="69">
        <v>2</v>
      </c>
      <c r="B423" s="281"/>
      <c r="C423" s="281" t="s">
        <v>997</v>
      </c>
      <c r="D423" s="1130" t="s">
        <v>998</v>
      </c>
      <c r="E423" s="283">
        <v>32</v>
      </c>
      <c r="F423" s="288" t="s">
        <v>999</v>
      </c>
      <c r="G423" s="289" t="s">
        <v>58</v>
      </c>
      <c r="H423" s="290"/>
      <c r="I423" s="290"/>
      <c r="J423" s="290">
        <v>96.2</v>
      </c>
      <c r="K423" s="290">
        <v>158.80000000000001</v>
      </c>
      <c r="L423" s="1086"/>
      <c r="M423" s="1107"/>
      <c r="N423" s="1100" t="s">
        <v>935</v>
      </c>
      <c r="O423" s="280" t="s">
        <v>1000</v>
      </c>
      <c r="P423" s="283">
        <v>4</v>
      </c>
      <c r="Q423" s="1186" t="s">
        <v>950</v>
      </c>
    </row>
    <row r="424" spans="1:17" x14ac:dyDescent="0.2">
      <c r="A424" s="69">
        <v>2</v>
      </c>
      <c r="B424" s="281"/>
      <c r="C424" s="281" t="s">
        <v>997</v>
      </c>
      <c r="D424" s="282"/>
      <c r="E424" s="283">
        <v>32</v>
      </c>
      <c r="F424" s="288" t="s">
        <v>999</v>
      </c>
      <c r="G424" s="289" t="s">
        <v>59</v>
      </c>
      <c r="H424" s="290"/>
      <c r="I424" s="290"/>
      <c r="J424" s="290">
        <v>17</v>
      </c>
      <c r="K424" s="290">
        <v>28</v>
      </c>
      <c r="L424" s="1086"/>
      <c r="M424" s="1107"/>
      <c r="N424" s="1100"/>
      <c r="O424" s="280"/>
      <c r="P424" s="291"/>
      <c r="Q424" s="1186" t="s">
        <v>950</v>
      </c>
    </row>
    <row r="425" spans="1:17" x14ac:dyDescent="0.2">
      <c r="A425" s="69">
        <v>2</v>
      </c>
      <c r="B425" s="281"/>
      <c r="C425" s="281" t="s">
        <v>997</v>
      </c>
      <c r="D425" s="282"/>
      <c r="E425" s="283">
        <v>32</v>
      </c>
      <c r="F425" s="288" t="s">
        <v>999</v>
      </c>
      <c r="G425" s="289" t="s">
        <v>1001</v>
      </c>
      <c r="H425" s="290"/>
      <c r="I425" s="290"/>
      <c r="J425" s="290">
        <v>34.799999999999997</v>
      </c>
      <c r="K425" s="290">
        <v>57.5</v>
      </c>
      <c r="L425" s="1086"/>
      <c r="M425" s="1107"/>
      <c r="N425" s="1100"/>
      <c r="O425" s="280"/>
      <c r="P425" s="291"/>
      <c r="Q425" s="1186" t="s">
        <v>950</v>
      </c>
    </row>
    <row r="426" spans="1:17" x14ac:dyDescent="0.2">
      <c r="A426" s="69">
        <v>2</v>
      </c>
      <c r="B426" s="281"/>
      <c r="C426" s="281" t="s">
        <v>997</v>
      </c>
      <c r="D426" s="282"/>
      <c r="E426" s="283">
        <v>32</v>
      </c>
      <c r="F426" s="288" t="s">
        <v>999</v>
      </c>
      <c r="G426" s="289" t="s">
        <v>9</v>
      </c>
      <c r="H426" s="290"/>
      <c r="I426" s="290"/>
      <c r="J426" s="290">
        <v>26.1</v>
      </c>
      <c r="K426" s="290">
        <v>43.1</v>
      </c>
      <c r="L426" s="1086"/>
      <c r="M426" s="1107" t="s">
        <v>787</v>
      </c>
      <c r="N426" s="1100"/>
      <c r="O426" s="280"/>
      <c r="P426" s="291"/>
      <c r="Q426" s="1186" t="s">
        <v>950</v>
      </c>
    </row>
    <row r="427" spans="1:17" x14ac:dyDescent="0.2">
      <c r="A427" s="69">
        <v>2</v>
      </c>
      <c r="B427" s="281"/>
      <c r="C427" s="281" t="s">
        <v>997</v>
      </c>
      <c r="D427" s="48"/>
      <c r="E427" s="283">
        <v>32</v>
      </c>
      <c r="F427" s="282" t="s">
        <v>999</v>
      </c>
      <c r="G427" s="286" t="s">
        <v>608</v>
      </c>
      <c r="H427" s="123"/>
      <c r="I427" s="123">
        <f>SUM(I423:I426)</f>
        <v>0</v>
      </c>
      <c r="J427" s="123">
        <f t="shared" ref="J427:L427" si="38">SUM(J423:J426)</f>
        <v>174.1</v>
      </c>
      <c r="K427" s="123">
        <f t="shared" si="38"/>
        <v>287.40000000000003</v>
      </c>
      <c r="L427" s="1067">
        <f t="shared" si="38"/>
        <v>0</v>
      </c>
      <c r="M427" s="192"/>
      <c r="N427" s="318"/>
      <c r="O427" s="149"/>
      <c r="P427" s="40"/>
      <c r="Q427" s="74"/>
    </row>
    <row r="428" spans="1:17" x14ac:dyDescent="0.2">
      <c r="A428" s="69">
        <v>2</v>
      </c>
      <c r="B428" s="142" t="s">
        <v>1002</v>
      </c>
      <c r="C428" s="142" t="s">
        <v>1002</v>
      </c>
      <c r="D428" s="191" t="s">
        <v>109</v>
      </c>
      <c r="E428" s="148"/>
      <c r="F428" s="81"/>
      <c r="G428" s="192"/>
      <c r="H428" s="7"/>
      <c r="I428" s="302">
        <f>I430+I436+I438</f>
        <v>217.1</v>
      </c>
      <c r="J428" s="144">
        <f t="shared" ref="J428:L428" si="39">J430+J436+J438</f>
        <v>215.5</v>
      </c>
      <c r="K428" s="144">
        <f t="shared" si="39"/>
        <v>215.5</v>
      </c>
      <c r="L428" s="325">
        <f t="shared" si="39"/>
        <v>215.5</v>
      </c>
      <c r="M428" s="192"/>
      <c r="N428" s="318"/>
      <c r="O428" s="149"/>
      <c r="P428" s="40"/>
      <c r="Q428" s="74"/>
    </row>
    <row r="429" spans="1:17" ht="45" x14ac:dyDescent="0.2">
      <c r="A429" s="69">
        <v>2</v>
      </c>
      <c r="B429" s="44"/>
      <c r="C429" s="44" t="s">
        <v>1003</v>
      </c>
      <c r="D429" s="1130" t="s">
        <v>110</v>
      </c>
      <c r="E429" s="40">
        <v>32</v>
      </c>
      <c r="F429" s="40" t="s">
        <v>111</v>
      </c>
      <c r="G429" s="16" t="s">
        <v>11</v>
      </c>
      <c r="H429" s="37">
        <v>212</v>
      </c>
      <c r="I429" s="16">
        <v>212</v>
      </c>
      <c r="J429" s="116">
        <v>212</v>
      </c>
      <c r="K429" s="16">
        <v>212</v>
      </c>
      <c r="L429" s="32">
        <v>212</v>
      </c>
      <c r="M429" s="192"/>
      <c r="N429" s="879" t="s">
        <v>935</v>
      </c>
      <c r="O429" s="149" t="s">
        <v>1004</v>
      </c>
      <c r="P429" s="40">
        <v>100</v>
      </c>
      <c r="Q429" s="74" t="s">
        <v>1005</v>
      </c>
    </row>
    <row r="430" spans="1:17" x14ac:dyDescent="0.2">
      <c r="A430" s="69">
        <v>2</v>
      </c>
      <c r="B430" s="44"/>
      <c r="C430" s="44" t="s">
        <v>1003</v>
      </c>
      <c r="D430" s="48"/>
      <c r="E430" s="40"/>
      <c r="F430" s="48"/>
      <c r="G430" s="121" t="s">
        <v>608</v>
      </c>
      <c r="H430" s="123">
        <f>SUM(H429)</f>
        <v>212</v>
      </c>
      <c r="I430" s="123">
        <f>I429</f>
        <v>212</v>
      </c>
      <c r="J430" s="123">
        <f t="shared" ref="J430:L430" si="40">J429</f>
        <v>212</v>
      </c>
      <c r="K430" s="123">
        <f t="shared" si="40"/>
        <v>212</v>
      </c>
      <c r="L430" s="1067">
        <f t="shared" si="40"/>
        <v>212</v>
      </c>
      <c r="M430" s="192"/>
      <c r="N430" s="879"/>
      <c r="O430" s="149"/>
      <c r="P430" s="40"/>
      <c r="Q430" s="74"/>
    </row>
    <row r="431" spans="1:17" ht="33.75" x14ac:dyDescent="0.2">
      <c r="A431" s="69">
        <v>2</v>
      </c>
      <c r="B431" s="44"/>
      <c r="C431" s="44" t="s">
        <v>1006</v>
      </c>
      <c r="D431" s="48" t="s">
        <v>1007</v>
      </c>
      <c r="E431" s="40">
        <v>32</v>
      </c>
      <c r="F431" s="40" t="s">
        <v>111</v>
      </c>
      <c r="G431" s="40" t="s">
        <v>11</v>
      </c>
      <c r="H431" s="37"/>
      <c r="I431" s="1141">
        <v>10</v>
      </c>
      <c r="J431" s="292">
        <v>10</v>
      </c>
      <c r="K431" s="290">
        <v>10</v>
      </c>
      <c r="L431" s="1087">
        <v>62</v>
      </c>
      <c r="M431" s="1107"/>
      <c r="N431" s="1101" t="s">
        <v>935</v>
      </c>
      <c r="O431" s="280" t="s">
        <v>1008</v>
      </c>
      <c r="P431" s="1345">
        <v>20</v>
      </c>
      <c r="Q431" s="74"/>
    </row>
    <row r="432" spans="1:17" ht="45" x14ac:dyDescent="0.2">
      <c r="A432" s="69">
        <v>2</v>
      </c>
      <c r="B432" s="44"/>
      <c r="C432" s="44" t="s">
        <v>1009</v>
      </c>
      <c r="D432" s="293" t="s">
        <v>1010</v>
      </c>
      <c r="E432" s="40">
        <v>32</v>
      </c>
      <c r="F432" s="40" t="s">
        <v>111</v>
      </c>
      <c r="G432" s="40" t="s">
        <v>11</v>
      </c>
      <c r="H432" s="37"/>
      <c r="I432" s="1141">
        <v>95</v>
      </c>
      <c r="J432" s="292">
        <v>140</v>
      </c>
      <c r="K432" s="290">
        <v>140</v>
      </c>
      <c r="L432" s="1087">
        <v>150</v>
      </c>
      <c r="M432" s="1107"/>
      <c r="N432" s="1101" t="s">
        <v>935</v>
      </c>
      <c r="O432" s="280" t="s">
        <v>1011</v>
      </c>
      <c r="P432" s="40">
        <v>7</v>
      </c>
      <c r="Q432" s="74"/>
    </row>
    <row r="433" spans="1:17" ht="22.5" x14ac:dyDescent="0.2">
      <c r="A433" s="69">
        <v>2</v>
      </c>
      <c r="B433" s="44"/>
      <c r="C433" s="44" t="s">
        <v>1012</v>
      </c>
      <c r="D433" s="197" t="s">
        <v>1013</v>
      </c>
      <c r="E433" s="40">
        <v>32</v>
      </c>
      <c r="F433" s="40" t="s">
        <v>111</v>
      </c>
      <c r="G433" s="40" t="s">
        <v>11</v>
      </c>
      <c r="H433" s="37"/>
      <c r="I433" s="1141">
        <v>105</v>
      </c>
      <c r="J433" s="292">
        <v>60.5</v>
      </c>
      <c r="K433" s="290">
        <v>60.5</v>
      </c>
      <c r="L433" s="1087"/>
      <c r="M433" s="1107"/>
      <c r="N433" s="1101" t="s">
        <v>935</v>
      </c>
      <c r="O433" s="280" t="s">
        <v>986</v>
      </c>
      <c r="P433" s="1345">
        <v>1</v>
      </c>
      <c r="Q433" s="74" t="s">
        <v>878</v>
      </c>
    </row>
    <row r="434" spans="1:17" ht="23.25" thickBot="1" x14ac:dyDescent="0.25">
      <c r="A434" s="69">
        <v>2</v>
      </c>
      <c r="B434" s="44"/>
      <c r="C434" s="44" t="s">
        <v>1014</v>
      </c>
      <c r="D434" s="294" t="s">
        <v>1015</v>
      </c>
      <c r="E434" s="40">
        <v>32</v>
      </c>
      <c r="F434" s="40" t="s">
        <v>111</v>
      </c>
      <c r="G434" s="40" t="s">
        <v>11</v>
      </c>
      <c r="H434" s="37"/>
      <c r="I434" s="1141">
        <v>2</v>
      </c>
      <c r="J434" s="292">
        <v>1.5</v>
      </c>
      <c r="K434" s="290">
        <v>1.5</v>
      </c>
      <c r="L434" s="1087"/>
      <c r="M434" s="1107"/>
      <c r="N434" s="1101" t="s">
        <v>935</v>
      </c>
      <c r="O434" s="280" t="s">
        <v>978</v>
      </c>
      <c r="P434" s="40">
        <v>1</v>
      </c>
      <c r="Q434" s="74" t="s">
        <v>878</v>
      </c>
    </row>
    <row r="435" spans="1:17" ht="45" x14ac:dyDescent="0.2">
      <c r="A435" s="69">
        <v>2</v>
      </c>
      <c r="B435" s="44" t="s">
        <v>1002</v>
      </c>
      <c r="C435" s="44" t="s">
        <v>1016</v>
      </c>
      <c r="D435" s="1130" t="s">
        <v>112</v>
      </c>
      <c r="E435" s="40">
        <v>32</v>
      </c>
      <c r="F435" s="40" t="s">
        <v>113</v>
      </c>
      <c r="G435" s="40" t="s">
        <v>11</v>
      </c>
      <c r="H435" s="37">
        <v>3.5</v>
      </c>
      <c r="I435" s="171">
        <v>3.5</v>
      </c>
      <c r="J435" s="133">
        <v>3.5</v>
      </c>
      <c r="K435" s="290">
        <v>3.5</v>
      </c>
      <c r="L435" s="1087">
        <v>3.5</v>
      </c>
      <c r="M435" s="1107"/>
      <c r="N435" s="1101" t="s">
        <v>968</v>
      </c>
      <c r="O435" s="280" t="s">
        <v>1017</v>
      </c>
      <c r="P435" s="40">
        <v>1</v>
      </c>
      <c r="Q435" s="74"/>
    </row>
    <row r="436" spans="1:17" x14ac:dyDescent="0.2">
      <c r="A436" s="69">
        <v>2</v>
      </c>
      <c r="B436" s="44" t="s">
        <v>1002</v>
      </c>
      <c r="C436" s="44" t="s">
        <v>1016</v>
      </c>
      <c r="D436" s="48"/>
      <c r="E436" s="40"/>
      <c r="F436" s="40" t="s">
        <v>113</v>
      </c>
      <c r="G436" s="121" t="s">
        <v>608</v>
      </c>
      <c r="H436" s="123">
        <f>SUM(H435)</f>
        <v>3.5</v>
      </c>
      <c r="I436" s="123">
        <f>I435</f>
        <v>3.5</v>
      </c>
      <c r="J436" s="123">
        <f t="shared" ref="J436:L436" si="41">J435</f>
        <v>3.5</v>
      </c>
      <c r="K436" s="123">
        <f t="shared" si="41"/>
        <v>3.5</v>
      </c>
      <c r="L436" s="1067">
        <f t="shared" si="41"/>
        <v>3.5</v>
      </c>
      <c r="M436" s="192"/>
      <c r="N436" s="318"/>
      <c r="O436" s="149"/>
      <c r="P436" s="40"/>
      <c r="Q436" s="74"/>
    </row>
    <row r="437" spans="1:17" ht="22.5" x14ac:dyDescent="0.2">
      <c r="A437" s="69">
        <v>2</v>
      </c>
      <c r="B437" s="44" t="s">
        <v>1002</v>
      </c>
      <c r="C437" s="44" t="s">
        <v>1018</v>
      </c>
      <c r="D437" s="1130" t="s">
        <v>114</v>
      </c>
      <c r="E437" s="40">
        <v>32</v>
      </c>
      <c r="F437" s="40" t="s">
        <v>115</v>
      </c>
      <c r="G437" s="40" t="s">
        <v>11</v>
      </c>
      <c r="H437" s="37">
        <v>1.6</v>
      </c>
      <c r="I437" s="16">
        <v>1.6</v>
      </c>
      <c r="J437" s="116">
        <f>1.6-1.6</f>
        <v>0</v>
      </c>
      <c r="K437" s="64">
        <f>1.6-1.6</f>
        <v>0</v>
      </c>
      <c r="L437" s="1088">
        <f>1.6-1.6</f>
        <v>0</v>
      </c>
      <c r="M437" s="192"/>
      <c r="N437" s="318" t="s">
        <v>938</v>
      </c>
      <c r="O437" s="149"/>
      <c r="P437" s="40"/>
      <c r="Q437" s="74"/>
    </row>
    <row r="438" spans="1:17" x14ac:dyDescent="0.2">
      <c r="A438" s="69">
        <v>2</v>
      </c>
      <c r="B438" s="44" t="s">
        <v>1002</v>
      </c>
      <c r="C438" s="44" t="s">
        <v>1018</v>
      </c>
      <c r="D438" s="48"/>
      <c r="E438" s="40"/>
      <c r="F438" s="40" t="s">
        <v>1019</v>
      </c>
      <c r="G438" s="121" t="s">
        <v>608</v>
      </c>
      <c r="H438" s="123">
        <f>SUM(H437)</f>
        <v>1.6</v>
      </c>
      <c r="I438" s="123">
        <f>I437</f>
        <v>1.6</v>
      </c>
      <c r="J438" s="123">
        <f t="shared" ref="J438:L438" si="42">J437</f>
        <v>0</v>
      </c>
      <c r="K438" s="123">
        <f t="shared" si="42"/>
        <v>0</v>
      </c>
      <c r="L438" s="1067">
        <f t="shared" si="42"/>
        <v>0</v>
      </c>
      <c r="M438" s="192"/>
      <c r="N438" s="318"/>
      <c r="O438" s="149"/>
      <c r="P438" s="40"/>
      <c r="Q438" s="74"/>
    </row>
    <row r="439" spans="1:17" ht="22.5" x14ac:dyDescent="0.2">
      <c r="A439" s="69">
        <v>2</v>
      </c>
      <c r="B439" s="107"/>
      <c r="C439" s="107"/>
      <c r="D439" s="108" t="s">
        <v>1020</v>
      </c>
      <c r="E439" s="109"/>
      <c r="F439" s="110"/>
      <c r="G439" s="109"/>
      <c r="H439" s="109"/>
      <c r="I439" s="109"/>
      <c r="J439" s="109"/>
      <c r="K439" s="109"/>
      <c r="L439" s="1065"/>
      <c r="M439" s="192"/>
      <c r="N439" s="318"/>
      <c r="O439" s="149"/>
      <c r="P439" s="40"/>
      <c r="Q439" s="74"/>
    </row>
    <row r="440" spans="1:17" ht="45" x14ac:dyDescent="0.2">
      <c r="A440" s="69">
        <v>2</v>
      </c>
      <c r="B440" s="142" t="s">
        <v>1021</v>
      </c>
      <c r="C440" s="142" t="s">
        <v>1021</v>
      </c>
      <c r="D440" s="191" t="s">
        <v>1022</v>
      </c>
      <c r="E440" s="148" t="s">
        <v>116</v>
      </c>
      <c r="F440" s="81" t="s">
        <v>117</v>
      </c>
      <c r="G440" s="298" t="s">
        <v>9</v>
      </c>
      <c r="H440" s="7">
        <f>141.1</f>
        <v>141.1</v>
      </c>
      <c r="I440" s="16">
        <v>179.9</v>
      </c>
      <c r="J440" s="116">
        <v>206</v>
      </c>
      <c r="K440" s="894">
        <v>213.4</v>
      </c>
      <c r="L440" s="1089">
        <v>216.5</v>
      </c>
      <c r="M440" s="192" t="s">
        <v>739</v>
      </c>
      <c r="N440" s="318" t="s">
        <v>1023</v>
      </c>
      <c r="O440" s="149" t="s">
        <v>2303</v>
      </c>
      <c r="P440" s="40"/>
      <c r="Q440" s="74"/>
    </row>
    <row r="441" spans="1:17" x14ac:dyDescent="0.2">
      <c r="A441" s="69">
        <v>2</v>
      </c>
      <c r="B441" s="44"/>
      <c r="C441" s="44" t="s">
        <v>1021</v>
      </c>
      <c r="D441" s="48"/>
      <c r="E441" s="40" t="s">
        <v>116</v>
      </c>
      <c r="F441" s="81" t="s">
        <v>117</v>
      </c>
      <c r="G441" s="40" t="s">
        <v>11</v>
      </c>
      <c r="H441" s="16"/>
      <c r="I441" s="64"/>
      <c r="J441" s="295"/>
      <c r="K441" s="16"/>
      <c r="L441" s="32"/>
      <c r="M441" s="192"/>
      <c r="N441" s="318" t="s">
        <v>1023</v>
      </c>
      <c r="O441" s="149"/>
      <c r="P441" s="40"/>
      <c r="Q441" s="74"/>
    </row>
    <row r="442" spans="1:17" x14ac:dyDescent="0.2">
      <c r="A442" s="69">
        <v>2</v>
      </c>
      <c r="B442" s="44"/>
      <c r="C442" s="44" t="s">
        <v>1021</v>
      </c>
      <c r="D442" s="48"/>
      <c r="E442" s="40" t="s">
        <v>116</v>
      </c>
      <c r="F442" s="81" t="s">
        <v>117</v>
      </c>
      <c r="G442" s="40" t="s">
        <v>12</v>
      </c>
      <c r="H442" s="16">
        <f>80+12</f>
        <v>92</v>
      </c>
      <c r="I442" s="64">
        <v>126</v>
      </c>
      <c r="J442" s="295">
        <f>160+40</f>
        <v>200</v>
      </c>
      <c r="K442" s="171">
        <v>160</v>
      </c>
      <c r="L442" s="309">
        <v>160</v>
      </c>
      <c r="M442" s="192"/>
      <c r="N442" s="318" t="s">
        <v>1023</v>
      </c>
      <c r="O442" s="149" t="s">
        <v>2428</v>
      </c>
      <c r="P442" s="40"/>
      <c r="Q442" s="74"/>
    </row>
    <row r="443" spans="1:17" x14ac:dyDescent="0.2">
      <c r="A443" s="69">
        <v>2</v>
      </c>
      <c r="B443" s="44"/>
      <c r="C443" s="44" t="s">
        <v>1021</v>
      </c>
      <c r="D443" s="48"/>
      <c r="E443" s="40" t="s">
        <v>116</v>
      </c>
      <c r="F443" s="81" t="s">
        <v>117</v>
      </c>
      <c r="G443" s="121" t="s">
        <v>608</v>
      </c>
      <c r="H443" s="123">
        <f>H440+H442</f>
        <v>233.1</v>
      </c>
      <c r="I443" s="123">
        <f>SUM(I440:I442)</f>
        <v>305.89999999999998</v>
      </c>
      <c r="J443" s="123">
        <f t="shared" ref="J443:L443" si="43">SUM(J440:J442)</f>
        <v>406</v>
      </c>
      <c r="K443" s="123">
        <f t="shared" si="43"/>
        <v>373.4</v>
      </c>
      <c r="L443" s="1067">
        <f t="shared" si="43"/>
        <v>376.5</v>
      </c>
      <c r="M443" s="192"/>
      <c r="N443" s="318" t="s">
        <v>1023</v>
      </c>
      <c r="O443" s="149"/>
      <c r="P443" s="40"/>
      <c r="Q443" s="74"/>
    </row>
    <row r="444" spans="1:17" x14ac:dyDescent="0.2">
      <c r="A444" s="69">
        <v>2</v>
      </c>
      <c r="B444" s="142" t="s">
        <v>1024</v>
      </c>
      <c r="C444" s="142" t="s">
        <v>1024</v>
      </c>
      <c r="D444" s="191" t="s">
        <v>915</v>
      </c>
      <c r="E444" s="148"/>
      <c r="F444" s="81"/>
      <c r="G444" s="192"/>
      <c r="H444" s="7"/>
      <c r="I444" s="144">
        <f>SUM(I451,I453,I455,I457,I460,I465,I469,I476,I478,I490,I493,I497,I500,I502)</f>
        <v>353.2</v>
      </c>
      <c r="J444" s="144">
        <f t="shared" ref="J444:L444" si="44">SUM(J451,J453,J455,J457,J460,J465,J469,J476,J478,J490,J493,J497,J500,J502)</f>
        <v>2283.5</v>
      </c>
      <c r="K444" s="144">
        <f t="shared" si="44"/>
        <v>1934</v>
      </c>
      <c r="L444" s="144">
        <f t="shared" si="44"/>
        <v>55.9</v>
      </c>
      <c r="M444" s="192"/>
      <c r="N444" s="318"/>
      <c r="O444" s="149"/>
      <c r="P444" s="40"/>
      <c r="Q444" s="74"/>
    </row>
    <row r="445" spans="1:17" x14ac:dyDescent="0.2">
      <c r="A445" s="69">
        <v>2</v>
      </c>
      <c r="B445" s="674"/>
      <c r="C445" s="674"/>
      <c r="D445" s="91"/>
      <c r="E445" s="148"/>
      <c r="F445" s="81"/>
      <c r="G445" s="16" t="s">
        <v>9</v>
      </c>
      <c r="H445" s="7">
        <v>100.80000000000001</v>
      </c>
      <c r="I445" s="116">
        <f>SUM(I450,I452,I454,I456,I458,I461,I462,I468,I470,I471,I472,I473,I474,I475,I477,I487,I491,I494,I498,I488,I495,I496,I501)</f>
        <v>353.2</v>
      </c>
      <c r="J445" s="116">
        <f t="shared" ref="J445:L445" si="45">SUM(J450,J452,J454,J456,J458,J461,J462,J468,J470,J471,J472,J473,J474,J475,J477,J487,J491,J494,J498,J488,J495,J496,J501)</f>
        <v>922.19999999999993</v>
      </c>
      <c r="K445" s="116">
        <f t="shared" si="45"/>
        <v>745.9</v>
      </c>
      <c r="L445" s="116">
        <f t="shared" si="45"/>
        <v>42.9</v>
      </c>
      <c r="M445" s="192"/>
      <c r="N445" s="318"/>
      <c r="O445" s="149"/>
      <c r="P445" s="40"/>
      <c r="Q445" s="74"/>
    </row>
    <row r="446" spans="1:17" x14ac:dyDescent="0.2">
      <c r="A446" s="69">
        <v>2</v>
      </c>
      <c r="B446" s="44"/>
      <c r="C446" s="44" t="s">
        <v>1024</v>
      </c>
      <c r="D446" s="48"/>
      <c r="E446" s="40"/>
      <c r="F446" s="48"/>
      <c r="G446" s="16" t="s">
        <v>58</v>
      </c>
      <c r="H446" s="37">
        <v>1.7</v>
      </c>
      <c r="I446" s="116">
        <f>SUM(I459,I463,I467,I489,I492,I499)</f>
        <v>0</v>
      </c>
      <c r="J446" s="116">
        <f>SUM(J459,J463,J467,J489,J492,J499)</f>
        <v>1155.2</v>
      </c>
      <c r="K446" s="116">
        <f>SUM(K459,K463,K467,K489,K492,K499)</f>
        <v>988.1</v>
      </c>
      <c r="L446" s="177">
        <f>SUM(L459,L463,L467,L489,L492,L499)</f>
        <v>13</v>
      </c>
      <c r="M446" s="192"/>
      <c r="N446" s="318"/>
      <c r="O446" s="149"/>
      <c r="P446" s="40"/>
      <c r="Q446" s="74"/>
    </row>
    <row r="447" spans="1:17" x14ac:dyDescent="0.2">
      <c r="A447" s="69">
        <v>2</v>
      </c>
      <c r="B447" s="44"/>
      <c r="C447" s="44" t="s">
        <v>1024</v>
      </c>
      <c r="D447" s="48"/>
      <c r="E447" s="40"/>
      <c r="F447" s="48"/>
      <c r="G447" s="16" t="s">
        <v>713</v>
      </c>
      <c r="H447" s="37">
        <v>0</v>
      </c>
      <c r="I447" s="116">
        <f>SUM(I466)</f>
        <v>0</v>
      </c>
      <c r="J447" s="116">
        <f t="shared" ref="J447:L447" si="46">SUM(J466)</f>
        <v>200</v>
      </c>
      <c r="K447" s="116">
        <f t="shared" si="46"/>
        <v>200</v>
      </c>
      <c r="L447" s="177">
        <f t="shared" si="46"/>
        <v>0</v>
      </c>
      <c r="M447" s="192"/>
      <c r="N447" s="318"/>
      <c r="O447" s="149"/>
      <c r="P447" s="40"/>
      <c r="Q447" s="74"/>
    </row>
    <row r="448" spans="1:17" x14ac:dyDescent="0.2">
      <c r="A448" s="69">
        <v>2</v>
      </c>
      <c r="B448" s="44"/>
      <c r="C448" s="44" t="s">
        <v>1024</v>
      </c>
      <c r="D448" s="48"/>
      <c r="E448" s="40"/>
      <c r="F448" s="48"/>
      <c r="G448" s="16" t="s">
        <v>59</v>
      </c>
      <c r="H448" s="37"/>
      <c r="I448" s="116">
        <f>I464</f>
        <v>0</v>
      </c>
      <c r="J448" s="116">
        <f t="shared" ref="J448:L448" si="47">J464</f>
        <v>6.1</v>
      </c>
      <c r="K448" s="116">
        <f t="shared" si="47"/>
        <v>0</v>
      </c>
      <c r="L448" s="116">
        <f t="shared" si="47"/>
        <v>0</v>
      </c>
      <c r="M448" s="192"/>
      <c r="N448" s="318"/>
      <c r="O448" s="149"/>
      <c r="P448" s="40"/>
      <c r="Q448" s="74"/>
    </row>
    <row r="449" spans="1:17" x14ac:dyDescent="0.2">
      <c r="A449" s="69">
        <v>2</v>
      </c>
      <c r="B449" s="44"/>
      <c r="C449" s="44" t="s">
        <v>1024</v>
      </c>
      <c r="D449" s="48"/>
      <c r="E449" s="40"/>
      <c r="F449" s="48"/>
      <c r="G449" s="296" t="s">
        <v>608</v>
      </c>
      <c r="H449" s="297">
        <f>SUM(H445:H447)</f>
        <v>102.50000000000001</v>
      </c>
      <c r="I449" s="297">
        <f>SUM(I445:I448)</f>
        <v>353.2</v>
      </c>
      <c r="J449" s="297">
        <f t="shared" ref="J449:L449" si="48">SUM(J445:J448)</f>
        <v>2283.5</v>
      </c>
      <c r="K449" s="297">
        <f t="shared" si="48"/>
        <v>1934</v>
      </c>
      <c r="L449" s="297">
        <f t="shared" si="48"/>
        <v>55.9</v>
      </c>
      <c r="M449" s="192"/>
      <c r="N449" s="318"/>
      <c r="O449" s="149"/>
      <c r="P449" s="40"/>
      <c r="Q449" s="74"/>
    </row>
    <row r="450" spans="1:17" ht="22.5" x14ac:dyDescent="0.2">
      <c r="A450" s="69">
        <v>2</v>
      </c>
      <c r="B450" s="44"/>
      <c r="C450" s="44" t="s">
        <v>1025</v>
      </c>
      <c r="D450" s="1130" t="s">
        <v>1026</v>
      </c>
      <c r="E450" s="40" t="s">
        <v>60</v>
      </c>
      <c r="F450" s="298" t="s">
        <v>1027</v>
      </c>
      <c r="G450" s="69" t="s">
        <v>9</v>
      </c>
      <c r="H450" s="37"/>
      <c r="I450" s="16">
        <f>100-100</f>
        <v>0</v>
      </c>
      <c r="J450" s="116">
        <f>212+100-22</f>
        <v>290</v>
      </c>
      <c r="K450" s="16">
        <f>60-60</f>
        <v>0</v>
      </c>
      <c r="L450" s="32"/>
      <c r="M450" s="192" t="s">
        <v>870</v>
      </c>
      <c r="N450" s="318" t="s">
        <v>1051</v>
      </c>
      <c r="O450" s="280" t="s">
        <v>2304</v>
      </c>
      <c r="P450" s="40" t="s">
        <v>2305</v>
      </c>
      <c r="Q450" s="74" t="s">
        <v>913</v>
      </c>
    </row>
    <row r="451" spans="1:17" x14ac:dyDescent="0.2">
      <c r="A451" s="69">
        <v>2</v>
      </c>
      <c r="B451" s="44"/>
      <c r="C451" s="44"/>
      <c r="D451" s="35"/>
      <c r="E451" s="40"/>
      <c r="F451" s="298"/>
      <c r="G451" s="121" t="s">
        <v>608</v>
      </c>
      <c r="H451" s="123">
        <f>SUM(H450:H450)</f>
        <v>0</v>
      </c>
      <c r="I451" s="123">
        <f>SUM(I450)</f>
        <v>0</v>
      </c>
      <c r="J451" s="123">
        <f t="shared" ref="J451:L451" si="49">SUM(J450)</f>
        <v>290</v>
      </c>
      <c r="K451" s="123">
        <f t="shared" si="49"/>
        <v>0</v>
      </c>
      <c r="L451" s="1067">
        <f t="shared" si="49"/>
        <v>0</v>
      </c>
      <c r="M451" s="192"/>
      <c r="N451" s="318"/>
      <c r="O451" s="149"/>
      <c r="P451" s="40"/>
      <c r="Q451" s="74"/>
    </row>
    <row r="452" spans="1:17" ht="22.5" x14ac:dyDescent="0.2">
      <c r="A452" s="69">
        <v>2</v>
      </c>
      <c r="B452" s="44"/>
      <c r="C452" s="44" t="s">
        <v>1028</v>
      </c>
      <c r="D452" s="1130" t="s">
        <v>1029</v>
      </c>
      <c r="E452" s="40" t="s">
        <v>116</v>
      </c>
      <c r="F452" s="299" t="s">
        <v>1030</v>
      </c>
      <c r="G452" s="69" t="s">
        <v>9</v>
      </c>
      <c r="H452" s="37"/>
      <c r="I452" s="16"/>
      <c r="J452" s="116"/>
      <c r="K452" s="16">
        <v>60</v>
      </c>
      <c r="L452" s="32"/>
      <c r="M452" s="192" t="s">
        <v>870</v>
      </c>
      <c r="N452" s="318" t="s">
        <v>1023</v>
      </c>
      <c r="O452" s="149" t="s">
        <v>1031</v>
      </c>
      <c r="P452" s="40"/>
      <c r="Q452" s="74" t="s">
        <v>878</v>
      </c>
    </row>
    <row r="453" spans="1:17" x14ac:dyDescent="0.2">
      <c r="A453" s="69">
        <v>2</v>
      </c>
      <c r="B453" s="44"/>
      <c r="C453" s="44"/>
      <c r="D453" s="35"/>
      <c r="E453" s="40"/>
      <c r="F453" s="298"/>
      <c r="G453" s="121" t="s">
        <v>608</v>
      </c>
      <c r="H453" s="123">
        <f>SUM(H452:H452)</f>
        <v>0</v>
      </c>
      <c r="I453" s="123">
        <f>SUM(I452)</f>
        <v>0</v>
      </c>
      <c r="J453" s="123">
        <f t="shared" ref="J453:L453" si="50">SUM(J452)</f>
        <v>0</v>
      </c>
      <c r="K453" s="123">
        <f t="shared" si="50"/>
        <v>60</v>
      </c>
      <c r="L453" s="1067">
        <f t="shared" si="50"/>
        <v>0</v>
      </c>
      <c r="M453" s="192"/>
      <c r="N453" s="318"/>
      <c r="O453" s="149"/>
      <c r="P453" s="40"/>
      <c r="Q453" s="74"/>
    </row>
    <row r="454" spans="1:17" ht="22.5" x14ac:dyDescent="0.2">
      <c r="A454" s="69">
        <v>2</v>
      </c>
      <c r="B454" s="44"/>
      <c r="C454" s="44" t="s">
        <v>1032</v>
      </c>
      <c r="D454" s="1130" t="s">
        <v>118</v>
      </c>
      <c r="E454" s="40" t="s">
        <v>119</v>
      </c>
      <c r="F454" s="298" t="s">
        <v>1033</v>
      </c>
      <c r="G454" s="69" t="s">
        <v>9</v>
      </c>
      <c r="H454" s="37"/>
      <c r="I454" s="16">
        <v>32.4</v>
      </c>
      <c r="J454" s="116">
        <v>34.9</v>
      </c>
      <c r="K454" s="16">
        <v>34.9</v>
      </c>
      <c r="L454" s="32">
        <v>34.9</v>
      </c>
      <c r="M454" s="192" t="s">
        <v>796</v>
      </c>
      <c r="N454" s="318" t="s">
        <v>2309</v>
      </c>
      <c r="O454" s="149" t="s">
        <v>1343</v>
      </c>
      <c r="P454" s="40">
        <v>100</v>
      </c>
      <c r="Q454" s="74"/>
    </row>
    <row r="455" spans="1:17" x14ac:dyDescent="0.2">
      <c r="A455" s="69">
        <v>2</v>
      </c>
      <c r="B455" s="44"/>
      <c r="C455" s="44"/>
      <c r="D455" s="35"/>
      <c r="E455" s="40"/>
      <c r="F455" s="298"/>
      <c r="G455" s="121" t="s">
        <v>608</v>
      </c>
      <c r="H455" s="123">
        <f>SUM(H454:H454)</f>
        <v>0</v>
      </c>
      <c r="I455" s="123">
        <f>SUM(I454)</f>
        <v>32.4</v>
      </c>
      <c r="J455" s="123">
        <f t="shared" ref="J455:L455" si="51">SUM(J454)</f>
        <v>34.9</v>
      </c>
      <c r="K455" s="123">
        <f t="shared" si="51"/>
        <v>34.9</v>
      </c>
      <c r="L455" s="1067">
        <f t="shared" si="51"/>
        <v>34.9</v>
      </c>
      <c r="M455" s="192"/>
      <c r="N455" s="318"/>
      <c r="O455" s="300"/>
      <c r="P455" s="40"/>
      <c r="Q455" s="74"/>
    </row>
    <row r="456" spans="1:17" x14ac:dyDescent="0.2">
      <c r="A456" s="69">
        <v>2</v>
      </c>
      <c r="B456" s="44"/>
      <c r="C456" s="44" t="s">
        <v>1034</v>
      </c>
      <c r="D456" s="1130" t="s">
        <v>120</v>
      </c>
      <c r="E456" s="40" t="s">
        <v>116</v>
      </c>
      <c r="F456" s="299" t="s">
        <v>1035</v>
      </c>
      <c r="G456" s="69" t="s">
        <v>9</v>
      </c>
      <c r="H456" s="37"/>
      <c r="I456" s="16">
        <v>59.2</v>
      </c>
      <c r="J456" s="116">
        <v>30</v>
      </c>
      <c r="K456" s="16"/>
      <c r="L456" s="32"/>
      <c r="M456" s="192" t="s">
        <v>787</v>
      </c>
      <c r="N456" s="318" t="s">
        <v>1023</v>
      </c>
      <c r="O456" s="149"/>
      <c r="P456" s="40"/>
      <c r="Q456" s="74" t="s">
        <v>889</v>
      </c>
    </row>
    <row r="457" spans="1:17" x14ac:dyDescent="0.2">
      <c r="A457" s="69">
        <v>2</v>
      </c>
      <c r="B457" s="44"/>
      <c r="C457" s="44"/>
      <c r="D457" s="35"/>
      <c r="E457" s="40"/>
      <c r="F457" s="298"/>
      <c r="G457" s="121" t="s">
        <v>608</v>
      </c>
      <c r="H457" s="123">
        <f>SUM(H456:H456)</f>
        <v>0</v>
      </c>
      <c r="I457" s="123">
        <f>SUM(I456)</f>
        <v>59.2</v>
      </c>
      <c r="J457" s="123">
        <f t="shared" ref="J457:L457" si="52">SUM(J456)</f>
        <v>30</v>
      </c>
      <c r="K457" s="123">
        <f t="shared" si="52"/>
        <v>0</v>
      </c>
      <c r="L457" s="1067">
        <f t="shared" si="52"/>
        <v>0</v>
      </c>
      <c r="M457" s="192"/>
      <c r="N457" s="318"/>
      <c r="O457" s="149"/>
      <c r="P457" s="40"/>
      <c r="Q457" s="74"/>
    </row>
    <row r="458" spans="1:17" ht="22.5" x14ac:dyDescent="0.2">
      <c r="A458" s="69">
        <v>2</v>
      </c>
      <c r="B458" s="44"/>
      <c r="C458" s="44" t="s">
        <v>1036</v>
      </c>
      <c r="D458" s="1130" t="s">
        <v>1037</v>
      </c>
      <c r="E458" s="40" t="s">
        <v>116</v>
      </c>
      <c r="F458" s="48" t="s">
        <v>1038</v>
      </c>
      <c r="G458" s="69" t="s">
        <v>9</v>
      </c>
      <c r="H458" s="37"/>
      <c r="I458" s="16">
        <v>56.6</v>
      </c>
      <c r="J458" s="116">
        <v>52.3</v>
      </c>
      <c r="K458" s="16"/>
      <c r="L458" s="32"/>
      <c r="M458" s="192" t="s">
        <v>787</v>
      </c>
      <c r="N458" s="318" t="s">
        <v>1023</v>
      </c>
      <c r="O458" s="149"/>
      <c r="P458" s="40"/>
      <c r="Q458" s="74"/>
    </row>
    <row r="459" spans="1:17" x14ac:dyDescent="0.2">
      <c r="A459" s="69">
        <v>2</v>
      </c>
      <c r="B459" s="44"/>
      <c r="C459" s="44"/>
      <c r="D459" s="48"/>
      <c r="E459" s="40" t="s">
        <v>116</v>
      </c>
      <c r="F459" s="48" t="s">
        <v>1038</v>
      </c>
      <c r="G459" s="40" t="s">
        <v>58</v>
      </c>
      <c r="H459" s="37"/>
      <c r="I459" s="16"/>
      <c r="J459" s="116">
        <v>63.7</v>
      </c>
      <c r="K459" s="171">
        <v>9</v>
      </c>
      <c r="L459" s="32"/>
      <c r="M459" s="192"/>
      <c r="N459" s="318" t="s">
        <v>1023</v>
      </c>
      <c r="O459" s="149"/>
      <c r="P459" s="40"/>
      <c r="Q459" s="74"/>
    </row>
    <row r="460" spans="1:17" x14ac:dyDescent="0.2">
      <c r="A460" s="69">
        <v>2</v>
      </c>
      <c r="B460" s="44"/>
      <c r="C460" s="44"/>
      <c r="D460" s="48"/>
      <c r="E460" s="40"/>
      <c r="F460" s="48"/>
      <c r="G460" s="121" t="s">
        <v>608</v>
      </c>
      <c r="H460" s="123">
        <f>SUM(H459:H459)</f>
        <v>0</v>
      </c>
      <c r="I460" s="123">
        <f>SUM(I458:I459)</f>
        <v>56.6</v>
      </c>
      <c r="J460" s="123">
        <f t="shared" ref="J460:L460" si="53">SUM(J458:J459)</f>
        <v>116</v>
      </c>
      <c r="K460" s="123">
        <f t="shared" si="53"/>
        <v>9</v>
      </c>
      <c r="L460" s="1067">
        <f t="shared" si="53"/>
        <v>0</v>
      </c>
      <c r="M460" s="192"/>
      <c r="N460" s="1102"/>
      <c r="O460" s="149"/>
      <c r="P460" s="40"/>
      <c r="Q460" s="74"/>
    </row>
    <row r="461" spans="1:17" ht="22.5" x14ac:dyDescent="0.2">
      <c r="A461" s="69">
        <v>2</v>
      </c>
      <c r="B461" s="44"/>
      <c r="C461" s="44" t="s">
        <v>1039</v>
      </c>
      <c r="D461" s="1484" t="s">
        <v>1040</v>
      </c>
      <c r="E461" s="40" t="s">
        <v>1041</v>
      </c>
      <c r="F461" s="48" t="s">
        <v>1042</v>
      </c>
      <c r="G461" s="69" t="s">
        <v>9</v>
      </c>
      <c r="H461" s="37"/>
      <c r="I461" s="16">
        <f>50-5-45</f>
        <v>0</v>
      </c>
      <c r="J461" s="116">
        <v>45</v>
      </c>
      <c r="K461" s="37"/>
      <c r="L461" s="46"/>
      <c r="M461" s="192" t="s">
        <v>787</v>
      </c>
      <c r="N461" s="318" t="s">
        <v>694</v>
      </c>
      <c r="O461" s="149" t="s">
        <v>1043</v>
      </c>
      <c r="P461" s="40">
        <v>1</v>
      </c>
      <c r="Q461" s="74" t="s">
        <v>894</v>
      </c>
    </row>
    <row r="462" spans="1:17" ht="22.5" x14ac:dyDescent="0.2">
      <c r="A462" s="69">
        <v>2</v>
      </c>
      <c r="B462" s="44"/>
      <c r="C462" s="44" t="s">
        <v>1039</v>
      </c>
      <c r="D462" s="1485"/>
      <c r="E462" s="40">
        <v>10</v>
      </c>
      <c r="F462" s="48" t="s">
        <v>1042</v>
      </c>
      <c r="G462" s="69" t="s">
        <v>9</v>
      </c>
      <c r="H462" s="37"/>
      <c r="I462" s="16"/>
      <c r="J462" s="116">
        <v>3</v>
      </c>
      <c r="K462" s="37">
        <v>2</v>
      </c>
      <c r="L462" s="46">
        <v>2</v>
      </c>
      <c r="M462" s="192" t="s">
        <v>787</v>
      </c>
      <c r="N462" s="318" t="s">
        <v>1044</v>
      </c>
      <c r="O462" s="149" t="s">
        <v>1045</v>
      </c>
      <c r="P462" s="40">
        <v>1</v>
      </c>
      <c r="Q462" s="74" t="s">
        <v>894</v>
      </c>
    </row>
    <row r="463" spans="1:17" x14ac:dyDescent="0.2">
      <c r="A463" s="69">
        <v>2</v>
      </c>
      <c r="B463" s="44"/>
      <c r="C463" s="44" t="s">
        <v>1039</v>
      </c>
      <c r="D463" s="1485"/>
      <c r="E463" s="40" t="s">
        <v>1041</v>
      </c>
      <c r="F463" s="48" t="s">
        <v>1042</v>
      </c>
      <c r="G463" s="40" t="s">
        <v>58</v>
      </c>
      <c r="H463" s="37"/>
      <c r="I463" s="16">
        <f>48.5-48.5</f>
        <v>0</v>
      </c>
      <c r="J463" s="116">
        <v>48.5</v>
      </c>
      <c r="K463" s="37"/>
      <c r="L463" s="46"/>
      <c r="M463" s="192"/>
      <c r="N463" s="318"/>
      <c r="O463" s="149"/>
      <c r="P463" s="40"/>
      <c r="Q463" s="74" t="s">
        <v>894</v>
      </c>
    </row>
    <row r="464" spans="1:17" x14ac:dyDescent="0.2">
      <c r="A464" s="69">
        <v>2</v>
      </c>
      <c r="B464" s="44"/>
      <c r="C464" s="44" t="s">
        <v>1039</v>
      </c>
      <c r="D464" s="1486"/>
      <c r="E464" s="40" t="s">
        <v>1041</v>
      </c>
      <c r="F464" s="48" t="s">
        <v>1042</v>
      </c>
      <c r="G464" s="69" t="s">
        <v>59</v>
      </c>
      <c r="H464" s="37"/>
      <c r="I464" s="16"/>
      <c r="J464" s="116">
        <f>6.1</f>
        <v>6.1</v>
      </c>
      <c r="K464" s="37"/>
      <c r="L464" s="46"/>
      <c r="M464" s="192"/>
      <c r="N464" s="318"/>
      <c r="O464" s="149"/>
      <c r="P464" s="40"/>
      <c r="Q464" s="74"/>
    </row>
    <row r="465" spans="1:17" x14ac:dyDescent="0.2">
      <c r="A465" s="69">
        <v>2</v>
      </c>
      <c r="B465" s="44"/>
      <c r="C465" s="44"/>
      <c r="D465" s="65"/>
      <c r="E465" s="40"/>
      <c r="F465" s="48"/>
      <c r="G465" s="121" t="s">
        <v>608</v>
      </c>
      <c r="H465" s="123">
        <f>SUM(H463:H463)</f>
        <v>0</v>
      </c>
      <c r="I465" s="123">
        <f>SUM(I461:I464)</f>
        <v>0</v>
      </c>
      <c r="J465" s="123">
        <f t="shared" ref="J465:L465" si="54">SUM(J461:J464)</f>
        <v>102.6</v>
      </c>
      <c r="K465" s="123">
        <f t="shared" si="54"/>
        <v>2</v>
      </c>
      <c r="L465" s="123">
        <f t="shared" si="54"/>
        <v>2</v>
      </c>
      <c r="M465" s="192"/>
      <c r="N465" s="318"/>
      <c r="O465" s="149"/>
      <c r="P465" s="40"/>
      <c r="Q465" s="74"/>
    </row>
    <row r="466" spans="1:17" x14ac:dyDescent="0.2">
      <c r="A466" s="69">
        <v>2</v>
      </c>
      <c r="B466" s="44"/>
      <c r="C466" s="44" t="s">
        <v>1046</v>
      </c>
      <c r="D466" s="1484" t="s">
        <v>1047</v>
      </c>
      <c r="E466" s="40" t="s">
        <v>60</v>
      </c>
      <c r="F466" s="48" t="s">
        <v>1048</v>
      </c>
      <c r="G466" s="88" t="s">
        <v>713</v>
      </c>
      <c r="H466" s="37"/>
      <c r="I466" s="16"/>
      <c r="J466" s="116">
        <v>200</v>
      </c>
      <c r="K466" s="37">
        <v>200</v>
      </c>
      <c r="L466" s="46"/>
      <c r="M466" s="192" t="s">
        <v>2221</v>
      </c>
      <c r="N466" s="318"/>
      <c r="O466" s="149"/>
      <c r="P466" s="40"/>
      <c r="Q466" s="74" t="s">
        <v>878</v>
      </c>
    </row>
    <row r="467" spans="1:17" ht="33.75" x14ac:dyDescent="0.2">
      <c r="A467" s="69">
        <v>2</v>
      </c>
      <c r="B467" s="44"/>
      <c r="C467" s="44" t="s">
        <v>1046</v>
      </c>
      <c r="D467" s="1485"/>
      <c r="E467" s="40" t="s">
        <v>60</v>
      </c>
      <c r="F467" s="48" t="s">
        <v>1048</v>
      </c>
      <c r="G467" s="88" t="s">
        <v>58</v>
      </c>
      <c r="H467" s="37"/>
      <c r="I467" s="16"/>
      <c r="J467" s="116">
        <v>800</v>
      </c>
      <c r="K467" s="37">
        <v>800</v>
      </c>
      <c r="L467" s="46"/>
      <c r="M467" s="192" t="s">
        <v>2221</v>
      </c>
      <c r="N467" s="1189" t="s">
        <v>1050</v>
      </c>
      <c r="O467" s="280" t="s">
        <v>2306</v>
      </c>
      <c r="P467" s="40" t="s">
        <v>2307</v>
      </c>
      <c r="Q467" s="74" t="s">
        <v>878</v>
      </c>
    </row>
    <row r="468" spans="1:17" x14ac:dyDescent="0.2">
      <c r="A468" s="69">
        <v>2</v>
      </c>
      <c r="B468" s="44"/>
      <c r="C468" s="44" t="s">
        <v>1046</v>
      </c>
      <c r="D468" s="1486"/>
      <c r="E468" s="40" t="s">
        <v>60</v>
      </c>
      <c r="F468" s="48" t="s">
        <v>1048</v>
      </c>
      <c r="G468" s="88" t="s">
        <v>9</v>
      </c>
      <c r="H468" s="37"/>
      <c r="I468" s="171">
        <v>98.5</v>
      </c>
      <c r="J468" s="133">
        <f>20+15.2</f>
        <v>35.200000000000003</v>
      </c>
      <c r="K468" s="16"/>
      <c r="L468" s="32"/>
      <c r="M468" s="192" t="s">
        <v>2221</v>
      </c>
      <c r="N468" s="1102" t="s">
        <v>1051</v>
      </c>
      <c r="O468" s="149" t="s">
        <v>2308</v>
      </c>
      <c r="P468" s="40">
        <v>1</v>
      </c>
      <c r="Q468" s="74" t="s">
        <v>878</v>
      </c>
    </row>
    <row r="469" spans="1:17" x14ac:dyDescent="0.2">
      <c r="A469" s="69">
        <v>2</v>
      </c>
      <c r="B469" s="44"/>
      <c r="C469" s="44"/>
      <c r="D469" s="68"/>
      <c r="E469" s="40"/>
      <c r="F469" s="48"/>
      <c r="G469" s="121" t="s">
        <v>608</v>
      </c>
      <c r="H469" s="123">
        <f>SUM(H468:H468)</f>
        <v>0</v>
      </c>
      <c r="I469" s="123">
        <f>SUM(I466:I468)</f>
        <v>98.5</v>
      </c>
      <c r="J469" s="123">
        <f t="shared" ref="J469:L469" si="55">SUM(J466:J468)</f>
        <v>1035.2</v>
      </c>
      <c r="K469" s="123">
        <f t="shared" si="55"/>
        <v>1000</v>
      </c>
      <c r="L469" s="1067">
        <f t="shared" si="55"/>
        <v>0</v>
      </c>
      <c r="M469" s="192" t="s">
        <v>2221</v>
      </c>
      <c r="N469" s="318"/>
      <c r="O469" s="149"/>
      <c r="P469" s="40"/>
      <c r="Q469" s="74"/>
    </row>
    <row r="470" spans="1:17" ht="45" x14ac:dyDescent="0.2">
      <c r="A470" s="69">
        <v>2</v>
      </c>
      <c r="B470" s="44"/>
      <c r="C470" s="44" t="s">
        <v>1052</v>
      </c>
      <c r="D470" s="1130" t="s">
        <v>1053</v>
      </c>
      <c r="E470" s="40" t="s">
        <v>116</v>
      </c>
      <c r="F470" s="298" t="s">
        <v>1054</v>
      </c>
      <c r="G470" s="88" t="s">
        <v>9</v>
      </c>
      <c r="H470" s="301">
        <v>42</v>
      </c>
      <c r="I470" s="16">
        <v>59.5</v>
      </c>
      <c r="J470" s="116">
        <f>21.5+6</f>
        <v>27.5</v>
      </c>
      <c r="K470" s="16"/>
      <c r="L470" s="32"/>
      <c r="M470" s="192" t="s">
        <v>870</v>
      </c>
      <c r="N470" s="318" t="s">
        <v>1023</v>
      </c>
      <c r="O470" s="280" t="s">
        <v>1055</v>
      </c>
      <c r="P470" s="40"/>
      <c r="Q470" s="74"/>
    </row>
    <row r="471" spans="1:17" x14ac:dyDescent="0.2">
      <c r="A471" s="69">
        <v>2</v>
      </c>
      <c r="B471" s="44"/>
      <c r="C471" s="44" t="s">
        <v>1052</v>
      </c>
      <c r="D471" s="91" t="s">
        <v>1056</v>
      </c>
      <c r="E471" s="40" t="s">
        <v>116</v>
      </c>
      <c r="F471" s="298" t="s">
        <v>1054</v>
      </c>
      <c r="G471" s="69" t="s">
        <v>9</v>
      </c>
      <c r="H471" s="37"/>
      <c r="I471" s="16"/>
      <c r="J471" s="116">
        <v>14</v>
      </c>
      <c r="K471" s="37"/>
      <c r="L471" s="46"/>
      <c r="M471" s="192" t="s">
        <v>870</v>
      </c>
      <c r="N471" s="318" t="s">
        <v>1023</v>
      </c>
      <c r="O471" s="149"/>
      <c r="P471" s="40"/>
      <c r="Q471" s="74"/>
    </row>
    <row r="472" spans="1:17" x14ac:dyDescent="0.2">
      <c r="A472" s="69">
        <v>2</v>
      </c>
      <c r="B472" s="44"/>
      <c r="C472" s="44" t="s">
        <v>1052</v>
      </c>
      <c r="D472" s="74" t="s">
        <v>1057</v>
      </c>
      <c r="E472" s="40" t="s">
        <v>116</v>
      </c>
      <c r="F472" s="298" t="s">
        <v>1054</v>
      </c>
      <c r="G472" s="88" t="s">
        <v>9</v>
      </c>
      <c r="H472" s="301"/>
      <c r="I472" s="16"/>
      <c r="J472" s="116"/>
      <c r="K472" s="302"/>
      <c r="L472" s="1069"/>
      <c r="M472" s="192" t="s">
        <v>870</v>
      </c>
      <c r="N472" s="318" t="s">
        <v>1023</v>
      </c>
      <c r="O472" s="303"/>
      <c r="P472" s="40"/>
      <c r="Q472" s="74" t="s">
        <v>799</v>
      </c>
    </row>
    <row r="473" spans="1:17" x14ac:dyDescent="0.2">
      <c r="A473" s="69">
        <v>2</v>
      </c>
      <c r="B473" s="44"/>
      <c r="C473" s="44" t="s">
        <v>1052</v>
      </c>
      <c r="D473" s="91" t="s">
        <v>1058</v>
      </c>
      <c r="E473" s="40" t="s">
        <v>116</v>
      </c>
      <c r="F473" s="298" t="s">
        <v>1054</v>
      </c>
      <c r="G473" s="88" t="s">
        <v>9</v>
      </c>
      <c r="H473" s="301"/>
      <c r="I473" s="16"/>
      <c r="J473" s="116"/>
      <c r="K473" s="171">
        <v>10</v>
      </c>
      <c r="L473" s="1069"/>
      <c r="M473" s="192" t="s">
        <v>870</v>
      </c>
      <c r="N473" s="318" t="s">
        <v>1023</v>
      </c>
      <c r="O473" s="304"/>
      <c r="P473" s="40"/>
      <c r="Q473" s="74" t="s">
        <v>799</v>
      </c>
    </row>
    <row r="474" spans="1:17" x14ac:dyDescent="0.2">
      <c r="A474" s="69">
        <v>2</v>
      </c>
      <c r="B474" s="44"/>
      <c r="C474" s="44" t="s">
        <v>1052</v>
      </c>
      <c r="D474" s="91" t="s">
        <v>1059</v>
      </c>
      <c r="E474" s="40" t="s">
        <v>116</v>
      </c>
      <c r="F474" s="298" t="s">
        <v>1054</v>
      </c>
      <c r="G474" s="88" t="s">
        <v>9</v>
      </c>
      <c r="H474" s="301"/>
      <c r="I474" s="16"/>
      <c r="J474" s="116"/>
      <c r="K474" s="305"/>
      <c r="L474" s="1069"/>
      <c r="M474" s="192" t="s">
        <v>870</v>
      </c>
      <c r="N474" s="318" t="s">
        <v>1023</v>
      </c>
      <c r="O474" s="304"/>
      <c r="P474" s="40"/>
      <c r="Q474" s="74"/>
    </row>
    <row r="475" spans="1:17" x14ac:dyDescent="0.2">
      <c r="A475" s="69">
        <v>2</v>
      </c>
      <c r="B475" s="44"/>
      <c r="C475" s="44" t="s">
        <v>1052</v>
      </c>
      <c r="D475" s="91" t="s">
        <v>1060</v>
      </c>
      <c r="E475" s="40" t="s">
        <v>116</v>
      </c>
      <c r="F475" s="298" t="s">
        <v>1054</v>
      </c>
      <c r="G475" s="88" t="s">
        <v>9</v>
      </c>
      <c r="H475" s="301"/>
      <c r="I475" s="16"/>
      <c r="J475" s="116"/>
      <c r="K475" s="171">
        <v>6</v>
      </c>
      <c r="L475" s="1069"/>
      <c r="M475" s="192" t="s">
        <v>870</v>
      </c>
      <c r="N475" s="897" t="s">
        <v>1023</v>
      </c>
      <c r="O475" s="900"/>
      <c r="P475" s="41"/>
      <c r="Q475" s="74" t="s">
        <v>886</v>
      </c>
    </row>
    <row r="476" spans="1:17" x14ac:dyDescent="0.2">
      <c r="A476" s="69">
        <v>2</v>
      </c>
      <c r="B476" s="44"/>
      <c r="G476" s="121" t="s">
        <v>608</v>
      </c>
      <c r="H476" s="123">
        <f>SUM(H475:H475)</f>
        <v>0</v>
      </c>
      <c r="I476" s="123">
        <f>SUM(I470:I475)</f>
        <v>59.5</v>
      </c>
      <c r="J476" s="123">
        <f t="shared" ref="J476:L476" si="56">SUM(J470:J475)</f>
        <v>41.5</v>
      </c>
      <c r="K476" s="123">
        <f t="shared" si="56"/>
        <v>16</v>
      </c>
      <c r="L476" s="1067">
        <f t="shared" si="56"/>
        <v>0</v>
      </c>
      <c r="M476" s="192"/>
      <c r="N476" s="1103"/>
      <c r="O476" s="313"/>
      <c r="P476" s="847"/>
      <c r="Q476" s="899"/>
    </row>
    <row r="477" spans="1:17" ht="22.5" x14ac:dyDescent="0.2">
      <c r="A477" s="69">
        <v>2</v>
      </c>
      <c r="B477" s="44"/>
      <c r="C477" s="44" t="s">
        <v>1061</v>
      </c>
      <c r="D477" s="1130" t="s">
        <v>121</v>
      </c>
      <c r="E477" s="40" t="s">
        <v>1062</v>
      </c>
      <c r="F477" s="298" t="s">
        <v>1063</v>
      </c>
      <c r="G477" s="69" t="s">
        <v>9</v>
      </c>
      <c r="H477" s="37"/>
      <c r="I477" s="16">
        <f>SUM(I479:I486)</f>
        <v>38</v>
      </c>
      <c r="J477" s="116">
        <f>SUM(J479:J486)</f>
        <v>98.5</v>
      </c>
      <c r="K477" s="116">
        <f t="shared" ref="K477:L477" si="57">SUM(K479:K486)</f>
        <v>40</v>
      </c>
      <c r="L477" s="177">
        <f t="shared" si="57"/>
        <v>0</v>
      </c>
      <c r="M477" s="192" t="s">
        <v>870</v>
      </c>
      <c r="N477" s="898"/>
      <c r="O477" s="901"/>
      <c r="P477" s="39"/>
      <c r="Q477" s="74"/>
    </row>
    <row r="478" spans="1:17" x14ac:dyDescent="0.2">
      <c r="A478" s="69">
        <v>2</v>
      </c>
      <c r="B478" s="44"/>
      <c r="C478" s="44"/>
      <c r="D478" s="35"/>
      <c r="E478" s="40"/>
      <c r="F478" s="298"/>
      <c r="G478" s="121" t="s">
        <v>608</v>
      </c>
      <c r="H478" s="123">
        <f>SUM(H477:H477)</f>
        <v>0</v>
      </c>
      <c r="I478" s="123">
        <f>SUM(I477)</f>
        <v>38</v>
      </c>
      <c r="J478" s="123">
        <f t="shared" ref="J478:L478" si="58">SUM(J477)</f>
        <v>98.5</v>
      </c>
      <c r="K478" s="123">
        <f t="shared" si="58"/>
        <v>40</v>
      </c>
      <c r="L478" s="1067">
        <f t="shared" si="58"/>
        <v>0</v>
      </c>
      <c r="M478" s="192"/>
      <c r="N478" s="318"/>
      <c r="O478" s="304"/>
      <c r="P478" s="40"/>
      <c r="Q478" s="74"/>
    </row>
    <row r="479" spans="1:17" ht="22.5" x14ac:dyDescent="0.2">
      <c r="A479" s="69">
        <v>2</v>
      </c>
      <c r="B479" s="44"/>
      <c r="C479" s="44"/>
      <c r="D479" s="306" t="s">
        <v>1064</v>
      </c>
      <c r="E479" s="40" t="s">
        <v>130</v>
      </c>
      <c r="F479" s="298" t="s">
        <v>1063</v>
      </c>
      <c r="G479" s="69" t="s">
        <v>9</v>
      </c>
      <c r="H479" s="37"/>
      <c r="I479" s="16">
        <f>60-60</f>
        <v>0</v>
      </c>
      <c r="J479" s="116">
        <v>60</v>
      </c>
      <c r="K479" s="21"/>
      <c r="L479" s="57"/>
      <c r="M479" s="192"/>
      <c r="N479" s="318" t="s">
        <v>1065</v>
      </c>
      <c r="O479" s="91" t="s">
        <v>2311</v>
      </c>
      <c r="P479" s="119">
        <v>50</v>
      </c>
      <c r="Q479" s="74" t="s">
        <v>875</v>
      </c>
    </row>
    <row r="480" spans="1:17" ht="22.5" x14ac:dyDescent="0.2">
      <c r="A480" s="69">
        <v>2</v>
      </c>
      <c r="B480" s="44"/>
      <c r="C480" s="44"/>
      <c r="D480" s="307" t="s">
        <v>1066</v>
      </c>
      <c r="E480" s="40" t="s">
        <v>122</v>
      </c>
      <c r="F480" s="298" t="s">
        <v>1063</v>
      </c>
      <c r="G480" s="69" t="s">
        <v>9</v>
      </c>
      <c r="H480" s="37"/>
      <c r="I480" s="16">
        <v>6</v>
      </c>
      <c r="J480" s="116">
        <v>6.5</v>
      </c>
      <c r="K480" s="21"/>
      <c r="L480" s="57"/>
      <c r="M480" s="192"/>
      <c r="N480" s="318" t="s">
        <v>696</v>
      </c>
      <c r="O480" s="149" t="s">
        <v>1067</v>
      </c>
      <c r="P480" s="40">
        <v>3</v>
      </c>
      <c r="Q480" s="74" t="s">
        <v>875</v>
      </c>
    </row>
    <row r="481" spans="1:17" x14ac:dyDescent="0.2">
      <c r="A481" s="69">
        <v>2</v>
      </c>
      <c r="B481" s="44"/>
      <c r="C481" s="44"/>
      <c r="D481" s="308" t="s">
        <v>1068</v>
      </c>
      <c r="E481" s="40" t="s">
        <v>122</v>
      </c>
      <c r="F481" s="298" t="s">
        <v>1063</v>
      </c>
      <c r="G481" s="69" t="s">
        <v>9</v>
      </c>
      <c r="H481" s="37"/>
      <c r="I481" s="16">
        <v>11</v>
      </c>
      <c r="J481" s="116">
        <v>14</v>
      </c>
      <c r="K481" s="21"/>
      <c r="L481" s="57"/>
      <c r="M481" s="192"/>
      <c r="N481" s="318" t="s">
        <v>696</v>
      </c>
      <c r="O481" s="304"/>
      <c r="P481" s="40"/>
      <c r="Q481" s="74" t="s">
        <v>875</v>
      </c>
    </row>
    <row r="482" spans="1:17" x14ac:dyDescent="0.2">
      <c r="A482" s="69">
        <v>2</v>
      </c>
      <c r="B482" s="44"/>
      <c r="C482" s="44"/>
      <c r="D482" s="307" t="s">
        <v>1069</v>
      </c>
      <c r="E482" s="40" t="s">
        <v>122</v>
      </c>
      <c r="F482" s="298" t="s">
        <v>1063</v>
      </c>
      <c r="G482" s="69" t="s">
        <v>9</v>
      </c>
      <c r="H482" s="37"/>
      <c r="I482" s="16">
        <v>6</v>
      </c>
      <c r="J482" s="116">
        <v>10</v>
      </c>
      <c r="K482" s="22"/>
      <c r="L482" s="57"/>
      <c r="M482" s="192"/>
      <c r="N482" s="318" t="s">
        <v>696</v>
      </c>
      <c r="O482" s="304"/>
      <c r="P482" s="40"/>
      <c r="Q482" s="74" t="s">
        <v>875</v>
      </c>
    </row>
    <row r="483" spans="1:17" x14ac:dyDescent="0.2">
      <c r="A483" s="69">
        <v>2</v>
      </c>
      <c r="B483" s="44"/>
      <c r="C483" s="44"/>
      <c r="D483" s="308" t="s">
        <v>1070</v>
      </c>
      <c r="E483" s="40">
        <v>21</v>
      </c>
      <c r="F483" s="298" t="s">
        <v>1063</v>
      </c>
      <c r="G483" s="69" t="s">
        <v>9</v>
      </c>
      <c r="H483" s="37" t="s">
        <v>193</v>
      </c>
      <c r="I483" s="16"/>
      <c r="J483" s="116">
        <v>3</v>
      </c>
      <c r="K483" s="310"/>
      <c r="L483" s="23"/>
      <c r="M483" s="192"/>
      <c r="N483" s="318" t="s">
        <v>696</v>
      </c>
      <c r="O483" s="304"/>
      <c r="P483" s="40"/>
      <c r="Q483" s="74" t="s">
        <v>875</v>
      </c>
    </row>
    <row r="484" spans="1:17" x14ac:dyDescent="0.2">
      <c r="A484" s="69">
        <v>2</v>
      </c>
      <c r="B484" s="44"/>
      <c r="C484" s="44"/>
      <c r="D484" s="307" t="s">
        <v>1071</v>
      </c>
      <c r="E484" s="40">
        <v>21</v>
      </c>
      <c r="F484" s="298" t="s">
        <v>1063</v>
      </c>
      <c r="G484" s="69" t="s">
        <v>9</v>
      </c>
      <c r="H484" s="37" t="s">
        <v>193</v>
      </c>
      <c r="I484" s="16"/>
      <c r="J484" s="116">
        <v>5</v>
      </c>
      <c r="K484" s="310"/>
      <c r="L484" s="23"/>
      <c r="M484" s="192"/>
      <c r="N484" s="318" t="s">
        <v>696</v>
      </c>
      <c r="O484" s="304"/>
      <c r="P484" s="40"/>
      <c r="Q484" s="74" t="s">
        <v>875</v>
      </c>
    </row>
    <row r="485" spans="1:17" ht="22.5" x14ac:dyDescent="0.2">
      <c r="A485" s="69">
        <v>2</v>
      </c>
      <c r="B485" s="44"/>
      <c r="C485" s="44"/>
      <c r="D485" s="307" t="s">
        <v>1072</v>
      </c>
      <c r="E485" s="40" t="s">
        <v>122</v>
      </c>
      <c r="F485" s="298" t="s">
        <v>1063</v>
      </c>
      <c r="G485" s="69" t="s">
        <v>9</v>
      </c>
      <c r="H485" s="37"/>
      <c r="I485" s="16"/>
      <c r="J485" s="116"/>
      <c r="K485" s="1190">
        <v>40</v>
      </c>
      <c r="L485" s="23"/>
      <c r="M485" s="21"/>
      <c r="N485" s="1100" t="s">
        <v>696</v>
      </c>
      <c r="O485" s="280" t="s">
        <v>2310</v>
      </c>
      <c r="P485" s="40"/>
      <c r="Q485" s="74" t="s">
        <v>875</v>
      </c>
    </row>
    <row r="486" spans="1:17" x14ac:dyDescent="0.2">
      <c r="A486" s="69">
        <v>2</v>
      </c>
      <c r="B486" s="44"/>
      <c r="C486" s="44"/>
      <c r="D486" s="307" t="s">
        <v>1073</v>
      </c>
      <c r="E486" s="40">
        <v>21</v>
      </c>
      <c r="F486" s="298" t="s">
        <v>1063</v>
      </c>
      <c r="G486" s="69" t="s">
        <v>9</v>
      </c>
      <c r="H486" s="37"/>
      <c r="I486" s="16">
        <v>15</v>
      </c>
      <c r="J486" s="116"/>
      <c r="K486" s="310"/>
      <c r="L486" s="23"/>
      <c r="M486" s="192"/>
      <c r="N486" s="1100"/>
      <c r="O486" s="280"/>
      <c r="P486" s="40"/>
      <c r="Q486" s="74" t="s">
        <v>875</v>
      </c>
    </row>
    <row r="487" spans="1:17" ht="33.75" x14ac:dyDescent="0.2">
      <c r="A487" s="69">
        <v>2</v>
      </c>
      <c r="B487" s="44"/>
      <c r="C487" s="44" t="s">
        <v>1074</v>
      </c>
      <c r="D487" s="1484" t="s">
        <v>1075</v>
      </c>
      <c r="E487" s="40">
        <v>10</v>
      </c>
      <c r="F487" s="298" t="s">
        <v>1076</v>
      </c>
      <c r="G487" s="69" t="s">
        <v>9</v>
      </c>
      <c r="H487" s="37"/>
      <c r="I487" s="16">
        <v>5</v>
      </c>
      <c r="J487" s="116">
        <f>480-200-180-18</f>
        <v>82</v>
      </c>
      <c r="K487" s="12">
        <f>183+200+180</f>
        <v>563</v>
      </c>
      <c r="L487" s="46"/>
      <c r="M487" s="192" t="s">
        <v>2221</v>
      </c>
      <c r="N487" s="1104" t="s">
        <v>1077</v>
      </c>
      <c r="O487" s="1191" t="s">
        <v>2313</v>
      </c>
      <c r="P487" s="40">
        <v>20</v>
      </c>
      <c r="Q487" s="74" t="s">
        <v>878</v>
      </c>
    </row>
    <row r="488" spans="1:17" ht="22.5" x14ac:dyDescent="0.2">
      <c r="A488" s="69">
        <v>2</v>
      </c>
      <c r="B488" s="44"/>
      <c r="C488" s="44"/>
      <c r="D488" s="1485"/>
      <c r="E488" s="40" t="s">
        <v>40</v>
      </c>
      <c r="F488" s="298" t="s">
        <v>1076</v>
      </c>
      <c r="G488" s="69" t="s">
        <v>9</v>
      </c>
      <c r="H488" s="37"/>
      <c r="I488" s="16"/>
      <c r="J488" s="116">
        <f>18</f>
        <v>18</v>
      </c>
      <c r="K488" s="12"/>
      <c r="L488" s="46"/>
      <c r="M488" s="192" t="s">
        <v>2221</v>
      </c>
      <c r="N488" s="1100" t="s">
        <v>2249</v>
      </c>
      <c r="O488" s="280" t="s">
        <v>2314</v>
      </c>
      <c r="P488" s="40">
        <v>1</v>
      </c>
      <c r="Q488" s="74" t="s">
        <v>878</v>
      </c>
    </row>
    <row r="489" spans="1:17" ht="33.75" x14ac:dyDescent="0.2">
      <c r="A489" s="69">
        <v>2</v>
      </c>
      <c r="B489" s="44"/>
      <c r="C489" s="44"/>
      <c r="D489" s="1486"/>
      <c r="E489" s="40">
        <v>10</v>
      </c>
      <c r="F489" s="298" t="s">
        <v>1076</v>
      </c>
      <c r="G489" s="40" t="s">
        <v>58</v>
      </c>
      <c r="H489" s="37"/>
      <c r="I489" s="16"/>
      <c r="J489" s="116">
        <v>150</v>
      </c>
      <c r="K489" s="37">
        <v>128.1</v>
      </c>
      <c r="L489" s="46"/>
      <c r="M489" s="192" t="s">
        <v>2221</v>
      </c>
      <c r="N489" s="1104" t="s">
        <v>1078</v>
      </c>
      <c r="O489" s="280" t="s">
        <v>2312</v>
      </c>
      <c r="P489" s="40">
        <v>1</v>
      </c>
      <c r="Q489" s="74" t="s">
        <v>878</v>
      </c>
    </row>
    <row r="490" spans="1:17" x14ac:dyDescent="0.2">
      <c r="A490" s="69">
        <v>2</v>
      </c>
      <c r="B490" s="44"/>
      <c r="C490" s="44"/>
      <c r="D490" s="311"/>
      <c r="E490" s="40"/>
      <c r="F490" s="298"/>
      <c r="G490" s="121" t="s">
        <v>608</v>
      </c>
      <c r="H490" s="123">
        <f>SUM(H489:H489)</f>
        <v>0</v>
      </c>
      <c r="I490" s="123">
        <f>SUM(I487:I489)</f>
        <v>5</v>
      </c>
      <c r="J490" s="123">
        <f t="shared" ref="J490:L490" si="59">SUM(J487:J489)</f>
        <v>250</v>
      </c>
      <c r="K490" s="123">
        <f t="shared" si="59"/>
        <v>691.1</v>
      </c>
      <c r="L490" s="1067">
        <f t="shared" si="59"/>
        <v>0</v>
      </c>
      <c r="M490" s="192"/>
      <c r="N490" s="1104"/>
      <c r="O490" s="285"/>
      <c r="P490" s="40"/>
      <c r="Q490" s="74"/>
    </row>
    <row r="491" spans="1:17" x14ac:dyDescent="0.2">
      <c r="A491" s="69">
        <v>2</v>
      </c>
      <c r="B491" s="44"/>
      <c r="C491" s="44" t="s">
        <v>1079</v>
      </c>
      <c r="D491" s="1484" t="s">
        <v>1080</v>
      </c>
      <c r="E491" s="40" t="s">
        <v>116</v>
      </c>
      <c r="F491" s="298" t="s">
        <v>1081</v>
      </c>
      <c r="G491" s="69" t="s">
        <v>9</v>
      </c>
      <c r="H491" s="37"/>
      <c r="I491" s="16">
        <v>4</v>
      </c>
      <c r="J491" s="116">
        <f>108.5-50+50</f>
        <v>108.5</v>
      </c>
      <c r="K491" s="37">
        <f>30+50-50</f>
        <v>30</v>
      </c>
      <c r="L491" s="46">
        <v>6</v>
      </c>
      <c r="M491" s="192" t="s">
        <v>787</v>
      </c>
      <c r="N491" s="318" t="s">
        <v>1023</v>
      </c>
      <c r="O491" s="149"/>
      <c r="P491" s="40"/>
      <c r="Q491" s="74"/>
    </row>
    <row r="492" spans="1:17" x14ac:dyDescent="0.2">
      <c r="A492" s="69">
        <v>2</v>
      </c>
      <c r="B492" s="44"/>
      <c r="C492" s="44"/>
      <c r="D492" s="1486"/>
      <c r="E492" s="40" t="s">
        <v>116</v>
      </c>
      <c r="F492" s="298" t="s">
        <v>1081</v>
      </c>
      <c r="G492" s="40" t="s">
        <v>58</v>
      </c>
      <c r="H492" s="37"/>
      <c r="I492" s="16"/>
      <c r="J492" s="116">
        <v>53</v>
      </c>
      <c r="K492" s="37">
        <v>51</v>
      </c>
      <c r="L492" s="46">
        <v>13</v>
      </c>
      <c r="M492" s="192"/>
      <c r="N492" s="318"/>
      <c r="O492" s="149"/>
      <c r="P492" s="40"/>
      <c r="Q492" s="74"/>
    </row>
    <row r="493" spans="1:17" x14ac:dyDescent="0.2">
      <c r="A493" s="69">
        <v>2</v>
      </c>
      <c r="B493" s="44"/>
      <c r="C493" s="44"/>
      <c r="D493" s="311"/>
      <c r="E493" s="40"/>
      <c r="F493" s="298"/>
      <c r="G493" s="121" t="s">
        <v>608</v>
      </c>
      <c r="H493" s="123">
        <f>SUM(H492:H492)</f>
        <v>0</v>
      </c>
      <c r="I493" s="123">
        <f>SUM(I491:I492)</f>
        <v>4</v>
      </c>
      <c r="J493" s="123">
        <f t="shared" ref="J493:L493" si="60">SUM(J491:J492)</f>
        <v>161.5</v>
      </c>
      <c r="K493" s="123">
        <f t="shared" si="60"/>
        <v>81</v>
      </c>
      <c r="L493" s="1067">
        <f t="shared" si="60"/>
        <v>19</v>
      </c>
      <c r="M493" s="192"/>
      <c r="N493" s="318"/>
      <c r="O493" s="149"/>
      <c r="P493" s="40"/>
      <c r="Q493" s="74"/>
    </row>
    <row r="494" spans="1:17" ht="22.5" x14ac:dyDescent="0.2">
      <c r="A494" s="69">
        <v>2</v>
      </c>
      <c r="B494" s="44"/>
      <c r="C494" s="44" t="s">
        <v>1082</v>
      </c>
      <c r="D494" s="1484" t="s">
        <v>1083</v>
      </c>
      <c r="E494" s="40">
        <v>10</v>
      </c>
      <c r="F494" s="298" t="s">
        <v>1084</v>
      </c>
      <c r="G494" s="69" t="s">
        <v>9</v>
      </c>
      <c r="H494" s="37"/>
      <c r="I494" s="16"/>
      <c r="J494" s="116">
        <f>30-15-3</f>
        <v>12</v>
      </c>
      <c r="K494" s="37"/>
      <c r="L494" s="46"/>
      <c r="M494" s="192" t="s">
        <v>870</v>
      </c>
      <c r="N494" s="1192" t="s">
        <v>1044</v>
      </c>
      <c r="O494" s="149" t="s">
        <v>2315</v>
      </c>
      <c r="P494" s="40">
        <v>1</v>
      </c>
      <c r="Q494" s="74"/>
    </row>
    <row r="495" spans="1:17" x14ac:dyDescent="0.2">
      <c r="A495" s="69">
        <v>2</v>
      </c>
      <c r="B495" s="44"/>
      <c r="C495" s="44"/>
      <c r="D495" s="1485"/>
      <c r="E495" s="40" t="s">
        <v>116</v>
      </c>
      <c r="F495" s="298" t="s">
        <v>1084</v>
      </c>
      <c r="G495" s="69" t="s">
        <v>9</v>
      </c>
      <c r="H495" s="37"/>
      <c r="I495" s="16"/>
      <c r="J495" s="116">
        <v>5</v>
      </c>
      <c r="K495" s="37"/>
      <c r="L495" s="46"/>
      <c r="M495" s="192"/>
      <c r="N495" s="318"/>
      <c r="O495" s="149"/>
      <c r="P495" s="40"/>
      <c r="Q495" s="74"/>
    </row>
    <row r="496" spans="1:17" x14ac:dyDescent="0.2">
      <c r="A496" s="69">
        <v>2</v>
      </c>
      <c r="B496" s="44"/>
      <c r="C496" s="44"/>
      <c r="D496" s="1486"/>
      <c r="E496" s="40" t="s">
        <v>642</v>
      </c>
      <c r="F496" s="298" t="s">
        <v>1084</v>
      </c>
      <c r="G496" s="69" t="s">
        <v>9</v>
      </c>
      <c r="H496" s="37"/>
      <c r="I496" s="16"/>
      <c r="J496" s="116">
        <f>10+8</f>
        <v>18</v>
      </c>
      <c r="K496" s="37"/>
      <c r="L496" s="46"/>
      <c r="M496" s="192"/>
      <c r="N496" s="318"/>
      <c r="O496" s="149"/>
      <c r="P496" s="40"/>
      <c r="Q496" s="74"/>
    </row>
    <row r="497" spans="1:17" x14ac:dyDescent="0.2">
      <c r="A497" s="69">
        <v>2</v>
      </c>
      <c r="B497" s="44"/>
      <c r="C497" s="44"/>
      <c r="D497" s="312"/>
      <c r="E497" s="40"/>
      <c r="F497" s="298"/>
      <c r="G497" s="121" t="s">
        <v>608</v>
      </c>
      <c r="H497" s="123">
        <f>SUM(H494:H494)</f>
        <v>0</v>
      </c>
      <c r="I497" s="123">
        <f>SUM(I494:I496)</f>
        <v>0</v>
      </c>
      <c r="J497" s="123">
        <f t="shared" ref="J497:L497" si="61">SUM(J494:J496)</f>
        <v>35</v>
      </c>
      <c r="K497" s="123">
        <f t="shared" si="61"/>
        <v>0</v>
      </c>
      <c r="L497" s="1067">
        <f t="shared" si="61"/>
        <v>0</v>
      </c>
      <c r="M497" s="192"/>
      <c r="N497" s="318"/>
      <c r="O497" s="149"/>
      <c r="P497" s="40"/>
      <c r="Q497" s="74"/>
    </row>
    <row r="498" spans="1:17" ht="22.5" x14ac:dyDescent="0.2">
      <c r="A498" s="69">
        <v>2</v>
      </c>
      <c r="B498" s="44"/>
      <c r="C498" s="44" t="s">
        <v>1085</v>
      </c>
      <c r="D498" s="1130" t="s">
        <v>1086</v>
      </c>
      <c r="E498" s="40">
        <v>26</v>
      </c>
      <c r="F498" s="298" t="s">
        <v>1087</v>
      </c>
      <c r="G498" s="69" t="s">
        <v>9</v>
      </c>
      <c r="H498" s="37"/>
      <c r="I498" s="16"/>
      <c r="J498" s="116">
        <v>40</v>
      </c>
      <c r="K498" s="37"/>
      <c r="L498" s="46"/>
      <c r="M498" s="192" t="s">
        <v>787</v>
      </c>
      <c r="N498" s="1105" t="s">
        <v>1088</v>
      </c>
      <c r="O498" s="149" t="s">
        <v>2298</v>
      </c>
      <c r="P498" s="314">
        <v>1</v>
      </c>
      <c r="Q498" s="74" t="s">
        <v>878</v>
      </c>
    </row>
    <row r="499" spans="1:17" ht="22.5" x14ac:dyDescent="0.2">
      <c r="A499" s="69">
        <v>2</v>
      </c>
      <c r="B499" s="44"/>
      <c r="C499" s="44"/>
      <c r="D499" s="312"/>
      <c r="E499" s="40">
        <v>26</v>
      </c>
      <c r="F499" s="298" t="s">
        <v>1087</v>
      </c>
      <c r="G499" s="40" t="s">
        <v>58</v>
      </c>
      <c r="H499" s="37"/>
      <c r="I499" s="16"/>
      <c r="J499" s="116">
        <v>40</v>
      </c>
      <c r="K499" s="37"/>
      <c r="L499" s="46"/>
      <c r="M499" s="192"/>
      <c r="N499" s="1105" t="s">
        <v>1088</v>
      </c>
      <c r="O499" s="315"/>
      <c r="P499" s="40"/>
      <c r="Q499" s="74" t="s">
        <v>878</v>
      </c>
    </row>
    <row r="500" spans="1:17" x14ac:dyDescent="0.2">
      <c r="A500" s="69">
        <v>2</v>
      </c>
      <c r="B500" s="44"/>
      <c r="C500" s="44"/>
      <c r="D500" s="312"/>
      <c r="E500" s="40"/>
      <c r="F500" s="298"/>
      <c r="G500" s="121" t="s">
        <v>608</v>
      </c>
      <c r="H500" s="123">
        <f>SUM(H499:H499)</f>
        <v>0</v>
      </c>
      <c r="I500" s="123">
        <f>SUM(I498:I499)</f>
        <v>0</v>
      </c>
      <c r="J500" s="123">
        <f t="shared" ref="J500:L500" si="62">SUM(J498:J499)</f>
        <v>80</v>
      </c>
      <c r="K500" s="123">
        <f t="shared" si="62"/>
        <v>0</v>
      </c>
      <c r="L500" s="1067">
        <f t="shared" si="62"/>
        <v>0</v>
      </c>
      <c r="M500" s="192"/>
      <c r="N500" s="318"/>
      <c r="O500" s="149"/>
      <c r="P500" s="40"/>
      <c r="Q500" s="74"/>
    </row>
    <row r="501" spans="1:17" ht="22.5" x14ac:dyDescent="0.2">
      <c r="A501" s="69">
        <v>2</v>
      </c>
      <c r="B501" s="44"/>
      <c r="C501" s="44" t="s">
        <v>2435</v>
      </c>
      <c r="D501" s="1130" t="s">
        <v>2432</v>
      </c>
      <c r="E501" s="40">
        <v>10</v>
      </c>
      <c r="F501" s="298" t="s">
        <v>2433</v>
      </c>
      <c r="G501" s="69" t="s">
        <v>9</v>
      </c>
      <c r="H501" s="37"/>
      <c r="I501" s="16"/>
      <c r="J501" s="116">
        <v>8.3000000000000007</v>
      </c>
      <c r="K501" s="116"/>
      <c r="L501" s="177"/>
      <c r="M501" s="192" t="s">
        <v>782</v>
      </c>
      <c r="N501" s="318" t="s">
        <v>2434</v>
      </c>
      <c r="O501" s="149" t="s">
        <v>2441</v>
      </c>
      <c r="P501" s="40">
        <v>100</v>
      </c>
      <c r="Q501" s="74"/>
    </row>
    <row r="502" spans="1:17" x14ac:dyDescent="0.2">
      <c r="A502" s="69">
        <v>2</v>
      </c>
      <c r="B502" s="44"/>
      <c r="C502" s="44"/>
      <c r="D502" s="35"/>
      <c r="E502" s="40"/>
      <c r="F502" s="298"/>
      <c r="G502" s="121" t="s">
        <v>608</v>
      </c>
      <c r="H502" s="123">
        <f>SUM(H501:H501)</f>
        <v>0</v>
      </c>
      <c r="I502" s="123">
        <f>SUM(I501)</f>
        <v>0</v>
      </c>
      <c r="J502" s="123">
        <f t="shared" ref="J502:L502" si="63">SUM(J501)</f>
        <v>8.3000000000000007</v>
      </c>
      <c r="K502" s="123">
        <f t="shared" si="63"/>
        <v>0</v>
      </c>
      <c r="L502" s="1067">
        <f t="shared" si="63"/>
        <v>0</v>
      </c>
      <c r="M502" s="192"/>
      <c r="N502" s="318"/>
      <c r="O502" s="149"/>
      <c r="P502" s="40"/>
      <c r="Q502" s="74"/>
    </row>
    <row r="503" spans="1:17" ht="33.75" x14ac:dyDescent="0.2">
      <c r="A503" s="69">
        <v>2</v>
      </c>
      <c r="B503" s="107"/>
      <c r="C503" s="107"/>
      <c r="D503" s="108" t="s">
        <v>1089</v>
      </c>
      <c r="E503" s="109"/>
      <c r="F503" s="110"/>
      <c r="G503" s="109"/>
      <c r="H503" s="109"/>
      <c r="I503" s="109"/>
      <c r="J503" s="109"/>
      <c r="K503" s="109"/>
      <c r="L503" s="1065"/>
      <c r="M503" s="192"/>
      <c r="N503" s="318"/>
      <c r="O503" s="304"/>
      <c r="P503" s="40"/>
      <c r="Q503" s="74"/>
    </row>
    <row r="504" spans="1:17" ht="33.75" x14ac:dyDescent="0.2">
      <c r="A504" s="69">
        <v>2</v>
      </c>
      <c r="B504" s="142" t="s">
        <v>1090</v>
      </c>
      <c r="C504" s="142" t="s">
        <v>1090</v>
      </c>
      <c r="D504" s="191" t="s">
        <v>123</v>
      </c>
      <c r="E504" s="148"/>
      <c r="F504" s="81"/>
      <c r="G504" s="192"/>
      <c r="H504" s="7"/>
      <c r="I504" s="302">
        <f>I506+I508</f>
        <v>49.5</v>
      </c>
      <c r="J504" s="144">
        <f>J506+J508</f>
        <v>25</v>
      </c>
      <c r="K504" s="8">
        <f>K506+K508</f>
        <v>20</v>
      </c>
      <c r="L504" s="9">
        <f>L506+L508</f>
        <v>20</v>
      </c>
      <c r="M504" s="192"/>
      <c r="N504" s="318"/>
      <c r="O504" s="304"/>
      <c r="P504" s="40"/>
      <c r="Q504" s="74"/>
    </row>
    <row r="505" spans="1:17" ht="22.5" x14ac:dyDescent="0.2">
      <c r="A505" s="69">
        <v>2</v>
      </c>
      <c r="B505" s="160"/>
      <c r="C505" s="160" t="s">
        <v>1091</v>
      </c>
      <c r="D505" s="201" t="s">
        <v>1092</v>
      </c>
      <c r="E505" s="81">
        <v>2</v>
      </c>
      <c r="F505" s="298" t="s">
        <v>124</v>
      </c>
      <c r="G505" s="69" t="s">
        <v>9</v>
      </c>
      <c r="H505" s="101">
        <v>23.2</v>
      </c>
      <c r="I505" s="301">
        <v>41</v>
      </c>
      <c r="J505" s="161">
        <v>5</v>
      </c>
      <c r="K505" s="3">
        <v>5</v>
      </c>
      <c r="L505" s="1090">
        <v>5</v>
      </c>
      <c r="M505" s="298" t="s">
        <v>787</v>
      </c>
      <c r="N505" s="318" t="s">
        <v>1065</v>
      </c>
      <c r="O505" s="316" t="s">
        <v>1093</v>
      </c>
      <c r="P505" s="83">
        <v>1</v>
      </c>
      <c r="Q505" s="74" t="s">
        <v>799</v>
      </c>
    </row>
    <row r="506" spans="1:17" x14ac:dyDescent="0.2">
      <c r="A506" s="69">
        <v>2</v>
      </c>
      <c r="B506" s="44"/>
      <c r="C506" s="160" t="s">
        <v>1091</v>
      </c>
      <c r="D506" s="48"/>
      <c r="E506" s="40">
        <v>2</v>
      </c>
      <c r="F506" s="298" t="s">
        <v>124</v>
      </c>
      <c r="G506" s="121" t="s">
        <v>608</v>
      </c>
      <c r="H506" s="123">
        <f>SUM(H505:H505)</f>
        <v>23.2</v>
      </c>
      <c r="I506" s="123">
        <f>SUM(I505:I505)</f>
        <v>41</v>
      </c>
      <c r="J506" s="123">
        <f t="shared" ref="J506:L506" si="64">SUM(J505:J505)</f>
        <v>5</v>
      </c>
      <c r="K506" s="123">
        <f t="shared" si="64"/>
        <v>5</v>
      </c>
      <c r="L506" s="1067">
        <f t="shared" si="64"/>
        <v>5</v>
      </c>
      <c r="M506" s="192"/>
      <c r="N506" s="318"/>
      <c r="O506" s="149"/>
      <c r="P506" s="40"/>
      <c r="Q506" s="74"/>
    </row>
    <row r="507" spans="1:17" x14ac:dyDescent="0.2">
      <c r="A507" s="69">
        <v>2</v>
      </c>
      <c r="B507" s="44"/>
      <c r="C507" s="44" t="s">
        <v>1094</v>
      </c>
      <c r="D507" s="48" t="s">
        <v>125</v>
      </c>
      <c r="E507" s="40">
        <v>38</v>
      </c>
      <c r="F507" s="40" t="s">
        <v>2469</v>
      </c>
      <c r="G507" s="69" t="s">
        <v>9</v>
      </c>
      <c r="H507" s="124"/>
      <c r="I507" s="16">
        <v>8.5</v>
      </c>
      <c r="J507" s="116">
        <v>20</v>
      </c>
      <c r="K507" s="37">
        <v>15</v>
      </c>
      <c r="L507" s="46">
        <v>15</v>
      </c>
      <c r="M507" s="192" t="s">
        <v>796</v>
      </c>
      <c r="N507" s="318" t="s">
        <v>2477</v>
      </c>
      <c r="O507" s="189" t="s">
        <v>1095</v>
      </c>
      <c r="P507" s="190">
        <v>10</v>
      </c>
      <c r="Q507" s="74"/>
    </row>
    <row r="508" spans="1:17" x14ac:dyDescent="0.2">
      <c r="A508" s="69">
        <v>2</v>
      </c>
      <c r="B508" s="44"/>
      <c r="C508" s="44" t="s">
        <v>1094</v>
      </c>
      <c r="D508" s="48"/>
      <c r="E508" s="40">
        <v>38</v>
      </c>
      <c r="F508" s="40" t="s">
        <v>2469</v>
      </c>
      <c r="G508" s="121" t="s">
        <v>608</v>
      </c>
      <c r="H508" s="123">
        <f>SUM(H507)</f>
        <v>0</v>
      </c>
      <c r="I508" s="123">
        <f>SUM(I507)</f>
        <v>8.5</v>
      </c>
      <c r="J508" s="123">
        <f t="shared" ref="J508:L508" si="65">SUM(J507)</f>
        <v>20</v>
      </c>
      <c r="K508" s="123">
        <f t="shared" si="65"/>
        <v>15</v>
      </c>
      <c r="L508" s="1067">
        <f t="shared" si="65"/>
        <v>15</v>
      </c>
      <c r="M508" s="192"/>
      <c r="N508" s="318"/>
      <c r="O508" s="304"/>
      <c r="P508" s="40"/>
      <c r="Q508" s="74"/>
    </row>
    <row r="509" spans="1:17" ht="33.75" x14ac:dyDescent="0.2">
      <c r="A509" s="69">
        <v>2</v>
      </c>
      <c r="B509" s="142" t="s">
        <v>1096</v>
      </c>
      <c r="C509" s="142" t="s">
        <v>1096</v>
      </c>
      <c r="D509" s="191" t="s">
        <v>126</v>
      </c>
      <c r="E509" s="148"/>
      <c r="F509" s="81"/>
      <c r="G509" s="192"/>
      <c r="H509" s="7"/>
      <c r="I509" s="302">
        <f>I512+I522</f>
        <v>190.3</v>
      </c>
      <c r="J509" s="144">
        <f>J512+J522</f>
        <v>835.3</v>
      </c>
      <c r="K509" s="8">
        <f>K512+K522</f>
        <v>325</v>
      </c>
      <c r="L509" s="9">
        <f>L512+L522</f>
        <v>560</v>
      </c>
      <c r="M509" s="192"/>
      <c r="N509" s="897"/>
      <c r="O509" s="304"/>
      <c r="P509" s="40"/>
      <c r="Q509" s="74"/>
    </row>
    <row r="510" spans="1:17" ht="22.5" x14ac:dyDescent="0.2">
      <c r="A510" s="69">
        <v>2</v>
      </c>
      <c r="B510" s="44"/>
      <c r="C510" s="44" t="s">
        <v>1097</v>
      </c>
      <c r="D510" s="1130" t="s">
        <v>127</v>
      </c>
      <c r="E510" s="40">
        <v>2</v>
      </c>
      <c r="F510" s="48" t="s">
        <v>128</v>
      </c>
      <c r="G510" s="69" t="s">
        <v>9</v>
      </c>
      <c r="H510" s="317">
        <v>17.7</v>
      </c>
      <c r="I510" s="16">
        <f>SUM(I513,I514,I515,I516,I518,I519)</f>
        <v>52</v>
      </c>
      <c r="J510" s="116">
        <f t="shared" ref="J510:L510" si="66">SUM(J513,J514,J515,J516,J518,J519)</f>
        <v>148</v>
      </c>
      <c r="K510" s="116">
        <f t="shared" si="66"/>
        <v>130</v>
      </c>
      <c r="L510" s="177">
        <f t="shared" si="66"/>
        <v>360</v>
      </c>
      <c r="M510" s="298"/>
      <c r="N510" s="1106"/>
      <c r="O510" s="895"/>
      <c r="P510" s="40"/>
      <c r="Q510" s="74"/>
    </row>
    <row r="511" spans="1:17" x14ac:dyDescent="0.2">
      <c r="A511" s="69">
        <v>2</v>
      </c>
      <c r="B511" s="44"/>
      <c r="C511" s="44"/>
      <c r="D511" s="35"/>
      <c r="E511" s="40">
        <v>2</v>
      </c>
      <c r="F511" s="48" t="s">
        <v>128</v>
      </c>
      <c r="G511" s="69" t="s">
        <v>323</v>
      </c>
      <c r="H511" s="317"/>
      <c r="I511" s="16">
        <f>I517</f>
        <v>0</v>
      </c>
      <c r="J511" s="116">
        <f t="shared" ref="J511:L511" si="67">J517</f>
        <v>0</v>
      </c>
      <c r="K511" s="116">
        <f t="shared" si="67"/>
        <v>0</v>
      </c>
      <c r="L511" s="177">
        <f t="shared" si="67"/>
        <v>100</v>
      </c>
      <c r="M511" s="298"/>
      <c r="N511" s="1106"/>
      <c r="O511" s="895"/>
      <c r="P511" s="40"/>
      <c r="Q511" s="74"/>
    </row>
    <row r="512" spans="1:17" x14ac:dyDescent="0.2">
      <c r="A512" s="69">
        <v>2</v>
      </c>
      <c r="B512" s="44"/>
      <c r="C512" s="44"/>
      <c r="D512" s="48"/>
      <c r="E512" s="40"/>
      <c r="F512" s="48" t="s">
        <v>128</v>
      </c>
      <c r="G512" s="121" t="s">
        <v>608</v>
      </c>
      <c r="H512" s="123">
        <f>SUM(H510)</f>
        <v>17.7</v>
      </c>
      <c r="I512" s="123">
        <f>SUM(I510:I511)</f>
        <v>52</v>
      </c>
      <c r="J512" s="123">
        <f t="shared" ref="J512:L512" si="68">SUM(J510:J511)</f>
        <v>148</v>
      </c>
      <c r="K512" s="123">
        <f t="shared" si="68"/>
        <v>130</v>
      </c>
      <c r="L512" s="1067">
        <f t="shared" si="68"/>
        <v>460</v>
      </c>
      <c r="M512" s="298"/>
      <c r="N512" s="1106"/>
      <c r="O512" s="879"/>
      <c r="P512" s="40"/>
      <c r="Q512" s="74"/>
    </row>
    <row r="513" spans="1:17" x14ac:dyDescent="0.2">
      <c r="A513" s="69">
        <v>2</v>
      </c>
      <c r="B513" s="44"/>
      <c r="C513" s="44" t="s">
        <v>1098</v>
      </c>
      <c r="D513" s="184" t="s">
        <v>1099</v>
      </c>
      <c r="E513" s="40">
        <v>2</v>
      </c>
      <c r="F513" s="48" t="s">
        <v>128</v>
      </c>
      <c r="G513" s="69" t="s">
        <v>9</v>
      </c>
      <c r="H513" s="37"/>
      <c r="I513" s="16">
        <v>23</v>
      </c>
      <c r="J513" s="116"/>
      <c r="K513" s="37"/>
      <c r="L513" s="46"/>
      <c r="M513" s="298" t="s">
        <v>787</v>
      </c>
      <c r="N513" s="896"/>
      <c r="O513" s="300"/>
      <c r="P513" s="40"/>
      <c r="Q513" s="74" t="s">
        <v>878</v>
      </c>
    </row>
    <row r="514" spans="1:17" ht="22.5" x14ac:dyDescent="0.2">
      <c r="A514" s="69">
        <v>2</v>
      </c>
      <c r="B514" s="44"/>
      <c r="C514" s="44" t="s">
        <v>1102</v>
      </c>
      <c r="D514" s="184" t="s">
        <v>1103</v>
      </c>
      <c r="E514" s="40">
        <v>2</v>
      </c>
      <c r="F514" s="48" t="s">
        <v>128</v>
      </c>
      <c r="G514" s="69" t="s">
        <v>9</v>
      </c>
      <c r="H514" s="37"/>
      <c r="I514" s="16">
        <v>29</v>
      </c>
      <c r="J514" s="116">
        <v>68</v>
      </c>
      <c r="K514" s="37"/>
      <c r="L514" s="46"/>
      <c r="M514" s="298" t="s">
        <v>787</v>
      </c>
      <c r="N514" s="319" t="s">
        <v>1104</v>
      </c>
      <c r="O514" s="149" t="s">
        <v>1101</v>
      </c>
      <c r="P514" s="40">
        <v>1</v>
      </c>
      <c r="Q514" s="74"/>
    </row>
    <row r="515" spans="1:17" ht="33.75" x14ac:dyDescent="0.2">
      <c r="A515" s="69">
        <v>2</v>
      </c>
      <c r="B515" s="44"/>
      <c r="C515" s="44" t="s">
        <v>1105</v>
      </c>
      <c r="D515" s="184" t="s">
        <v>1106</v>
      </c>
      <c r="E515" s="40">
        <v>2</v>
      </c>
      <c r="F515" s="48" t="s">
        <v>128</v>
      </c>
      <c r="G515" s="69" t="s">
        <v>9</v>
      </c>
      <c r="H515" s="37"/>
      <c r="I515" s="16">
        <f>30-30</f>
        <v>0</v>
      </c>
      <c r="J515" s="116">
        <f>40-40</f>
        <v>0</v>
      </c>
      <c r="K515" s="16">
        <f>100+40-100</f>
        <v>40</v>
      </c>
      <c r="L515" s="32">
        <f>60+100</f>
        <v>160</v>
      </c>
      <c r="M515" s="298" t="s">
        <v>2221</v>
      </c>
      <c r="N515" s="319" t="s">
        <v>2316</v>
      </c>
      <c r="O515" s="300" t="s">
        <v>1107</v>
      </c>
      <c r="P515" s="69">
        <v>30</v>
      </c>
      <c r="Q515" s="74" t="s">
        <v>878</v>
      </c>
    </row>
    <row r="516" spans="1:17" ht="22.5" x14ac:dyDescent="0.2">
      <c r="A516" s="69">
        <v>2</v>
      </c>
      <c r="B516" s="44"/>
      <c r="C516" s="44" t="s">
        <v>1108</v>
      </c>
      <c r="D516" s="184" t="s">
        <v>1109</v>
      </c>
      <c r="E516" s="40">
        <v>2</v>
      </c>
      <c r="F516" s="48" t="s">
        <v>128</v>
      </c>
      <c r="G516" s="69" t="s">
        <v>9</v>
      </c>
      <c r="H516" s="37"/>
      <c r="I516" s="16"/>
      <c r="J516" s="116">
        <f>70-50+20</f>
        <v>40</v>
      </c>
      <c r="K516" s="16">
        <f>70+50-100</f>
        <v>20</v>
      </c>
      <c r="L516" s="32">
        <f>70+100-100+80</f>
        <v>150</v>
      </c>
      <c r="M516" s="298" t="s">
        <v>870</v>
      </c>
      <c r="N516" s="319" t="s">
        <v>2317</v>
      </c>
      <c r="O516" s="300" t="s">
        <v>1107</v>
      </c>
      <c r="P516" s="69">
        <v>10</v>
      </c>
      <c r="Q516" s="74" t="s">
        <v>861</v>
      </c>
    </row>
    <row r="517" spans="1:17" ht="22.5" x14ac:dyDescent="0.2">
      <c r="A517" s="69">
        <v>2</v>
      </c>
      <c r="B517" s="44"/>
      <c r="C517" s="44" t="s">
        <v>1108</v>
      </c>
      <c r="D517" s="184"/>
      <c r="E517" s="40">
        <v>2</v>
      </c>
      <c r="F517" s="48" t="s">
        <v>128</v>
      </c>
      <c r="G517" s="69" t="s">
        <v>323</v>
      </c>
      <c r="H517" s="37"/>
      <c r="I517" s="16"/>
      <c r="J517" s="116"/>
      <c r="K517" s="16"/>
      <c r="L517" s="32">
        <v>100</v>
      </c>
      <c r="M517" s="298"/>
      <c r="N517" s="319" t="s">
        <v>2317</v>
      </c>
      <c r="O517" s="149"/>
      <c r="P517" s="40"/>
      <c r="Q517" s="74" t="s">
        <v>861</v>
      </c>
    </row>
    <row r="518" spans="1:17" x14ac:dyDescent="0.2">
      <c r="A518" s="69">
        <v>2</v>
      </c>
      <c r="B518" s="44"/>
      <c r="C518" s="44" t="s">
        <v>1110</v>
      </c>
      <c r="D518" s="320" t="s">
        <v>1111</v>
      </c>
      <c r="E518" s="40">
        <v>2</v>
      </c>
      <c r="F518" s="48" t="s">
        <v>128</v>
      </c>
      <c r="G518" s="69" t="s">
        <v>9</v>
      </c>
      <c r="H518" s="37"/>
      <c r="I518" s="16">
        <v>0</v>
      </c>
      <c r="J518" s="116">
        <v>10</v>
      </c>
      <c r="K518" s="37">
        <f>20+20</f>
        <v>40</v>
      </c>
      <c r="L518" s="46"/>
      <c r="M518" s="298" t="s">
        <v>787</v>
      </c>
      <c r="N518" s="319" t="s">
        <v>1100</v>
      </c>
      <c r="O518" s="149" t="s">
        <v>1107</v>
      </c>
      <c r="P518" s="40">
        <v>30</v>
      </c>
      <c r="Q518" s="74" t="s">
        <v>875</v>
      </c>
    </row>
    <row r="519" spans="1:17" ht="24" customHeight="1" x14ac:dyDescent="0.2">
      <c r="A519" s="69">
        <v>2</v>
      </c>
      <c r="B519" s="44"/>
      <c r="C519" s="44" t="s">
        <v>1112</v>
      </c>
      <c r="D519" s="320" t="s">
        <v>1113</v>
      </c>
      <c r="E519" s="40">
        <v>2</v>
      </c>
      <c r="F519" s="48" t="s">
        <v>128</v>
      </c>
      <c r="G519" s="69" t="s">
        <v>9</v>
      </c>
      <c r="H519" s="37"/>
      <c r="I519" s="16">
        <f>40-40</f>
        <v>0</v>
      </c>
      <c r="J519" s="116">
        <f>30</f>
        <v>30</v>
      </c>
      <c r="K519" s="16">
        <f>50-20</f>
        <v>30</v>
      </c>
      <c r="L519" s="32">
        <v>50</v>
      </c>
      <c r="M519" s="298" t="s">
        <v>870</v>
      </c>
      <c r="N519" s="319" t="s">
        <v>1100</v>
      </c>
      <c r="O519" s="149" t="s">
        <v>1107</v>
      </c>
      <c r="P519" s="40">
        <v>30</v>
      </c>
      <c r="Q519" s="74" t="s">
        <v>799</v>
      </c>
    </row>
    <row r="520" spans="1:17" ht="22.5" x14ac:dyDescent="0.2">
      <c r="A520" s="69">
        <v>2</v>
      </c>
      <c r="B520" s="44"/>
      <c r="C520" s="44" t="s">
        <v>1114</v>
      </c>
      <c r="D520" s="1130" t="s">
        <v>129</v>
      </c>
      <c r="E520" s="40" t="s">
        <v>2318</v>
      </c>
      <c r="F520" s="40" t="s">
        <v>131</v>
      </c>
      <c r="G520" s="69" t="s">
        <v>9</v>
      </c>
      <c r="H520" s="124">
        <v>141.19999999999999</v>
      </c>
      <c r="I520" s="16">
        <f>I523+I524+I525+I527+I529+I530+I531+I528</f>
        <v>138.30000000000001</v>
      </c>
      <c r="J520" s="116">
        <f t="shared" ref="J520:L520" si="69">J523+J524+J525+J527+J529+J530+J531+J528</f>
        <v>487.3</v>
      </c>
      <c r="K520" s="16">
        <f t="shared" si="69"/>
        <v>195</v>
      </c>
      <c r="L520" s="16">
        <f t="shared" si="69"/>
        <v>0</v>
      </c>
      <c r="M520" s="298"/>
      <c r="N520" s="318"/>
      <c r="O520" s="149"/>
      <c r="P520" s="40"/>
      <c r="Q520" s="74"/>
    </row>
    <row r="521" spans="1:17" x14ac:dyDescent="0.2">
      <c r="A521" s="69">
        <v>2</v>
      </c>
      <c r="B521" s="44"/>
      <c r="C521" s="44"/>
      <c r="D521" s="35"/>
      <c r="E521" s="40" t="s">
        <v>2318</v>
      </c>
      <c r="F521" s="40" t="s">
        <v>131</v>
      </c>
      <c r="G521" s="69" t="s">
        <v>323</v>
      </c>
      <c r="H521" s="124"/>
      <c r="I521" s="16">
        <f>I526+I532</f>
        <v>0</v>
      </c>
      <c r="J521" s="116">
        <f t="shared" ref="J521:L521" si="70">J526+J532</f>
        <v>200</v>
      </c>
      <c r="K521" s="116">
        <f t="shared" si="70"/>
        <v>0</v>
      </c>
      <c r="L521" s="177">
        <f t="shared" si="70"/>
        <v>100</v>
      </c>
      <c r="M521" s="298"/>
      <c r="N521" s="318"/>
      <c r="O521" s="149"/>
      <c r="P521" s="40"/>
      <c r="Q521" s="74"/>
    </row>
    <row r="522" spans="1:17" x14ac:dyDescent="0.2">
      <c r="A522" s="69">
        <v>2</v>
      </c>
      <c r="B522" s="44"/>
      <c r="C522" s="44" t="s">
        <v>1114</v>
      </c>
      <c r="D522" s="48"/>
      <c r="E522" s="40"/>
      <c r="F522" s="40" t="s">
        <v>131</v>
      </c>
      <c r="G522" s="121" t="s">
        <v>608</v>
      </c>
      <c r="H522" s="123">
        <f>SUM(H520)</f>
        <v>141.19999999999999</v>
      </c>
      <c r="I522" s="123">
        <f>SUM(I520:I521)</f>
        <v>138.30000000000001</v>
      </c>
      <c r="J522" s="123">
        <f t="shared" ref="J522:L522" si="71">SUM(J520:J521)</f>
        <v>687.3</v>
      </c>
      <c r="K522" s="123">
        <f t="shared" si="71"/>
        <v>195</v>
      </c>
      <c r="L522" s="1067">
        <f t="shared" si="71"/>
        <v>100</v>
      </c>
      <c r="M522" s="298"/>
      <c r="N522" s="318"/>
      <c r="O522" s="149"/>
      <c r="P522" s="40"/>
      <c r="Q522" s="74"/>
    </row>
    <row r="523" spans="1:17" ht="56.25" x14ac:dyDescent="0.2">
      <c r="A523" s="69">
        <v>2</v>
      </c>
      <c r="B523" s="44"/>
      <c r="C523" s="44" t="s">
        <v>1116</v>
      </c>
      <c r="D523" s="321" t="s">
        <v>1117</v>
      </c>
      <c r="E523" s="40" t="s">
        <v>130</v>
      </c>
      <c r="F523" s="40" t="s">
        <v>131</v>
      </c>
      <c r="G523" s="69" t="s">
        <v>9</v>
      </c>
      <c r="H523" s="37"/>
      <c r="I523" s="16">
        <f>154.5-135</f>
        <v>19.5</v>
      </c>
      <c r="J523" s="116">
        <v>172</v>
      </c>
      <c r="K523" s="46"/>
      <c r="L523" s="322"/>
      <c r="M523" s="298" t="s">
        <v>787</v>
      </c>
      <c r="N523" s="318" t="s">
        <v>1118</v>
      </c>
      <c r="O523" s="149" t="s">
        <v>1119</v>
      </c>
      <c r="P523" s="40">
        <v>1</v>
      </c>
      <c r="Q523" s="74" t="s">
        <v>861</v>
      </c>
    </row>
    <row r="524" spans="1:17" ht="33.75" x14ac:dyDescent="0.2">
      <c r="A524" s="69">
        <v>2</v>
      </c>
      <c r="B524" s="44"/>
      <c r="C524" s="44" t="s">
        <v>1120</v>
      </c>
      <c r="D524" s="321" t="s">
        <v>1121</v>
      </c>
      <c r="E524" s="40" t="s">
        <v>130</v>
      </c>
      <c r="F524" s="40" t="s">
        <v>131</v>
      </c>
      <c r="G524" s="69" t="s">
        <v>9</v>
      </c>
      <c r="H524" s="37"/>
      <c r="I524" s="16">
        <v>94.8</v>
      </c>
      <c r="J524" s="116">
        <v>3</v>
      </c>
      <c r="K524" s="46"/>
      <c r="L524" s="322"/>
      <c r="M524" s="298" t="s">
        <v>787</v>
      </c>
      <c r="N524" s="897" t="s">
        <v>1118</v>
      </c>
      <c r="O524" s="149" t="s">
        <v>1122</v>
      </c>
      <c r="P524" s="40">
        <v>1</v>
      </c>
      <c r="Q524" s="74" t="s">
        <v>861</v>
      </c>
    </row>
    <row r="525" spans="1:17" ht="22.5" x14ac:dyDescent="0.2">
      <c r="A525" s="69">
        <v>2</v>
      </c>
      <c r="B525" s="44"/>
      <c r="C525" s="44" t="s">
        <v>1123</v>
      </c>
      <c r="D525" s="323" t="s">
        <v>1124</v>
      </c>
      <c r="E525" s="324">
        <v>36</v>
      </c>
      <c r="F525" s="40" t="s">
        <v>131</v>
      </c>
      <c r="G525" s="69" t="s">
        <v>9</v>
      </c>
      <c r="H525" s="37"/>
      <c r="I525" s="16">
        <v>18</v>
      </c>
      <c r="J525" s="116">
        <f>338-200</f>
        <v>138</v>
      </c>
      <c r="K525" s="46"/>
      <c r="L525" s="322"/>
      <c r="M525" s="298" t="s">
        <v>787</v>
      </c>
      <c r="N525" s="1193" t="s">
        <v>1149</v>
      </c>
      <c r="O525" s="879" t="s">
        <v>1122</v>
      </c>
      <c r="P525" s="40">
        <v>1</v>
      </c>
      <c r="Q525" s="74" t="s">
        <v>861</v>
      </c>
    </row>
    <row r="526" spans="1:17" x14ac:dyDescent="0.2">
      <c r="A526" s="69">
        <v>2</v>
      </c>
      <c r="B526" s="44"/>
      <c r="C526" s="44" t="s">
        <v>1123</v>
      </c>
      <c r="D526" s="323"/>
      <c r="E526" s="324">
        <v>36</v>
      </c>
      <c r="F526" s="40" t="s">
        <v>131</v>
      </c>
      <c r="G526" s="69" t="s">
        <v>323</v>
      </c>
      <c r="H526" s="37"/>
      <c r="I526" s="16"/>
      <c r="J526" s="116">
        <v>200</v>
      </c>
      <c r="K526" s="46"/>
      <c r="L526" s="1091"/>
      <c r="M526" s="298"/>
      <c r="N526" s="1193" t="s">
        <v>1149</v>
      </c>
      <c r="O526" s="879"/>
      <c r="P526" s="40"/>
      <c r="Q526" s="74"/>
    </row>
    <row r="527" spans="1:17" x14ac:dyDescent="0.2">
      <c r="A527" s="69">
        <v>2</v>
      </c>
      <c r="B527" s="44"/>
      <c r="C527" s="44" t="s">
        <v>1125</v>
      </c>
      <c r="D527" s="1487" t="s">
        <v>1126</v>
      </c>
      <c r="E527" s="324">
        <v>36</v>
      </c>
      <c r="F527" s="40" t="s">
        <v>131</v>
      </c>
      <c r="G527" s="69" t="s">
        <v>9</v>
      </c>
      <c r="H527" s="37"/>
      <c r="I527" s="16">
        <f>184.3-150-34.3</f>
        <v>0</v>
      </c>
      <c r="J527" s="116">
        <f>185-145-4.5</f>
        <v>35.5</v>
      </c>
      <c r="K527" s="46">
        <f>145</f>
        <v>145</v>
      </c>
      <c r="L527" s="1091"/>
      <c r="M527" s="298" t="s">
        <v>787</v>
      </c>
      <c r="N527" s="1193" t="s">
        <v>1149</v>
      </c>
      <c r="O527" s="879" t="s">
        <v>1122</v>
      </c>
      <c r="P527" s="40">
        <v>1</v>
      </c>
      <c r="Q527" s="74" t="s">
        <v>878</v>
      </c>
    </row>
    <row r="528" spans="1:17" ht="33.75" x14ac:dyDescent="0.2">
      <c r="A528" s="69">
        <v>2</v>
      </c>
      <c r="B528" s="44"/>
      <c r="C528" s="44" t="s">
        <v>1125</v>
      </c>
      <c r="D528" s="1488"/>
      <c r="E528" s="1404">
        <v>26</v>
      </c>
      <c r="F528" s="40" t="s">
        <v>131</v>
      </c>
      <c r="G528" s="69" t="s">
        <v>9</v>
      </c>
      <c r="H528" s="37"/>
      <c r="I528" s="16"/>
      <c r="J528" s="116">
        <f>4.5</f>
        <v>4.5</v>
      </c>
      <c r="K528" s="46"/>
      <c r="L528" s="1091"/>
      <c r="M528" s="298" t="s">
        <v>787</v>
      </c>
      <c r="N528" s="1193" t="s">
        <v>2470</v>
      </c>
      <c r="O528" s="879" t="s">
        <v>2466</v>
      </c>
      <c r="P528" s="40">
        <v>1</v>
      </c>
      <c r="Q528" s="74" t="s">
        <v>878</v>
      </c>
    </row>
    <row r="529" spans="1:17" ht="33.75" x14ac:dyDescent="0.2">
      <c r="A529" s="69">
        <v>2</v>
      </c>
      <c r="B529" s="44"/>
      <c r="C529" s="44" t="s">
        <v>1127</v>
      </c>
      <c r="D529" s="321" t="s">
        <v>1128</v>
      </c>
      <c r="E529" s="324">
        <v>36</v>
      </c>
      <c r="F529" s="40" t="s">
        <v>131</v>
      </c>
      <c r="G529" s="69" t="s">
        <v>9</v>
      </c>
      <c r="H529" s="37"/>
      <c r="I529" s="16">
        <v>6</v>
      </c>
      <c r="J529" s="116">
        <v>75</v>
      </c>
      <c r="K529" s="46"/>
      <c r="L529" s="322"/>
      <c r="M529" s="298" t="s">
        <v>787</v>
      </c>
      <c r="N529" s="1193" t="s">
        <v>1149</v>
      </c>
      <c r="O529" s="149" t="s">
        <v>1122</v>
      </c>
      <c r="P529" s="40">
        <v>1</v>
      </c>
      <c r="Q529" s="74" t="s">
        <v>886</v>
      </c>
    </row>
    <row r="530" spans="1:17" ht="22.5" x14ac:dyDescent="0.2">
      <c r="A530" s="69">
        <v>2</v>
      </c>
      <c r="B530" s="44"/>
      <c r="C530" s="44" t="s">
        <v>1129</v>
      </c>
      <c r="D530" s="321" t="s">
        <v>1130</v>
      </c>
      <c r="E530" s="40">
        <v>2</v>
      </c>
      <c r="F530" s="40" t="s">
        <v>131</v>
      </c>
      <c r="G530" s="69" t="s">
        <v>9</v>
      </c>
      <c r="H530" s="37"/>
      <c r="I530" s="16">
        <f>18-18</f>
        <v>0</v>
      </c>
      <c r="J530" s="116">
        <f>41.3+18</f>
        <v>59.3</v>
      </c>
      <c r="K530" s="46"/>
      <c r="L530" s="322"/>
      <c r="M530" s="298" t="s">
        <v>787</v>
      </c>
      <c r="N530" s="319" t="s">
        <v>1104</v>
      </c>
      <c r="O530" s="149" t="s">
        <v>1131</v>
      </c>
      <c r="P530" s="40">
        <v>100</v>
      </c>
      <c r="Q530" s="74"/>
    </row>
    <row r="531" spans="1:17" ht="22.5" x14ac:dyDescent="0.2">
      <c r="A531" s="69">
        <v>2</v>
      </c>
      <c r="B531" s="44"/>
      <c r="C531" s="44" t="s">
        <v>1132</v>
      </c>
      <c r="D531" s="321" t="s">
        <v>1133</v>
      </c>
      <c r="E531" s="40">
        <v>2</v>
      </c>
      <c r="F531" s="40" t="s">
        <v>131</v>
      </c>
      <c r="G531" s="69" t="s">
        <v>9</v>
      </c>
      <c r="H531" s="37"/>
      <c r="I531" s="16">
        <f>18-18</f>
        <v>0</v>
      </c>
      <c r="J531" s="116">
        <f>10-10</f>
        <v>0</v>
      </c>
      <c r="K531" s="46">
        <v>50</v>
      </c>
      <c r="L531" s="322">
        <f>100-100</f>
        <v>0</v>
      </c>
      <c r="M531" s="298" t="s">
        <v>870</v>
      </c>
      <c r="N531" s="1193" t="s">
        <v>1149</v>
      </c>
      <c r="O531" s="300" t="s">
        <v>2287</v>
      </c>
      <c r="P531" s="40">
        <v>100</v>
      </c>
      <c r="Q531" s="74"/>
    </row>
    <row r="532" spans="1:17" x14ac:dyDescent="0.2">
      <c r="A532" s="69">
        <v>2</v>
      </c>
      <c r="B532" s="44"/>
      <c r="C532" s="44" t="s">
        <v>1132</v>
      </c>
      <c r="D532" s="321"/>
      <c r="E532" s="40">
        <v>2</v>
      </c>
      <c r="F532" s="40" t="s">
        <v>131</v>
      </c>
      <c r="G532" s="69" t="s">
        <v>323</v>
      </c>
      <c r="H532" s="37"/>
      <c r="I532" s="16"/>
      <c r="J532" s="116"/>
      <c r="K532" s="46"/>
      <c r="L532" s="322">
        <v>100</v>
      </c>
      <c r="M532" s="298"/>
      <c r="N532" s="1193" t="s">
        <v>1149</v>
      </c>
      <c r="O532" s="149"/>
      <c r="P532" s="40"/>
      <c r="Q532" s="74"/>
    </row>
    <row r="533" spans="1:17" ht="33.75" x14ac:dyDescent="0.2">
      <c r="A533" s="69">
        <v>2</v>
      </c>
      <c r="B533" s="142" t="s">
        <v>1134</v>
      </c>
      <c r="C533" s="142" t="s">
        <v>1134</v>
      </c>
      <c r="D533" s="191" t="s">
        <v>132</v>
      </c>
      <c r="E533" s="148"/>
      <c r="F533" s="81"/>
      <c r="G533" s="302"/>
      <c r="H533" s="325"/>
      <c r="I533" s="144">
        <f>I535+I542</f>
        <v>42.099999999999994</v>
      </c>
      <c r="J533" s="144">
        <f>J535+J542</f>
        <v>334</v>
      </c>
      <c r="K533" s="325">
        <f>K535+K542</f>
        <v>730.2</v>
      </c>
      <c r="L533" s="1092">
        <f>L535+L542</f>
        <v>500</v>
      </c>
      <c r="M533" s="192"/>
      <c r="N533" s="318"/>
      <c r="O533" s="149"/>
      <c r="P533" s="40"/>
      <c r="Q533" s="74"/>
    </row>
    <row r="534" spans="1:17" ht="45" x14ac:dyDescent="0.2">
      <c r="A534" s="69">
        <v>2</v>
      </c>
      <c r="B534" s="44"/>
      <c r="C534" s="44" t="s">
        <v>1135</v>
      </c>
      <c r="D534" s="1130" t="s">
        <v>133</v>
      </c>
      <c r="E534" s="40">
        <v>2</v>
      </c>
      <c r="F534" s="40" t="s">
        <v>134</v>
      </c>
      <c r="G534" s="69" t="s">
        <v>9</v>
      </c>
      <c r="H534" s="124">
        <v>14.5</v>
      </c>
      <c r="I534" s="16">
        <f>SUM(I536:I540)</f>
        <v>17.899999999999999</v>
      </c>
      <c r="J534" s="116">
        <f t="shared" ref="J534:L534" si="72">SUM(J536:J540)</f>
        <v>112</v>
      </c>
      <c r="K534" s="16">
        <f t="shared" si="72"/>
        <v>220.2</v>
      </c>
      <c r="L534" s="16">
        <f t="shared" si="72"/>
        <v>100</v>
      </c>
      <c r="M534" s="192" t="s">
        <v>796</v>
      </c>
      <c r="N534" s="318" t="s">
        <v>1118</v>
      </c>
      <c r="O534" s="149" t="s">
        <v>1136</v>
      </c>
      <c r="P534" s="40">
        <v>2</v>
      </c>
      <c r="Q534" s="74"/>
    </row>
    <row r="535" spans="1:17" x14ac:dyDescent="0.2">
      <c r="A535" s="69">
        <v>2</v>
      </c>
      <c r="B535" s="44"/>
      <c r="C535" s="44" t="s">
        <v>1135</v>
      </c>
      <c r="D535" s="48"/>
      <c r="E535" s="40">
        <v>2</v>
      </c>
      <c r="F535" s="40" t="s">
        <v>134</v>
      </c>
      <c r="G535" s="121" t="s">
        <v>608</v>
      </c>
      <c r="H535" s="123">
        <f>SUM(,H534)</f>
        <v>14.5</v>
      </c>
      <c r="I535" s="123">
        <f>SUM(,I534)</f>
        <v>17.899999999999999</v>
      </c>
      <c r="J535" s="123">
        <f t="shared" ref="J535:L535" si="73">SUM(,J534)</f>
        <v>112</v>
      </c>
      <c r="K535" s="123">
        <f t="shared" si="73"/>
        <v>220.2</v>
      </c>
      <c r="L535" s="1067">
        <f t="shared" si="73"/>
        <v>100</v>
      </c>
      <c r="M535" s="192"/>
      <c r="N535" s="318"/>
      <c r="O535" s="149"/>
      <c r="P535" s="40"/>
      <c r="Q535" s="74"/>
    </row>
    <row r="536" spans="1:17" ht="33.75" x14ac:dyDescent="0.2">
      <c r="A536" s="69">
        <v>2</v>
      </c>
      <c r="B536" s="44"/>
      <c r="C536" s="44" t="s">
        <v>1137</v>
      </c>
      <c r="D536" s="155" t="s">
        <v>1138</v>
      </c>
      <c r="E536" s="40">
        <v>2</v>
      </c>
      <c r="F536" s="40" t="s">
        <v>134</v>
      </c>
      <c r="G536" s="69" t="s">
        <v>9</v>
      </c>
      <c r="H536" s="124"/>
      <c r="I536" s="1129">
        <f>12-12</f>
        <v>0</v>
      </c>
      <c r="J536" s="1117">
        <v>80</v>
      </c>
      <c r="K536" s="1118">
        <f>20+82</f>
        <v>102</v>
      </c>
      <c r="L536" s="1119"/>
      <c r="M536" s="192" t="s">
        <v>870</v>
      </c>
      <c r="N536" s="319" t="s">
        <v>1104</v>
      </c>
      <c r="O536" s="149" t="s">
        <v>2319</v>
      </c>
      <c r="P536" s="40">
        <v>70</v>
      </c>
      <c r="Q536" s="74" t="s">
        <v>799</v>
      </c>
    </row>
    <row r="537" spans="1:17" ht="22.5" x14ac:dyDescent="0.2">
      <c r="A537" s="69">
        <v>2</v>
      </c>
      <c r="B537" s="44"/>
      <c r="C537" s="44" t="s">
        <v>1139</v>
      </c>
      <c r="D537" s="155" t="s">
        <v>1140</v>
      </c>
      <c r="E537" s="40">
        <v>9</v>
      </c>
      <c r="F537" s="40" t="s">
        <v>134</v>
      </c>
      <c r="G537" s="69" t="s">
        <v>9</v>
      </c>
      <c r="H537" s="124"/>
      <c r="I537" s="1129">
        <v>17.899999999999999</v>
      </c>
      <c r="J537" s="1117"/>
      <c r="K537" s="1118"/>
      <c r="L537" s="1119"/>
      <c r="M537" s="192" t="s">
        <v>787</v>
      </c>
      <c r="N537" s="318"/>
      <c r="O537" s="149"/>
      <c r="P537" s="40"/>
      <c r="Q537" s="74" t="s">
        <v>799</v>
      </c>
    </row>
    <row r="538" spans="1:17" ht="22.5" x14ac:dyDescent="0.2">
      <c r="A538" s="69">
        <v>2</v>
      </c>
      <c r="B538" s="44"/>
      <c r="C538" s="72" t="s">
        <v>1141</v>
      </c>
      <c r="D538" s="848" t="s">
        <v>1142</v>
      </c>
      <c r="E538" s="1127">
        <v>27</v>
      </c>
      <c r="F538" s="41" t="s">
        <v>134</v>
      </c>
      <c r="G538" s="69" t="s">
        <v>9</v>
      </c>
      <c r="H538" s="124"/>
      <c r="I538" s="1129"/>
      <c r="J538" s="1117">
        <v>12</v>
      </c>
      <c r="K538" s="1118"/>
      <c r="L538" s="1119"/>
      <c r="M538" s="192" t="s">
        <v>870</v>
      </c>
      <c r="N538" s="1102" t="s">
        <v>2320</v>
      </c>
      <c r="O538" s="300" t="s">
        <v>2255</v>
      </c>
      <c r="P538" s="40">
        <v>1</v>
      </c>
      <c r="Q538" s="74" t="s">
        <v>861</v>
      </c>
    </row>
    <row r="539" spans="1:17" ht="22.5" x14ac:dyDescent="0.2">
      <c r="A539" s="69">
        <v>2</v>
      </c>
      <c r="B539" s="42"/>
      <c r="C539" s="44" t="s">
        <v>1143</v>
      </c>
      <c r="D539" s="1113" t="s">
        <v>1144</v>
      </c>
      <c r="E539" s="1114">
        <v>25</v>
      </c>
      <c r="F539" s="1114" t="s">
        <v>1145</v>
      </c>
      <c r="G539" s="1109" t="s">
        <v>9</v>
      </c>
      <c r="H539" s="846"/>
      <c r="I539" s="1142"/>
      <c r="J539" s="1120">
        <v>20</v>
      </c>
      <c r="K539" s="1121">
        <v>100</v>
      </c>
      <c r="L539" s="1122"/>
      <c r="M539" s="192"/>
      <c r="N539" s="1102" t="s">
        <v>2479</v>
      </c>
      <c r="O539" s="300" t="s">
        <v>2255</v>
      </c>
      <c r="P539" s="40">
        <v>1</v>
      </c>
      <c r="Q539" s="74" t="s">
        <v>889</v>
      </c>
    </row>
    <row r="540" spans="1:17" ht="22.5" x14ac:dyDescent="0.2">
      <c r="A540" s="69">
        <v>2</v>
      </c>
      <c r="B540" s="42"/>
      <c r="C540" s="44" t="s">
        <v>2253</v>
      </c>
      <c r="D540" s="1116" t="s">
        <v>2254</v>
      </c>
      <c r="E540" s="40">
        <v>2</v>
      </c>
      <c r="F540" s="40" t="s">
        <v>1145</v>
      </c>
      <c r="G540" s="69" t="s">
        <v>9</v>
      </c>
      <c r="H540" s="124"/>
      <c r="I540" s="1129"/>
      <c r="J540" s="1117"/>
      <c r="K540" s="1118">
        <f>18.2</f>
        <v>18.2</v>
      </c>
      <c r="L540" s="1118">
        <v>100</v>
      </c>
      <c r="M540" s="192"/>
      <c r="N540" s="1102" t="s">
        <v>1115</v>
      </c>
      <c r="O540" s="300" t="s">
        <v>2255</v>
      </c>
      <c r="P540" s="40">
        <v>1</v>
      </c>
      <c r="Q540" s="74" t="s">
        <v>861</v>
      </c>
    </row>
    <row r="541" spans="1:17" ht="22.5" x14ac:dyDescent="0.2">
      <c r="A541" s="69">
        <v>2</v>
      </c>
      <c r="B541" s="44"/>
      <c r="C541" s="45" t="s">
        <v>1146</v>
      </c>
      <c r="D541" s="1130" t="s">
        <v>1147</v>
      </c>
      <c r="E541" s="849"/>
      <c r="F541" s="39" t="s">
        <v>1148</v>
      </c>
      <c r="G541" s="1115" t="s">
        <v>9</v>
      </c>
      <c r="I541" s="14">
        <v>24.2</v>
      </c>
      <c r="J541" s="415">
        <f t="shared" ref="J541:L541" si="74">SUM(J543:J545)</f>
        <v>222</v>
      </c>
      <c r="K541" s="14">
        <f t="shared" si="74"/>
        <v>510</v>
      </c>
      <c r="L541" s="19">
        <f t="shared" si="74"/>
        <v>400</v>
      </c>
      <c r="M541" s="192" t="s">
        <v>2221</v>
      </c>
      <c r="N541" s="318"/>
      <c r="O541" s="149"/>
      <c r="P541" s="40"/>
      <c r="Q541" s="74" t="s">
        <v>799</v>
      </c>
    </row>
    <row r="542" spans="1:17" x14ac:dyDescent="0.2">
      <c r="A542" s="69">
        <v>2</v>
      </c>
      <c r="B542" s="44"/>
      <c r="C542" s="45" t="s">
        <v>1146</v>
      </c>
      <c r="D542" s="35"/>
      <c r="E542" s="39"/>
      <c r="F542" s="39"/>
      <c r="G542" s="121" t="s">
        <v>608</v>
      </c>
      <c r="H542" s="123"/>
      <c r="I542" s="123">
        <f>SUM(I541)</f>
        <v>24.2</v>
      </c>
      <c r="J542" s="123">
        <f t="shared" ref="J542:L542" si="75">SUM(J541)</f>
        <v>222</v>
      </c>
      <c r="K542" s="123">
        <f t="shared" si="75"/>
        <v>510</v>
      </c>
      <c r="L542" s="1067">
        <f t="shared" si="75"/>
        <v>400</v>
      </c>
      <c r="M542" s="192" t="s">
        <v>2221</v>
      </c>
      <c r="N542" s="318"/>
      <c r="O542" s="149"/>
      <c r="P542" s="40"/>
      <c r="Q542" s="74"/>
    </row>
    <row r="543" spans="1:17" ht="33.75" x14ac:dyDescent="0.2">
      <c r="A543" s="69">
        <v>2</v>
      </c>
      <c r="B543" s="44"/>
      <c r="C543" s="45" t="s">
        <v>1146</v>
      </c>
      <c r="D543" s="35"/>
      <c r="E543" s="40">
        <v>2</v>
      </c>
      <c r="F543" s="40" t="s">
        <v>1148</v>
      </c>
      <c r="G543" s="69" t="s">
        <v>9</v>
      </c>
      <c r="H543" s="124"/>
      <c r="I543" s="16"/>
      <c r="J543" s="1117">
        <f>120-20</f>
        <v>100</v>
      </c>
      <c r="K543" s="1118">
        <f>400+20</f>
        <v>420</v>
      </c>
      <c r="L543" s="1119">
        <v>400</v>
      </c>
      <c r="M543" s="192" t="s">
        <v>2221</v>
      </c>
      <c r="N543" s="318" t="s">
        <v>2317</v>
      </c>
      <c r="O543" s="149" t="s">
        <v>2321</v>
      </c>
      <c r="P543" s="40" t="s">
        <v>860</v>
      </c>
      <c r="Q543" s="74" t="s">
        <v>799</v>
      </c>
    </row>
    <row r="544" spans="1:17" x14ac:dyDescent="0.2">
      <c r="A544" s="69">
        <v>2</v>
      </c>
      <c r="B544" s="44"/>
      <c r="C544" s="45" t="s">
        <v>1146</v>
      </c>
      <c r="D544" s="48"/>
      <c r="E544" s="40">
        <v>36</v>
      </c>
      <c r="F544" s="40" t="s">
        <v>1148</v>
      </c>
      <c r="G544" s="69" t="s">
        <v>9</v>
      </c>
      <c r="H544" s="124"/>
      <c r="I544" s="16"/>
      <c r="J544" s="1117">
        <f>150-50</f>
        <v>100</v>
      </c>
      <c r="K544" s="1118">
        <f>40+50</f>
        <v>90</v>
      </c>
      <c r="L544" s="1119"/>
      <c r="M544" s="192" t="s">
        <v>2221</v>
      </c>
      <c r="N544" s="318" t="s">
        <v>1149</v>
      </c>
      <c r="O544" s="149" t="s">
        <v>1150</v>
      </c>
      <c r="P544" s="40">
        <v>6</v>
      </c>
      <c r="Q544" s="74" t="s">
        <v>799</v>
      </c>
    </row>
    <row r="545" spans="1:17" ht="22.5" x14ac:dyDescent="0.2">
      <c r="A545" s="69">
        <v>2</v>
      </c>
      <c r="B545" s="44"/>
      <c r="C545" s="45" t="s">
        <v>1146</v>
      </c>
      <c r="D545" s="48"/>
      <c r="E545" s="40" t="s">
        <v>649</v>
      </c>
      <c r="F545" s="40" t="s">
        <v>1148</v>
      </c>
      <c r="G545" s="69" t="s">
        <v>9</v>
      </c>
      <c r="H545" s="124"/>
      <c r="I545" s="16"/>
      <c r="J545" s="1117">
        <v>22</v>
      </c>
      <c r="K545" s="1118"/>
      <c r="L545" s="1119"/>
      <c r="M545" s="192" t="s">
        <v>2221</v>
      </c>
      <c r="N545" s="318" t="s">
        <v>2322</v>
      </c>
      <c r="O545" s="149" t="s">
        <v>2323</v>
      </c>
      <c r="P545" s="40">
        <v>1</v>
      </c>
      <c r="Q545" s="74" t="s">
        <v>799</v>
      </c>
    </row>
    <row r="546" spans="1:17" x14ac:dyDescent="0.2">
      <c r="A546" s="69">
        <v>2</v>
      </c>
      <c r="B546" s="44"/>
      <c r="C546" s="44"/>
      <c r="D546" s="48"/>
      <c r="E546" s="40"/>
      <c r="F546" s="40"/>
      <c r="G546" s="185" t="s">
        <v>608</v>
      </c>
      <c r="H546" s="164"/>
      <c r="I546" s="185">
        <f>SUM(I542,I535,I522,I512,I508,I506,I500,I497,I493,I490,I478,I476,I469,I465,I460,I457,I455,I453,I451,I443,I438,I436,I430,I427,I422,I390,I385,I383,I502)</f>
        <v>1841.5</v>
      </c>
      <c r="J546" s="185">
        <f t="shared" ref="J546:L546" si="76">SUM(J542,J535,J522,J512,J508,J506,J500,J497,J493,J490,J478,J476,J469,J465,J460,J457,J455,J453,J451,J443,J438,J436,J430,J427,J422,J390,J385,J383,J502)</f>
        <v>5148.3000000000011</v>
      </c>
      <c r="K546" s="185">
        <f t="shared" si="76"/>
        <v>4482.7000000000007</v>
      </c>
      <c r="L546" s="185">
        <f t="shared" si="76"/>
        <v>2311.2000000000003</v>
      </c>
      <c r="M546" s="192"/>
      <c r="N546" s="318"/>
      <c r="O546" s="149"/>
      <c r="P546" s="40"/>
      <c r="Q546" s="74"/>
    </row>
    <row r="547" spans="1:17" x14ac:dyDescent="0.2">
      <c r="A547" s="69">
        <v>2</v>
      </c>
      <c r="B547" s="44"/>
      <c r="C547" s="44"/>
      <c r="D547" s="48"/>
      <c r="E547" s="40"/>
      <c r="F547" s="40"/>
      <c r="G547" s="88" t="s">
        <v>9</v>
      </c>
      <c r="H547" s="37"/>
      <c r="I547" s="37">
        <f>SUM(I382,I384,I389,I440,I505,I507,I510,I520,I534,I421,I541,I498,I494,I491,I477,I470:I475,I468,I462,I461,I458,I456,I454,I452,I450,I426,I487,I495,I496,I488,I501)</f>
        <v>1201.4000000000001</v>
      </c>
      <c r="J547" s="37">
        <f t="shared" ref="J547:L547" si="77">SUM(J382,J384,J389,J440,J505,J507,J510,J520,J534,J421,J541,J498,J494,J491,J477,J470:J475,J468,J462,J461,J458,J456,J454,J452,J450,J426,J487,J495,J496,J488,J501)</f>
        <v>2627.7000000000003</v>
      </c>
      <c r="K547" s="37">
        <f t="shared" si="77"/>
        <v>2407.6</v>
      </c>
      <c r="L547" s="37">
        <f t="shared" si="77"/>
        <v>1479.4</v>
      </c>
      <c r="M547" s="192"/>
      <c r="N547" s="318"/>
      <c r="O547" s="149"/>
      <c r="P547" s="40"/>
      <c r="Q547" s="74"/>
    </row>
    <row r="548" spans="1:17" x14ac:dyDescent="0.2">
      <c r="A548" s="69">
        <v>2</v>
      </c>
      <c r="B548" s="44"/>
      <c r="C548" s="44"/>
      <c r="D548" s="48"/>
      <c r="E548" s="40"/>
      <c r="F548" s="40"/>
      <c r="G548" s="88" t="s">
        <v>61</v>
      </c>
      <c r="H548" s="37"/>
      <c r="I548" s="37">
        <f>SUM(I466)</f>
        <v>0</v>
      </c>
      <c r="J548" s="37"/>
      <c r="K548" s="37"/>
      <c r="L548" s="46"/>
      <c r="M548" s="192"/>
      <c r="N548" s="318"/>
      <c r="O548" s="149"/>
      <c r="P548" s="40"/>
      <c r="Q548" s="74"/>
    </row>
    <row r="549" spans="1:17" x14ac:dyDescent="0.2">
      <c r="A549" s="69">
        <v>2</v>
      </c>
      <c r="B549" s="44"/>
      <c r="C549" s="44"/>
      <c r="D549" s="48"/>
      <c r="E549" s="40"/>
      <c r="F549" s="40"/>
      <c r="G549" s="88" t="s">
        <v>713</v>
      </c>
      <c r="H549" s="37"/>
      <c r="I549" s="37">
        <f>I466</f>
        <v>0</v>
      </c>
      <c r="J549" s="37">
        <f t="shared" ref="J549:L549" si="78">J466</f>
        <v>200</v>
      </c>
      <c r="K549" s="37">
        <f t="shared" si="78"/>
        <v>200</v>
      </c>
      <c r="L549" s="46">
        <f t="shared" si="78"/>
        <v>0</v>
      </c>
      <c r="M549" s="192"/>
      <c r="N549" s="318"/>
      <c r="O549" s="149"/>
      <c r="P549" s="40"/>
      <c r="Q549" s="74"/>
    </row>
    <row r="550" spans="1:17" x14ac:dyDescent="0.2">
      <c r="A550" s="69">
        <v>2</v>
      </c>
      <c r="B550" s="44"/>
      <c r="C550" s="44"/>
      <c r="D550" s="48"/>
      <c r="E550" s="40"/>
      <c r="F550" s="40"/>
      <c r="G550" s="81" t="s">
        <v>12</v>
      </c>
      <c r="H550" s="37"/>
      <c r="I550" s="37">
        <f>I442</f>
        <v>126</v>
      </c>
      <c r="J550" s="37">
        <f>J442</f>
        <v>200</v>
      </c>
      <c r="K550" s="37">
        <f>K442</f>
        <v>160</v>
      </c>
      <c r="L550" s="46">
        <f>L442</f>
        <v>160</v>
      </c>
      <c r="M550" s="192"/>
      <c r="N550" s="318"/>
      <c r="O550" s="149"/>
      <c r="P550" s="40"/>
      <c r="Q550" s="74"/>
    </row>
    <row r="551" spans="1:17" x14ac:dyDescent="0.2">
      <c r="A551" s="69">
        <v>2</v>
      </c>
      <c r="B551" s="44"/>
      <c r="C551" s="44"/>
      <c r="D551" s="48"/>
      <c r="E551" s="40"/>
      <c r="F551" s="40"/>
      <c r="G551" s="81" t="s">
        <v>11</v>
      </c>
      <c r="H551" s="37"/>
      <c r="I551" s="37">
        <f>SUM(I388,I429,I435,I437,I441)</f>
        <v>458</v>
      </c>
      <c r="J551" s="37">
        <f>SUM(J388,J429,J435,J437,J441)</f>
        <v>458.8</v>
      </c>
      <c r="K551" s="37">
        <f>SUM(K388,K429,K435,K437,K441)</f>
        <v>458.8</v>
      </c>
      <c r="L551" s="46">
        <f>SUM(L388,L429,L435,L437,L441)</f>
        <v>458.8</v>
      </c>
      <c r="M551" s="192"/>
      <c r="N551" s="318"/>
      <c r="O551" s="149"/>
      <c r="P551" s="40"/>
      <c r="Q551" s="74"/>
    </row>
    <row r="552" spans="1:17" x14ac:dyDescent="0.2">
      <c r="A552" s="69">
        <v>2</v>
      </c>
      <c r="B552" s="44"/>
      <c r="C552" s="44"/>
      <c r="D552" s="48"/>
      <c r="E552" s="40"/>
      <c r="F552" s="40"/>
      <c r="G552" s="81" t="s">
        <v>58</v>
      </c>
      <c r="H552" s="37"/>
      <c r="I552" s="37">
        <f>SUM(I419,I459,I463,I467,I499,I492,I489,I423)</f>
        <v>47.7</v>
      </c>
      <c r="J552" s="37">
        <f>SUM(J419,J459,J463,J467,J499,J492,J489,J423)</f>
        <v>1381</v>
      </c>
      <c r="K552" s="37">
        <f>SUM(K419,K459,K463,K467,K499,K492,K489,K423)</f>
        <v>1167.2</v>
      </c>
      <c r="L552" s="46">
        <f>SUM(L419,L459,L463,L467,L499,L492,L489,L423)</f>
        <v>13</v>
      </c>
      <c r="M552" s="192"/>
      <c r="N552" s="318"/>
      <c r="O552" s="149"/>
      <c r="P552" s="40"/>
      <c r="Q552" s="74"/>
    </row>
    <row r="553" spans="1:17" x14ac:dyDescent="0.2">
      <c r="A553" s="69">
        <v>2</v>
      </c>
      <c r="B553" s="44"/>
      <c r="C553" s="44"/>
      <c r="D553" s="48"/>
      <c r="E553" s="40"/>
      <c r="F553" s="40"/>
      <c r="G553" s="81" t="s">
        <v>1151</v>
      </c>
      <c r="H553" s="37"/>
      <c r="I553" s="37"/>
      <c r="J553" s="37"/>
      <c r="K553" s="37"/>
      <c r="L553" s="46"/>
      <c r="M553" s="192"/>
      <c r="N553" s="318"/>
      <c r="O553" s="149"/>
      <c r="P553" s="40"/>
      <c r="Q553" s="74"/>
    </row>
    <row r="554" spans="1:17" x14ac:dyDescent="0.2">
      <c r="A554" s="69">
        <v>2</v>
      </c>
      <c r="B554" s="44"/>
      <c r="C554" s="44"/>
      <c r="D554" s="48"/>
      <c r="E554" s="40"/>
      <c r="F554" s="40"/>
      <c r="G554" s="81" t="s">
        <v>99</v>
      </c>
      <c r="H554" s="37"/>
      <c r="I554" s="37">
        <f>SUM(I425)</f>
        <v>0</v>
      </c>
      <c r="J554" s="37">
        <f t="shared" ref="J554:L554" si="79">SUM(J425)</f>
        <v>34.799999999999997</v>
      </c>
      <c r="K554" s="37">
        <f t="shared" si="79"/>
        <v>57.5</v>
      </c>
      <c r="L554" s="46">
        <f t="shared" si="79"/>
        <v>0</v>
      </c>
      <c r="M554" s="192"/>
      <c r="N554" s="318"/>
      <c r="O554" s="149"/>
      <c r="P554" s="40"/>
      <c r="Q554" s="74"/>
    </row>
    <row r="555" spans="1:17" x14ac:dyDescent="0.2">
      <c r="A555" s="69">
        <v>2</v>
      </c>
      <c r="B555" s="44"/>
      <c r="C555" s="44"/>
      <c r="D555" s="48"/>
      <c r="E555" s="40"/>
      <c r="F555" s="40"/>
      <c r="G555" s="81" t="s">
        <v>59</v>
      </c>
      <c r="H555" s="37"/>
      <c r="I555" s="37">
        <f>SUM(I420,I424,I464)</f>
        <v>8.4</v>
      </c>
      <c r="J555" s="37">
        <f t="shared" ref="J555:L555" si="80">SUM(J420,J424,J464)</f>
        <v>46</v>
      </c>
      <c r="K555" s="37">
        <f t="shared" si="80"/>
        <v>31.6</v>
      </c>
      <c r="L555" s="37">
        <f t="shared" si="80"/>
        <v>0</v>
      </c>
      <c r="M555" s="192"/>
      <c r="N555" s="318"/>
      <c r="O555" s="149"/>
      <c r="P555" s="40"/>
      <c r="Q555" s="74"/>
    </row>
    <row r="556" spans="1:17" x14ac:dyDescent="0.2">
      <c r="A556" s="69">
        <v>2</v>
      </c>
      <c r="B556" s="44"/>
      <c r="C556" s="44"/>
      <c r="D556" s="48"/>
      <c r="E556" s="40"/>
      <c r="F556" s="40"/>
      <c r="G556" s="81" t="s">
        <v>323</v>
      </c>
      <c r="H556" s="37"/>
      <c r="I556" s="37">
        <f>SUM(I521,I511)</f>
        <v>0</v>
      </c>
      <c r="J556" s="37">
        <f t="shared" ref="J556:L556" si="81">SUM(J521,J511)</f>
        <v>200</v>
      </c>
      <c r="K556" s="37">
        <f t="shared" si="81"/>
        <v>0</v>
      </c>
      <c r="L556" s="46">
        <f t="shared" si="81"/>
        <v>200</v>
      </c>
      <c r="M556" s="192"/>
      <c r="N556" s="318"/>
      <c r="O556" s="149"/>
      <c r="P556" s="40"/>
      <c r="Q556" s="74"/>
    </row>
    <row r="557" spans="1:17" x14ac:dyDescent="0.2">
      <c r="A557" s="69">
        <v>2</v>
      </c>
      <c r="B557" s="44"/>
      <c r="C557" s="44"/>
      <c r="D557" s="48"/>
      <c r="E557" s="40"/>
      <c r="F557" s="40"/>
      <c r="G557" s="185" t="s">
        <v>608</v>
      </c>
      <c r="H557" s="164"/>
      <c r="I557" s="185">
        <f>SUM(I547:I556)</f>
        <v>1841.5000000000002</v>
      </c>
      <c r="J557" s="185">
        <f t="shared" ref="J557:L557" si="82">SUM(J547:J556)</f>
        <v>5148.3</v>
      </c>
      <c r="K557" s="185">
        <f t="shared" si="82"/>
        <v>4482.7000000000007</v>
      </c>
      <c r="L557" s="1093">
        <f t="shared" si="82"/>
        <v>2311.2000000000003</v>
      </c>
      <c r="M557" s="192"/>
      <c r="N557" s="318"/>
      <c r="O557" s="149"/>
      <c r="P557" s="40"/>
      <c r="Q557" s="74"/>
    </row>
    <row r="558" spans="1:17" x14ac:dyDescent="0.2">
      <c r="A558" s="69">
        <v>2</v>
      </c>
      <c r="B558" s="326"/>
      <c r="C558" s="44"/>
      <c r="D558" s="48"/>
      <c r="E558" s="40"/>
      <c r="F558" s="40"/>
      <c r="G558" s="81"/>
      <c r="H558" s="37"/>
      <c r="I558" s="37">
        <f>I546-I557</f>
        <v>0</v>
      </c>
      <c r="J558" s="37">
        <f>J546-J557</f>
        <v>0</v>
      </c>
      <c r="K558" s="37">
        <f>K546-K557</f>
        <v>0</v>
      </c>
      <c r="L558" s="46">
        <f>L546-L557</f>
        <v>0</v>
      </c>
      <c r="M558" s="192"/>
      <c r="N558" s="318"/>
      <c r="O558" s="149"/>
      <c r="P558" s="40"/>
      <c r="Q558" s="74"/>
    </row>
    <row r="559" spans="1:17" ht="22.5" x14ac:dyDescent="0.2">
      <c r="A559" s="69">
        <v>3</v>
      </c>
      <c r="B559" s="107"/>
      <c r="C559" s="107"/>
      <c r="D559" s="108" t="s">
        <v>1155</v>
      </c>
      <c r="E559" s="109"/>
      <c r="F559" s="110"/>
      <c r="G559" s="109"/>
      <c r="H559" s="109"/>
      <c r="I559" s="109"/>
      <c r="J559" s="109"/>
      <c r="K559" s="109"/>
      <c r="L559" s="109"/>
      <c r="N559" s="328"/>
      <c r="O559" s="328"/>
      <c r="P559" s="81"/>
      <c r="Q559" s="89"/>
    </row>
    <row r="560" spans="1:17" ht="22.5" x14ac:dyDescent="0.2">
      <c r="A560" s="40">
        <v>3</v>
      </c>
      <c r="B560" s="142" t="s">
        <v>1156</v>
      </c>
      <c r="C560" s="142" t="s">
        <v>1156</v>
      </c>
      <c r="D560" s="191" t="s">
        <v>1152</v>
      </c>
      <c r="E560" s="334"/>
      <c r="F560" s="335"/>
      <c r="G560" s="336"/>
      <c r="H560" s="337"/>
      <c r="I560" s="337">
        <f>I573+I575+I577+I582</f>
        <v>422.40000000000003</v>
      </c>
      <c r="J560" s="337">
        <f t="shared" ref="J560:L560" si="83">J573+J575+J577+J582</f>
        <v>1094.0999999999999</v>
      </c>
      <c r="K560" s="337">
        <f t="shared" si="83"/>
        <v>474</v>
      </c>
      <c r="L560" s="337">
        <f t="shared" si="83"/>
        <v>474</v>
      </c>
      <c r="N560" s="149"/>
      <c r="O560" s="149"/>
      <c r="P560" s="40"/>
      <c r="Q560" s="329"/>
    </row>
    <row r="561" spans="1:17" x14ac:dyDescent="0.2">
      <c r="A561" s="40">
        <v>3</v>
      </c>
      <c r="B561" s="674"/>
      <c r="C561" s="674"/>
      <c r="D561" s="91"/>
      <c r="E561" s="44"/>
      <c r="F561" s="40"/>
      <c r="G561" s="116" t="s">
        <v>148</v>
      </c>
      <c r="H561" s="37">
        <v>394.7</v>
      </c>
      <c r="I561" s="116">
        <f>I567</f>
        <v>385</v>
      </c>
      <c r="J561" s="116">
        <f>J567</f>
        <v>496</v>
      </c>
      <c r="K561" s="116">
        <f>K567</f>
        <v>368</v>
      </c>
      <c r="L561" s="116">
        <f>L567</f>
        <v>368</v>
      </c>
      <c r="N561" s="149"/>
      <c r="O561" s="149"/>
      <c r="P561" s="40"/>
      <c r="Q561" s="329"/>
    </row>
    <row r="562" spans="1:17" x14ac:dyDescent="0.2">
      <c r="A562" s="40">
        <v>3</v>
      </c>
      <c r="B562" s="44"/>
      <c r="C562" s="44"/>
      <c r="D562" s="146"/>
      <c r="E562" s="44"/>
      <c r="F562" s="40"/>
      <c r="G562" s="116" t="s">
        <v>149</v>
      </c>
      <c r="H562" s="37">
        <v>73.8</v>
      </c>
      <c r="I562" s="116">
        <f>I569</f>
        <v>0.5</v>
      </c>
      <c r="J562" s="116">
        <f>J569</f>
        <v>39.299999999999997</v>
      </c>
      <c r="K562" s="116">
        <f>K569</f>
        <v>0</v>
      </c>
      <c r="L562" s="116">
        <f>L569</f>
        <v>0</v>
      </c>
      <c r="N562" s="149"/>
      <c r="O562" s="149"/>
      <c r="P562" s="40"/>
      <c r="Q562" s="329"/>
    </row>
    <row r="563" spans="1:17" x14ac:dyDescent="0.2">
      <c r="A563" s="40">
        <v>3</v>
      </c>
      <c r="B563" s="44"/>
      <c r="C563" s="44"/>
      <c r="D563" s="146"/>
      <c r="E563" s="44"/>
      <c r="F563" s="40"/>
      <c r="G563" s="116" t="s">
        <v>9</v>
      </c>
      <c r="H563" s="37">
        <v>50</v>
      </c>
      <c r="I563" s="116">
        <f>SUM(I574,I576,I578)</f>
        <v>24.5</v>
      </c>
      <c r="J563" s="116">
        <f>SUM(J574,J576,J578)</f>
        <v>279.7</v>
      </c>
      <c r="K563" s="116">
        <f>SUM(K574,K576,K578)</f>
        <v>106</v>
      </c>
      <c r="L563" s="116">
        <f>SUM(L574,L576,L578)</f>
        <v>106</v>
      </c>
      <c r="N563" s="149"/>
      <c r="O563" s="149"/>
      <c r="P563" s="40"/>
      <c r="Q563" s="329"/>
    </row>
    <row r="564" spans="1:17" x14ac:dyDescent="0.2">
      <c r="A564" s="40">
        <v>3</v>
      </c>
      <c r="B564" s="44"/>
      <c r="C564" s="44"/>
      <c r="D564" s="146"/>
      <c r="E564" s="44"/>
      <c r="F564" s="40"/>
      <c r="G564" s="116" t="s">
        <v>11</v>
      </c>
      <c r="H564" s="37">
        <v>12.6</v>
      </c>
      <c r="I564" s="116">
        <f>I568</f>
        <v>8.1</v>
      </c>
      <c r="J564" s="116">
        <f>J568</f>
        <v>28</v>
      </c>
      <c r="K564" s="116">
        <f>K568</f>
        <v>0</v>
      </c>
      <c r="L564" s="116">
        <f>L568</f>
        <v>0</v>
      </c>
      <c r="N564" s="149"/>
      <c r="O564" s="149"/>
      <c r="P564" s="40"/>
      <c r="Q564" s="329"/>
    </row>
    <row r="565" spans="1:17" x14ac:dyDescent="0.2">
      <c r="A565" s="69">
        <v>3</v>
      </c>
      <c r="B565" s="44"/>
      <c r="C565" s="44"/>
      <c r="D565" s="146"/>
      <c r="E565" s="44"/>
      <c r="F565" s="40"/>
      <c r="G565" s="116" t="s">
        <v>58</v>
      </c>
      <c r="H565" s="37">
        <v>0</v>
      </c>
      <c r="I565" s="116">
        <f t="shared" ref="I565:L566" si="84">I579</f>
        <v>4.3</v>
      </c>
      <c r="J565" s="116">
        <f t="shared" si="84"/>
        <v>210</v>
      </c>
      <c r="K565" s="116">
        <f t="shared" si="84"/>
        <v>0</v>
      </c>
      <c r="L565" s="116">
        <f t="shared" si="84"/>
        <v>0</v>
      </c>
      <c r="N565" s="149"/>
      <c r="O565" s="149"/>
      <c r="P565" s="40"/>
      <c r="Q565" s="329"/>
    </row>
    <row r="566" spans="1:17" x14ac:dyDescent="0.2">
      <c r="A566" s="40">
        <v>3</v>
      </c>
      <c r="B566" s="44"/>
      <c r="C566" s="44"/>
      <c r="D566" s="146"/>
      <c r="E566" s="44"/>
      <c r="F566" s="40"/>
      <c r="G566" s="116" t="s">
        <v>59</v>
      </c>
      <c r="H566" s="37">
        <v>0</v>
      </c>
      <c r="I566" s="116">
        <f t="shared" si="84"/>
        <v>0</v>
      </c>
      <c r="J566" s="116">
        <f t="shared" si="84"/>
        <v>28</v>
      </c>
      <c r="K566" s="116">
        <f t="shared" si="84"/>
        <v>0</v>
      </c>
      <c r="L566" s="116">
        <f t="shared" si="84"/>
        <v>0</v>
      </c>
      <c r="N566" s="149"/>
      <c r="O566" s="149"/>
      <c r="P566" s="40"/>
      <c r="Q566" s="329"/>
    </row>
    <row r="567" spans="1:17" ht="22.5" x14ac:dyDescent="0.2">
      <c r="A567" s="40">
        <v>3</v>
      </c>
      <c r="B567" s="44"/>
      <c r="C567" s="44" t="s">
        <v>1157</v>
      </c>
      <c r="D567" s="330" t="s">
        <v>146</v>
      </c>
      <c r="E567" s="44" t="s">
        <v>144</v>
      </c>
      <c r="F567" s="40" t="s">
        <v>147</v>
      </c>
      <c r="G567" s="77" t="s">
        <v>148</v>
      </c>
      <c r="H567" s="6">
        <v>394.7</v>
      </c>
      <c r="I567" s="24">
        <v>385</v>
      </c>
      <c r="J567" s="331">
        <f>368+80+48</f>
        <v>496</v>
      </c>
      <c r="K567" s="24">
        <v>368</v>
      </c>
      <c r="L567" s="24">
        <v>368</v>
      </c>
      <c r="N567" s="149" t="s">
        <v>1158</v>
      </c>
      <c r="O567" s="149" t="s">
        <v>1159</v>
      </c>
      <c r="P567" s="73">
        <v>15</v>
      </c>
      <c r="Q567" s="329"/>
    </row>
    <row r="568" spans="1:17" ht="33.75" x14ac:dyDescent="0.2">
      <c r="A568" s="40">
        <v>3</v>
      </c>
      <c r="B568" s="44"/>
      <c r="C568" s="44"/>
      <c r="D568" s="330"/>
      <c r="E568" s="44" t="s">
        <v>144</v>
      </c>
      <c r="F568" s="40" t="s">
        <v>147</v>
      </c>
      <c r="G568" s="77" t="s">
        <v>11</v>
      </c>
      <c r="H568" s="6">
        <v>12.5</v>
      </c>
      <c r="I568" s="24">
        <v>8.1</v>
      </c>
      <c r="J568" s="331">
        <f>28</f>
        <v>28</v>
      </c>
      <c r="K568" s="6"/>
      <c r="L568" s="6"/>
      <c r="N568" s="300"/>
      <c r="O568" s="149" t="s">
        <v>1160</v>
      </c>
      <c r="P568" s="73">
        <v>3</v>
      </c>
      <c r="Q568" s="329"/>
    </row>
    <row r="569" spans="1:17" ht="33.75" x14ac:dyDescent="0.2">
      <c r="A569" s="40">
        <v>3</v>
      </c>
      <c r="B569" s="44"/>
      <c r="C569" s="44"/>
      <c r="D569" s="330"/>
      <c r="E569" s="44" t="s">
        <v>144</v>
      </c>
      <c r="F569" s="40" t="s">
        <v>147</v>
      </c>
      <c r="G569" s="77" t="s">
        <v>149</v>
      </c>
      <c r="H569" s="6">
        <v>73.8</v>
      </c>
      <c r="I569" s="24">
        <v>0.5</v>
      </c>
      <c r="J569" s="331">
        <v>39.299999999999997</v>
      </c>
      <c r="K569" s="6"/>
      <c r="L569" s="6"/>
      <c r="N569" s="149"/>
      <c r="O569" s="149" t="s">
        <v>1161</v>
      </c>
      <c r="P569" s="73">
        <v>6</v>
      </c>
      <c r="Q569" s="329"/>
    </row>
    <row r="570" spans="1:17" ht="22.5" x14ac:dyDescent="0.2">
      <c r="A570" s="40">
        <v>3</v>
      </c>
      <c r="B570" s="44"/>
      <c r="C570" s="44"/>
      <c r="D570" s="330"/>
      <c r="E570" s="44" t="s">
        <v>144</v>
      </c>
      <c r="F570" s="40" t="s">
        <v>147</v>
      </c>
      <c r="G570" s="77"/>
      <c r="H570" s="6"/>
      <c r="I570" s="24"/>
      <c r="J570" s="331"/>
      <c r="K570" s="6"/>
      <c r="L570" s="6"/>
      <c r="N570" s="149"/>
      <c r="O570" s="149" t="s">
        <v>1162</v>
      </c>
      <c r="P570" s="73">
        <v>2</v>
      </c>
      <c r="Q570" s="329"/>
    </row>
    <row r="571" spans="1:17" ht="45" x14ac:dyDescent="0.2">
      <c r="A571" s="69">
        <v>3</v>
      </c>
      <c r="B571" s="44"/>
      <c r="C571" s="44"/>
      <c r="D571" s="330"/>
      <c r="E571" s="44" t="s">
        <v>144</v>
      </c>
      <c r="F571" s="40" t="s">
        <v>147</v>
      </c>
      <c r="G571" s="77"/>
      <c r="H571" s="6"/>
      <c r="I571" s="24"/>
      <c r="J571" s="331"/>
      <c r="K571" s="6"/>
      <c r="L571" s="6"/>
      <c r="N571" s="149"/>
      <c r="O571" s="880" t="s">
        <v>1163</v>
      </c>
      <c r="P571" s="870">
        <v>7</v>
      </c>
      <c r="Q571" s="329"/>
    </row>
    <row r="572" spans="1:17" x14ac:dyDescent="0.2">
      <c r="A572" s="40">
        <v>3</v>
      </c>
      <c r="B572" s="44"/>
      <c r="C572" s="44"/>
      <c r="D572" s="330"/>
      <c r="E572" s="44" t="s">
        <v>144</v>
      </c>
      <c r="F572" s="40" t="s">
        <v>147</v>
      </c>
      <c r="G572" s="77"/>
      <c r="H572" s="6"/>
      <c r="I572" s="24"/>
      <c r="J572" s="331"/>
      <c r="K572" s="6"/>
      <c r="L572" s="6"/>
      <c r="N572" s="149"/>
      <c r="O572" s="149"/>
      <c r="P572" s="73"/>
      <c r="Q572" s="329"/>
    </row>
    <row r="573" spans="1:17" x14ac:dyDescent="0.2">
      <c r="A573" s="40">
        <v>3</v>
      </c>
      <c r="B573" s="44"/>
      <c r="C573" s="44"/>
      <c r="D573" s="330"/>
      <c r="E573" s="44" t="s">
        <v>144</v>
      </c>
      <c r="F573" s="40" t="s">
        <v>147</v>
      </c>
      <c r="G573" s="121" t="s">
        <v>608</v>
      </c>
      <c r="H573" s="123">
        <v>481</v>
      </c>
      <c r="I573" s="123">
        <f>SUM(I567:I569)</f>
        <v>393.6</v>
      </c>
      <c r="J573" s="123">
        <f>SUM(J567:J569)</f>
        <v>563.29999999999995</v>
      </c>
      <c r="K573" s="123">
        <f>SUM(K567:K569)</f>
        <v>368</v>
      </c>
      <c r="L573" s="123">
        <f>SUM(L567:L569)</f>
        <v>368</v>
      </c>
      <c r="N573" s="149"/>
      <c r="O573" s="149"/>
      <c r="P573" s="73"/>
      <c r="Q573" s="329"/>
    </row>
    <row r="574" spans="1:17" ht="33.75" x14ac:dyDescent="0.2">
      <c r="A574" s="40">
        <v>3</v>
      </c>
      <c r="B574" s="44"/>
      <c r="C574" s="44" t="s">
        <v>1164</v>
      </c>
      <c r="D574" s="82" t="s">
        <v>158</v>
      </c>
      <c r="E574" s="44" t="s">
        <v>144</v>
      </c>
      <c r="F574" s="192" t="s">
        <v>159</v>
      </c>
      <c r="G574" s="77" t="s">
        <v>9</v>
      </c>
      <c r="H574" s="6">
        <v>5</v>
      </c>
      <c r="I574" s="24">
        <v>5</v>
      </c>
      <c r="J574" s="331">
        <v>6</v>
      </c>
      <c r="K574" s="6">
        <v>6</v>
      </c>
      <c r="L574" s="6">
        <v>6</v>
      </c>
      <c r="M574" s="38" t="s">
        <v>782</v>
      </c>
      <c r="N574" s="149" t="s">
        <v>1165</v>
      </c>
      <c r="O574" s="89" t="s">
        <v>1166</v>
      </c>
      <c r="P574" s="73">
        <v>90</v>
      </c>
      <c r="Q574" s="329"/>
    </row>
    <row r="575" spans="1:17" x14ac:dyDescent="0.2">
      <c r="A575" s="40">
        <v>3</v>
      </c>
      <c r="B575" s="44"/>
      <c r="C575" s="44"/>
      <c r="D575" s="82"/>
      <c r="E575" s="44"/>
      <c r="F575" s="192" t="s">
        <v>159</v>
      </c>
      <c r="G575" s="121" t="s">
        <v>608</v>
      </c>
      <c r="H575" s="123"/>
      <c r="I575" s="123">
        <f>SUM(I574)</f>
        <v>5</v>
      </c>
      <c r="J575" s="123">
        <f t="shared" ref="J575:L575" si="85">SUM(J574)</f>
        <v>6</v>
      </c>
      <c r="K575" s="123">
        <f t="shared" si="85"/>
        <v>6</v>
      </c>
      <c r="L575" s="123">
        <f t="shared" si="85"/>
        <v>6</v>
      </c>
      <c r="N575" s="149"/>
      <c r="O575" s="149"/>
      <c r="P575" s="73"/>
      <c r="Q575" s="329"/>
    </row>
    <row r="576" spans="1:17" ht="22.5" x14ac:dyDescent="0.2">
      <c r="A576" s="40">
        <v>3</v>
      </c>
      <c r="B576" s="44"/>
      <c r="C576" s="44" t="s">
        <v>1167</v>
      </c>
      <c r="D576" s="82" t="s">
        <v>1168</v>
      </c>
      <c r="E576" s="44" t="s">
        <v>144</v>
      </c>
      <c r="F576" s="192" t="s">
        <v>1169</v>
      </c>
      <c r="G576" s="77" t="s">
        <v>9</v>
      </c>
      <c r="H576" s="6">
        <v>45</v>
      </c>
      <c r="I576" s="24"/>
      <c r="J576" s="331">
        <f>120-2.3</f>
        <v>117.7</v>
      </c>
      <c r="K576" s="6">
        <v>100</v>
      </c>
      <c r="L576" s="6">
        <v>100</v>
      </c>
      <c r="M576" s="38" t="s">
        <v>796</v>
      </c>
      <c r="N576" s="149"/>
      <c r="O576" s="149" t="s">
        <v>1170</v>
      </c>
      <c r="P576" s="73">
        <v>100</v>
      </c>
      <c r="Q576" s="329"/>
    </row>
    <row r="577" spans="1:17" x14ac:dyDescent="0.2">
      <c r="A577" s="69">
        <v>3</v>
      </c>
      <c r="B577" s="44"/>
      <c r="C577" s="44"/>
      <c r="D577" s="82"/>
      <c r="E577" s="44"/>
      <c r="F577" s="192"/>
      <c r="G577" s="121" t="s">
        <v>608</v>
      </c>
      <c r="H577" s="123"/>
      <c r="I577" s="123">
        <f>SUM(I576)</f>
        <v>0</v>
      </c>
      <c r="J577" s="123">
        <f t="shared" ref="J577:L577" si="86">SUM(J576)</f>
        <v>117.7</v>
      </c>
      <c r="K577" s="123">
        <f t="shared" si="86"/>
        <v>100</v>
      </c>
      <c r="L577" s="123">
        <f t="shared" si="86"/>
        <v>100</v>
      </c>
      <c r="N577" s="149"/>
      <c r="O577" s="149"/>
      <c r="P577" s="73"/>
      <c r="Q577" s="329"/>
    </row>
    <row r="578" spans="1:17" ht="45" x14ac:dyDescent="0.2">
      <c r="A578" s="40">
        <v>3</v>
      </c>
      <c r="B578" s="44"/>
      <c r="C578" s="44" t="s">
        <v>1171</v>
      </c>
      <c r="D578" s="82" t="s">
        <v>1172</v>
      </c>
      <c r="E578" s="44" t="s">
        <v>60</v>
      </c>
      <c r="F578" s="192" t="s">
        <v>1173</v>
      </c>
      <c r="G578" s="77" t="s">
        <v>9</v>
      </c>
      <c r="H578" s="6"/>
      <c r="I578" s="24">
        <v>19.5</v>
      </c>
      <c r="J578" s="331">
        <f>360-210+6</f>
        <v>156</v>
      </c>
      <c r="K578" s="6"/>
      <c r="L578" s="6"/>
      <c r="M578" s="38" t="s">
        <v>787</v>
      </c>
      <c r="N578" s="149" t="s">
        <v>2531</v>
      </c>
      <c r="O578" s="149" t="s">
        <v>2532</v>
      </c>
      <c r="P578" s="40" t="s">
        <v>860</v>
      </c>
      <c r="Q578" s="329" t="s">
        <v>799</v>
      </c>
    </row>
    <row r="579" spans="1:17" x14ac:dyDescent="0.2">
      <c r="A579" s="40">
        <v>3</v>
      </c>
      <c r="B579" s="44"/>
      <c r="C579" s="44"/>
      <c r="D579" s="82"/>
      <c r="E579" s="44" t="s">
        <v>60</v>
      </c>
      <c r="F579" s="192" t="s">
        <v>1173</v>
      </c>
      <c r="G579" s="77" t="s">
        <v>58</v>
      </c>
      <c r="H579" s="6"/>
      <c r="I579" s="24">
        <v>4.3</v>
      </c>
      <c r="J579" s="331">
        <v>210</v>
      </c>
      <c r="K579" s="6"/>
      <c r="L579" s="6"/>
      <c r="N579" s="149" t="s">
        <v>1050</v>
      </c>
      <c r="O579" s="149" t="s">
        <v>2324</v>
      </c>
      <c r="P579" s="73">
        <v>100</v>
      </c>
      <c r="Q579" s="329" t="s">
        <v>799</v>
      </c>
    </row>
    <row r="580" spans="1:17" x14ac:dyDescent="0.2">
      <c r="A580" s="40">
        <v>3</v>
      </c>
      <c r="B580" s="44"/>
      <c r="C580" s="44"/>
      <c r="D580" s="333"/>
      <c r="E580" s="44" t="s">
        <v>60</v>
      </c>
      <c r="F580" s="192" t="s">
        <v>1173</v>
      </c>
      <c r="G580" s="77" t="s">
        <v>59</v>
      </c>
      <c r="H580" s="6"/>
      <c r="I580" s="24"/>
      <c r="J580" s="331">
        <v>28</v>
      </c>
      <c r="K580" s="6"/>
      <c r="L580" s="6"/>
      <c r="N580" s="149"/>
      <c r="O580" s="149"/>
      <c r="P580" s="73"/>
      <c r="Q580" s="329" t="s">
        <v>799</v>
      </c>
    </row>
    <row r="581" spans="1:17" ht="33.75" x14ac:dyDescent="0.2">
      <c r="A581" s="40">
        <v>3</v>
      </c>
      <c r="B581" s="44"/>
      <c r="C581" s="44"/>
      <c r="D581" s="333"/>
      <c r="E581" s="44" t="s">
        <v>585</v>
      </c>
      <c r="F581" s="192" t="s">
        <v>2533</v>
      </c>
      <c r="G581" s="34" t="s">
        <v>9</v>
      </c>
      <c r="H581" s="6"/>
      <c r="I581" s="24"/>
      <c r="J581" s="331">
        <v>13.1</v>
      </c>
      <c r="K581" s="6"/>
      <c r="L581" s="6"/>
      <c r="N581" s="149" t="s">
        <v>698</v>
      </c>
      <c r="O581" s="149" t="s">
        <v>2534</v>
      </c>
      <c r="P581" s="40" t="s">
        <v>860</v>
      </c>
      <c r="Q581" s="329" t="s">
        <v>799</v>
      </c>
    </row>
    <row r="582" spans="1:17" x14ac:dyDescent="0.2">
      <c r="A582" s="40">
        <v>3</v>
      </c>
      <c r="B582" s="44"/>
      <c r="C582" s="44"/>
      <c r="D582" s="333"/>
      <c r="E582" s="44"/>
      <c r="F582" s="192" t="s">
        <v>1173</v>
      </c>
      <c r="G582" s="121" t="s">
        <v>608</v>
      </c>
      <c r="H582" s="123">
        <v>0</v>
      </c>
      <c r="I582" s="123">
        <f>SUM(I578:I581)</f>
        <v>23.8</v>
      </c>
      <c r="J582" s="123">
        <f t="shared" ref="J582:L582" si="87">SUM(J578:J581)</f>
        <v>407.1</v>
      </c>
      <c r="K582" s="123">
        <f t="shared" si="87"/>
        <v>0</v>
      </c>
      <c r="L582" s="123">
        <f t="shared" si="87"/>
        <v>0</v>
      </c>
      <c r="N582" s="149"/>
      <c r="O582" s="149"/>
      <c r="P582" s="73"/>
      <c r="Q582" s="329"/>
    </row>
    <row r="583" spans="1:17" ht="22.5" x14ac:dyDescent="0.2">
      <c r="A583" s="40">
        <v>3</v>
      </c>
      <c r="B583" s="142" t="s">
        <v>1174</v>
      </c>
      <c r="C583" s="142"/>
      <c r="D583" s="191" t="s">
        <v>1153</v>
      </c>
      <c r="E583" s="334"/>
      <c r="F583" s="335"/>
      <c r="G583" s="336"/>
      <c r="H583" s="337"/>
      <c r="I583" s="337">
        <f>I590+I593+I599+I602+I595</f>
        <v>3281.2</v>
      </c>
      <c r="J583" s="337">
        <f t="shared" ref="J583:L583" si="88">J590+J593+J599+J602+J595</f>
        <v>3181.2</v>
      </c>
      <c r="K583" s="337">
        <f t="shared" si="88"/>
        <v>3120</v>
      </c>
      <c r="L583" s="337">
        <f t="shared" si="88"/>
        <v>3220</v>
      </c>
      <c r="N583" s="149"/>
      <c r="O583" s="149"/>
      <c r="P583" s="73"/>
      <c r="Q583" s="329"/>
    </row>
    <row r="584" spans="1:17" x14ac:dyDescent="0.2">
      <c r="A584" s="69">
        <v>3</v>
      </c>
      <c r="B584" s="338"/>
      <c r="C584" s="338"/>
      <c r="D584" s="338"/>
      <c r="E584" s="139"/>
      <c r="F584" s="40"/>
      <c r="G584" s="339" t="s">
        <v>9</v>
      </c>
      <c r="H584" s="331">
        <v>18.2</v>
      </c>
      <c r="I584" s="331">
        <f>SUM(I591,I601,I594,I597)</f>
        <v>196</v>
      </c>
      <c r="J584" s="331">
        <f t="shared" ref="J584:L584" si="89">SUM(J591,J601,J594,J597)</f>
        <v>22.3</v>
      </c>
      <c r="K584" s="331">
        <f t="shared" si="89"/>
        <v>20</v>
      </c>
      <c r="L584" s="331">
        <f t="shared" si="89"/>
        <v>20</v>
      </c>
      <c r="N584" s="149"/>
      <c r="O584" s="149"/>
      <c r="P584" s="73"/>
      <c r="Q584" s="329"/>
    </row>
    <row r="585" spans="1:17" x14ac:dyDescent="0.2">
      <c r="A585" s="40">
        <v>3</v>
      </c>
      <c r="B585" s="49"/>
      <c r="C585" s="49"/>
      <c r="D585" s="146"/>
      <c r="E585" s="139"/>
      <c r="F585" s="40"/>
      <c r="G585" s="339" t="s">
        <v>153</v>
      </c>
      <c r="H585" s="331">
        <v>2914</v>
      </c>
      <c r="I585" s="331">
        <f>SUM(I588,I592,I596)</f>
        <v>3011</v>
      </c>
      <c r="J585" s="331">
        <f t="shared" ref="J585:L585" si="90">SUM(J588,J592,J596)</f>
        <v>3100</v>
      </c>
      <c r="K585" s="331">
        <f t="shared" si="90"/>
        <v>3100</v>
      </c>
      <c r="L585" s="331">
        <f t="shared" si="90"/>
        <v>3200</v>
      </c>
      <c r="N585" s="149"/>
      <c r="O585" s="149"/>
      <c r="P585" s="73"/>
      <c r="Q585" s="329"/>
    </row>
    <row r="586" spans="1:17" x14ac:dyDescent="0.2">
      <c r="A586" s="40">
        <v>3</v>
      </c>
      <c r="B586" s="49"/>
      <c r="C586" s="49"/>
      <c r="D586" s="146"/>
      <c r="E586" s="139"/>
      <c r="F586" s="40"/>
      <c r="G586" s="339" t="s">
        <v>157</v>
      </c>
      <c r="H586" s="331">
        <v>404.3</v>
      </c>
      <c r="I586" s="331">
        <f>I589</f>
        <v>29</v>
      </c>
      <c r="J586" s="331">
        <f>J589</f>
        <v>29</v>
      </c>
      <c r="K586" s="331">
        <f>K589</f>
        <v>0</v>
      </c>
      <c r="L586" s="331">
        <f>L589</f>
        <v>0</v>
      </c>
      <c r="N586" s="149"/>
      <c r="O586" s="149"/>
      <c r="P586" s="73"/>
      <c r="Q586" s="329"/>
    </row>
    <row r="587" spans="1:17" x14ac:dyDescent="0.2">
      <c r="A587" s="40">
        <v>3</v>
      </c>
      <c r="B587" s="49"/>
      <c r="C587" s="49"/>
      <c r="D587" s="146"/>
      <c r="E587" s="139"/>
      <c r="F587" s="40"/>
      <c r="G587" s="339" t="s">
        <v>11</v>
      </c>
      <c r="H587" s="331">
        <v>52.1</v>
      </c>
      <c r="I587" s="331">
        <f>I600</f>
        <v>0</v>
      </c>
      <c r="J587" s="331"/>
      <c r="K587" s="331"/>
      <c r="L587" s="331"/>
      <c r="N587" s="149"/>
      <c r="O587" s="149"/>
      <c r="P587" s="73"/>
      <c r="Q587" s="329"/>
    </row>
    <row r="588" spans="1:17" x14ac:dyDescent="0.2">
      <c r="A588" s="40">
        <v>3</v>
      </c>
      <c r="B588" s="49"/>
      <c r="C588" s="49" t="s">
        <v>1175</v>
      </c>
      <c r="D588" s="82" t="s">
        <v>150</v>
      </c>
      <c r="E588" s="192" t="s">
        <v>151</v>
      </c>
      <c r="F588" s="40" t="s">
        <v>152</v>
      </c>
      <c r="G588" s="77" t="s">
        <v>153</v>
      </c>
      <c r="H588" s="6">
        <v>2913.2</v>
      </c>
      <c r="I588" s="24">
        <v>3011</v>
      </c>
      <c r="J588" s="331">
        <v>3100</v>
      </c>
      <c r="K588" s="6">
        <v>3100</v>
      </c>
      <c r="L588" s="6">
        <v>3200</v>
      </c>
      <c r="N588" s="149"/>
      <c r="O588" s="149"/>
      <c r="P588" s="73"/>
      <c r="Q588" s="329"/>
    </row>
    <row r="589" spans="1:17" x14ac:dyDescent="0.2">
      <c r="A589" s="40">
        <v>3</v>
      </c>
      <c r="B589" s="49"/>
      <c r="C589" s="49"/>
      <c r="D589" s="82"/>
      <c r="E589" s="192" t="s">
        <v>151</v>
      </c>
      <c r="F589" s="40" t="s">
        <v>152</v>
      </c>
      <c r="G589" s="77" t="s">
        <v>157</v>
      </c>
      <c r="H589" s="6">
        <v>404.3</v>
      </c>
      <c r="I589" s="24">
        <v>29</v>
      </c>
      <c r="J589" s="331">
        <v>29</v>
      </c>
      <c r="K589" s="6">
        <v>0</v>
      </c>
      <c r="L589" s="6">
        <v>0</v>
      </c>
      <c r="N589" s="149"/>
      <c r="O589" s="149"/>
      <c r="P589" s="73"/>
      <c r="Q589" s="801"/>
    </row>
    <row r="590" spans="1:17" x14ac:dyDescent="0.2">
      <c r="A590" s="69">
        <v>3</v>
      </c>
      <c r="B590" s="49"/>
      <c r="C590" s="49"/>
      <c r="D590" s="82"/>
      <c r="E590" s="192"/>
      <c r="F590" s="40" t="s">
        <v>152</v>
      </c>
      <c r="G590" s="121" t="s">
        <v>608</v>
      </c>
      <c r="H590" s="123">
        <f>SUM(H588:H589)</f>
        <v>3317.5</v>
      </c>
      <c r="I590" s="123">
        <f>SUM(I588:I589)</f>
        <v>3040</v>
      </c>
      <c r="J590" s="123">
        <f t="shared" ref="J590:L590" si="91">SUM(J588:J589)</f>
        <v>3129</v>
      </c>
      <c r="K590" s="123">
        <f t="shared" si="91"/>
        <v>3100</v>
      </c>
      <c r="L590" s="123">
        <f t="shared" si="91"/>
        <v>3200</v>
      </c>
      <c r="N590" s="149"/>
      <c r="O590" s="149"/>
      <c r="P590" s="793"/>
      <c r="Q590" s="794"/>
    </row>
    <row r="591" spans="1:17" ht="33.75" x14ac:dyDescent="0.2">
      <c r="A591" s="40">
        <v>3</v>
      </c>
      <c r="B591" s="49"/>
      <c r="C591" s="49" t="s">
        <v>1176</v>
      </c>
      <c r="D591" s="82" t="s">
        <v>154</v>
      </c>
      <c r="E591" s="192">
        <v>18</v>
      </c>
      <c r="F591" s="40" t="s">
        <v>155</v>
      </c>
      <c r="G591" s="77" t="s">
        <v>9</v>
      </c>
      <c r="H591" s="6">
        <v>4.7</v>
      </c>
      <c r="I591" s="24">
        <v>88</v>
      </c>
      <c r="J591" s="331"/>
      <c r="K591" s="6"/>
      <c r="L591" s="6"/>
      <c r="N591" s="149"/>
      <c r="O591" s="149"/>
      <c r="P591" s="793"/>
      <c r="Q591" s="795"/>
    </row>
    <row r="592" spans="1:17" x14ac:dyDescent="0.2">
      <c r="A592" s="40">
        <v>3</v>
      </c>
      <c r="B592" s="49"/>
      <c r="C592" s="49"/>
      <c r="D592" s="82"/>
      <c r="E592" s="192">
        <v>18</v>
      </c>
      <c r="F592" s="40" t="s">
        <v>155</v>
      </c>
      <c r="G592" s="77" t="s">
        <v>153</v>
      </c>
      <c r="H592" s="6">
        <v>55.8</v>
      </c>
      <c r="I592" s="24"/>
      <c r="J592" s="331">
        <v>0</v>
      </c>
      <c r="K592" s="6">
        <v>0</v>
      </c>
      <c r="L592" s="6">
        <v>0</v>
      </c>
      <c r="N592" s="149"/>
      <c r="O592" s="149"/>
      <c r="P592" s="793"/>
      <c r="Q592" s="794"/>
    </row>
    <row r="593" spans="1:17" x14ac:dyDescent="0.2">
      <c r="A593" s="40">
        <v>3</v>
      </c>
      <c r="B593" s="49"/>
      <c r="C593" s="49"/>
      <c r="D593" s="82"/>
      <c r="E593" s="192"/>
      <c r="F593" s="40" t="s">
        <v>155</v>
      </c>
      <c r="G593" s="121" t="s">
        <v>608</v>
      </c>
      <c r="H593" s="123">
        <f>SUM(H591:H592)</f>
        <v>60.5</v>
      </c>
      <c r="I593" s="123">
        <f>SUM(I591:I592)</f>
        <v>88</v>
      </c>
      <c r="J593" s="123">
        <f t="shared" ref="J593:L593" si="92">SUM(J591:J592)</f>
        <v>0</v>
      </c>
      <c r="K593" s="123">
        <f t="shared" si="92"/>
        <v>0</v>
      </c>
      <c r="L593" s="123">
        <f t="shared" si="92"/>
        <v>0</v>
      </c>
      <c r="N593" s="149"/>
      <c r="O593" s="149"/>
      <c r="P593" s="793"/>
      <c r="Q593" s="794"/>
    </row>
    <row r="594" spans="1:17" ht="22.5" x14ac:dyDescent="0.2">
      <c r="A594" s="40">
        <v>3</v>
      </c>
      <c r="B594" s="49"/>
      <c r="C594" s="49" t="s">
        <v>1177</v>
      </c>
      <c r="D594" s="92" t="s">
        <v>1178</v>
      </c>
      <c r="E594" s="192">
        <v>18</v>
      </c>
      <c r="F594" s="40" t="s">
        <v>183</v>
      </c>
      <c r="G594" s="88" t="s">
        <v>9</v>
      </c>
      <c r="H594" s="123"/>
      <c r="I594" s="24">
        <v>40</v>
      </c>
      <c r="J594" s="331"/>
      <c r="K594" s="16"/>
      <c r="L594" s="16"/>
      <c r="M594" s="38" t="s">
        <v>782</v>
      </c>
      <c r="N594" s="149"/>
      <c r="O594" s="149"/>
      <c r="P594" s="793"/>
      <c r="Q594" s="795"/>
    </row>
    <row r="595" spans="1:17" x14ac:dyDescent="0.2">
      <c r="A595" s="40">
        <v>3</v>
      </c>
      <c r="B595" s="49"/>
      <c r="C595" s="49"/>
      <c r="D595" s="92"/>
      <c r="E595" s="192"/>
      <c r="F595" s="40"/>
      <c r="G595" s="121" t="s">
        <v>608</v>
      </c>
      <c r="H595" s="123">
        <f>SUM(H593:H594)</f>
        <v>60.5</v>
      </c>
      <c r="I595" s="123">
        <f>SUM(I594)</f>
        <v>40</v>
      </c>
      <c r="J595" s="123">
        <f t="shared" ref="J595:L595" si="93">SUM(J594)</f>
        <v>0</v>
      </c>
      <c r="K595" s="123">
        <f t="shared" si="93"/>
        <v>0</v>
      </c>
      <c r="L595" s="123">
        <f t="shared" si="93"/>
        <v>0</v>
      </c>
      <c r="N595" s="300"/>
      <c r="O595" s="149"/>
      <c r="P595" s="793"/>
      <c r="Q595" s="794"/>
    </row>
    <row r="596" spans="1:17" ht="22.5" x14ac:dyDescent="0.2">
      <c r="A596" s="69">
        <v>3</v>
      </c>
      <c r="B596" s="49"/>
      <c r="C596" s="49" t="s">
        <v>1179</v>
      </c>
      <c r="D596" s="82" t="s">
        <v>160</v>
      </c>
      <c r="E596" s="192" t="s">
        <v>151</v>
      </c>
      <c r="F596" s="40" t="s">
        <v>1180</v>
      </c>
      <c r="G596" s="77" t="s">
        <v>153</v>
      </c>
      <c r="H596" s="6"/>
      <c r="I596" s="24">
        <f>160-152-8</f>
        <v>0</v>
      </c>
      <c r="J596" s="331"/>
      <c r="K596" s="6"/>
      <c r="L596" s="6"/>
      <c r="N596" s="149" t="s">
        <v>1181</v>
      </c>
      <c r="O596" s="149" t="s">
        <v>1182</v>
      </c>
      <c r="P596" s="793">
        <v>24</v>
      </c>
      <c r="Q596" s="794"/>
    </row>
    <row r="597" spans="1:17" x14ac:dyDescent="0.2">
      <c r="A597" s="40">
        <v>3</v>
      </c>
      <c r="B597" s="49"/>
      <c r="C597" s="49"/>
      <c r="D597" s="82"/>
      <c r="E597" s="192" t="s">
        <v>151</v>
      </c>
      <c r="F597" s="40" t="s">
        <v>1180</v>
      </c>
      <c r="G597" s="34" t="s">
        <v>9</v>
      </c>
      <c r="H597" s="6"/>
      <c r="I597" s="24">
        <v>8</v>
      </c>
      <c r="J597" s="331"/>
      <c r="K597" s="6"/>
      <c r="L597" s="6"/>
      <c r="N597" s="149"/>
      <c r="O597" s="149"/>
      <c r="P597" s="793"/>
      <c r="Q597" s="794"/>
    </row>
    <row r="598" spans="1:17" x14ac:dyDescent="0.2">
      <c r="A598" s="40">
        <v>3</v>
      </c>
      <c r="B598" s="49"/>
      <c r="C598" s="49"/>
      <c r="D598" s="82"/>
      <c r="E598" s="192" t="s">
        <v>151</v>
      </c>
      <c r="F598" s="40" t="s">
        <v>1180</v>
      </c>
      <c r="G598" s="77" t="s">
        <v>11</v>
      </c>
      <c r="H598" s="6"/>
      <c r="I598" s="24">
        <v>45.2</v>
      </c>
      <c r="J598" s="331"/>
      <c r="K598" s="6"/>
      <c r="L598" s="6"/>
      <c r="N598" s="149"/>
      <c r="O598" s="149"/>
      <c r="P598" s="793"/>
      <c r="Q598" s="794"/>
    </row>
    <row r="599" spans="1:17" x14ac:dyDescent="0.2">
      <c r="A599" s="40">
        <v>3</v>
      </c>
      <c r="B599" s="49"/>
      <c r="C599" s="49"/>
      <c r="D599" s="82"/>
      <c r="E599" s="192"/>
      <c r="F599" s="40" t="s">
        <v>1180</v>
      </c>
      <c r="G599" s="121" t="s">
        <v>608</v>
      </c>
      <c r="H599" s="123"/>
      <c r="I599" s="123">
        <f>SUM(I596:I598)</f>
        <v>53.2</v>
      </c>
      <c r="J599" s="123">
        <f t="shared" ref="J599:L599" si="94">SUM(J596:J598)</f>
        <v>0</v>
      </c>
      <c r="K599" s="123">
        <f t="shared" si="94"/>
        <v>0</v>
      </c>
      <c r="L599" s="123">
        <f t="shared" si="94"/>
        <v>0</v>
      </c>
      <c r="N599" s="149"/>
      <c r="O599" s="149"/>
      <c r="P599" s="793"/>
      <c r="Q599" s="794"/>
    </row>
    <row r="600" spans="1:17" ht="33.75" x14ac:dyDescent="0.2">
      <c r="A600" s="40">
        <v>3</v>
      </c>
      <c r="B600" s="49"/>
      <c r="C600" s="49" t="s">
        <v>1183</v>
      </c>
      <c r="D600" s="82" t="s">
        <v>156</v>
      </c>
      <c r="E600" s="192">
        <v>18</v>
      </c>
      <c r="F600" s="40" t="s">
        <v>1184</v>
      </c>
      <c r="G600" s="77" t="s">
        <v>11</v>
      </c>
      <c r="H600" s="6">
        <v>52.1</v>
      </c>
      <c r="I600" s="24"/>
      <c r="J600" s="331">
        <f>29.9</f>
        <v>29.9</v>
      </c>
      <c r="K600" s="6"/>
      <c r="L600" s="6"/>
      <c r="N600" s="149" t="s">
        <v>1185</v>
      </c>
      <c r="O600" s="149" t="s">
        <v>1186</v>
      </c>
      <c r="P600" s="793">
        <v>100</v>
      </c>
      <c r="Q600" s="794"/>
    </row>
    <row r="601" spans="1:17" x14ac:dyDescent="0.2">
      <c r="A601" s="40">
        <v>3</v>
      </c>
      <c r="B601" s="49"/>
      <c r="C601" s="49"/>
      <c r="D601" s="82"/>
      <c r="E601" s="192">
        <v>18</v>
      </c>
      <c r="F601" s="40" t="s">
        <v>1184</v>
      </c>
      <c r="G601" s="77" t="s">
        <v>9</v>
      </c>
      <c r="H601" s="6">
        <v>13.5</v>
      </c>
      <c r="I601" s="24">
        <f>40+20</f>
        <v>60</v>
      </c>
      <c r="J601" s="331">
        <f>20+2.3</f>
        <v>22.3</v>
      </c>
      <c r="K601" s="6">
        <v>20</v>
      </c>
      <c r="L601" s="6">
        <v>20</v>
      </c>
      <c r="M601" s="38" t="s">
        <v>796</v>
      </c>
      <c r="N601" s="149"/>
      <c r="O601" s="149"/>
      <c r="P601" s="793"/>
      <c r="Q601" s="794"/>
    </row>
    <row r="602" spans="1:17" x14ac:dyDescent="0.2">
      <c r="A602" s="69">
        <v>3</v>
      </c>
      <c r="B602" s="49"/>
      <c r="C602" s="49"/>
      <c r="D602" s="146"/>
      <c r="E602" s="139"/>
      <c r="F602" s="40" t="s">
        <v>1184</v>
      </c>
      <c r="G602" s="121" t="s">
        <v>608</v>
      </c>
      <c r="H602" s="123"/>
      <c r="I602" s="123">
        <f>SUM(I600:I601)</f>
        <v>60</v>
      </c>
      <c r="J602" s="123">
        <f t="shared" ref="J602:L602" si="95">SUM(J600:J601)</f>
        <v>52.2</v>
      </c>
      <c r="K602" s="123">
        <f t="shared" si="95"/>
        <v>20</v>
      </c>
      <c r="L602" s="123">
        <f t="shared" si="95"/>
        <v>20</v>
      </c>
      <c r="N602" s="149"/>
      <c r="O602" s="149"/>
      <c r="P602" s="793"/>
      <c r="Q602" s="794"/>
    </row>
    <row r="603" spans="1:17" ht="22.5" x14ac:dyDescent="0.2">
      <c r="A603" s="40">
        <v>3</v>
      </c>
      <c r="B603" s="142" t="s">
        <v>1187</v>
      </c>
      <c r="C603" s="142" t="s">
        <v>1187</v>
      </c>
      <c r="D603" s="191" t="s">
        <v>1154</v>
      </c>
      <c r="E603" s="115"/>
      <c r="F603" s="81"/>
      <c r="G603" s="192"/>
      <c r="H603" s="7">
        <v>1121.4000000000001</v>
      </c>
      <c r="I603" s="302">
        <f>SUM(I605,I607,I609,I611,I613,I615,I617,I620,I622,I624,I626,I637,I640)</f>
        <v>2168.1999999999998</v>
      </c>
      <c r="J603" s="144">
        <f>SUM(J605,J607,J609,J611,J613,J615,J617,J620,J622,J624,J626,J637,J640)</f>
        <v>2530.6999999999994</v>
      </c>
      <c r="K603" s="21">
        <f>SUM(K605,K607,K609,K611,K613,K615,K617,K620,K622,K624,K626,K637,K640)</f>
        <v>2390.6</v>
      </c>
      <c r="L603" s="21">
        <f>SUM(L605,L607,L609,L611,L613,L615,L617,L620,L622,L624,L626,L637,L640)</f>
        <v>2233.6999999999994</v>
      </c>
      <c r="N603" s="202"/>
      <c r="O603" s="118"/>
      <c r="P603" s="800"/>
      <c r="Q603" s="796"/>
    </row>
    <row r="604" spans="1:17" ht="22.5" x14ac:dyDescent="0.2">
      <c r="A604" s="40">
        <v>3</v>
      </c>
      <c r="B604" s="139"/>
      <c r="C604" s="139" t="s">
        <v>1188</v>
      </c>
      <c r="D604" s="48" t="s">
        <v>161</v>
      </c>
      <c r="E604" s="73">
        <v>19</v>
      </c>
      <c r="F604" s="73" t="s">
        <v>162</v>
      </c>
      <c r="G604" s="73" t="s">
        <v>9</v>
      </c>
      <c r="H604" s="6">
        <v>99.7</v>
      </c>
      <c r="I604" s="24">
        <v>82</v>
      </c>
      <c r="J604" s="331">
        <v>84.6</v>
      </c>
      <c r="K604" s="6">
        <v>84.6</v>
      </c>
      <c r="L604" s="6">
        <v>84.6</v>
      </c>
      <c r="M604" s="38" t="s">
        <v>782</v>
      </c>
      <c r="N604" s="149" t="s">
        <v>1189</v>
      </c>
      <c r="O604" s="149" t="s">
        <v>1190</v>
      </c>
      <c r="P604" s="793">
        <v>19</v>
      </c>
      <c r="Q604" s="797" t="s">
        <v>894</v>
      </c>
    </row>
    <row r="605" spans="1:17" x14ac:dyDescent="0.2">
      <c r="A605" s="40">
        <v>3</v>
      </c>
      <c r="B605" s="139"/>
      <c r="C605" s="139" t="s">
        <v>1188</v>
      </c>
      <c r="D605" s="48"/>
      <c r="E605" s="73"/>
      <c r="F605" s="73" t="s">
        <v>1191</v>
      </c>
      <c r="G605" s="121" t="s">
        <v>608</v>
      </c>
      <c r="H605" s="123">
        <f>SUM(H604)</f>
        <v>99.7</v>
      </c>
      <c r="I605" s="123">
        <f>SUM(I604)</f>
        <v>82</v>
      </c>
      <c r="J605" s="123">
        <f t="shared" ref="J605:L605" si="96">SUM(J604)</f>
        <v>84.6</v>
      </c>
      <c r="K605" s="123">
        <f t="shared" si="96"/>
        <v>84.6</v>
      </c>
      <c r="L605" s="123">
        <f t="shared" si="96"/>
        <v>84.6</v>
      </c>
      <c r="N605" s="149"/>
      <c r="O605" s="149"/>
      <c r="P605" s="793"/>
      <c r="Q605" s="797">
        <f>SUM(Q604)</f>
        <v>0</v>
      </c>
    </row>
    <row r="606" spans="1:17" ht="22.5" x14ac:dyDescent="0.2">
      <c r="A606" s="40">
        <v>3</v>
      </c>
      <c r="B606" s="139"/>
      <c r="C606" s="139" t="s">
        <v>1192</v>
      </c>
      <c r="D606" s="48" t="s">
        <v>163</v>
      </c>
      <c r="E606" s="73">
        <v>20</v>
      </c>
      <c r="F606" s="73" t="s">
        <v>164</v>
      </c>
      <c r="G606" s="73" t="s">
        <v>9</v>
      </c>
      <c r="H606" s="37">
        <v>104.8</v>
      </c>
      <c r="I606" s="16">
        <v>150.5</v>
      </c>
      <c r="J606" s="116">
        <v>122.6</v>
      </c>
      <c r="K606" s="6">
        <v>122.6</v>
      </c>
      <c r="L606" s="6">
        <v>145.69999999999999</v>
      </c>
      <c r="M606" s="38" t="s">
        <v>782</v>
      </c>
      <c r="N606" s="149" t="s">
        <v>2326</v>
      </c>
      <c r="O606" s="149" t="s">
        <v>1190</v>
      </c>
      <c r="P606" s="793">
        <v>20</v>
      </c>
      <c r="Q606" s="798" t="s">
        <v>912</v>
      </c>
    </row>
    <row r="607" spans="1:17" x14ac:dyDescent="0.2">
      <c r="A607" s="40">
        <v>3</v>
      </c>
      <c r="B607" s="139"/>
      <c r="C607" s="139" t="s">
        <v>1192</v>
      </c>
      <c r="D607" s="48"/>
      <c r="E607" s="73"/>
      <c r="F607" s="73" t="s">
        <v>164</v>
      </c>
      <c r="G607" s="121" t="s">
        <v>608</v>
      </c>
      <c r="H607" s="123">
        <f>SUM(H606)</f>
        <v>104.8</v>
      </c>
      <c r="I607" s="123">
        <f>SUM(I606)</f>
        <v>150.5</v>
      </c>
      <c r="J607" s="123">
        <f t="shared" ref="J607:L607" si="97">SUM(J606)</f>
        <v>122.6</v>
      </c>
      <c r="K607" s="123">
        <f t="shared" si="97"/>
        <v>122.6</v>
      </c>
      <c r="L607" s="123">
        <f t="shared" si="97"/>
        <v>145.69999999999999</v>
      </c>
      <c r="N607" s="149"/>
      <c r="O607" s="149"/>
      <c r="P607" s="793"/>
      <c r="Q607" s="797">
        <f>SUM(Q606)</f>
        <v>0</v>
      </c>
    </row>
    <row r="608" spans="1:17" ht="22.5" x14ac:dyDescent="0.2">
      <c r="A608" s="69">
        <v>3</v>
      </c>
      <c r="B608" s="139"/>
      <c r="C608" s="139" t="s">
        <v>1193</v>
      </c>
      <c r="D608" s="48" t="s">
        <v>165</v>
      </c>
      <c r="E608" s="73">
        <v>21</v>
      </c>
      <c r="F608" s="73" t="s">
        <v>166</v>
      </c>
      <c r="G608" s="73" t="s">
        <v>9</v>
      </c>
      <c r="H608" s="37">
        <v>180.7</v>
      </c>
      <c r="I608" s="16">
        <v>205</v>
      </c>
      <c r="J608" s="116">
        <v>191.1</v>
      </c>
      <c r="K608" s="6">
        <v>182.1</v>
      </c>
      <c r="L608" s="6">
        <v>182.1</v>
      </c>
      <c r="M608" s="38" t="s">
        <v>782</v>
      </c>
      <c r="N608" s="149" t="s">
        <v>1194</v>
      </c>
      <c r="O608" s="149" t="s">
        <v>1195</v>
      </c>
      <c r="P608" s="793">
        <v>2</v>
      </c>
      <c r="Q608" s="798" t="s">
        <v>875</v>
      </c>
    </row>
    <row r="609" spans="1:17" x14ac:dyDescent="0.2">
      <c r="A609" s="40">
        <v>3</v>
      </c>
      <c r="B609" s="139"/>
      <c r="C609" s="139" t="s">
        <v>1193</v>
      </c>
      <c r="D609" s="48"/>
      <c r="E609" s="73"/>
      <c r="F609" s="73" t="s">
        <v>166</v>
      </c>
      <c r="G609" s="121" t="s">
        <v>608</v>
      </c>
      <c r="H609" s="123">
        <f>SUM(H608)</f>
        <v>180.7</v>
      </c>
      <c r="I609" s="123">
        <f>SUM(I608)</f>
        <v>205</v>
      </c>
      <c r="J609" s="123">
        <f t="shared" ref="J609:L609" si="98">SUM(J608)</f>
        <v>191.1</v>
      </c>
      <c r="K609" s="123">
        <f t="shared" si="98"/>
        <v>182.1</v>
      </c>
      <c r="L609" s="123">
        <f t="shared" si="98"/>
        <v>182.1</v>
      </c>
      <c r="N609" s="149" t="s">
        <v>1194</v>
      </c>
      <c r="O609" s="149" t="s">
        <v>1190</v>
      </c>
      <c r="P609" s="793">
        <v>44</v>
      </c>
      <c r="Q609" s="798" t="s">
        <v>875</v>
      </c>
    </row>
    <row r="610" spans="1:17" ht="22.5" x14ac:dyDescent="0.2">
      <c r="A610" s="40">
        <v>3</v>
      </c>
      <c r="B610" s="139"/>
      <c r="C610" s="139" t="s">
        <v>1196</v>
      </c>
      <c r="D610" s="48" t="s">
        <v>167</v>
      </c>
      <c r="E610" s="73">
        <v>22</v>
      </c>
      <c r="F610" s="73" t="s">
        <v>168</v>
      </c>
      <c r="G610" s="73" t="s">
        <v>9</v>
      </c>
      <c r="H610" s="6">
        <v>110.5</v>
      </c>
      <c r="I610" s="24">
        <v>89.4</v>
      </c>
      <c r="J610" s="331">
        <v>109.3</v>
      </c>
      <c r="K610" s="6">
        <v>109.3</v>
      </c>
      <c r="L610" s="6">
        <v>109.3</v>
      </c>
      <c r="M610" s="38" t="s">
        <v>782</v>
      </c>
      <c r="N610" s="149" t="s">
        <v>1197</v>
      </c>
      <c r="O610" s="149" t="s">
        <v>1198</v>
      </c>
      <c r="P610" s="793">
        <v>21</v>
      </c>
      <c r="Q610" s="803" t="s">
        <v>911</v>
      </c>
    </row>
    <row r="611" spans="1:17" x14ac:dyDescent="0.2">
      <c r="A611" s="40">
        <v>3</v>
      </c>
      <c r="B611" s="139"/>
      <c r="C611" s="139" t="s">
        <v>1196</v>
      </c>
      <c r="D611" s="48"/>
      <c r="E611" s="73"/>
      <c r="F611" s="73" t="s">
        <v>168</v>
      </c>
      <c r="G611" s="121" t="s">
        <v>608</v>
      </c>
      <c r="H611" s="123">
        <f>SUM(H610)</f>
        <v>110.5</v>
      </c>
      <c r="I611" s="123">
        <f>SUM(I610)</f>
        <v>89.4</v>
      </c>
      <c r="J611" s="123">
        <f t="shared" ref="J611:L611" si="99">SUM(J610)</f>
        <v>109.3</v>
      </c>
      <c r="K611" s="123">
        <f t="shared" si="99"/>
        <v>109.3</v>
      </c>
      <c r="L611" s="123">
        <f t="shared" si="99"/>
        <v>109.3</v>
      </c>
      <c r="N611" s="149"/>
      <c r="O611" s="149"/>
      <c r="P611" s="793"/>
      <c r="Q611" s="797">
        <f>SUM(S610)</f>
        <v>0</v>
      </c>
    </row>
    <row r="612" spans="1:17" ht="22.5" x14ac:dyDescent="0.2">
      <c r="A612" s="40">
        <v>3</v>
      </c>
      <c r="B612" s="139"/>
      <c r="C612" s="139" t="s">
        <v>1199</v>
      </c>
      <c r="D612" s="35" t="s">
        <v>169</v>
      </c>
      <c r="E612" s="76">
        <v>23</v>
      </c>
      <c r="F612" s="76" t="s">
        <v>170</v>
      </c>
      <c r="G612" s="73" t="s">
        <v>9</v>
      </c>
      <c r="H612" s="16">
        <v>655.7</v>
      </c>
      <c r="I612" s="16">
        <v>578.29999999999995</v>
      </c>
      <c r="J612" s="116">
        <v>646.70000000000005</v>
      </c>
      <c r="K612" s="6">
        <v>611</v>
      </c>
      <c r="L612" s="6">
        <v>611</v>
      </c>
      <c r="M612" s="38" t="s">
        <v>782</v>
      </c>
      <c r="N612" s="149" t="s">
        <v>1200</v>
      </c>
      <c r="O612" s="149" t="s">
        <v>1190</v>
      </c>
      <c r="P612" s="793">
        <v>100</v>
      </c>
      <c r="Q612" s="803" t="s">
        <v>799</v>
      </c>
    </row>
    <row r="613" spans="1:17" x14ac:dyDescent="0.2">
      <c r="A613" s="40">
        <v>3</v>
      </c>
      <c r="B613" s="139"/>
      <c r="C613" s="139" t="s">
        <v>1199</v>
      </c>
      <c r="D613" s="35"/>
      <c r="E613" s="76"/>
      <c r="F613" s="76" t="s">
        <v>170</v>
      </c>
      <c r="G613" s="121" t="s">
        <v>608</v>
      </c>
      <c r="H613" s="123">
        <f>SUM(H612)</f>
        <v>655.7</v>
      </c>
      <c r="I613" s="123">
        <f>SUM(I612)</f>
        <v>578.29999999999995</v>
      </c>
      <c r="J613" s="123">
        <f t="shared" ref="J613:L613" si="100">SUM(J612)</f>
        <v>646.70000000000005</v>
      </c>
      <c r="K613" s="123">
        <f t="shared" si="100"/>
        <v>611</v>
      </c>
      <c r="L613" s="123">
        <f t="shared" si="100"/>
        <v>611</v>
      </c>
      <c r="N613" s="149"/>
      <c r="O613" s="149"/>
      <c r="P613" s="793"/>
      <c r="Q613" s="797">
        <f>SUM(S612)</f>
        <v>0</v>
      </c>
    </row>
    <row r="614" spans="1:17" ht="22.5" x14ac:dyDescent="0.2">
      <c r="A614" s="69">
        <v>3</v>
      </c>
      <c r="B614" s="139"/>
      <c r="C614" s="139" t="s">
        <v>1201</v>
      </c>
      <c r="D614" s="48" t="s">
        <v>171</v>
      </c>
      <c r="E614" s="73">
        <v>24</v>
      </c>
      <c r="F614" s="73" t="s">
        <v>172</v>
      </c>
      <c r="G614" s="73" t="s">
        <v>9</v>
      </c>
      <c r="H614" s="6">
        <v>94.8</v>
      </c>
      <c r="I614" s="24">
        <v>74.599999999999994</v>
      </c>
      <c r="J614" s="331">
        <v>93.1</v>
      </c>
      <c r="K614" s="6">
        <v>75.400000000000006</v>
      </c>
      <c r="L614" s="6">
        <v>75.400000000000006</v>
      </c>
      <c r="M614" s="38" t="s">
        <v>782</v>
      </c>
      <c r="N614" s="149" t="s">
        <v>1202</v>
      </c>
      <c r="O614" s="149" t="s">
        <v>1190</v>
      </c>
      <c r="P614" s="793">
        <v>12</v>
      </c>
      <c r="Q614" s="803" t="s">
        <v>913</v>
      </c>
    </row>
    <row r="615" spans="1:17" x14ac:dyDescent="0.2">
      <c r="A615" s="40">
        <v>3</v>
      </c>
      <c r="B615" s="139"/>
      <c r="C615" s="139" t="s">
        <v>1201</v>
      </c>
      <c r="D615" s="48"/>
      <c r="E615" s="73"/>
      <c r="F615" s="73" t="s">
        <v>172</v>
      </c>
      <c r="G615" s="121" t="s">
        <v>608</v>
      </c>
      <c r="H615" s="123">
        <f>SUM(H614)</f>
        <v>94.8</v>
      </c>
      <c r="I615" s="123">
        <f>SUM(I614)</f>
        <v>74.599999999999994</v>
      </c>
      <c r="J615" s="123">
        <f t="shared" ref="J615:L615" si="101">SUM(J614)</f>
        <v>93.1</v>
      </c>
      <c r="K615" s="123">
        <f t="shared" si="101"/>
        <v>75.400000000000006</v>
      </c>
      <c r="L615" s="123">
        <f t="shared" si="101"/>
        <v>75.400000000000006</v>
      </c>
      <c r="N615" s="149"/>
      <c r="O615" s="149"/>
      <c r="P615" s="793"/>
      <c r="Q615" s="797">
        <f>SUM(S614)</f>
        <v>0</v>
      </c>
    </row>
    <row r="616" spans="1:17" ht="22.5" x14ac:dyDescent="0.2">
      <c r="A616" s="40">
        <v>3</v>
      </c>
      <c r="B616" s="139"/>
      <c r="C616" s="139" t="s">
        <v>1203</v>
      </c>
      <c r="D616" s="48" t="s">
        <v>173</v>
      </c>
      <c r="E616" s="73">
        <v>25</v>
      </c>
      <c r="F616" s="73" t="s">
        <v>174</v>
      </c>
      <c r="G616" s="73" t="s">
        <v>9</v>
      </c>
      <c r="H616" s="6">
        <v>188.5</v>
      </c>
      <c r="I616" s="24">
        <v>155.80000000000001</v>
      </c>
      <c r="J616" s="331">
        <v>217.1</v>
      </c>
      <c r="K616" s="6">
        <v>197.1</v>
      </c>
      <c r="L616" s="6">
        <v>197.1</v>
      </c>
      <c r="M616" s="38" t="s">
        <v>782</v>
      </c>
      <c r="N616" s="149" t="s">
        <v>1204</v>
      </c>
      <c r="O616" s="149" t="s">
        <v>1190</v>
      </c>
      <c r="P616" s="793">
        <v>42</v>
      </c>
      <c r="Q616" s="803" t="s">
        <v>889</v>
      </c>
    </row>
    <row r="617" spans="1:17" x14ac:dyDescent="0.2">
      <c r="A617" s="40">
        <v>3</v>
      </c>
      <c r="B617" s="139"/>
      <c r="C617" s="139" t="s">
        <v>1203</v>
      </c>
      <c r="D617" s="48"/>
      <c r="E617" s="73"/>
      <c r="F617" s="73" t="s">
        <v>174</v>
      </c>
      <c r="G617" s="121" t="s">
        <v>608</v>
      </c>
      <c r="H617" s="123">
        <f>SUM(H616)</f>
        <v>188.5</v>
      </c>
      <c r="I617" s="123">
        <f>SUM(I616)</f>
        <v>155.80000000000001</v>
      </c>
      <c r="J617" s="123">
        <f t="shared" ref="J617:L617" si="102">SUM(J616)</f>
        <v>217.1</v>
      </c>
      <c r="K617" s="123">
        <f t="shared" si="102"/>
        <v>197.1</v>
      </c>
      <c r="L617" s="123">
        <f t="shared" si="102"/>
        <v>197.1</v>
      </c>
      <c r="N617" s="149"/>
      <c r="O617" s="149"/>
      <c r="P617" s="793"/>
      <c r="Q617" s="797">
        <f>SUM(S616)</f>
        <v>0</v>
      </c>
    </row>
    <row r="618" spans="1:17" ht="22.5" x14ac:dyDescent="0.2">
      <c r="A618" s="40">
        <v>3</v>
      </c>
      <c r="B618" s="139"/>
      <c r="C618" s="139" t="s">
        <v>1205</v>
      </c>
      <c r="D618" s="48" t="s">
        <v>175</v>
      </c>
      <c r="E618" s="73">
        <v>26</v>
      </c>
      <c r="F618" s="73" t="s">
        <v>176</v>
      </c>
      <c r="G618" s="73" t="s">
        <v>9</v>
      </c>
      <c r="H618" s="6">
        <v>293.10000000000002</v>
      </c>
      <c r="I618" s="24">
        <v>299.89999999999998</v>
      </c>
      <c r="J618" s="331">
        <f>374.6-13.4</f>
        <v>361.20000000000005</v>
      </c>
      <c r="K618" s="6">
        <v>374.6</v>
      </c>
      <c r="L618" s="6">
        <v>374.6</v>
      </c>
      <c r="M618" s="38" t="s">
        <v>782</v>
      </c>
      <c r="N618" s="149" t="s">
        <v>1206</v>
      </c>
      <c r="O618" s="149" t="s">
        <v>1190</v>
      </c>
      <c r="P618" s="793">
        <v>90</v>
      </c>
      <c r="Q618" s="803" t="s">
        <v>878</v>
      </c>
    </row>
    <row r="619" spans="1:17" x14ac:dyDescent="0.2">
      <c r="A619" s="40">
        <v>3</v>
      </c>
      <c r="B619" s="139"/>
      <c r="C619" s="139" t="s">
        <v>1205</v>
      </c>
      <c r="D619" s="48"/>
      <c r="E619" s="73">
        <v>26</v>
      </c>
      <c r="F619" s="73" t="s">
        <v>176</v>
      </c>
      <c r="G619" s="73" t="s">
        <v>12</v>
      </c>
      <c r="H619" s="6">
        <v>10</v>
      </c>
      <c r="I619" s="24">
        <v>8.4</v>
      </c>
      <c r="J619" s="331">
        <v>7.2</v>
      </c>
      <c r="K619" s="6">
        <v>7.2</v>
      </c>
      <c r="L619" s="6">
        <v>7.2</v>
      </c>
      <c r="N619" s="149"/>
      <c r="O619" s="149"/>
      <c r="P619" s="793"/>
      <c r="Q619" s="797" t="s">
        <v>878</v>
      </c>
    </row>
    <row r="620" spans="1:17" x14ac:dyDescent="0.2">
      <c r="A620" s="69">
        <v>3</v>
      </c>
      <c r="B620" s="139"/>
      <c r="C620" s="139" t="s">
        <v>1205</v>
      </c>
      <c r="D620" s="48"/>
      <c r="E620" s="73"/>
      <c r="F620" s="73" t="s">
        <v>176</v>
      </c>
      <c r="G620" s="121" t="s">
        <v>608</v>
      </c>
      <c r="H620" s="123">
        <f>SUM(H618:H619)</f>
        <v>303.10000000000002</v>
      </c>
      <c r="I620" s="123">
        <f>SUM(I618:I619)</f>
        <v>308.29999999999995</v>
      </c>
      <c r="J620" s="123">
        <f t="shared" ref="J620:L620" si="103">SUM(J618:J619)</f>
        <v>368.40000000000003</v>
      </c>
      <c r="K620" s="123">
        <f t="shared" si="103"/>
        <v>381.8</v>
      </c>
      <c r="L620" s="123">
        <f t="shared" si="103"/>
        <v>381.8</v>
      </c>
      <c r="N620" s="149"/>
      <c r="O620" s="149"/>
      <c r="P620" s="793"/>
      <c r="Q620" s="797">
        <f>SUM(Q618:Q619)</f>
        <v>0</v>
      </c>
    </row>
    <row r="621" spans="1:17" ht="22.5" x14ac:dyDescent="0.2">
      <c r="A621" s="40">
        <v>3</v>
      </c>
      <c r="B621" s="139"/>
      <c r="C621" s="139" t="s">
        <v>1207</v>
      </c>
      <c r="D621" s="48" t="s">
        <v>177</v>
      </c>
      <c r="E621" s="73">
        <v>27</v>
      </c>
      <c r="F621" s="73" t="s">
        <v>178</v>
      </c>
      <c r="G621" s="73" t="s">
        <v>9</v>
      </c>
      <c r="H621" s="37">
        <v>141.9</v>
      </c>
      <c r="I621" s="16">
        <v>136.5</v>
      </c>
      <c r="J621" s="116">
        <v>111.5</v>
      </c>
      <c r="K621" s="6">
        <v>119.1</v>
      </c>
      <c r="L621" s="6">
        <v>119.1</v>
      </c>
      <c r="M621" s="38" t="s">
        <v>782</v>
      </c>
      <c r="N621" s="149" t="s">
        <v>2278</v>
      </c>
      <c r="O621" s="149" t="s">
        <v>1190</v>
      </c>
      <c r="P621" s="793">
        <v>30</v>
      </c>
      <c r="Q621" s="803" t="s">
        <v>861</v>
      </c>
    </row>
    <row r="622" spans="1:17" x14ac:dyDescent="0.2">
      <c r="A622" s="40">
        <v>3</v>
      </c>
      <c r="B622" s="139"/>
      <c r="C622" s="139" t="s">
        <v>1207</v>
      </c>
      <c r="D622" s="48"/>
      <c r="E622" s="73"/>
      <c r="F622" s="73" t="s">
        <v>178</v>
      </c>
      <c r="G622" s="121" t="s">
        <v>608</v>
      </c>
      <c r="H622" s="123">
        <f>SUM(H621)</f>
        <v>141.9</v>
      </c>
      <c r="I622" s="123">
        <f>SUM(I621)</f>
        <v>136.5</v>
      </c>
      <c r="J622" s="123">
        <f t="shared" ref="J622:L622" si="104">SUM(J621)</f>
        <v>111.5</v>
      </c>
      <c r="K622" s="123">
        <f t="shared" si="104"/>
        <v>119.1</v>
      </c>
      <c r="L622" s="123">
        <f t="shared" si="104"/>
        <v>119.1</v>
      </c>
      <c r="N622" s="149"/>
      <c r="O622" s="149"/>
      <c r="P622" s="793"/>
      <c r="Q622" s="799"/>
    </row>
    <row r="623" spans="1:17" ht="22.5" x14ac:dyDescent="0.2">
      <c r="A623" s="40">
        <v>3</v>
      </c>
      <c r="B623" s="139"/>
      <c r="C623" s="139" t="s">
        <v>1208</v>
      </c>
      <c r="D623" s="48" t="s">
        <v>179</v>
      </c>
      <c r="E623" s="73">
        <v>28</v>
      </c>
      <c r="F623" s="73" t="s">
        <v>180</v>
      </c>
      <c r="G623" s="73" t="s">
        <v>9</v>
      </c>
      <c r="H623" s="6">
        <v>168.4</v>
      </c>
      <c r="I623" s="24">
        <v>132</v>
      </c>
      <c r="J623" s="331">
        <v>145</v>
      </c>
      <c r="K623" s="6">
        <v>145</v>
      </c>
      <c r="L623" s="6">
        <v>145</v>
      </c>
      <c r="M623" s="38" t="s">
        <v>782</v>
      </c>
      <c r="N623" s="149" t="s">
        <v>2325</v>
      </c>
      <c r="O623" s="149" t="s">
        <v>1190</v>
      </c>
      <c r="P623" s="793">
        <v>34</v>
      </c>
      <c r="Q623" s="803" t="s">
        <v>871</v>
      </c>
    </row>
    <row r="624" spans="1:17" x14ac:dyDescent="0.2">
      <c r="A624" s="40">
        <v>3</v>
      </c>
      <c r="B624" s="139"/>
      <c r="C624" s="139" t="s">
        <v>1208</v>
      </c>
      <c r="D624" s="48"/>
      <c r="E624" s="870"/>
      <c r="F624" s="73" t="s">
        <v>180</v>
      </c>
      <c r="G624" s="121" t="s">
        <v>608</v>
      </c>
      <c r="H624" s="123">
        <f>SUM(H623)</f>
        <v>168.4</v>
      </c>
      <c r="I624" s="123">
        <f>SUM(I623)</f>
        <v>132</v>
      </c>
      <c r="J624" s="123">
        <f t="shared" ref="J624:L624" si="105">SUM(J623)</f>
        <v>145</v>
      </c>
      <c r="K624" s="123">
        <f t="shared" si="105"/>
        <v>145</v>
      </c>
      <c r="L624" s="123">
        <f t="shared" si="105"/>
        <v>145</v>
      </c>
      <c r="N624" s="149"/>
      <c r="O624" s="149"/>
      <c r="P624" s="793"/>
      <c r="Q624" s="797">
        <f>SUM(S623)</f>
        <v>0</v>
      </c>
    </row>
    <row r="625" spans="1:17" ht="22.5" x14ac:dyDescent="0.2">
      <c r="A625" s="40">
        <v>3</v>
      </c>
      <c r="B625" s="139"/>
      <c r="C625" s="139" t="s">
        <v>1209</v>
      </c>
      <c r="D625" s="872" t="s">
        <v>181</v>
      </c>
      <c r="E625" s="878">
        <v>29</v>
      </c>
      <c r="F625" s="877" t="s">
        <v>182</v>
      </c>
      <c r="G625" s="73" t="s">
        <v>9</v>
      </c>
      <c r="H625" s="6">
        <v>148</v>
      </c>
      <c r="I625" s="24">
        <v>147.9</v>
      </c>
      <c r="J625" s="331">
        <v>145.6</v>
      </c>
      <c r="K625" s="6">
        <v>145.6</v>
      </c>
      <c r="L625" s="6">
        <v>145.6</v>
      </c>
      <c r="M625" s="38" t="s">
        <v>782</v>
      </c>
      <c r="N625" s="149" t="s">
        <v>2277</v>
      </c>
      <c r="O625" s="149" t="s">
        <v>1190</v>
      </c>
      <c r="P625" s="793">
        <v>52</v>
      </c>
      <c r="Q625" s="797" t="s">
        <v>886</v>
      </c>
    </row>
    <row r="626" spans="1:17" x14ac:dyDescent="0.2">
      <c r="A626" s="69">
        <v>3</v>
      </c>
      <c r="B626" s="139"/>
      <c r="C626" s="139" t="s">
        <v>1209</v>
      </c>
      <c r="D626" s="872"/>
      <c r="E626" s="245"/>
      <c r="F626" s="876" t="s">
        <v>182</v>
      </c>
      <c r="G626" s="873" t="s">
        <v>608</v>
      </c>
      <c r="H626" s="123">
        <f>SUM(H625)</f>
        <v>148</v>
      </c>
      <c r="I626" s="123">
        <f>SUM(I625)</f>
        <v>147.9</v>
      </c>
      <c r="J626" s="123">
        <f t="shared" ref="J626:L626" si="106">SUM(J625)</f>
        <v>145.6</v>
      </c>
      <c r="K626" s="123">
        <f t="shared" si="106"/>
        <v>145.6</v>
      </c>
      <c r="L626" s="123">
        <f t="shared" si="106"/>
        <v>145.6</v>
      </c>
      <c r="N626" s="149"/>
      <c r="O626" s="149"/>
      <c r="P626" s="793"/>
      <c r="Q626" s="797">
        <f>SUM(Q625)</f>
        <v>0</v>
      </c>
    </row>
    <row r="627" spans="1:17" x14ac:dyDescent="0.2">
      <c r="A627" s="40">
        <v>3</v>
      </c>
      <c r="B627" s="341"/>
      <c r="C627" s="341"/>
      <c r="D627" s="342" t="s">
        <v>1210</v>
      </c>
      <c r="E627" s="874"/>
      <c r="F627" s="875"/>
      <c r="G627" s="339"/>
      <c r="H627" s="331">
        <f>SUM(H626,H624,H622,H620,H617,H615,H613,H611,H609,H607,H605)</f>
        <v>2196.1</v>
      </c>
      <c r="I627" s="343">
        <f>SUM(I626,I624,I622,I620,I617,I615,I613,I611,I609,I607,I605)</f>
        <v>2060.3000000000002</v>
      </c>
      <c r="J627" s="343">
        <f t="shared" ref="J627:L627" si="107">SUM(J626,J624,J622,J620,J617,J615,J613,J611,J609,J607,J605)</f>
        <v>2235</v>
      </c>
      <c r="K627" s="343">
        <f t="shared" si="107"/>
        <v>2173.6</v>
      </c>
      <c r="L627" s="343">
        <f t="shared" si="107"/>
        <v>2196.6999999999998</v>
      </c>
      <c r="N627" s="149"/>
      <c r="O627" s="149"/>
      <c r="P627" s="793"/>
      <c r="Q627" s="797">
        <f>SUM(Q626,Q624,Q622,Q620,Q617,Q615,Q613,Q611,S609,Q607,Q605)</f>
        <v>0</v>
      </c>
    </row>
    <row r="628" spans="1:17" x14ac:dyDescent="0.2">
      <c r="A628" s="40">
        <v>3</v>
      </c>
      <c r="B628" s="139"/>
      <c r="C628" s="44" t="s">
        <v>1211</v>
      </c>
      <c r="D628" s="344" t="s">
        <v>1212</v>
      </c>
      <c r="E628" s="345" t="s">
        <v>508</v>
      </c>
      <c r="F628" s="40" t="s">
        <v>386</v>
      </c>
      <c r="G628" s="69" t="s">
        <v>12</v>
      </c>
      <c r="H628" s="6"/>
      <c r="I628" s="24">
        <v>1</v>
      </c>
      <c r="J628" s="331">
        <v>2</v>
      </c>
      <c r="K628" s="6">
        <v>2</v>
      </c>
      <c r="L628" s="6">
        <v>2</v>
      </c>
      <c r="N628" s="149" t="s">
        <v>1213</v>
      </c>
      <c r="O628" s="149"/>
      <c r="P628" s="793"/>
      <c r="Q628" s="797"/>
    </row>
    <row r="629" spans="1:17" x14ac:dyDescent="0.2">
      <c r="A629" s="40">
        <v>3</v>
      </c>
      <c r="B629" s="139"/>
      <c r="C629" s="44"/>
      <c r="D629" s="344"/>
      <c r="E629" s="345" t="s">
        <v>60</v>
      </c>
      <c r="F629" s="40" t="s">
        <v>386</v>
      </c>
      <c r="G629" s="69" t="s">
        <v>266</v>
      </c>
      <c r="H629" s="6"/>
      <c r="I629" s="24"/>
      <c r="J629" s="331">
        <v>0.7</v>
      </c>
      <c r="K629" s="6"/>
      <c r="L629" s="6"/>
      <c r="N629" s="149"/>
      <c r="O629" s="149"/>
      <c r="P629" s="793"/>
      <c r="Q629" s="797"/>
    </row>
    <row r="630" spans="1:17" x14ac:dyDescent="0.2">
      <c r="A630" s="40">
        <v>3</v>
      </c>
      <c r="B630" s="139"/>
      <c r="C630" s="44"/>
      <c r="D630" s="344"/>
      <c r="E630" s="345" t="s">
        <v>60</v>
      </c>
      <c r="F630" s="40" t="s">
        <v>386</v>
      </c>
      <c r="G630" s="40" t="s">
        <v>9</v>
      </c>
      <c r="H630" s="6"/>
      <c r="I630" s="24">
        <v>12.7</v>
      </c>
      <c r="J630" s="331"/>
      <c r="K630" s="6"/>
      <c r="L630" s="6"/>
      <c r="M630" s="38" t="s">
        <v>796</v>
      </c>
      <c r="N630" s="149"/>
      <c r="O630" s="149" t="s">
        <v>1214</v>
      </c>
      <c r="P630" s="793">
        <v>1</v>
      </c>
      <c r="Q630" s="797" t="s">
        <v>871</v>
      </c>
    </row>
    <row r="631" spans="1:17" ht="22.5" x14ac:dyDescent="0.2">
      <c r="A631" s="40">
        <v>3</v>
      </c>
      <c r="B631" s="139"/>
      <c r="C631" s="44"/>
      <c r="D631" s="346"/>
      <c r="E631" s="349" t="s">
        <v>2327</v>
      </c>
      <c r="F631" s="69" t="s">
        <v>386</v>
      </c>
      <c r="G631" s="40" t="s">
        <v>9</v>
      </c>
      <c r="H631" s="6"/>
      <c r="I631" s="24"/>
      <c r="J631" s="331">
        <v>150</v>
      </c>
      <c r="K631" s="6">
        <v>100</v>
      </c>
      <c r="L631" s="6"/>
      <c r="M631" s="38" t="s">
        <v>796</v>
      </c>
      <c r="N631" s="300" t="s">
        <v>702</v>
      </c>
      <c r="O631" s="300" t="s">
        <v>2418</v>
      </c>
      <c r="P631" s="1353">
        <v>40</v>
      </c>
      <c r="Q631" s="803" t="s">
        <v>861</v>
      </c>
    </row>
    <row r="632" spans="1:17" x14ac:dyDescent="0.2">
      <c r="A632" s="69">
        <v>3</v>
      </c>
      <c r="B632" s="139"/>
      <c r="C632" s="44"/>
      <c r="D632" s="146"/>
      <c r="E632" s="139" t="s">
        <v>584</v>
      </c>
      <c r="F632" s="347" t="s">
        <v>377</v>
      </c>
      <c r="G632" s="40" t="s">
        <v>9</v>
      </c>
      <c r="H632" s="6"/>
      <c r="I632" s="63">
        <v>15</v>
      </c>
      <c r="J632" s="176"/>
      <c r="K632" s="6"/>
      <c r="L632" s="6"/>
      <c r="M632" s="38" t="s">
        <v>796</v>
      </c>
      <c r="N632" s="149"/>
      <c r="O632" s="89"/>
      <c r="P632" s="793"/>
      <c r="Q632" s="797" t="s">
        <v>911</v>
      </c>
    </row>
    <row r="633" spans="1:17" ht="22.5" x14ac:dyDescent="0.2">
      <c r="A633" s="40">
        <v>3</v>
      </c>
      <c r="B633" s="139"/>
      <c r="C633" s="44"/>
      <c r="D633" s="146"/>
      <c r="E633" s="139" t="s">
        <v>585</v>
      </c>
      <c r="F633" s="347" t="s">
        <v>379</v>
      </c>
      <c r="G633" s="40" t="s">
        <v>9</v>
      </c>
      <c r="H633" s="6"/>
      <c r="I633" s="63">
        <v>29.5</v>
      </c>
      <c r="J633" s="176">
        <v>50</v>
      </c>
      <c r="K633" s="6">
        <v>50</v>
      </c>
      <c r="L633" s="6"/>
      <c r="M633" s="38" t="s">
        <v>787</v>
      </c>
      <c r="N633" s="149" t="s">
        <v>698</v>
      </c>
      <c r="O633" s="89" t="s">
        <v>1215</v>
      </c>
      <c r="P633" s="793">
        <v>1</v>
      </c>
      <c r="Q633" s="803" t="s">
        <v>799</v>
      </c>
    </row>
    <row r="634" spans="1:17" x14ac:dyDescent="0.2">
      <c r="A634" s="40">
        <v>3</v>
      </c>
      <c r="B634" s="139"/>
      <c r="C634" s="44"/>
      <c r="D634" s="146"/>
      <c r="E634" s="139" t="s">
        <v>1216</v>
      </c>
      <c r="F634" s="348" t="s">
        <v>380</v>
      </c>
      <c r="G634" s="40" t="s">
        <v>9</v>
      </c>
      <c r="H634" s="6"/>
      <c r="I634" s="63">
        <v>1.5</v>
      </c>
      <c r="J634" s="176">
        <v>5</v>
      </c>
      <c r="K634" s="6"/>
      <c r="L634" s="6"/>
      <c r="M634" s="38" t="s">
        <v>796</v>
      </c>
      <c r="N634" s="149" t="s">
        <v>699</v>
      </c>
      <c r="O634" s="89" t="s">
        <v>1217</v>
      </c>
      <c r="P634" s="793">
        <v>1</v>
      </c>
      <c r="Q634" s="803" t="s">
        <v>913</v>
      </c>
    </row>
    <row r="635" spans="1:17" ht="45" x14ac:dyDescent="0.2">
      <c r="A635" s="40">
        <v>3</v>
      </c>
      <c r="B635" s="139"/>
      <c r="C635" s="44"/>
      <c r="D635" s="146"/>
      <c r="E635" s="139" t="s">
        <v>1218</v>
      </c>
      <c r="F635" s="348" t="s">
        <v>382</v>
      </c>
      <c r="G635" s="40" t="s">
        <v>9</v>
      </c>
      <c r="H635" s="6"/>
      <c r="I635" s="63">
        <v>8.1999999999999993</v>
      </c>
      <c r="J635" s="176">
        <v>10</v>
      </c>
      <c r="K635" s="6"/>
      <c r="L635" s="6"/>
      <c r="M635" s="38" t="s">
        <v>796</v>
      </c>
      <c r="N635" s="149" t="s">
        <v>701</v>
      </c>
      <c r="O635" s="149" t="s">
        <v>1219</v>
      </c>
      <c r="P635" s="43" t="s">
        <v>860</v>
      </c>
      <c r="Q635" s="797" t="s">
        <v>878</v>
      </c>
    </row>
    <row r="636" spans="1:17" ht="45" x14ac:dyDescent="0.2">
      <c r="A636" s="40">
        <v>3</v>
      </c>
      <c r="B636" s="139"/>
      <c r="C636" s="44"/>
      <c r="D636" s="146"/>
      <c r="E636" s="139" t="s">
        <v>586</v>
      </c>
      <c r="F636" s="347" t="s">
        <v>384</v>
      </c>
      <c r="G636" s="40" t="s">
        <v>9</v>
      </c>
      <c r="H636" s="6"/>
      <c r="I636" s="24"/>
      <c r="J636" s="331">
        <f>18+5</f>
        <v>23</v>
      </c>
      <c r="K636" s="6">
        <v>30</v>
      </c>
      <c r="L636" s="6"/>
      <c r="M636" s="38" t="s">
        <v>796</v>
      </c>
      <c r="N636" s="149" t="s">
        <v>703</v>
      </c>
      <c r="O636" s="89" t="s">
        <v>2519</v>
      </c>
      <c r="P636" s="1435" t="s">
        <v>2520</v>
      </c>
      <c r="Q636" s="803" t="s">
        <v>871</v>
      </c>
    </row>
    <row r="637" spans="1:17" x14ac:dyDescent="0.2">
      <c r="A637" s="40">
        <v>3</v>
      </c>
      <c r="B637" s="139"/>
      <c r="C637" s="44"/>
      <c r="D637" s="146"/>
      <c r="E637" s="139"/>
      <c r="F637" s="40"/>
      <c r="G637" s="121" t="s">
        <v>608</v>
      </c>
      <c r="H637" s="123">
        <f>SUM(H628:H628)</f>
        <v>0</v>
      </c>
      <c r="I637" s="123">
        <f>SUM(I628:I636)</f>
        <v>67.900000000000006</v>
      </c>
      <c r="J637" s="123">
        <f t="shared" ref="J637:L637" si="108">SUM(J628:J636)</f>
        <v>240.7</v>
      </c>
      <c r="K637" s="123">
        <f t="shared" si="108"/>
        <v>182</v>
      </c>
      <c r="L637" s="123">
        <f t="shared" si="108"/>
        <v>2</v>
      </c>
      <c r="N637" s="149"/>
      <c r="O637" s="149"/>
      <c r="P637" s="793"/>
      <c r="Q637" s="797"/>
    </row>
    <row r="638" spans="1:17" ht="22.5" x14ac:dyDescent="0.2">
      <c r="A638" s="69">
        <v>3</v>
      </c>
      <c r="B638" s="49"/>
      <c r="C638" s="87" t="s">
        <v>1220</v>
      </c>
      <c r="D638" s="35" t="s">
        <v>1221</v>
      </c>
      <c r="E638" s="139" t="s">
        <v>1222</v>
      </c>
      <c r="F638" s="69" t="s">
        <v>145</v>
      </c>
      <c r="G638" s="77" t="s">
        <v>9</v>
      </c>
      <c r="H638" s="24">
        <v>30</v>
      </c>
      <c r="I638" s="24">
        <v>35</v>
      </c>
      <c r="J638" s="331">
        <v>30</v>
      </c>
      <c r="K638" s="24">
        <v>35</v>
      </c>
      <c r="L638" s="24">
        <v>35</v>
      </c>
      <c r="M638" s="38" t="s">
        <v>796</v>
      </c>
      <c r="N638" s="149" t="s">
        <v>1223</v>
      </c>
      <c r="O638" s="149" t="s">
        <v>1224</v>
      </c>
      <c r="P638" s="793">
        <v>2</v>
      </c>
      <c r="Q638" s="802" t="s">
        <v>878</v>
      </c>
    </row>
    <row r="639" spans="1:17" ht="22.5" x14ac:dyDescent="0.2">
      <c r="A639" s="40">
        <v>3</v>
      </c>
      <c r="B639" s="49"/>
      <c r="C639" s="87"/>
      <c r="D639" s="35"/>
      <c r="E639" s="349" t="s">
        <v>1225</v>
      </c>
      <c r="F639" s="69" t="s">
        <v>145</v>
      </c>
      <c r="G639" s="77" t="s">
        <v>9</v>
      </c>
      <c r="H639" s="24"/>
      <c r="I639" s="24">
        <v>5</v>
      </c>
      <c r="J639" s="331">
        <v>25</v>
      </c>
      <c r="K639" s="24"/>
      <c r="L639" s="24"/>
      <c r="M639" s="38" t="s">
        <v>796</v>
      </c>
      <c r="N639" s="1430" t="s">
        <v>2347</v>
      </c>
      <c r="O639" s="149" t="s">
        <v>1226</v>
      </c>
      <c r="P639" s="793">
        <v>1</v>
      </c>
      <c r="Q639" s="797" t="s">
        <v>912</v>
      </c>
    </row>
    <row r="640" spans="1:17" x14ac:dyDescent="0.2">
      <c r="A640" s="40">
        <v>3</v>
      </c>
      <c r="B640" s="49"/>
      <c r="C640" s="87"/>
      <c r="D640" s="35"/>
      <c r="E640" s="349"/>
      <c r="F640" s="69" t="s">
        <v>145</v>
      </c>
      <c r="G640" s="121" t="s">
        <v>608</v>
      </c>
      <c r="H640" s="123">
        <f>SUM(H638:H638)</f>
        <v>30</v>
      </c>
      <c r="I640" s="123">
        <f>SUM(I638:I639)</f>
        <v>40</v>
      </c>
      <c r="J640" s="123">
        <f t="shared" ref="J640:L640" si="109">SUM(J638:J639)</f>
        <v>55</v>
      </c>
      <c r="K640" s="123">
        <f t="shared" si="109"/>
        <v>35</v>
      </c>
      <c r="L640" s="123">
        <f t="shared" si="109"/>
        <v>35</v>
      </c>
      <c r="N640" s="149"/>
      <c r="O640" s="149"/>
      <c r="P640" s="793"/>
      <c r="Q640" s="797"/>
    </row>
    <row r="641" spans="1:17" x14ac:dyDescent="0.2">
      <c r="A641" s="40">
        <v>3</v>
      </c>
      <c r="B641" s="142" t="s">
        <v>1227</v>
      </c>
      <c r="C641" s="142" t="s">
        <v>1227</v>
      </c>
      <c r="D641" s="191" t="s">
        <v>184</v>
      </c>
      <c r="E641" s="139" t="s">
        <v>60</v>
      </c>
      <c r="F641" s="40" t="s">
        <v>185</v>
      </c>
      <c r="G641" s="69" t="s">
        <v>186</v>
      </c>
      <c r="H641" s="332">
        <v>29.8</v>
      </c>
      <c r="I641" s="24"/>
      <c r="J641" s="331"/>
      <c r="K641" s="24"/>
      <c r="L641" s="24"/>
      <c r="N641" s="149"/>
      <c r="O641" s="149"/>
      <c r="P641" s="793"/>
      <c r="Q641" s="797" t="s">
        <v>799</v>
      </c>
    </row>
    <row r="642" spans="1:17" x14ac:dyDescent="0.2">
      <c r="A642" s="40">
        <v>3</v>
      </c>
      <c r="B642" s="139"/>
      <c r="C642" s="44"/>
      <c r="D642" s="48"/>
      <c r="E642" s="139" t="s">
        <v>60</v>
      </c>
      <c r="F642" s="40" t="s">
        <v>185</v>
      </c>
      <c r="G642" s="69" t="s">
        <v>323</v>
      </c>
      <c r="H642" s="332">
        <v>50</v>
      </c>
      <c r="I642" s="24"/>
      <c r="J642" s="331"/>
      <c r="K642" s="26"/>
      <c r="L642" s="26"/>
      <c r="N642" s="880"/>
      <c r="O642" s="149"/>
      <c r="P642" s="793"/>
      <c r="Q642" s="797" t="s">
        <v>799</v>
      </c>
    </row>
    <row r="643" spans="1:17" x14ac:dyDescent="0.2">
      <c r="A643" s="40">
        <v>3</v>
      </c>
      <c r="B643" s="139"/>
      <c r="C643" s="44"/>
      <c r="D643" s="48"/>
      <c r="E643" s="349" t="s">
        <v>60</v>
      </c>
      <c r="F643" s="40" t="s">
        <v>185</v>
      </c>
      <c r="G643" s="77" t="s">
        <v>9</v>
      </c>
      <c r="H643" s="332">
        <v>133.1</v>
      </c>
      <c r="I643" s="25">
        <v>146.6</v>
      </c>
      <c r="J643" s="350"/>
      <c r="K643" s="58"/>
      <c r="L643" s="58"/>
      <c r="N643" s="58"/>
      <c r="O643" s="879"/>
      <c r="P643" s="793"/>
      <c r="Q643" s="797" t="s">
        <v>799</v>
      </c>
    </row>
    <row r="644" spans="1:17" ht="33.75" x14ac:dyDescent="0.2">
      <c r="A644" s="69">
        <v>3</v>
      </c>
      <c r="B644" s="139"/>
      <c r="C644" s="44"/>
      <c r="D644" s="48"/>
      <c r="E644" s="349" t="s">
        <v>585</v>
      </c>
      <c r="F644" s="40" t="s">
        <v>185</v>
      </c>
      <c r="G644" s="77" t="s">
        <v>9</v>
      </c>
      <c r="H644" s="332"/>
      <c r="I644" s="24"/>
      <c r="J644" s="331">
        <f>50-20-20</f>
        <v>10</v>
      </c>
      <c r="K644" s="27">
        <v>50</v>
      </c>
      <c r="L644" s="27">
        <v>50</v>
      </c>
      <c r="M644" s="38" t="s">
        <v>796</v>
      </c>
      <c r="N644" s="149" t="s">
        <v>698</v>
      </c>
      <c r="O644" s="300" t="s">
        <v>2328</v>
      </c>
      <c r="P644" s="43" t="s">
        <v>860</v>
      </c>
      <c r="Q644" s="797" t="s">
        <v>799</v>
      </c>
    </row>
    <row r="645" spans="1:17" x14ac:dyDescent="0.2">
      <c r="A645" s="40">
        <v>3</v>
      </c>
      <c r="B645" s="139"/>
      <c r="C645" s="44"/>
      <c r="D645" s="48"/>
      <c r="E645" s="139" t="s">
        <v>91</v>
      </c>
      <c r="F645" s="40" t="s">
        <v>185</v>
      </c>
      <c r="G645" s="77" t="s">
        <v>9</v>
      </c>
      <c r="H645" s="332"/>
      <c r="I645" s="24">
        <v>30</v>
      </c>
      <c r="J645" s="331"/>
      <c r="K645" s="6"/>
      <c r="L645" s="6"/>
      <c r="N645" s="149"/>
      <c r="O645" s="149"/>
      <c r="P645" s="793"/>
      <c r="Q645" s="797" t="s">
        <v>799</v>
      </c>
    </row>
    <row r="646" spans="1:17" x14ac:dyDescent="0.2">
      <c r="A646" s="40">
        <v>3</v>
      </c>
      <c r="B646" s="139"/>
      <c r="C646" s="44"/>
      <c r="D646" s="48"/>
      <c r="E646" s="139"/>
      <c r="F646" s="40" t="s">
        <v>185</v>
      </c>
      <c r="G646" s="121" t="s">
        <v>608</v>
      </c>
      <c r="H646" s="123">
        <f>SUM(H641:H643)</f>
        <v>212.89999999999998</v>
      </c>
      <c r="I646" s="123">
        <f>SUM(I641:I645)</f>
        <v>176.6</v>
      </c>
      <c r="J646" s="123">
        <f t="shared" ref="J646:L646" si="110">SUM(J641:J645)</f>
        <v>10</v>
      </c>
      <c r="K646" s="123">
        <f t="shared" si="110"/>
        <v>50</v>
      </c>
      <c r="L646" s="123">
        <f t="shared" si="110"/>
        <v>50</v>
      </c>
      <c r="N646" s="149"/>
      <c r="O646" s="149"/>
      <c r="P646" s="793"/>
      <c r="Q646" s="794"/>
    </row>
    <row r="647" spans="1:17" x14ac:dyDescent="0.2">
      <c r="A647" s="40">
        <v>3</v>
      </c>
      <c r="B647" s="139"/>
      <c r="C647" s="44"/>
      <c r="D647" s="48"/>
      <c r="E647" s="139"/>
      <c r="F647" s="40"/>
      <c r="G647" s="185" t="s">
        <v>608</v>
      </c>
      <c r="H647" s="164"/>
      <c r="I647" s="185">
        <f>SUM(I646,I640,I637,I626,I624,I622,I620,I617,I615,I613,I611,I609,I607,I605,I602,I599,I593,I590,I582,I577,I575,I573,I595)</f>
        <v>6048.4000000000005</v>
      </c>
      <c r="J647" s="185">
        <f t="shared" ref="J647:L647" si="111">SUM(J646,J640,J637,J626,J624,J622,J620,J617,J615,J613,J611,J609,J607,J605,J602,J599,J593,J590,J582,J577,J575,J573,J595)</f>
        <v>6816</v>
      </c>
      <c r="K647" s="185">
        <f t="shared" si="111"/>
        <v>6034.6</v>
      </c>
      <c r="L647" s="185">
        <f t="shared" si="111"/>
        <v>5977.7</v>
      </c>
      <c r="N647" s="149"/>
      <c r="O647" s="149"/>
      <c r="P647" s="793"/>
      <c r="Q647" s="794"/>
    </row>
    <row r="648" spans="1:17" x14ac:dyDescent="0.2">
      <c r="A648" s="40">
        <v>3</v>
      </c>
      <c r="B648" s="139"/>
      <c r="C648" s="44"/>
      <c r="D648" s="48"/>
      <c r="E648" s="139"/>
      <c r="F648" s="40"/>
      <c r="G648" s="81" t="s">
        <v>9</v>
      </c>
      <c r="H648" s="37"/>
      <c r="I648" s="37">
        <f>SUM(I591,I601,I604,I606,I608,I610,I612,I614,I616,I621,I623,I625,I631,I632,I633,I634,I635,I636,I638,I639,I643,I618,I574,I576,I578,I645,I630,I644,I594,I597,I581)</f>
        <v>2555.8999999999996</v>
      </c>
      <c r="J648" s="37">
        <f t="shared" ref="J648:L648" si="112">SUM(J591,J601,J604,J606,J608,J610,J612,J614,J616,J621,J623,J625,J631,J632,J633,J634,J635,J636,J638,J639,J643,J618,J574,J576,J578,J645,J630,J644,J594,J597,J581)</f>
        <v>2845.8999999999992</v>
      </c>
      <c r="K648" s="37">
        <f t="shared" si="112"/>
        <v>2557.3999999999996</v>
      </c>
      <c r="L648" s="37">
        <f t="shared" si="112"/>
        <v>2400.4999999999995</v>
      </c>
      <c r="N648" s="149"/>
      <c r="O648" s="149"/>
      <c r="P648" s="793"/>
      <c r="Q648" s="794"/>
    </row>
    <row r="649" spans="1:17" x14ac:dyDescent="0.2">
      <c r="A649" s="40">
        <v>3</v>
      </c>
      <c r="B649" s="139"/>
      <c r="C649" s="44"/>
      <c r="D649" s="48"/>
      <c r="E649" s="139"/>
      <c r="F649" s="40"/>
      <c r="G649" s="81" t="s">
        <v>148</v>
      </c>
      <c r="H649" s="37"/>
      <c r="I649" s="37">
        <f>SUM(I567,)</f>
        <v>385</v>
      </c>
      <c r="J649" s="37">
        <f>SUM(J567,)</f>
        <v>496</v>
      </c>
      <c r="K649" s="37">
        <f>SUM(K567,)</f>
        <v>368</v>
      </c>
      <c r="L649" s="37">
        <f>SUM(L567,)</f>
        <v>368</v>
      </c>
      <c r="N649" s="149"/>
      <c r="O649" s="149"/>
      <c r="P649" s="793"/>
      <c r="Q649" s="794"/>
    </row>
    <row r="650" spans="1:17" x14ac:dyDescent="0.2">
      <c r="A650" s="69">
        <v>3</v>
      </c>
      <c r="B650" s="139"/>
      <c r="C650" s="44"/>
      <c r="D650" s="48"/>
      <c r="E650" s="139"/>
      <c r="F650" s="40"/>
      <c r="G650" s="81" t="s">
        <v>149</v>
      </c>
      <c r="H650" s="37"/>
      <c r="I650" s="37">
        <f>SUM(I569)</f>
        <v>0.5</v>
      </c>
      <c r="J650" s="37">
        <f>SUM(J569)</f>
        <v>39.299999999999997</v>
      </c>
      <c r="K650" s="37">
        <f>SUM(K569)</f>
        <v>0</v>
      </c>
      <c r="L650" s="37">
        <f>SUM(L569)</f>
        <v>0</v>
      </c>
      <c r="N650" s="149"/>
      <c r="O650" s="149"/>
      <c r="P650" s="793"/>
      <c r="Q650" s="794"/>
    </row>
    <row r="651" spans="1:17" x14ac:dyDescent="0.2">
      <c r="A651" s="40">
        <v>3</v>
      </c>
      <c r="B651" s="139"/>
      <c r="C651" s="44"/>
      <c r="D651" s="48"/>
      <c r="E651" s="139"/>
      <c r="F651" s="40"/>
      <c r="G651" s="81" t="s">
        <v>58</v>
      </c>
      <c r="H651" s="37"/>
      <c r="I651" s="37">
        <f t="shared" ref="I651:L652" si="113">SUM(I579)</f>
        <v>4.3</v>
      </c>
      <c r="J651" s="37">
        <f t="shared" si="113"/>
        <v>210</v>
      </c>
      <c r="K651" s="37">
        <f t="shared" si="113"/>
        <v>0</v>
      </c>
      <c r="L651" s="37">
        <f t="shared" si="113"/>
        <v>0</v>
      </c>
      <c r="N651" s="149"/>
      <c r="O651" s="149"/>
      <c r="P651" s="793"/>
      <c r="Q651" s="794"/>
    </row>
    <row r="652" spans="1:17" x14ac:dyDescent="0.2">
      <c r="A652" s="40">
        <v>3</v>
      </c>
      <c r="B652" s="139"/>
      <c r="C652" s="44"/>
      <c r="D652" s="48"/>
      <c r="E652" s="139"/>
      <c r="F652" s="40"/>
      <c r="G652" s="81" t="s">
        <v>59</v>
      </c>
      <c r="H652" s="37"/>
      <c r="I652" s="37">
        <f t="shared" si="113"/>
        <v>0</v>
      </c>
      <c r="J652" s="37">
        <f t="shared" si="113"/>
        <v>28</v>
      </c>
      <c r="K652" s="37">
        <f t="shared" si="113"/>
        <v>0</v>
      </c>
      <c r="L652" s="37">
        <f t="shared" si="113"/>
        <v>0</v>
      </c>
      <c r="N652" s="149"/>
      <c r="O652" s="149"/>
      <c r="P652" s="793"/>
      <c r="Q652" s="794"/>
    </row>
    <row r="653" spans="1:17" x14ac:dyDescent="0.2">
      <c r="A653" s="40">
        <v>3</v>
      </c>
      <c r="B653" s="139"/>
      <c r="C653" s="44"/>
      <c r="D653" s="48"/>
      <c r="E653" s="139"/>
      <c r="F653" s="40"/>
      <c r="G653" s="81" t="s">
        <v>12</v>
      </c>
      <c r="H653" s="37"/>
      <c r="I653" s="37">
        <f>SUM(I619,I628)</f>
        <v>9.4</v>
      </c>
      <c r="J653" s="37">
        <f>SUM(J619,J628)</f>
        <v>9.1999999999999993</v>
      </c>
      <c r="K653" s="37">
        <f>SUM(K619,K628)</f>
        <v>9.1999999999999993</v>
      </c>
      <c r="L653" s="37">
        <f>SUM(L619,L628)</f>
        <v>9.1999999999999993</v>
      </c>
      <c r="N653" s="149"/>
      <c r="O653" s="149"/>
      <c r="P653" s="793"/>
      <c r="Q653" s="794"/>
    </row>
    <row r="654" spans="1:17" x14ac:dyDescent="0.2">
      <c r="A654" s="40">
        <v>3</v>
      </c>
      <c r="B654" s="139"/>
      <c r="C654" s="44"/>
      <c r="D654" s="48"/>
      <c r="E654" s="139"/>
      <c r="F654" s="40"/>
      <c r="G654" s="88" t="s">
        <v>266</v>
      </c>
      <c r="H654" s="37"/>
      <c r="I654" s="37">
        <f>I629</f>
        <v>0</v>
      </c>
      <c r="J654" s="37">
        <f t="shared" ref="J654:L654" si="114">J629</f>
        <v>0.7</v>
      </c>
      <c r="K654" s="37">
        <f t="shared" si="114"/>
        <v>0</v>
      </c>
      <c r="L654" s="37">
        <f t="shared" si="114"/>
        <v>0</v>
      </c>
      <c r="N654" s="149"/>
      <c r="O654" s="149"/>
      <c r="P654" s="793"/>
      <c r="Q654" s="794"/>
    </row>
    <row r="655" spans="1:17" x14ac:dyDescent="0.2">
      <c r="A655" s="40">
        <v>3</v>
      </c>
      <c r="B655" s="139"/>
      <c r="C655" s="44"/>
      <c r="D655" s="48"/>
      <c r="E655" s="139"/>
      <c r="F655" s="40"/>
      <c r="G655" s="81" t="s">
        <v>11</v>
      </c>
      <c r="H655" s="37"/>
      <c r="I655" s="37">
        <f>SUM(I568,I600,I598)</f>
        <v>53.300000000000004</v>
      </c>
      <c r="J655" s="37">
        <f>SUM(J568,J600,J598)</f>
        <v>57.9</v>
      </c>
      <c r="K655" s="37">
        <f>SUM(K568,K600,K598)</f>
        <v>0</v>
      </c>
      <c r="L655" s="37">
        <f>SUM(L568,L600,L598)</f>
        <v>0</v>
      </c>
      <c r="N655" s="149"/>
      <c r="O655" s="149"/>
      <c r="P655" s="793"/>
      <c r="Q655" s="794"/>
    </row>
    <row r="656" spans="1:17" x14ac:dyDescent="0.2">
      <c r="A656" s="69">
        <v>3</v>
      </c>
      <c r="B656" s="139"/>
      <c r="C656" s="44"/>
      <c r="D656" s="48"/>
      <c r="E656" s="139"/>
      <c r="F656" s="40"/>
      <c r="G656" s="81" t="s">
        <v>153</v>
      </c>
      <c r="H656" s="37"/>
      <c r="I656" s="37">
        <f>SUM(I588,I592,I596)</f>
        <v>3011</v>
      </c>
      <c r="J656" s="37">
        <f t="shared" ref="J656:L656" si="115">SUM(J588,J592,J596)</f>
        <v>3100</v>
      </c>
      <c r="K656" s="37">
        <f t="shared" si="115"/>
        <v>3100</v>
      </c>
      <c r="L656" s="37">
        <f t="shared" si="115"/>
        <v>3200</v>
      </c>
      <c r="N656" s="149"/>
      <c r="O656" s="149"/>
      <c r="P656" s="793"/>
      <c r="Q656" s="794"/>
    </row>
    <row r="657" spans="1:17" x14ac:dyDescent="0.2">
      <c r="A657" s="40">
        <v>3</v>
      </c>
      <c r="B657" s="139"/>
      <c r="C657" s="44"/>
      <c r="D657" s="48"/>
      <c r="E657" s="139"/>
      <c r="F657" s="40"/>
      <c r="G657" s="81" t="s">
        <v>157</v>
      </c>
      <c r="H657" s="37"/>
      <c r="I657" s="37">
        <f>SUM(I589,)</f>
        <v>29</v>
      </c>
      <c r="J657" s="37">
        <f>SUM(J589,)</f>
        <v>29</v>
      </c>
      <c r="K657" s="37">
        <f>SUM(K589,)</f>
        <v>0</v>
      </c>
      <c r="L657" s="37">
        <f>SUM(L589,)</f>
        <v>0</v>
      </c>
      <c r="N657" s="149"/>
      <c r="O657" s="149"/>
      <c r="P657" s="793"/>
      <c r="Q657" s="794"/>
    </row>
    <row r="658" spans="1:17" x14ac:dyDescent="0.2">
      <c r="A658" s="40">
        <v>3</v>
      </c>
      <c r="B658" s="139"/>
      <c r="C658" s="44"/>
      <c r="D658" s="48"/>
      <c r="E658" s="139"/>
      <c r="F658" s="40"/>
      <c r="G658" s="185" t="s">
        <v>608</v>
      </c>
      <c r="H658" s="164"/>
      <c r="I658" s="185">
        <f>SUM(I648:I657)</f>
        <v>6048.4</v>
      </c>
      <c r="J658" s="185">
        <f t="shared" ref="J658:L658" si="116">SUM(J648:J657)</f>
        <v>6815.9999999999991</v>
      </c>
      <c r="K658" s="185">
        <f t="shared" si="116"/>
        <v>6034.5999999999995</v>
      </c>
      <c r="L658" s="185">
        <f t="shared" si="116"/>
        <v>5977.6999999999989</v>
      </c>
      <c r="N658" s="149"/>
      <c r="O658" s="149"/>
      <c r="P658" s="793"/>
      <c r="Q658" s="794"/>
    </row>
    <row r="659" spans="1:17" x14ac:dyDescent="0.2">
      <c r="A659" s="40">
        <v>3</v>
      </c>
      <c r="B659" s="139"/>
      <c r="C659" s="44"/>
      <c r="D659" s="48"/>
      <c r="E659" s="139"/>
      <c r="F659" s="40"/>
      <c r="G659" s="81"/>
      <c r="H659" s="37"/>
      <c r="I659" s="37">
        <f>I647-I658</f>
        <v>0</v>
      </c>
      <c r="J659" s="37">
        <f t="shared" ref="J659:L659" si="117">J647-J658</f>
        <v>0</v>
      </c>
      <c r="K659" s="37">
        <f t="shared" si="117"/>
        <v>0</v>
      </c>
      <c r="L659" s="37">
        <f t="shared" si="117"/>
        <v>0</v>
      </c>
      <c r="N659" s="149"/>
      <c r="O659" s="149"/>
      <c r="P659" s="793"/>
      <c r="Q659" s="794"/>
    </row>
    <row r="660" spans="1:17" ht="33.75" x14ac:dyDescent="0.2">
      <c r="A660" s="40">
        <v>4</v>
      </c>
      <c r="B660" s="107"/>
      <c r="C660" s="107"/>
      <c r="D660" s="108" t="s">
        <v>1228</v>
      </c>
      <c r="E660" s="109"/>
      <c r="F660" s="110"/>
      <c r="G660" s="109"/>
      <c r="H660" s="109"/>
      <c r="I660" s="109"/>
      <c r="J660" s="109"/>
      <c r="K660" s="109"/>
      <c r="L660" s="109"/>
      <c r="N660" s="89"/>
      <c r="O660" s="89"/>
      <c r="P660" s="81"/>
      <c r="Q660" s="81"/>
    </row>
    <row r="661" spans="1:17" ht="22.5" x14ac:dyDescent="0.2">
      <c r="A661" s="81">
        <v>4</v>
      </c>
      <c r="B661" s="142" t="s">
        <v>1229</v>
      </c>
      <c r="C661" s="142" t="s">
        <v>1229</v>
      </c>
      <c r="D661" s="191" t="s">
        <v>187</v>
      </c>
      <c r="E661" s="115"/>
      <c r="F661" s="81"/>
      <c r="G661" s="144"/>
      <c r="H661" s="7"/>
      <c r="I661" s="144">
        <f>I664+I666+I668</f>
        <v>30</v>
      </c>
      <c r="J661" s="144">
        <f>J664+J666+J668</f>
        <v>33</v>
      </c>
      <c r="K661" s="144">
        <f>K664+K666+K668</f>
        <v>33</v>
      </c>
      <c r="L661" s="144">
        <f>L664+L666+L668</f>
        <v>33</v>
      </c>
      <c r="N661" s="89"/>
      <c r="O661" s="89"/>
      <c r="P661" s="81"/>
      <c r="Q661" s="81"/>
    </row>
    <row r="662" spans="1:17" ht="22.5" x14ac:dyDescent="0.2">
      <c r="A662" s="351">
        <v>4</v>
      </c>
      <c r="B662" s="352"/>
      <c r="C662" s="352" t="s">
        <v>1230</v>
      </c>
      <c r="D662" s="353" t="s">
        <v>188</v>
      </c>
      <c r="E662" s="352" t="s">
        <v>408</v>
      </c>
      <c r="F662" s="351" t="s">
        <v>190</v>
      </c>
      <c r="G662" s="351" t="s">
        <v>9</v>
      </c>
      <c r="H662" s="354">
        <v>19.100000000000001</v>
      </c>
      <c r="I662" s="16">
        <v>10</v>
      </c>
      <c r="J662" s="116"/>
      <c r="K662" s="355"/>
      <c r="L662" s="355"/>
      <c r="M662" s="38" t="s">
        <v>796</v>
      </c>
      <c r="N662" s="358"/>
      <c r="O662" s="752"/>
      <c r="P662" s="351"/>
      <c r="Q662" s="356"/>
    </row>
    <row r="663" spans="1:17" x14ac:dyDescent="0.2">
      <c r="A663" s="351">
        <v>4</v>
      </c>
      <c r="B663" s="352"/>
      <c r="C663" s="352" t="s">
        <v>1230</v>
      </c>
      <c r="D663" s="353"/>
      <c r="E663" s="352" t="s">
        <v>189</v>
      </c>
      <c r="F663" s="351" t="s">
        <v>190</v>
      </c>
      <c r="G663" s="351" t="s">
        <v>9</v>
      </c>
      <c r="H663" s="354"/>
      <c r="I663" s="16">
        <v>12</v>
      </c>
      <c r="J663" s="116">
        <v>25</v>
      </c>
      <c r="K663" s="355">
        <v>25</v>
      </c>
      <c r="L663" s="355">
        <v>25</v>
      </c>
      <c r="M663" s="38" t="s">
        <v>796</v>
      </c>
      <c r="N663" s="358"/>
      <c r="O663" s="752"/>
      <c r="P663" s="351"/>
      <c r="Q663" s="356"/>
    </row>
    <row r="664" spans="1:17" x14ac:dyDescent="0.2">
      <c r="A664" s="351">
        <v>4</v>
      </c>
      <c r="B664" s="352"/>
      <c r="C664" s="352"/>
      <c r="D664" s="353"/>
      <c r="E664" s="352"/>
      <c r="F664" s="357" t="s">
        <v>190</v>
      </c>
      <c r="G664" s="121" t="s">
        <v>608</v>
      </c>
      <c r="H664" s="123">
        <f>SUM(H662)</f>
        <v>19.100000000000001</v>
      </c>
      <c r="I664" s="123">
        <f>SUM(I662,I663)</f>
        <v>22</v>
      </c>
      <c r="J664" s="123">
        <f t="shared" ref="J664:L664" si="118">SUM(J662,J663)</f>
        <v>25</v>
      </c>
      <c r="K664" s="123">
        <f t="shared" si="118"/>
        <v>25</v>
      </c>
      <c r="L664" s="123">
        <f t="shared" si="118"/>
        <v>25</v>
      </c>
      <c r="N664" s="358"/>
      <c r="O664" s="384"/>
      <c r="P664" s="351"/>
      <c r="Q664" s="356"/>
    </row>
    <row r="665" spans="1:17" ht="33.75" x14ac:dyDescent="0.2">
      <c r="A665" s="351">
        <v>4</v>
      </c>
      <c r="B665" s="352"/>
      <c r="C665" s="352" t="s">
        <v>1231</v>
      </c>
      <c r="D665" s="353" t="s">
        <v>1232</v>
      </c>
      <c r="E665" s="139" t="s">
        <v>189</v>
      </c>
      <c r="F665" s="73" t="s">
        <v>192</v>
      </c>
      <c r="G665" s="40" t="s">
        <v>9</v>
      </c>
      <c r="H665" s="359">
        <v>50</v>
      </c>
      <c r="I665" s="55"/>
      <c r="J665" s="360">
        <f>30-30</f>
        <v>0</v>
      </c>
      <c r="K665" s="54"/>
      <c r="L665" s="54"/>
      <c r="N665" s="385"/>
      <c r="O665" s="758"/>
      <c r="P665" s="386"/>
      <c r="Q665" s="772"/>
    </row>
    <row r="666" spans="1:17" x14ac:dyDescent="0.2">
      <c r="A666" s="40">
        <v>4</v>
      </c>
      <c r="B666" s="352"/>
      <c r="C666" s="352"/>
      <c r="D666" s="353"/>
      <c r="E666" s="349"/>
      <c r="F666" s="361" t="s">
        <v>192</v>
      </c>
      <c r="G666" s="121" t="s">
        <v>608</v>
      </c>
      <c r="H666" s="123">
        <f>SUM(H665:H665)</f>
        <v>50</v>
      </c>
      <c r="I666" s="123">
        <f>SUM(I665:I665)</f>
        <v>0</v>
      </c>
      <c r="J666" s="123">
        <f t="shared" ref="J666:L666" si="119">SUM(J665:J665)</f>
        <v>0</v>
      </c>
      <c r="K666" s="123">
        <f t="shared" si="119"/>
        <v>0</v>
      </c>
      <c r="L666" s="123">
        <f t="shared" si="119"/>
        <v>0</v>
      </c>
      <c r="N666" s="358"/>
      <c r="O666" s="766"/>
      <c r="P666" s="351"/>
      <c r="Q666" s="356"/>
    </row>
    <row r="667" spans="1:17" ht="22.5" x14ac:dyDescent="0.2">
      <c r="A667" s="81">
        <v>4</v>
      </c>
      <c r="B667" s="352"/>
      <c r="C667" s="352" t="s">
        <v>1233</v>
      </c>
      <c r="D667" s="362" t="s">
        <v>1234</v>
      </c>
      <c r="E667" s="352" t="s">
        <v>191</v>
      </c>
      <c r="F667" s="357" t="s">
        <v>1235</v>
      </c>
      <c r="G667" s="370" t="s">
        <v>9</v>
      </c>
      <c r="H667" s="363">
        <f>9-1</f>
        <v>8</v>
      </c>
      <c r="I667" s="374">
        <v>8</v>
      </c>
      <c r="J667" s="364">
        <v>8</v>
      </c>
      <c r="K667" s="355">
        <v>8</v>
      </c>
      <c r="L667" s="355">
        <v>8</v>
      </c>
      <c r="M667" s="38" t="s">
        <v>782</v>
      </c>
      <c r="N667" s="358" t="s">
        <v>1236</v>
      </c>
      <c r="O667" s="752" t="s">
        <v>1237</v>
      </c>
      <c r="P667" s="351">
        <v>1</v>
      </c>
      <c r="Q667" s="356"/>
    </row>
    <row r="668" spans="1:17" x14ac:dyDescent="0.2">
      <c r="A668" s="351">
        <v>4</v>
      </c>
      <c r="B668" s="352"/>
      <c r="C668" s="352"/>
      <c r="D668" s="365"/>
      <c r="E668" s="352" t="s">
        <v>191</v>
      </c>
      <c r="F668" s="357" t="s">
        <v>1235</v>
      </c>
      <c r="G668" s="121" t="s">
        <v>608</v>
      </c>
      <c r="H668" s="123">
        <f>SUM(H667)</f>
        <v>8</v>
      </c>
      <c r="I668" s="123">
        <f>SUM(I667)</f>
        <v>8</v>
      </c>
      <c r="J668" s="123">
        <f t="shared" ref="J668:L668" si="120">SUM(J667)</f>
        <v>8</v>
      </c>
      <c r="K668" s="123">
        <f t="shared" si="120"/>
        <v>8</v>
      </c>
      <c r="L668" s="123">
        <f t="shared" si="120"/>
        <v>8</v>
      </c>
      <c r="N668" s="358"/>
      <c r="O668" s="752"/>
      <c r="P668" s="351"/>
      <c r="Q668" s="356"/>
    </row>
    <row r="669" spans="1:17" ht="22.5" x14ac:dyDescent="0.2">
      <c r="A669" s="351">
        <v>4</v>
      </c>
      <c r="B669" s="142" t="s">
        <v>1238</v>
      </c>
      <c r="C669" s="142" t="s">
        <v>1238</v>
      </c>
      <c r="D669" s="191" t="s">
        <v>194</v>
      </c>
      <c r="E669" s="115"/>
      <c r="F669" s="81"/>
      <c r="G669" s="144"/>
      <c r="H669" s="7"/>
      <c r="I669" s="144">
        <f>SUM(I672,I674,I678,I684,I687,I689,I691,I696,I699,I703,I706,I709,I712,I714,I716)</f>
        <v>1684.3999999999999</v>
      </c>
      <c r="J669" s="144">
        <f>SUM(J672,J674,J678,J684,J687,J689,J691,J696,J699,J703,J706,J709,J712,J714,J716)</f>
        <v>2226.4299999999998</v>
      </c>
      <c r="K669" s="144">
        <f>SUM(K672,K674,K678,K684,K687,K689,K691,K696,K699,K703,K706,K709,K712,K714,K716)</f>
        <v>2224.9299999999998</v>
      </c>
      <c r="L669" s="144">
        <f>SUM(L672,L674,L678,L684,L687,L689,L691,L696,L699,L703,L706,L709,L712,L714,L716)</f>
        <v>2246.5300000000007</v>
      </c>
      <c r="N669" s="358"/>
      <c r="O669" s="752"/>
      <c r="P669" s="351"/>
      <c r="Q669" s="356"/>
    </row>
    <row r="670" spans="1:17" ht="45" x14ac:dyDescent="0.2">
      <c r="A670" s="351">
        <v>4</v>
      </c>
      <c r="B670" s="160"/>
      <c r="C670" s="352" t="s">
        <v>1239</v>
      </c>
      <c r="D670" s="353" t="s">
        <v>195</v>
      </c>
      <c r="E670" s="352" t="s">
        <v>398</v>
      </c>
      <c r="F670" s="357" t="s">
        <v>196</v>
      </c>
      <c r="G670" s="351" t="s">
        <v>9</v>
      </c>
      <c r="H670" s="366">
        <v>209.2</v>
      </c>
      <c r="I670" s="16">
        <v>196.7</v>
      </c>
      <c r="J670" s="116">
        <v>207.3</v>
      </c>
      <c r="K670" s="355">
        <v>216.8</v>
      </c>
      <c r="L670" s="355">
        <v>220.8</v>
      </c>
      <c r="M670" s="168" t="s">
        <v>739</v>
      </c>
      <c r="N670" s="358"/>
      <c r="O670" s="752"/>
      <c r="P670" s="351"/>
      <c r="Q670" s="356"/>
    </row>
    <row r="671" spans="1:17" x14ac:dyDescent="0.2">
      <c r="A671" s="351">
        <v>4</v>
      </c>
      <c r="B671" s="160"/>
      <c r="C671" s="352"/>
      <c r="D671" s="353"/>
      <c r="E671" s="352" t="s">
        <v>398</v>
      </c>
      <c r="F671" s="357" t="s">
        <v>196</v>
      </c>
      <c r="G671" s="351" t="s">
        <v>11</v>
      </c>
      <c r="H671" s="367">
        <v>539.79999999999995</v>
      </c>
      <c r="I671" s="16">
        <v>570.72</v>
      </c>
      <c r="J671" s="116">
        <v>606.70000000000005</v>
      </c>
      <c r="K671" s="374">
        <v>606.70000000000005</v>
      </c>
      <c r="L671" s="374">
        <v>606.70000000000005</v>
      </c>
      <c r="N671" s="358"/>
      <c r="O671" s="752"/>
      <c r="P671" s="351"/>
      <c r="Q671" s="356"/>
    </row>
    <row r="672" spans="1:17" x14ac:dyDescent="0.2">
      <c r="A672" s="40">
        <v>4</v>
      </c>
      <c r="B672" s="160"/>
      <c r="C672" s="352"/>
      <c r="D672" s="353"/>
      <c r="E672" s="352" t="s">
        <v>398</v>
      </c>
      <c r="F672" s="357" t="s">
        <v>196</v>
      </c>
      <c r="G672" s="121" t="s">
        <v>608</v>
      </c>
      <c r="H672" s="123">
        <f>SUM(H670:H671)</f>
        <v>749</v>
      </c>
      <c r="I672" s="123">
        <f>SUM(I670:I671)</f>
        <v>767.42000000000007</v>
      </c>
      <c r="J672" s="123">
        <f t="shared" ref="J672:L672" si="121">SUM(J670:J671)</f>
        <v>814</v>
      </c>
      <c r="K672" s="123">
        <f t="shared" si="121"/>
        <v>823.5</v>
      </c>
      <c r="L672" s="123">
        <f t="shared" si="121"/>
        <v>827.5</v>
      </c>
      <c r="N672" s="358"/>
      <c r="O672" s="752"/>
      <c r="P672" s="351"/>
      <c r="Q672" s="356"/>
    </row>
    <row r="673" spans="1:17" ht="22.5" x14ac:dyDescent="0.2">
      <c r="A673" s="81">
        <v>4</v>
      </c>
      <c r="B673" s="160"/>
      <c r="C673" s="352" t="s">
        <v>1240</v>
      </c>
      <c r="D673" s="353" t="s">
        <v>197</v>
      </c>
      <c r="E673" s="368" t="s">
        <v>398</v>
      </c>
      <c r="F673" s="357" t="s">
        <v>198</v>
      </c>
      <c r="G673" s="351" t="s">
        <v>148</v>
      </c>
      <c r="H673" s="366">
        <v>10</v>
      </c>
      <c r="I673" s="374">
        <v>5.5</v>
      </c>
      <c r="J673" s="364">
        <v>8</v>
      </c>
      <c r="K673" s="355">
        <v>8</v>
      </c>
      <c r="L673" s="355">
        <v>8</v>
      </c>
      <c r="N673" s="358"/>
      <c r="O673" s="752"/>
      <c r="P673" s="351"/>
      <c r="Q673" s="356"/>
    </row>
    <row r="674" spans="1:17" x14ac:dyDescent="0.2">
      <c r="A674" s="351">
        <v>4</v>
      </c>
      <c r="B674" s="160"/>
      <c r="C674" s="352"/>
      <c r="D674" s="353"/>
      <c r="E674" s="368" t="s">
        <v>398</v>
      </c>
      <c r="F674" s="357" t="s">
        <v>198</v>
      </c>
      <c r="G674" s="121" t="s">
        <v>608</v>
      </c>
      <c r="H674" s="123">
        <f>SUM(H673)</f>
        <v>10</v>
      </c>
      <c r="I674" s="123">
        <f>SUM(I673)</f>
        <v>5.5</v>
      </c>
      <c r="J674" s="123">
        <f t="shared" ref="J674:L674" si="122">SUM(J673)</f>
        <v>8</v>
      </c>
      <c r="K674" s="123">
        <f t="shared" si="122"/>
        <v>8</v>
      </c>
      <c r="L674" s="123">
        <f t="shared" si="122"/>
        <v>8</v>
      </c>
      <c r="N674" s="358"/>
      <c r="O674" s="752"/>
      <c r="P674" s="351"/>
      <c r="Q674" s="356"/>
    </row>
    <row r="675" spans="1:17" ht="22.5" x14ac:dyDescent="0.2">
      <c r="A675" s="351">
        <v>4</v>
      </c>
      <c r="B675" s="160"/>
      <c r="C675" s="352" t="s">
        <v>1241</v>
      </c>
      <c r="D675" s="353" t="s">
        <v>199</v>
      </c>
      <c r="E675" s="368" t="s">
        <v>398</v>
      </c>
      <c r="F675" s="369" t="s">
        <v>200</v>
      </c>
      <c r="G675" s="370" t="s">
        <v>9</v>
      </c>
      <c r="H675" s="366">
        <v>54.1</v>
      </c>
      <c r="I675" s="16">
        <v>55.4</v>
      </c>
      <c r="J675" s="116">
        <v>59.3</v>
      </c>
      <c r="K675" s="355">
        <v>61.1</v>
      </c>
      <c r="L675" s="355">
        <v>61.8</v>
      </c>
      <c r="M675" s="168" t="s">
        <v>787</v>
      </c>
      <c r="N675" s="358"/>
      <c r="O675" s="752"/>
      <c r="P675" s="351"/>
      <c r="Q675" s="356"/>
    </row>
    <row r="676" spans="1:17" x14ac:dyDescent="0.2">
      <c r="A676" s="351">
        <v>4</v>
      </c>
      <c r="B676" s="160"/>
      <c r="C676" s="352"/>
      <c r="D676" s="353"/>
      <c r="E676" s="368" t="s">
        <v>398</v>
      </c>
      <c r="F676" s="369" t="s">
        <v>200</v>
      </c>
      <c r="G676" s="370" t="s">
        <v>201</v>
      </c>
      <c r="H676" s="366">
        <v>2</v>
      </c>
      <c r="I676" s="16"/>
      <c r="J676" s="116"/>
      <c r="K676" s="355"/>
      <c r="L676" s="355"/>
      <c r="N676" s="358"/>
      <c r="O676" s="752"/>
      <c r="P676" s="351"/>
      <c r="Q676" s="356"/>
    </row>
    <row r="677" spans="1:17" x14ac:dyDescent="0.2">
      <c r="A677" s="351">
        <v>4</v>
      </c>
      <c r="B677" s="160"/>
      <c r="C677" s="352"/>
      <c r="D677" s="353"/>
      <c r="E677" s="368" t="s">
        <v>398</v>
      </c>
      <c r="F677" s="369" t="s">
        <v>200</v>
      </c>
      <c r="G677" s="370" t="s">
        <v>202</v>
      </c>
      <c r="H677" s="366">
        <v>11.8</v>
      </c>
      <c r="I677" s="374"/>
      <c r="J677" s="364"/>
      <c r="K677" s="355"/>
      <c r="L677" s="355"/>
      <c r="N677" s="358"/>
      <c r="O677" s="752"/>
      <c r="P677" s="351"/>
      <c r="Q677" s="356"/>
    </row>
    <row r="678" spans="1:17" x14ac:dyDescent="0.2">
      <c r="A678" s="40">
        <v>4</v>
      </c>
      <c r="B678" s="160"/>
      <c r="C678" s="352"/>
      <c r="D678" s="353"/>
      <c r="E678" s="368" t="s">
        <v>398</v>
      </c>
      <c r="F678" s="369" t="s">
        <v>200</v>
      </c>
      <c r="G678" s="121" t="s">
        <v>608</v>
      </c>
      <c r="H678" s="123">
        <f>SUM(H675:H677)</f>
        <v>67.900000000000006</v>
      </c>
      <c r="I678" s="123">
        <f>SUM(I675:I677)</f>
        <v>55.4</v>
      </c>
      <c r="J678" s="123">
        <f t="shared" ref="J678:L678" si="123">SUM(J675:J677)</f>
        <v>59.3</v>
      </c>
      <c r="K678" s="123">
        <f t="shared" si="123"/>
        <v>61.1</v>
      </c>
      <c r="L678" s="123">
        <f t="shared" si="123"/>
        <v>61.8</v>
      </c>
      <c r="N678" s="358"/>
      <c r="O678" s="752"/>
      <c r="P678" s="351"/>
      <c r="Q678" s="356"/>
    </row>
    <row r="679" spans="1:17" ht="22.5" x14ac:dyDescent="0.2">
      <c r="A679" s="81">
        <v>4</v>
      </c>
      <c r="B679" s="160"/>
      <c r="C679" s="352" t="s">
        <v>1242</v>
      </c>
      <c r="D679" s="353" t="s">
        <v>203</v>
      </c>
      <c r="E679" s="352" t="s">
        <v>398</v>
      </c>
      <c r="F679" s="357" t="s">
        <v>204</v>
      </c>
      <c r="G679" s="351" t="s">
        <v>9</v>
      </c>
      <c r="H679" s="366">
        <f>156.1+27</f>
        <v>183.1</v>
      </c>
      <c r="I679" s="16">
        <v>167.8</v>
      </c>
      <c r="J679" s="116">
        <v>188.3</v>
      </c>
      <c r="K679" s="355">
        <v>195.6</v>
      </c>
      <c r="L679" s="355">
        <v>198.6</v>
      </c>
      <c r="M679" s="38" t="s">
        <v>739</v>
      </c>
      <c r="N679" s="358"/>
      <c r="O679" s="752"/>
      <c r="P679" s="351"/>
      <c r="Q679" s="356"/>
    </row>
    <row r="680" spans="1:17" x14ac:dyDescent="0.2">
      <c r="A680" s="351">
        <v>4</v>
      </c>
      <c r="B680" s="160"/>
      <c r="C680" s="352"/>
      <c r="D680" s="353"/>
      <c r="E680" s="352" t="s">
        <v>398</v>
      </c>
      <c r="F680" s="357" t="s">
        <v>204</v>
      </c>
      <c r="G680" s="351" t="s">
        <v>11</v>
      </c>
      <c r="H680" s="366"/>
      <c r="I680" s="16">
        <v>249.3</v>
      </c>
      <c r="J680" s="116">
        <f>255-255</f>
        <v>0</v>
      </c>
      <c r="K680" s="16">
        <f t="shared" ref="K680:L680" si="124">255-255</f>
        <v>0</v>
      </c>
      <c r="L680" s="16">
        <f t="shared" si="124"/>
        <v>0</v>
      </c>
      <c r="N680" s="383"/>
      <c r="O680" s="752"/>
      <c r="P680" s="351"/>
      <c r="Q680" s="356"/>
    </row>
    <row r="681" spans="1:17" x14ac:dyDescent="0.2">
      <c r="A681" s="351">
        <v>4</v>
      </c>
      <c r="B681" s="160"/>
      <c r="C681" s="352"/>
      <c r="D681" s="353"/>
      <c r="E681" s="352" t="s">
        <v>398</v>
      </c>
      <c r="F681" s="357" t="s">
        <v>204</v>
      </c>
      <c r="G681" s="351" t="s">
        <v>205</v>
      </c>
      <c r="H681" s="366">
        <v>237.6</v>
      </c>
      <c r="I681" s="16"/>
      <c r="J681" s="116">
        <f>255</f>
        <v>255</v>
      </c>
      <c r="K681" s="355">
        <f>255</f>
        <v>255</v>
      </c>
      <c r="L681" s="355">
        <f>255</f>
        <v>255</v>
      </c>
      <c r="N681" s="358"/>
      <c r="O681" s="752"/>
      <c r="P681" s="351"/>
      <c r="Q681" s="356"/>
    </row>
    <row r="682" spans="1:17" x14ac:dyDescent="0.2">
      <c r="A682" s="351">
        <v>4</v>
      </c>
      <c r="B682" s="160"/>
      <c r="C682" s="352"/>
      <c r="D682" s="353"/>
      <c r="E682" s="352" t="s">
        <v>398</v>
      </c>
      <c r="F682" s="357" t="s">
        <v>204</v>
      </c>
      <c r="G682" s="351" t="s">
        <v>12</v>
      </c>
      <c r="H682" s="371">
        <v>4</v>
      </c>
      <c r="I682" s="16">
        <v>4</v>
      </c>
      <c r="J682" s="116">
        <v>4</v>
      </c>
      <c r="K682" s="355">
        <v>4</v>
      </c>
      <c r="L682" s="355">
        <v>4</v>
      </c>
      <c r="N682" s="358"/>
      <c r="O682" s="752"/>
      <c r="P682" s="351"/>
      <c r="Q682" s="356"/>
    </row>
    <row r="683" spans="1:17" x14ac:dyDescent="0.2">
      <c r="A683" s="351">
        <v>4</v>
      </c>
      <c r="B683" s="160"/>
      <c r="C683" s="352"/>
      <c r="D683" s="353"/>
      <c r="E683" s="352" t="s">
        <v>398</v>
      </c>
      <c r="F683" s="357" t="s">
        <v>204</v>
      </c>
      <c r="G683" s="351" t="s">
        <v>99</v>
      </c>
      <c r="H683" s="371">
        <v>15.1</v>
      </c>
      <c r="I683" s="16">
        <v>41</v>
      </c>
      <c r="J683" s="116">
        <v>41</v>
      </c>
      <c r="K683" s="355">
        <v>41</v>
      </c>
      <c r="L683" s="355">
        <v>41</v>
      </c>
      <c r="N683" s="358"/>
      <c r="O683" s="752" t="s">
        <v>1243</v>
      </c>
      <c r="P683" s="351"/>
      <c r="Q683" s="356"/>
    </row>
    <row r="684" spans="1:17" x14ac:dyDescent="0.2">
      <c r="A684" s="40">
        <v>4</v>
      </c>
      <c r="B684" s="160"/>
      <c r="C684" s="352"/>
      <c r="D684" s="353"/>
      <c r="E684" s="352" t="s">
        <v>398</v>
      </c>
      <c r="F684" s="357" t="s">
        <v>204</v>
      </c>
      <c r="G684" s="121" t="s">
        <v>608</v>
      </c>
      <c r="H684" s="123">
        <f>SUM(H679:H683)</f>
        <v>439.8</v>
      </c>
      <c r="I684" s="123">
        <f>SUM(I679:I683)</f>
        <v>462.1</v>
      </c>
      <c r="J684" s="123">
        <f t="shared" ref="J684:L684" si="125">SUM(J679:J683)</f>
        <v>488.3</v>
      </c>
      <c r="K684" s="123">
        <f t="shared" si="125"/>
        <v>495.6</v>
      </c>
      <c r="L684" s="123">
        <f t="shared" si="125"/>
        <v>498.6</v>
      </c>
      <c r="N684" s="358"/>
      <c r="O684" s="752"/>
      <c r="P684" s="351"/>
      <c r="Q684" s="356"/>
    </row>
    <row r="685" spans="1:17" x14ac:dyDescent="0.2">
      <c r="A685" s="81">
        <v>4</v>
      </c>
      <c r="B685" s="160"/>
      <c r="C685" s="352" t="s">
        <v>1244</v>
      </c>
      <c r="D685" s="1489" t="s">
        <v>206</v>
      </c>
      <c r="E685" s="352" t="s">
        <v>398</v>
      </c>
      <c r="F685" s="370" t="s">
        <v>207</v>
      </c>
      <c r="G685" s="370" t="s">
        <v>11</v>
      </c>
      <c r="H685" s="366">
        <v>110.4</v>
      </c>
      <c r="I685" s="16">
        <v>167.58</v>
      </c>
      <c r="J685" s="116">
        <v>178.53</v>
      </c>
      <c r="K685" s="355">
        <v>178.53</v>
      </c>
      <c r="L685" s="355">
        <v>178.53</v>
      </c>
      <c r="N685" s="358"/>
      <c r="O685" s="752"/>
      <c r="P685" s="351"/>
      <c r="Q685" s="356"/>
    </row>
    <row r="686" spans="1:17" ht="78.75" x14ac:dyDescent="0.2">
      <c r="A686" s="351">
        <v>4</v>
      </c>
      <c r="B686" s="160"/>
      <c r="C686" s="352"/>
      <c r="D686" s="1490"/>
      <c r="E686" s="352" t="s">
        <v>191</v>
      </c>
      <c r="F686" s="370" t="s">
        <v>207</v>
      </c>
      <c r="G686" s="370" t="s">
        <v>9</v>
      </c>
      <c r="H686" s="363">
        <v>10</v>
      </c>
      <c r="I686" s="16">
        <v>10</v>
      </c>
      <c r="J686" s="116">
        <v>30</v>
      </c>
      <c r="K686" s="355">
        <v>30</v>
      </c>
      <c r="L686" s="355">
        <v>30</v>
      </c>
      <c r="M686" s="38" t="s">
        <v>796</v>
      </c>
      <c r="N686" s="826" t="s">
        <v>1236</v>
      </c>
      <c r="O686" s="752" t="s">
        <v>1245</v>
      </c>
      <c r="P686" s="370" t="s">
        <v>2329</v>
      </c>
      <c r="Q686" s="356"/>
    </row>
    <row r="687" spans="1:17" x14ac:dyDescent="0.2">
      <c r="A687" s="351">
        <v>4</v>
      </c>
      <c r="B687" s="160"/>
      <c r="C687" s="352"/>
      <c r="D687" s="353"/>
      <c r="E687" s="352"/>
      <c r="F687" s="369"/>
      <c r="G687" s="121" t="s">
        <v>608</v>
      </c>
      <c r="H687" s="123">
        <f>SUM(H685:H686)</f>
        <v>120.4</v>
      </c>
      <c r="I687" s="123">
        <f>SUM(I685:I686)</f>
        <v>177.58</v>
      </c>
      <c r="J687" s="123">
        <f>SUM(J685:J686)</f>
        <v>208.53</v>
      </c>
      <c r="K687" s="123">
        <f>SUM(K685:K686)</f>
        <v>208.53</v>
      </c>
      <c r="L687" s="123">
        <f>SUM(L685:L686)</f>
        <v>208.53</v>
      </c>
      <c r="N687" s="358"/>
      <c r="O687" s="752"/>
      <c r="P687" s="351"/>
      <c r="Q687" s="356"/>
    </row>
    <row r="688" spans="1:17" ht="22.5" x14ac:dyDescent="0.2">
      <c r="A688" s="351">
        <v>4</v>
      </c>
      <c r="B688" s="160"/>
      <c r="C688" s="352" t="s">
        <v>1246</v>
      </c>
      <c r="D688" s="353" t="s">
        <v>208</v>
      </c>
      <c r="E688" s="352" t="s">
        <v>42</v>
      </c>
      <c r="F688" s="369" t="s">
        <v>209</v>
      </c>
      <c r="G688" s="370" t="s">
        <v>148</v>
      </c>
      <c r="H688" s="366">
        <v>12.7</v>
      </c>
      <c r="I688" s="16">
        <v>10.8</v>
      </c>
      <c r="J688" s="116">
        <v>12.7</v>
      </c>
      <c r="K688" s="355">
        <v>12.7</v>
      </c>
      <c r="L688" s="355">
        <v>12.7</v>
      </c>
      <c r="N688" s="358"/>
      <c r="O688" s="752"/>
      <c r="P688" s="351"/>
      <c r="Q688" s="356"/>
    </row>
    <row r="689" spans="1:17" x14ac:dyDescent="0.2">
      <c r="A689" s="351">
        <v>4</v>
      </c>
      <c r="B689" s="160"/>
      <c r="C689" s="352"/>
      <c r="D689" s="353"/>
      <c r="E689" s="352" t="s">
        <v>42</v>
      </c>
      <c r="F689" s="369" t="s">
        <v>209</v>
      </c>
      <c r="G689" s="121" t="s">
        <v>608</v>
      </c>
      <c r="H689" s="123">
        <f>SUM(H688)</f>
        <v>12.7</v>
      </c>
      <c r="I689" s="123">
        <f>SUM(I688)</f>
        <v>10.8</v>
      </c>
      <c r="J689" s="123">
        <f t="shared" ref="J689:L689" si="126">SUM(J688)</f>
        <v>12.7</v>
      </c>
      <c r="K689" s="123">
        <f t="shared" si="126"/>
        <v>12.7</v>
      </c>
      <c r="L689" s="123">
        <f t="shared" si="126"/>
        <v>12.7</v>
      </c>
      <c r="N689" s="358"/>
      <c r="O689" s="752"/>
      <c r="P689" s="351"/>
      <c r="Q689" s="356"/>
    </row>
    <row r="690" spans="1:17" x14ac:dyDescent="0.2">
      <c r="A690" s="40">
        <v>4</v>
      </c>
      <c r="B690" s="160"/>
      <c r="C690" s="352" t="s">
        <v>1248</v>
      </c>
      <c r="D690" s="353" t="s">
        <v>210</v>
      </c>
      <c r="E690" s="352" t="s">
        <v>398</v>
      </c>
      <c r="F690" s="369" t="s">
        <v>211</v>
      </c>
      <c r="G690" s="370" t="s">
        <v>148</v>
      </c>
      <c r="H690" s="366">
        <v>32.5</v>
      </c>
      <c r="I690" s="374">
        <v>25.5</v>
      </c>
      <c r="J690" s="364">
        <v>30.2</v>
      </c>
      <c r="K690" s="355">
        <v>30.2</v>
      </c>
      <c r="L690" s="355">
        <v>30.2</v>
      </c>
      <c r="N690" s="358"/>
      <c r="O690" s="752"/>
      <c r="P690" s="351"/>
      <c r="Q690" s="356"/>
    </row>
    <row r="691" spans="1:17" x14ac:dyDescent="0.2">
      <c r="A691" s="81">
        <v>4</v>
      </c>
      <c r="B691" s="160"/>
      <c r="C691" s="352"/>
      <c r="D691" s="353"/>
      <c r="E691" s="352" t="s">
        <v>398</v>
      </c>
      <c r="F691" s="369" t="s">
        <v>211</v>
      </c>
      <c r="G691" s="121" t="s">
        <v>608</v>
      </c>
      <c r="H691" s="123">
        <f>SUM(H690)</f>
        <v>32.5</v>
      </c>
      <c r="I691" s="123">
        <f>SUM(I690)</f>
        <v>25.5</v>
      </c>
      <c r="J691" s="123">
        <f t="shared" ref="J691:L691" si="127">SUM(J690)</f>
        <v>30.2</v>
      </c>
      <c r="K691" s="123">
        <f t="shared" si="127"/>
        <v>30.2</v>
      </c>
      <c r="L691" s="123">
        <f t="shared" si="127"/>
        <v>30.2</v>
      </c>
      <c r="N691" s="358"/>
      <c r="O691" s="752"/>
      <c r="P691" s="351"/>
      <c r="Q691" s="356"/>
    </row>
    <row r="692" spans="1:17" ht="22.5" x14ac:dyDescent="0.2">
      <c r="A692" s="351">
        <v>4</v>
      </c>
      <c r="B692" s="160"/>
      <c r="C692" s="352" t="s">
        <v>1249</v>
      </c>
      <c r="D692" s="353" t="s">
        <v>212</v>
      </c>
      <c r="E692" s="352" t="s">
        <v>191</v>
      </c>
      <c r="F692" s="357" t="s">
        <v>213</v>
      </c>
      <c r="G692" s="351" t="s">
        <v>148</v>
      </c>
      <c r="H692" s="363">
        <f>66.9-15.8</f>
        <v>51.100000000000009</v>
      </c>
      <c r="I692" s="16">
        <v>40.1</v>
      </c>
      <c r="J692" s="116">
        <f>51.1-20+20+12</f>
        <v>63.1</v>
      </c>
      <c r="K692" s="355">
        <f>51.1-20</f>
        <v>31.1</v>
      </c>
      <c r="L692" s="355">
        <f>51.1-20</f>
        <v>31.1</v>
      </c>
      <c r="N692" s="358" t="s">
        <v>2330</v>
      </c>
      <c r="O692" s="752" t="s">
        <v>2331</v>
      </c>
      <c r="P692" s="351">
        <v>10</v>
      </c>
      <c r="Q692" s="356"/>
    </row>
    <row r="693" spans="1:17" x14ac:dyDescent="0.2">
      <c r="A693" s="351">
        <v>4</v>
      </c>
      <c r="B693" s="160"/>
      <c r="C693" s="352"/>
      <c r="D693" s="353"/>
      <c r="E693" s="352" t="s">
        <v>191</v>
      </c>
      <c r="F693" s="357" t="s">
        <v>213</v>
      </c>
      <c r="G693" s="1143" t="s">
        <v>9</v>
      </c>
      <c r="H693" s="363"/>
      <c r="I693" s="16"/>
      <c r="J693" s="116">
        <f>15-12</f>
        <v>3</v>
      </c>
      <c r="K693" s="355"/>
      <c r="L693" s="355"/>
      <c r="N693" s="358"/>
      <c r="O693" s="752"/>
      <c r="P693" s="351"/>
      <c r="Q693" s="356"/>
    </row>
    <row r="694" spans="1:17" x14ac:dyDescent="0.2">
      <c r="A694" s="351">
        <v>4</v>
      </c>
      <c r="B694" s="160"/>
      <c r="C694" s="352"/>
      <c r="D694" s="353"/>
      <c r="E694" s="352" t="s">
        <v>398</v>
      </c>
      <c r="F694" s="357" t="s">
        <v>213</v>
      </c>
      <c r="G694" s="351" t="s">
        <v>148</v>
      </c>
      <c r="H694" s="366">
        <v>1.7</v>
      </c>
      <c r="I694" s="16"/>
      <c r="J694" s="116"/>
      <c r="K694" s="355"/>
      <c r="L694" s="355"/>
      <c r="N694" s="358"/>
      <c r="O694" s="752"/>
      <c r="P694" s="351"/>
      <c r="Q694" s="356"/>
    </row>
    <row r="695" spans="1:17" x14ac:dyDescent="0.2">
      <c r="A695" s="351">
        <v>4</v>
      </c>
      <c r="B695" s="160"/>
      <c r="C695" s="352"/>
      <c r="D695" s="353"/>
      <c r="E695" s="352" t="s">
        <v>191</v>
      </c>
      <c r="F695" s="357" t="s">
        <v>213</v>
      </c>
      <c r="G695" s="351" t="s">
        <v>149</v>
      </c>
      <c r="H695" s="363">
        <v>21.5</v>
      </c>
      <c r="I695" s="374"/>
      <c r="J695" s="364"/>
      <c r="K695" s="355"/>
      <c r="L695" s="355"/>
      <c r="N695" s="358"/>
      <c r="O695" s="752"/>
      <c r="P695" s="351"/>
      <c r="Q695" s="356"/>
    </row>
    <row r="696" spans="1:17" x14ac:dyDescent="0.2">
      <c r="A696" s="40">
        <v>4</v>
      </c>
      <c r="B696" s="160"/>
      <c r="C696" s="352"/>
      <c r="D696" s="353"/>
      <c r="E696" s="352" t="s">
        <v>1250</v>
      </c>
      <c r="F696" s="357" t="s">
        <v>213</v>
      </c>
      <c r="G696" s="121" t="s">
        <v>608</v>
      </c>
      <c r="H696" s="123">
        <f>SUM(H692:H695)</f>
        <v>74.300000000000011</v>
      </c>
      <c r="I696" s="123">
        <f>SUM(I692:I695)</f>
        <v>40.1</v>
      </c>
      <c r="J696" s="123">
        <f t="shared" ref="J696:L696" si="128">SUM(J692:J695)</f>
        <v>66.099999999999994</v>
      </c>
      <c r="K696" s="123">
        <f t="shared" si="128"/>
        <v>31.1</v>
      </c>
      <c r="L696" s="123">
        <f t="shared" si="128"/>
        <v>31.1</v>
      </c>
      <c r="N696" s="358"/>
      <c r="O696" s="752"/>
      <c r="P696" s="351"/>
      <c r="Q696" s="356"/>
    </row>
    <row r="697" spans="1:17" ht="33.75" x14ac:dyDescent="0.2">
      <c r="A697" s="81">
        <v>4</v>
      </c>
      <c r="B697" s="160"/>
      <c r="C697" s="352" t="s">
        <v>1251</v>
      </c>
      <c r="D697" s="353" t="s">
        <v>214</v>
      </c>
      <c r="E697" s="352" t="s">
        <v>191</v>
      </c>
      <c r="F697" s="369" t="s">
        <v>215</v>
      </c>
      <c r="G697" s="370" t="s">
        <v>202</v>
      </c>
      <c r="H697" s="363">
        <v>25.2</v>
      </c>
      <c r="I697" s="16">
        <v>13.8</v>
      </c>
      <c r="J697" s="116"/>
      <c r="K697" s="355"/>
      <c r="L697" s="355"/>
      <c r="N697" s="358"/>
      <c r="O697" s="752"/>
      <c r="P697" s="351"/>
      <c r="Q697" s="356"/>
    </row>
    <row r="698" spans="1:17" x14ac:dyDescent="0.2">
      <c r="A698" s="351">
        <v>4</v>
      </c>
      <c r="B698" s="160"/>
      <c r="C698" s="352"/>
      <c r="D698" s="353"/>
      <c r="E698" s="352" t="s">
        <v>191</v>
      </c>
      <c r="F698" s="369" t="s">
        <v>215</v>
      </c>
      <c r="G698" s="370" t="s">
        <v>201</v>
      </c>
      <c r="H698" s="363">
        <f>3.9+0.6</f>
        <v>4.5</v>
      </c>
      <c r="I698" s="16">
        <v>2.5</v>
      </c>
      <c r="J698" s="116"/>
      <c r="K698" s="355"/>
      <c r="L698" s="355"/>
      <c r="N698" s="358"/>
      <c r="O698" s="752"/>
      <c r="P698" s="351"/>
      <c r="Q698" s="356"/>
    </row>
    <row r="699" spans="1:17" x14ac:dyDescent="0.2">
      <c r="A699" s="351">
        <v>4</v>
      </c>
      <c r="B699" s="160"/>
      <c r="C699" s="352"/>
      <c r="D699" s="353"/>
      <c r="E699" s="352" t="s">
        <v>191</v>
      </c>
      <c r="F699" s="369" t="s">
        <v>215</v>
      </c>
      <c r="G699" s="121" t="s">
        <v>608</v>
      </c>
      <c r="H699" s="123">
        <f>SUM(H697:H698)</f>
        <v>29.7</v>
      </c>
      <c r="I699" s="123">
        <f>SUM(I697:I698)</f>
        <v>16.3</v>
      </c>
      <c r="J699" s="123">
        <f t="shared" ref="J699:L699" si="129">SUM(J697:J698)</f>
        <v>0</v>
      </c>
      <c r="K699" s="123">
        <f t="shared" si="129"/>
        <v>0</v>
      </c>
      <c r="L699" s="123">
        <f t="shared" si="129"/>
        <v>0</v>
      </c>
      <c r="N699" s="358"/>
      <c r="O699" s="752"/>
      <c r="P699" s="351"/>
      <c r="Q699" s="356"/>
    </row>
    <row r="700" spans="1:17" ht="22.5" x14ac:dyDescent="0.2">
      <c r="A700" s="351">
        <v>4</v>
      </c>
      <c r="B700" s="160"/>
      <c r="C700" s="352" t="s">
        <v>1252</v>
      </c>
      <c r="D700" s="353" t="s">
        <v>216</v>
      </c>
      <c r="E700" s="352" t="s">
        <v>398</v>
      </c>
      <c r="F700" s="369" t="s">
        <v>218</v>
      </c>
      <c r="G700" s="351" t="s">
        <v>9</v>
      </c>
      <c r="H700" s="372"/>
      <c r="I700" s="374">
        <v>22.7</v>
      </c>
      <c r="J700" s="364">
        <v>53.2</v>
      </c>
      <c r="K700" s="355">
        <v>55.2</v>
      </c>
      <c r="L700" s="355">
        <v>55.9</v>
      </c>
      <c r="M700" s="168" t="s">
        <v>787</v>
      </c>
      <c r="N700" s="146"/>
      <c r="O700" s="677"/>
      <c r="P700" s="379"/>
      <c r="Q700" s="767"/>
    </row>
    <row r="701" spans="1:17" x14ac:dyDescent="0.2">
      <c r="A701" s="351">
        <v>4</v>
      </c>
      <c r="B701" s="160"/>
      <c r="C701" s="352"/>
      <c r="D701" s="353"/>
      <c r="E701" s="352" t="s">
        <v>217</v>
      </c>
      <c r="F701" s="369" t="s">
        <v>218</v>
      </c>
      <c r="G701" s="370" t="s">
        <v>201</v>
      </c>
      <c r="H701" s="363">
        <v>4</v>
      </c>
      <c r="I701" s="374">
        <v>2.2999999999999998</v>
      </c>
      <c r="J701" s="364"/>
      <c r="K701" s="355"/>
      <c r="L701" s="355"/>
      <c r="N701" s="752" t="s">
        <v>820</v>
      </c>
      <c r="O701" s="752" t="s">
        <v>2332</v>
      </c>
      <c r="P701" s="370">
        <v>70</v>
      </c>
      <c r="Q701" s="767"/>
    </row>
    <row r="702" spans="1:17" x14ac:dyDescent="0.2">
      <c r="A702" s="40">
        <v>4</v>
      </c>
      <c r="B702" s="160"/>
      <c r="C702" s="352"/>
      <c r="D702" s="353"/>
      <c r="E702" s="352" t="s">
        <v>217</v>
      </c>
      <c r="F702" s="369" t="s">
        <v>218</v>
      </c>
      <c r="G702" s="370" t="s">
        <v>202</v>
      </c>
      <c r="H702" s="363">
        <v>21.9</v>
      </c>
      <c r="I702" s="374">
        <v>12.7</v>
      </c>
      <c r="J702" s="364">
        <v>0</v>
      </c>
      <c r="K702" s="355">
        <v>0</v>
      </c>
      <c r="L702" s="355">
        <v>0</v>
      </c>
      <c r="N702" s="358"/>
      <c r="O702" s="752"/>
      <c r="P702" s="351"/>
      <c r="Q702" s="356"/>
    </row>
    <row r="703" spans="1:17" x14ac:dyDescent="0.2">
      <c r="A703" s="81">
        <v>4</v>
      </c>
      <c r="B703" s="160"/>
      <c r="C703" s="352"/>
      <c r="D703" s="353"/>
      <c r="E703" s="352" t="s">
        <v>217</v>
      </c>
      <c r="F703" s="369" t="s">
        <v>218</v>
      </c>
      <c r="G703" s="121" t="s">
        <v>608</v>
      </c>
      <c r="H703" s="123">
        <f>SUM(H700:H702)</f>
        <v>25.9</v>
      </c>
      <c r="I703" s="123">
        <f>SUM(I700:I702)</f>
        <v>37.700000000000003</v>
      </c>
      <c r="J703" s="123">
        <f t="shared" ref="J703:L703" si="130">SUM(J700:J702)</f>
        <v>53.2</v>
      </c>
      <c r="K703" s="123">
        <f t="shared" si="130"/>
        <v>55.2</v>
      </c>
      <c r="L703" s="123">
        <f t="shared" si="130"/>
        <v>55.9</v>
      </c>
      <c r="N703" s="358"/>
      <c r="O703" s="752"/>
      <c r="P703" s="351"/>
      <c r="Q703" s="356"/>
    </row>
    <row r="704" spans="1:17" x14ac:dyDescent="0.2">
      <c r="A704" s="351">
        <v>4</v>
      </c>
      <c r="B704" s="160"/>
      <c r="C704" s="352" t="s">
        <v>1253</v>
      </c>
      <c r="D704" s="353" t="s">
        <v>1254</v>
      </c>
      <c r="E704" s="352" t="s">
        <v>398</v>
      </c>
      <c r="F704" s="370" t="s">
        <v>1255</v>
      </c>
      <c r="G704" s="370" t="s">
        <v>9</v>
      </c>
      <c r="H704" s="366"/>
      <c r="I704" s="374"/>
      <c r="J704" s="364">
        <v>11.4</v>
      </c>
      <c r="K704" s="355">
        <v>11.4</v>
      </c>
      <c r="L704" s="355">
        <v>11.4</v>
      </c>
      <c r="M704" s="38" t="s">
        <v>787</v>
      </c>
      <c r="N704" s="358"/>
      <c r="O704" s="752" t="s">
        <v>1256</v>
      </c>
      <c r="P704" s="351"/>
      <c r="Q704" s="356"/>
    </row>
    <row r="705" spans="1:17" x14ac:dyDescent="0.2">
      <c r="A705" s="351">
        <v>4</v>
      </c>
      <c r="B705" s="160"/>
      <c r="C705" s="352"/>
      <c r="D705" s="353"/>
      <c r="E705" s="352" t="s">
        <v>398</v>
      </c>
      <c r="F705" s="370" t="s">
        <v>1255</v>
      </c>
      <c r="G705" s="370" t="s">
        <v>58</v>
      </c>
      <c r="H705" s="366"/>
      <c r="I705" s="374"/>
      <c r="J705" s="364">
        <v>64.599999999999994</v>
      </c>
      <c r="K705" s="355">
        <v>64.599999999999994</v>
      </c>
      <c r="L705" s="355">
        <v>64.599999999999994</v>
      </c>
      <c r="N705" s="358"/>
      <c r="O705" s="752"/>
      <c r="P705" s="351"/>
      <c r="Q705" s="356"/>
    </row>
    <row r="706" spans="1:17" x14ac:dyDescent="0.2">
      <c r="A706" s="351">
        <v>4</v>
      </c>
      <c r="B706" s="160"/>
      <c r="C706" s="352"/>
      <c r="D706" s="353"/>
      <c r="E706" s="352"/>
      <c r="F706" s="370"/>
      <c r="G706" s="121" t="s">
        <v>608</v>
      </c>
      <c r="H706" s="366"/>
      <c r="I706" s="123">
        <f>SUM(I704:I705)</f>
        <v>0</v>
      </c>
      <c r="J706" s="123">
        <f t="shared" ref="J706:L706" si="131">SUM(J704:J705)</f>
        <v>76</v>
      </c>
      <c r="K706" s="123">
        <f t="shared" si="131"/>
        <v>76</v>
      </c>
      <c r="L706" s="123">
        <f t="shared" si="131"/>
        <v>76</v>
      </c>
      <c r="N706" s="358"/>
      <c r="O706" s="752"/>
      <c r="P706" s="351"/>
      <c r="Q706" s="356"/>
    </row>
    <row r="707" spans="1:17" ht="22.5" x14ac:dyDescent="0.2">
      <c r="A707" s="351">
        <v>4</v>
      </c>
      <c r="B707" s="160"/>
      <c r="C707" s="352" t="s">
        <v>1257</v>
      </c>
      <c r="D707" s="353" t="s">
        <v>1258</v>
      </c>
      <c r="E707" s="352" t="s">
        <v>398</v>
      </c>
      <c r="F707" s="370" t="s">
        <v>1259</v>
      </c>
      <c r="G707" s="370" t="s">
        <v>9</v>
      </c>
      <c r="H707" s="366"/>
      <c r="I707" s="374"/>
      <c r="J707" s="364">
        <v>3.6</v>
      </c>
      <c r="K707" s="355">
        <v>3.8</v>
      </c>
      <c r="L707" s="355">
        <v>3.8</v>
      </c>
      <c r="M707" s="38" t="s">
        <v>787</v>
      </c>
      <c r="N707" s="358"/>
      <c r="O707" s="752" t="s">
        <v>1260</v>
      </c>
      <c r="P707" s="351"/>
      <c r="Q707" s="356"/>
    </row>
    <row r="708" spans="1:17" x14ac:dyDescent="0.2">
      <c r="A708" s="40">
        <v>4</v>
      </c>
      <c r="B708" s="160"/>
      <c r="C708" s="352"/>
      <c r="D708" s="373"/>
      <c r="E708" s="352" t="s">
        <v>398</v>
      </c>
      <c r="F708" s="370" t="s">
        <v>1259</v>
      </c>
      <c r="G708" s="370" t="s">
        <v>58</v>
      </c>
      <c r="H708" s="366"/>
      <c r="I708" s="374"/>
      <c r="J708" s="364">
        <v>20.399999999999999</v>
      </c>
      <c r="K708" s="355">
        <v>20.399999999999999</v>
      </c>
      <c r="L708" s="355">
        <v>20.399999999999999</v>
      </c>
      <c r="N708" s="358"/>
      <c r="O708" s="752"/>
      <c r="P708" s="351"/>
      <c r="Q708" s="356"/>
    </row>
    <row r="709" spans="1:17" x14ac:dyDescent="0.2">
      <c r="A709" s="81">
        <v>4</v>
      </c>
      <c r="B709" s="160"/>
      <c r="C709" s="352"/>
      <c r="D709" s="373"/>
      <c r="E709" s="352"/>
      <c r="F709" s="370"/>
      <c r="G709" s="121" t="s">
        <v>608</v>
      </c>
      <c r="H709" s="366"/>
      <c r="I709" s="123">
        <f>SUM(I707:I708)</f>
        <v>0</v>
      </c>
      <c r="J709" s="123">
        <f t="shared" ref="J709:L709" si="132">SUM(J707:J708)</f>
        <v>24</v>
      </c>
      <c r="K709" s="123">
        <f t="shared" si="132"/>
        <v>24.2</v>
      </c>
      <c r="L709" s="123">
        <f t="shared" si="132"/>
        <v>24.2</v>
      </c>
      <c r="N709" s="358"/>
      <c r="O709" s="752"/>
      <c r="P709" s="351"/>
      <c r="Q709" s="356"/>
    </row>
    <row r="710" spans="1:17" ht="22.5" x14ac:dyDescent="0.2">
      <c r="A710" s="351">
        <v>4</v>
      </c>
      <c r="B710" s="160"/>
      <c r="C710" s="352" t="s">
        <v>2333</v>
      </c>
      <c r="D710" s="353" t="s">
        <v>1262</v>
      </c>
      <c r="E710" s="352" t="s">
        <v>191</v>
      </c>
      <c r="F710" s="370" t="s">
        <v>1263</v>
      </c>
      <c r="G710" s="370" t="s">
        <v>58</v>
      </c>
      <c r="H710" s="366"/>
      <c r="I710" s="374"/>
      <c r="J710" s="364">
        <f>206.2-31</f>
        <v>175.2</v>
      </c>
      <c r="K710" s="7">
        <f>206.2-31</f>
        <v>175.2</v>
      </c>
      <c r="L710" s="7">
        <f>206.2-31</f>
        <v>175.2</v>
      </c>
      <c r="N710" s="358" t="s">
        <v>2330</v>
      </c>
      <c r="O710" s="752" t="s">
        <v>2334</v>
      </c>
      <c r="P710" s="351">
        <v>1</v>
      </c>
      <c r="Q710" s="356"/>
    </row>
    <row r="711" spans="1:17" x14ac:dyDescent="0.2">
      <c r="A711" s="351">
        <v>4</v>
      </c>
      <c r="B711" s="160"/>
      <c r="C711" s="352"/>
      <c r="D711" s="353"/>
      <c r="E711" s="352" t="s">
        <v>191</v>
      </c>
      <c r="F711" s="370" t="s">
        <v>1263</v>
      </c>
      <c r="G711" s="1433" t="s">
        <v>59</v>
      </c>
      <c r="H711" s="366"/>
      <c r="I711" s="374"/>
      <c r="J711" s="364">
        <f>31</f>
        <v>31</v>
      </c>
      <c r="K711" s="7">
        <v>31</v>
      </c>
      <c r="L711" s="7">
        <v>31</v>
      </c>
      <c r="N711" s="358"/>
      <c r="O711" s="752"/>
      <c r="P711" s="351"/>
      <c r="Q711" s="356"/>
    </row>
    <row r="712" spans="1:17" x14ac:dyDescent="0.2">
      <c r="A712" s="351">
        <v>4</v>
      </c>
      <c r="B712" s="160"/>
      <c r="C712" s="352"/>
      <c r="D712" s="353"/>
      <c r="E712" s="352"/>
      <c r="F712" s="370"/>
      <c r="G712" s="121" t="s">
        <v>608</v>
      </c>
      <c r="H712" s="366"/>
      <c r="I712" s="123">
        <f>SUM(I710:I711)</f>
        <v>0</v>
      </c>
      <c r="J712" s="123">
        <f t="shared" ref="J712:L712" si="133">SUM(J710:J711)</f>
        <v>206.2</v>
      </c>
      <c r="K712" s="123">
        <f t="shared" si="133"/>
        <v>206.2</v>
      </c>
      <c r="L712" s="123">
        <f t="shared" si="133"/>
        <v>206.2</v>
      </c>
      <c r="N712" s="358"/>
      <c r="O712" s="752"/>
      <c r="P712" s="351"/>
      <c r="Q712" s="356"/>
    </row>
    <row r="713" spans="1:17" ht="22.5" x14ac:dyDescent="0.2">
      <c r="A713" s="351">
        <v>4</v>
      </c>
      <c r="B713" s="160"/>
      <c r="C713" s="352" t="s">
        <v>1261</v>
      </c>
      <c r="D713" s="353" t="s">
        <v>1265</v>
      </c>
      <c r="E713" s="352">
        <v>17</v>
      </c>
      <c r="F713" s="370" t="s">
        <v>1266</v>
      </c>
      <c r="G713" s="370" t="s">
        <v>9</v>
      </c>
      <c r="H713" s="366" t="s">
        <v>193</v>
      </c>
      <c r="I713" s="374"/>
      <c r="J713" s="364">
        <v>50</v>
      </c>
      <c r="K713" s="7">
        <v>50</v>
      </c>
      <c r="L713" s="355">
        <v>50</v>
      </c>
      <c r="M713" s="355" t="s">
        <v>796</v>
      </c>
      <c r="N713" s="1354" t="s">
        <v>820</v>
      </c>
      <c r="O713" s="353" t="s">
        <v>2419</v>
      </c>
      <c r="P713" s="351">
        <v>3</v>
      </c>
      <c r="Q713" s="356"/>
    </row>
    <row r="714" spans="1:17" x14ac:dyDescent="0.2">
      <c r="A714" s="351">
        <v>4</v>
      </c>
      <c r="B714" s="160"/>
      <c r="C714" s="375" t="s">
        <v>193</v>
      </c>
      <c r="D714" s="768" t="s">
        <v>193</v>
      </c>
      <c r="E714" s="769" t="s">
        <v>193</v>
      </c>
      <c r="F714" s="770" t="s">
        <v>193</v>
      </c>
      <c r="G714" s="121" t="s">
        <v>608</v>
      </c>
      <c r="H714" s="366" t="s">
        <v>193</v>
      </c>
      <c r="I714" s="123">
        <f>SUM(I713)</f>
        <v>0</v>
      </c>
      <c r="J714" s="123">
        <f t="shared" ref="J714:L714" si="134">SUM(J713)</f>
        <v>50</v>
      </c>
      <c r="K714" s="123">
        <f t="shared" si="134"/>
        <v>50</v>
      </c>
      <c r="L714" s="123">
        <f t="shared" si="134"/>
        <v>50</v>
      </c>
      <c r="M714" s="771" t="s">
        <v>193</v>
      </c>
      <c r="N714" s="768" t="s">
        <v>193</v>
      </c>
      <c r="O714" s="752"/>
      <c r="P714" s="351"/>
      <c r="Q714" s="356"/>
    </row>
    <row r="715" spans="1:17" ht="22.5" x14ac:dyDescent="0.2">
      <c r="A715" s="40">
        <v>4</v>
      </c>
      <c r="B715" s="160"/>
      <c r="C715" s="352" t="s">
        <v>1264</v>
      </c>
      <c r="D715" s="922" t="s">
        <v>1267</v>
      </c>
      <c r="E715" s="352" t="s">
        <v>398</v>
      </c>
      <c r="F715" s="370" t="s">
        <v>1268</v>
      </c>
      <c r="G715" s="370" t="s">
        <v>11</v>
      </c>
      <c r="H715" s="366"/>
      <c r="I715" s="16">
        <v>86</v>
      </c>
      <c r="J715" s="116">
        <v>129.9</v>
      </c>
      <c r="K715" s="16">
        <v>142.6</v>
      </c>
      <c r="L715" s="16">
        <v>155.80000000000001</v>
      </c>
      <c r="M715" s="771"/>
      <c r="N715" s="768"/>
      <c r="O715" s="752"/>
      <c r="P715" s="351"/>
      <c r="Q715" s="356"/>
    </row>
    <row r="716" spans="1:17" x14ac:dyDescent="0.2">
      <c r="A716" s="81">
        <v>4</v>
      </c>
      <c r="B716" s="160"/>
      <c r="C716" s="375"/>
      <c r="D716" s="768"/>
      <c r="E716" s="769"/>
      <c r="F716" s="770"/>
      <c r="G716" s="121" t="s">
        <v>608</v>
      </c>
      <c r="H716" s="366" t="s">
        <v>193</v>
      </c>
      <c r="I716" s="123">
        <f>SUM(I715)</f>
        <v>86</v>
      </c>
      <c r="J716" s="123">
        <f t="shared" ref="J716:L716" si="135">SUM(J715)</f>
        <v>129.9</v>
      </c>
      <c r="K716" s="123">
        <f t="shared" si="135"/>
        <v>142.6</v>
      </c>
      <c r="L716" s="123">
        <f t="shared" si="135"/>
        <v>155.80000000000001</v>
      </c>
      <c r="M716" s="771"/>
      <c r="N716" s="768"/>
      <c r="O716" s="752"/>
      <c r="P716" s="351"/>
      <c r="Q716" s="356"/>
    </row>
    <row r="717" spans="1:17" ht="22.5" x14ac:dyDescent="0.2">
      <c r="A717" s="351">
        <v>4</v>
      </c>
      <c r="B717" s="142" t="s">
        <v>1269</v>
      </c>
      <c r="C717" s="142" t="s">
        <v>1269</v>
      </c>
      <c r="D717" s="191" t="s">
        <v>219</v>
      </c>
      <c r="E717" s="115"/>
      <c r="F717" s="81"/>
      <c r="G717" s="144"/>
      <c r="H717" s="7"/>
      <c r="I717" s="144">
        <f>I720+I722+I729+I735+I738+I741+I752+I754+I757+I760</f>
        <v>368.7</v>
      </c>
      <c r="J717" s="144">
        <f>J720+J722+J729+J735+J738+J741+J752+J754+J757+J760</f>
        <v>2787.1</v>
      </c>
      <c r="K717" s="144">
        <f>K720+K722+K729+K735+K738+K741+K752+K754+K757+K760</f>
        <v>3500.4</v>
      </c>
      <c r="L717" s="144">
        <f>L720+L722+L729+L735+L738+L741+L752+L754+L757+L760</f>
        <v>986.59999999999991</v>
      </c>
      <c r="M717" s="10"/>
      <c r="N717" s="8"/>
      <c r="O717" s="8"/>
      <c r="P717" s="8"/>
      <c r="Q717" s="8"/>
    </row>
    <row r="718" spans="1:17" ht="33.75" x14ac:dyDescent="0.2">
      <c r="A718" s="351">
        <v>4</v>
      </c>
      <c r="B718" s="352"/>
      <c r="C718" s="352" t="s">
        <v>1270</v>
      </c>
      <c r="D718" s="362" t="s">
        <v>1271</v>
      </c>
      <c r="E718" s="352" t="s">
        <v>411</v>
      </c>
      <c r="F718" s="351" t="s">
        <v>1272</v>
      </c>
      <c r="G718" s="351" t="s">
        <v>9</v>
      </c>
      <c r="H718" s="363">
        <v>120</v>
      </c>
      <c r="I718" s="16">
        <v>30</v>
      </c>
      <c r="J718" s="116"/>
      <c r="K718" s="355"/>
      <c r="L718" s="355"/>
      <c r="M718" s="38" t="s">
        <v>796</v>
      </c>
      <c r="N718" s="358"/>
      <c r="O718" s="752"/>
      <c r="P718" s="351"/>
      <c r="Q718" s="356"/>
    </row>
    <row r="719" spans="1:17" x14ac:dyDescent="0.2">
      <c r="A719" s="351">
        <v>4</v>
      </c>
      <c r="B719" s="352"/>
      <c r="C719" s="352"/>
      <c r="D719" s="362"/>
      <c r="E719" s="352" t="s">
        <v>189</v>
      </c>
      <c r="F719" s="351" t="s">
        <v>1272</v>
      </c>
      <c r="G719" s="351" t="s">
        <v>9</v>
      </c>
      <c r="H719" s="363"/>
      <c r="I719" s="16">
        <v>90</v>
      </c>
      <c r="J719" s="116">
        <f>174-54</f>
        <v>120</v>
      </c>
      <c r="K719" s="355">
        <f t="shared" ref="K719:L719" si="136">174-54</f>
        <v>120</v>
      </c>
      <c r="L719" s="355">
        <f t="shared" si="136"/>
        <v>120</v>
      </c>
      <c r="M719" s="38" t="s">
        <v>796</v>
      </c>
      <c r="N719" s="358"/>
      <c r="O719" s="752"/>
      <c r="P719" s="351"/>
      <c r="Q719" s="356"/>
    </row>
    <row r="720" spans="1:17" x14ac:dyDescent="0.2">
      <c r="A720" s="351">
        <v>4</v>
      </c>
      <c r="B720" s="352"/>
      <c r="C720" s="352"/>
      <c r="D720" s="362"/>
      <c r="E720" s="352"/>
      <c r="F720" s="351" t="s">
        <v>1272</v>
      </c>
      <c r="G720" s="121" t="s">
        <v>608</v>
      </c>
      <c r="H720" s="123">
        <f>SUM(H718)</f>
        <v>120</v>
      </c>
      <c r="I720" s="123">
        <f>SUM(I718:I719)</f>
        <v>120</v>
      </c>
      <c r="J720" s="123">
        <f t="shared" ref="J720:L720" si="137">SUM(J718:J719)</f>
        <v>120</v>
      </c>
      <c r="K720" s="123">
        <f t="shared" si="137"/>
        <v>120</v>
      </c>
      <c r="L720" s="123">
        <f t="shared" si="137"/>
        <v>120</v>
      </c>
      <c r="N720" s="358"/>
      <c r="O720" s="752"/>
      <c r="P720" s="351"/>
      <c r="Q720" s="356"/>
    </row>
    <row r="721" spans="1:17" ht="22.5" x14ac:dyDescent="0.2">
      <c r="A721" s="40">
        <v>4</v>
      </c>
      <c r="B721" s="352"/>
      <c r="C721" s="352" t="s">
        <v>1273</v>
      </c>
      <c r="D721" s="353" t="s">
        <v>1274</v>
      </c>
      <c r="E721" s="352" t="s">
        <v>191</v>
      </c>
      <c r="F721" s="369" t="s">
        <v>221</v>
      </c>
      <c r="G721" s="351" t="s">
        <v>9</v>
      </c>
      <c r="H721" s="363">
        <f>50+22</f>
        <v>72</v>
      </c>
      <c r="I721" s="374">
        <v>75.099999999999994</v>
      </c>
      <c r="J721" s="364">
        <v>160</v>
      </c>
      <c r="K721" s="355">
        <v>160</v>
      </c>
      <c r="L721" s="355">
        <v>160</v>
      </c>
      <c r="M721" s="38" t="s">
        <v>796</v>
      </c>
      <c r="N721" s="358" t="s">
        <v>1275</v>
      </c>
      <c r="O721" s="752" t="s">
        <v>1276</v>
      </c>
      <c r="P721" s="351">
        <v>8</v>
      </c>
      <c r="Q721" s="356"/>
    </row>
    <row r="722" spans="1:17" x14ac:dyDescent="0.2">
      <c r="A722" s="81">
        <v>4</v>
      </c>
      <c r="B722" s="352"/>
      <c r="C722" s="352"/>
      <c r="D722" s="353"/>
      <c r="E722" s="352" t="s">
        <v>191</v>
      </c>
      <c r="F722" s="369" t="s">
        <v>221</v>
      </c>
      <c r="G722" s="121" t="s">
        <v>608</v>
      </c>
      <c r="H722" s="123">
        <f>SUM(H721:H721)</f>
        <v>72</v>
      </c>
      <c r="I722" s="123">
        <f>SUM(I721:I721)</f>
        <v>75.099999999999994</v>
      </c>
      <c r="J722" s="123">
        <f t="shared" ref="J722:L722" si="138">SUM(J721:J721)</f>
        <v>160</v>
      </c>
      <c r="K722" s="123">
        <f t="shared" si="138"/>
        <v>160</v>
      </c>
      <c r="L722" s="123">
        <f t="shared" si="138"/>
        <v>160</v>
      </c>
      <c r="N722" s="358"/>
      <c r="O722" s="752"/>
      <c r="P722" s="351"/>
      <c r="Q722" s="356"/>
    </row>
    <row r="723" spans="1:17" x14ac:dyDescent="0.2">
      <c r="A723" s="351">
        <v>4</v>
      </c>
      <c r="B723" s="352"/>
      <c r="C723" s="368" t="s">
        <v>1277</v>
      </c>
      <c r="D723" s="1476" t="s">
        <v>1278</v>
      </c>
      <c r="E723" s="352" t="s">
        <v>411</v>
      </c>
      <c r="F723" s="369" t="s">
        <v>1279</v>
      </c>
      <c r="G723" s="370" t="s">
        <v>9</v>
      </c>
      <c r="H723" s="376">
        <v>36</v>
      </c>
      <c r="I723" s="374">
        <v>16.600000000000001</v>
      </c>
      <c r="J723" s="364"/>
      <c r="K723" s="146"/>
      <c r="L723" s="146"/>
      <c r="M723" s="38" t="s">
        <v>782</v>
      </c>
      <c r="N723" s="358"/>
      <c r="O723" s="752"/>
      <c r="P723" s="351"/>
      <c r="Q723" s="356"/>
    </row>
    <row r="724" spans="1:17" x14ac:dyDescent="0.2">
      <c r="A724" s="351">
        <v>4</v>
      </c>
      <c r="B724" s="352"/>
      <c r="C724" s="368"/>
      <c r="D724" s="1476"/>
      <c r="E724" s="352" t="s">
        <v>408</v>
      </c>
      <c r="F724" s="369" t="s">
        <v>1279</v>
      </c>
      <c r="G724" s="370" t="s">
        <v>9</v>
      </c>
      <c r="H724" s="377">
        <v>22.2</v>
      </c>
      <c r="I724" s="374">
        <v>11.5</v>
      </c>
      <c r="J724" s="364"/>
      <c r="K724" s="355"/>
      <c r="L724" s="355"/>
      <c r="M724" s="38" t="s">
        <v>782</v>
      </c>
      <c r="N724" s="358"/>
      <c r="O724" s="752"/>
      <c r="P724" s="351"/>
      <c r="Q724" s="356"/>
    </row>
    <row r="725" spans="1:17" x14ac:dyDescent="0.2">
      <c r="A725" s="351">
        <v>4</v>
      </c>
      <c r="B725" s="352"/>
      <c r="C725" s="368"/>
      <c r="D725" s="1476"/>
      <c r="E725" s="352" t="s">
        <v>416</v>
      </c>
      <c r="F725" s="369" t="s">
        <v>1279</v>
      </c>
      <c r="G725" s="370" t="s">
        <v>9</v>
      </c>
      <c r="H725" s="376">
        <v>1</v>
      </c>
      <c r="I725" s="374">
        <v>0.2</v>
      </c>
      <c r="J725" s="364">
        <v>2</v>
      </c>
      <c r="K725" s="355">
        <v>2</v>
      </c>
      <c r="L725" s="355">
        <v>2</v>
      </c>
      <c r="M725" s="38" t="s">
        <v>782</v>
      </c>
      <c r="N725" s="358"/>
      <c r="O725" s="752"/>
      <c r="P725" s="351"/>
      <c r="Q725" s="356"/>
    </row>
    <row r="726" spans="1:17" x14ac:dyDescent="0.2">
      <c r="A726" s="351">
        <v>4</v>
      </c>
      <c r="B726" s="352"/>
      <c r="C726" s="368"/>
      <c r="D726" s="1476"/>
      <c r="E726" s="352" t="s">
        <v>393</v>
      </c>
      <c r="F726" s="369" t="s">
        <v>1279</v>
      </c>
      <c r="G726" s="370" t="s">
        <v>9</v>
      </c>
      <c r="H726" s="376">
        <v>11</v>
      </c>
      <c r="I726" s="374">
        <v>11</v>
      </c>
      <c r="J726" s="364">
        <v>16.2</v>
      </c>
      <c r="K726" s="355">
        <v>16.2</v>
      </c>
      <c r="L726" s="355">
        <v>16.2</v>
      </c>
      <c r="M726" s="38" t="s">
        <v>782</v>
      </c>
      <c r="N726" s="358"/>
      <c r="O726" s="752"/>
      <c r="P726" s="351"/>
      <c r="Q726" s="356"/>
    </row>
    <row r="727" spans="1:17" x14ac:dyDescent="0.2">
      <c r="A727" s="40">
        <v>4</v>
      </c>
      <c r="B727" s="352"/>
      <c r="C727" s="368"/>
      <c r="D727" s="1476"/>
      <c r="E727" s="352" t="s">
        <v>398</v>
      </c>
      <c r="F727" s="369" t="s">
        <v>1279</v>
      </c>
      <c r="G727" s="370" t="s">
        <v>9</v>
      </c>
      <c r="H727" s="377">
        <v>22.5</v>
      </c>
      <c r="I727" s="374">
        <v>19.100000000000001</v>
      </c>
      <c r="J727" s="364">
        <v>33.200000000000003</v>
      </c>
      <c r="K727" s="355">
        <v>33.200000000000003</v>
      </c>
      <c r="L727" s="355">
        <v>33.200000000000003</v>
      </c>
      <c r="M727" s="38" t="s">
        <v>782</v>
      </c>
      <c r="N727" s="358"/>
      <c r="O727" s="752"/>
      <c r="P727" s="351"/>
      <c r="Q727" s="356"/>
    </row>
    <row r="728" spans="1:17" x14ac:dyDescent="0.2">
      <c r="A728" s="81">
        <v>4</v>
      </c>
      <c r="B728" s="352"/>
      <c r="C728" s="368"/>
      <c r="D728" s="1476"/>
      <c r="E728" s="352" t="s">
        <v>189</v>
      </c>
      <c r="F728" s="369" t="s">
        <v>1279</v>
      </c>
      <c r="G728" s="370" t="s">
        <v>9</v>
      </c>
      <c r="H728" s="377"/>
      <c r="I728" s="374">
        <v>48.9</v>
      </c>
      <c r="J728" s="364">
        <v>90</v>
      </c>
      <c r="K728" s="355">
        <v>90</v>
      </c>
      <c r="L728" s="355">
        <v>90</v>
      </c>
      <c r="M728" s="38" t="s">
        <v>782</v>
      </c>
      <c r="N728" s="752"/>
      <c r="O728" s="752"/>
      <c r="P728" s="351"/>
      <c r="Q728" s="356"/>
    </row>
    <row r="729" spans="1:17" x14ac:dyDescent="0.2">
      <c r="A729" s="351">
        <v>4</v>
      </c>
      <c r="B729" s="352"/>
      <c r="C729" s="368"/>
      <c r="D729" s="1476"/>
      <c r="E729" s="352"/>
      <c r="F729" s="369" t="s">
        <v>1279</v>
      </c>
      <c r="G729" s="121" t="s">
        <v>608</v>
      </c>
      <c r="H729" s="123">
        <f>SUM(H723:H727)</f>
        <v>92.7</v>
      </c>
      <c r="I729" s="123">
        <f>SUM(I723:I728)</f>
        <v>107.3</v>
      </c>
      <c r="J729" s="123">
        <f t="shared" ref="J729:L729" si="139">SUM(J723:J728)</f>
        <v>141.4</v>
      </c>
      <c r="K729" s="123">
        <f t="shared" si="139"/>
        <v>141.4</v>
      </c>
      <c r="L729" s="123">
        <f t="shared" si="139"/>
        <v>141.4</v>
      </c>
      <c r="N729" s="825"/>
      <c r="O729" s="384"/>
      <c r="P729" s="351"/>
      <c r="Q729" s="356"/>
    </row>
    <row r="730" spans="1:17" ht="33.75" x14ac:dyDescent="0.2">
      <c r="A730" s="351">
        <v>4</v>
      </c>
      <c r="B730" s="352"/>
      <c r="C730" s="378" t="s">
        <v>1280</v>
      </c>
      <c r="D730" s="353" t="s">
        <v>1281</v>
      </c>
      <c r="E730" s="352" t="s">
        <v>398</v>
      </c>
      <c r="F730" s="370" t="s">
        <v>1282</v>
      </c>
      <c r="G730" s="370" t="s">
        <v>9</v>
      </c>
      <c r="H730" s="366">
        <v>244.3</v>
      </c>
      <c r="I730" s="374">
        <v>20.399999999999999</v>
      </c>
      <c r="J730" s="364">
        <v>9.6</v>
      </c>
      <c r="K730" s="355">
        <v>0</v>
      </c>
      <c r="L730" s="355">
        <v>0</v>
      </c>
      <c r="M730" s="168" t="s">
        <v>787</v>
      </c>
      <c r="N730" s="752" t="s">
        <v>1283</v>
      </c>
      <c r="O730" s="1197" t="s">
        <v>2336</v>
      </c>
      <c r="P730" s="386">
        <v>2</v>
      </c>
      <c r="Q730" s="356" t="s">
        <v>878</v>
      </c>
    </row>
    <row r="731" spans="1:17" ht="33.75" x14ac:dyDescent="0.2">
      <c r="A731" s="351">
        <v>4</v>
      </c>
      <c r="B731" s="352"/>
      <c r="C731" s="378"/>
      <c r="D731" s="146"/>
      <c r="E731" s="352" t="s">
        <v>393</v>
      </c>
      <c r="F731" s="370" t="s">
        <v>1282</v>
      </c>
      <c r="G731" s="370" t="s">
        <v>9</v>
      </c>
      <c r="H731" s="366"/>
      <c r="I731" s="374">
        <v>5.9</v>
      </c>
      <c r="J731" s="364">
        <f>17+6.5</f>
        <v>23.5</v>
      </c>
      <c r="K731" s="355">
        <v>91.4</v>
      </c>
      <c r="L731" s="355"/>
      <c r="M731" s="38" t="s">
        <v>870</v>
      </c>
      <c r="N731" s="752" t="s">
        <v>1284</v>
      </c>
      <c r="O731" s="1196" t="s">
        <v>2337</v>
      </c>
      <c r="P731" s="351">
        <v>1</v>
      </c>
      <c r="Q731" s="356" t="s">
        <v>861</v>
      </c>
    </row>
    <row r="732" spans="1:17" ht="19.5" x14ac:dyDescent="0.2">
      <c r="A732" s="351">
        <v>4</v>
      </c>
      <c r="B732" s="352"/>
      <c r="C732" s="378"/>
      <c r="D732" s="772"/>
      <c r="E732" s="352" t="s">
        <v>189</v>
      </c>
      <c r="F732" s="370" t="s">
        <v>1282</v>
      </c>
      <c r="G732" s="370" t="s">
        <v>9</v>
      </c>
      <c r="H732" s="366"/>
      <c r="I732" s="374"/>
      <c r="J732" s="364"/>
      <c r="K732" s="374"/>
      <c r="L732" s="374">
        <v>386</v>
      </c>
      <c r="M732" s="38" t="s">
        <v>870</v>
      </c>
      <c r="N732" s="1194" t="s">
        <v>1285</v>
      </c>
      <c r="O732" s="1198" t="s">
        <v>1286</v>
      </c>
      <c r="P732" s="351"/>
      <c r="Q732" s="356" t="s">
        <v>799</v>
      </c>
    </row>
    <row r="733" spans="1:17" ht="22.5" x14ac:dyDescent="0.2">
      <c r="A733" s="40">
        <v>4</v>
      </c>
      <c r="B733" s="352"/>
      <c r="C733" s="380"/>
      <c r="D733" s="353"/>
      <c r="E733" s="381" t="s">
        <v>189</v>
      </c>
      <c r="F733" s="370" t="s">
        <v>1282</v>
      </c>
      <c r="G733" s="351" t="s">
        <v>9</v>
      </c>
      <c r="H733" s="366"/>
      <c r="I733" s="374"/>
      <c r="J733" s="364">
        <v>15</v>
      </c>
      <c r="K733" s="355"/>
      <c r="L733" s="355"/>
      <c r="M733" s="38" t="s">
        <v>870</v>
      </c>
      <c r="N733" s="1194" t="s">
        <v>1285</v>
      </c>
      <c r="O733" s="752" t="s">
        <v>1287</v>
      </c>
      <c r="P733" s="351"/>
      <c r="Q733" s="356" t="s">
        <v>799</v>
      </c>
    </row>
    <row r="734" spans="1:17" ht="19.5" x14ac:dyDescent="0.2">
      <c r="A734" s="81">
        <v>4</v>
      </c>
      <c r="B734" s="352"/>
      <c r="C734" s="378"/>
      <c r="D734" s="772"/>
      <c r="E734" s="352" t="s">
        <v>189</v>
      </c>
      <c r="F734" s="370" t="s">
        <v>1282</v>
      </c>
      <c r="G734" s="370" t="s">
        <v>99</v>
      </c>
      <c r="H734" s="366">
        <v>230.4</v>
      </c>
      <c r="I734" s="374">
        <v>0</v>
      </c>
      <c r="J734" s="364">
        <v>10</v>
      </c>
      <c r="K734" s="355">
        <v>200</v>
      </c>
      <c r="L734" s="355">
        <v>0</v>
      </c>
      <c r="N734" s="1194" t="s">
        <v>1285</v>
      </c>
      <c r="O734" s="752" t="s">
        <v>1288</v>
      </c>
      <c r="P734" s="351"/>
      <c r="Q734" s="356" t="s">
        <v>799</v>
      </c>
    </row>
    <row r="735" spans="1:17" x14ac:dyDescent="0.2">
      <c r="A735" s="351">
        <v>4</v>
      </c>
      <c r="B735" s="352"/>
      <c r="C735" s="378"/>
      <c r="D735" s="772"/>
      <c r="E735" s="368"/>
      <c r="F735" s="370" t="s">
        <v>1282</v>
      </c>
      <c r="G735" s="121" t="s">
        <v>608</v>
      </c>
      <c r="H735" s="123">
        <f>SUM(H730:H732)</f>
        <v>244.3</v>
      </c>
      <c r="I735" s="123">
        <f>SUM(I730:I732)</f>
        <v>26.299999999999997</v>
      </c>
      <c r="J735" s="123">
        <f>SUM(J730:J734)</f>
        <v>58.1</v>
      </c>
      <c r="K735" s="123">
        <f>SUM(K730:K734)</f>
        <v>291.39999999999998</v>
      </c>
      <c r="L735" s="123">
        <f>SUM(L730:L734)</f>
        <v>386</v>
      </c>
      <c r="N735" s="358"/>
      <c r="O735" s="752"/>
      <c r="P735" s="351"/>
      <c r="Q735" s="356"/>
    </row>
    <row r="736" spans="1:17" ht="22.5" x14ac:dyDescent="0.2">
      <c r="A736" s="351">
        <v>4</v>
      </c>
      <c r="B736" s="352"/>
      <c r="C736" s="352" t="s">
        <v>1289</v>
      </c>
      <c r="D736" s="353" t="s">
        <v>1290</v>
      </c>
      <c r="E736" s="352" t="s">
        <v>408</v>
      </c>
      <c r="F736" s="370" t="s">
        <v>1291</v>
      </c>
      <c r="G736" s="351" t="s">
        <v>9</v>
      </c>
      <c r="H736" s="366"/>
      <c r="I736" s="374">
        <v>12</v>
      </c>
      <c r="J736" s="364"/>
      <c r="K736" s="355"/>
      <c r="L736" s="355"/>
      <c r="M736" s="38" t="s">
        <v>796</v>
      </c>
      <c r="N736" s="752"/>
      <c r="O736" s="752"/>
      <c r="P736" s="351"/>
      <c r="Q736" s="356"/>
    </row>
    <row r="737" spans="1:17" ht="33.75" x14ac:dyDescent="0.2">
      <c r="A737" s="351">
        <v>4</v>
      </c>
      <c r="B737" s="352"/>
      <c r="D737" s="353"/>
      <c r="E737" s="352" t="s">
        <v>189</v>
      </c>
      <c r="F737" s="370" t="s">
        <v>1291</v>
      </c>
      <c r="G737" s="351" t="s">
        <v>9</v>
      </c>
      <c r="H737" s="366"/>
      <c r="I737" s="374">
        <v>28</v>
      </c>
      <c r="J737" s="364">
        <f>50-10</f>
        <v>40</v>
      </c>
      <c r="K737" s="355"/>
      <c r="L737" s="355"/>
      <c r="M737" s="38" t="s">
        <v>796</v>
      </c>
      <c r="N737" s="1194" t="s">
        <v>1285</v>
      </c>
      <c r="O737" s="824" t="s">
        <v>2335</v>
      </c>
      <c r="P737" s="351">
        <v>1</v>
      </c>
      <c r="Q737" s="356"/>
    </row>
    <row r="738" spans="1:17" x14ac:dyDescent="0.2">
      <c r="A738" s="351">
        <v>4</v>
      </c>
      <c r="B738" s="352"/>
      <c r="C738" s="352"/>
      <c r="D738" s="353"/>
      <c r="E738" s="352"/>
      <c r="F738" s="370"/>
      <c r="G738" s="121" t="s">
        <v>608</v>
      </c>
      <c r="H738" s="123">
        <f>SUM(H732:H737)</f>
        <v>474.70000000000005</v>
      </c>
      <c r="I738" s="123">
        <f>SUM(I736:I737)</f>
        <v>40</v>
      </c>
      <c r="J738" s="123">
        <f t="shared" ref="J738:L738" si="140">SUM(J736:J737)</f>
        <v>40</v>
      </c>
      <c r="K738" s="123">
        <f t="shared" si="140"/>
        <v>0</v>
      </c>
      <c r="L738" s="123">
        <f t="shared" si="140"/>
        <v>0</v>
      </c>
      <c r="N738" s="752"/>
      <c r="O738" s="752"/>
      <c r="P738" s="351"/>
      <c r="Q738" s="356"/>
    </row>
    <row r="739" spans="1:17" ht="33.75" x14ac:dyDescent="0.2">
      <c r="A739" s="40">
        <v>4</v>
      </c>
      <c r="B739" s="352"/>
      <c r="C739" s="352" t="s">
        <v>1292</v>
      </c>
      <c r="D739" s="773" t="s">
        <v>1293</v>
      </c>
      <c r="E739" s="352" t="s">
        <v>191</v>
      </c>
      <c r="F739" s="370" t="s">
        <v>1294</v>
      </c>
      <c r="G739" s="351" t="s">
        <v>58</v>
      </c>
      <c r="H739" s="366"/>
      <c r="I739" s="374"/>
      <c r="J739" s="364">
        <v>15</v>
      </c>
      <c r="K739" s="355"/>
      <c r="L739" s="355"/>
      <c r="N739" s="383" t="s">
        <v>1275</v>
      </c>
      <c r="O739" s="752" t="s">
        <v>1295</v>
      </c>
      <c r="P739" s="351">
        <v>1</v>
      </c>
      <c r="Q739" s="356"/>
    </row>
    <row r="740" spans="1:17" x14ac:dyDescent="0.2">
      <c r="A740" s="81">
        <v>4</v>
      </c>
      <c r="B740" s="352"/>
      <c r="C740" s="352"/>
      <c r="D740" s="353"/>
      <c r="E740" s="352" t="s">
        <v>191</v>
      </c>
      <c r="F740" s="370" t="s">
        <v>1294</v>
      </c>
      <c r="G740" s="351" t="s">
        <v>59</v>
      </c>
      <c r="H740" s="366"/>
      <c r="I740" s="374"/>
      <c r="J740" s="364">
        <v>3.2</v>
      </c>
      <c r="K740" s="355"/>
      <c r="L740" s="355"/>
      <c r="N740" s="893"/>
      <c r="O740" s="752"/>
      <c r="P740" s="351"/>
      <c r="Q740" s="356"/>
    </row>
    <row r="741" spans="1:17" x14ac:dyDescent="0.2">
      <c r="A741" s="351">
        <v>4</v>
      </c>
      <c r="B741" s="352"/>
      <c r="C741" s="352"/>
      <c r="D741" s="373"/>
      <c r="E741" s="352"/>
      <c r="F741" s="370"/>
      <c r="G741" s="121" t="s">
        <v>608</v>
      </c>
      <c r="H741" s="123">
        <f>SUM(H739:H739)</f>
        <v>0</v>
      </c>
      <c r="I741" s="123">
        <f>SUM(I739:I740)</f>
        <v>0</v>
      </c>
      <c r="J741" s="123">
        <f t="shared" ref="J741:L741" si="141">SUM(J739:J740)</f>
        <v>18.2</v>
      </c>
      <c r="K741" s="123">
        <f t="shared" si="141"/>
        <v>0</v>
      </c>
      <c r="L741" s="123">
        <f t="shared" si="141"/>
        <v>0</v>
      </c>
      <c r="N741" s="358"/>
      <c r="O741" s="752"/>
      <c r="P741" s="351"/>
      <c r="Q741" s="356"/>
    </row>
    <row r="742" spans="1:17" ht="22.5" x14ac:dyDescent="0.2">
      <c r="A742" s="351">
        <v>4</v>
      </c>
      <c r="B742" s="160"/>
      <c r="C742" s="352" t="s">
        <v>1296</v>
      </c>
      <c r="D742" s="752" t="s">
        <v>1297</v>
      </c>
      <c r="E742" s="352" t="s">
        <v>191</v>
      </c>
      <c r="F742" s="370" t="s">
        <v>1298</v>
      </c>
      <c r="G742" s="1433" t="s">
        <v>58</v>
      </c>
      <c r="H742" s="366"/>
      <c r="I742" s="1144"/>
      <c r="J742" s="774">
        <v>4.5</v>
      </c>
      <c r="K742" s="63">
        <v>24.3</v>
      </c>
      <c r="L742" s="63">
        <v>15</v>
      </c>
      <c r="M742" s="38" t="s">
        <v>2221</v>
      </c>
      <c r="N742" s="358" t="s">
        <v>2338</v>
      </c>
      <c r="O742" s="752" t="s">
        <v>2339</v>
      </c>
      <c r="P742" s="351">
        <v>20</v>
      </c>
      <c r="Q742" s="356"/>
    </row>
    <row r="743" spans="1:17" x14ac:dyDescent="0.2">
      <c r="A743" s="351">
        <v>4</v>
      </c>
      <c r="B743" s="160"/>
      <c r="C743" s="352"/>
      <c r="D743" s="752"/>
      <c r="E743" s="352" t="s">
        <v>191</v>
      </c>
      <c r="F743" s="370" t="s">
        <v>1298</v>
      </c>
      <c r="G743" s="1433" t="s">
        <v>59</v>
      </c>
      <c r="H743" s="366"/>
      <c r="I743" s="1144"/>
      <c r="J743" s="774">
        <v>0.8</v>
      </c>
      <c r="K743" s="63">
        <v>4.3</v>
      </c>
      <c r="L743" s="63">
        <v>2.7</v>
      </c>
      <c r="N743" s="358"/>
      <c r="O743" s="752"/>
      <c r="P743" s="351"/>
      <c r="Q743" s="356"/>
    </row>
    <row r="744" spans="1:17" x14ac:dyDescent="0.2">
      <c r="A744" s="351">
        <v>4</v>
      </c>
      <c r="B744" s="160"/>
      <c r="C744" s="352"/>
      <c r="D744" s="752"/>
      <c r="E744" s="352" t="s">
        <v>189</v>
      </c>
      <c r="F744" s="370" t="s">
        <v>1298</v>
      </c>
      <c r="G744" s="1433" t="s">
        <v>58</v>
      </c>
      <c r="H744" s="366"/>
      <c r="I744" s="1144"/>
      <c r="J744" s="774">
        <v>1332.3</v>
      </c>
      <c r="K744" s="63">
        <v>1650.5</v>
      </c>
      <c r="L744" s="63"/>
      <c r="N744" s="358"/>
      <c r="O744" s="752"/>
      <c r="P744" s="351"/>
      <c r="Q744" s="356"/>
    </row>
    <row r="745" spans="1:17" x14ac:dyDescent="0.2">
      <c r="A745" s="351">
        <v>4</v>
      </c>
      <c r="B745" s="160"/>
      <c r="C745" s="352"/>
      <c r="D745" s="752"/>
      <c r="E745" s="352" t="s">
        <v>189</v>
      </c>
      <c r="F745" s="370" t="s">
        <v>1298</v>
      </c>
      <c r="G745" s="1433" t="s">
        <v>59</v>
      </c>
      <c r="H745" s="366"/>
      <c r="I745" s="1144"/>
      <c r="J745" s="774">
        <v>235.1</v>
      </c>
      <c r="K745" s="63">
        <v>291.3</v>
      </c>
      <c r="L745" s="63"/>
      <c r="N745" s="358"/>
      <c r="O745" s="752"/>
      <c r="P745" s="351"/>
      <c r="Q745" s="356"/>
    </row>
    <row r="746" spans="1:17" x14ac:dyDescent="0.2">
      <c r="A746" s="351">
        <v>4</v>
      </c>
      <c r="B746" s="160"/>
      <c r="C746" s="352"/>
      <c r="D746" s="752"/>
      <c r="E746" s="352" t="s">
        <v>189</v>
      </c>
      <c r="F746" s="370" t="s">
        <v>1298</v>
      </c>
      <c r="G746" s="1433" t="s">
        <v>9</v>
      </c>
      <c r="H746" s="366"/>
      <c r="I746" s="1144"/>
      <c r="J746" s="774">
        <f>136-136</f>
        <v>0</v>
      </c>
      <c r="K746" s="63">
        <v>398</v>
      </c>
      <c r="L746" s="63"/>
      <c r="M746" s="38" t="s">
        <v>2221</v>
      </c>
      <c r="N746" s="383"/>
      <c r="O746" s="752"/>
      <c r="P746" s="351"/>
      <c r="Q746" s="356"/>
    </row>
    <row r="747" spans="1:17" x14ac:dyDescent="0.2">
      <c r="A747" s="351">
        <v>4</v>
      </c>
      <c r="B747" s="160"/>
      <c r="C747" s="352"/>
      <c r="D747" s="752"/>
      <c r="E747" s="352" t="s">
        <v>511</v>
      </c>
      <c r="F747" s="370" t="s">
        <v>1298</v>
      </c>
      <c r="G747" s="1433" t="s">
        <v>58</v>
      </c>
      <c r="H747" s="366"/>
      <c r="I747" s="1144"/>
      <c r="J747" s="774">
        <v>66.099999999999994</v>
      </c>
      <c r="K747" s="63">
        <v>126.6</v>
      </c>
      <c r="L747" s="63"/>
      <c r="M747" s="38" t="s">
        <v>2221</v>
      </c>
      <c r="N747" s="358"/>
      <c r="O747" s="752"/>
      <c r="P747" s="351"/>
      <c r="Q747" s="356"/>
    </row>
    <row r="748" spans="1:17" x14ac:dyDescent="0.2">
      <c r="A748" s="351">
        <v>4</v>
      </c>
      <c r="B748" s="160"/>
      <c r="C748" s="352"/>
      <c r="D748" s="752"/>
      <c r="E748" s="352" t="s">
        <v>511</v>
      </c>
      <c r="F748" s="370" t="s">
        <v>1298</v>
      </c>
      <c r="G748" s="1433" t="s">
        <v>59</v>
      </c>
      <c r="H748" s="366"/>
      <c r="I748" s="1144"/>
      <c r="J748" s="774">
        <v>11.7</v>
      </c>
      <c r="K748" s="63">
        <v>22.3</v>
      </c>
      <c r="L748" s="63"/>
      <c r="N748" s="358"/>
      <c r="O748" s="384"/>
      <c r="P748" s="351"/>
      <c r="Q748" s="356"/>
    </row>
    <row r="749" spans="1:17" x14ac:dyDescent="0.2">
      <c r="A749" s="351">
        <v>4</v>
      </c>
      <c r="B749" s="160"/>
      <c r="C749" s="352"/>
      <c r="D749" s="752"/>
      <c r="E749" s="352" t="s">
        <v>416</v>
      </c>
      <c r="F749" s="370" t="s">
        <v>1298</v>
      </c>
      <c r="G749" s="1433" t="s">
        <v>9</v>
      </c>
      <c r="H749" s="366"/>
      <c r="I749" s="1144"/>
      <c r="J749" s="774">
        <v>14.5</v>
      </c>
      <c r="K749" s="63">
        <v>29</v>
      </c>
      <c r="L749" s="63"/>
      <c r="M749" s="38" t="s">
        <v>2221</v>
      </c>
      <c r="N749" s="358"/>
      <c r="O749" s="384"/>
      <c r="P749" s="351"/>
      <c r="Q749" s="356"/>
    </row>
    <row r="750" spans="1:17" x14ac:dyDescent="0.2">
      <c r="A750" s="351">
        <v>4</v>
      </c>
      <c r="B750" s="160"/>
      <c r="C750" s="352"/>
      <c r="D750" s="752"/>
      <c r="E750" s="775" t="s">
        <v>512</v>
      </c>
      <c r="F750" s="370" t="s">
        <v>1298</v>
      </c>
      <c r="G750" s="1433" t="s">
        <v>58</v>
      </c>
      <c r="H750" s="366"/>
      <c r="I750" s="1144"/>
      <c r="J750" s="774">
        <v>59.7</v>
      </c>
      <c r="K750" s="63">
        <v>95.1</v>
      </c>
      <c r="L750" s="63">
        <v>27.3</v>
      </c>
      <c r="M750" s="38" t="s">
        <v>2221</v>
      </c>
      <c r="N750" s="358"/>
      <c r="O750" s="1195"/>
      <c r="P750" s="386"/>
      <c r="Q750" s="356"/>
    </row>
    <row r="751" spans="1:17" x14ac:dyDescent="0.2">
      <c r="A751" s="351">
        <v>4</v>
      </c>
      <c r="B751" s="160"/>
      <c r="C751" s="352"/>
      <c r="D751" s="752"/>
      <c r="E751" s="775" t="s">
        <v>512</v>
      </c>
      <c r="F751" s="370" t="s">
        <v>1298</v>
      </c>
      <c r="G751" s="1433" t="s">
        <v>59</v>
      </c>
      <c r="H751" s="366"/>
      <c r="I751" s="1144"/>
      <c r="J751" s="774">
        <v>10.5</v>
      </c>
      <c r="K751" s="63">
        <v>16.8</v>
      </c>
      <c r="L751" s="63">
        <v>4.8</v>
      </c>
      <c r="N751" s="358"/>
      <c r="O751" s="1195"/>
      <c r="P751" s="386"/>
      <c r="Q751" s="356"/>
    </row>
    <row r="752" spans="1:17" x14ac:dyDescent="0.2">
      <c r="A752" s="351">
        <v>4</v>
      </c>
      <c r="B752" s="160"/>
      <c r="C752" s="352"/>
      <c r="D752" s="752"/>
      <c r="E752" s="775"/>
      <c r="F752" s="370"/>
      <c r="G752" s="121" t="s">
        <v>608</v>
      </c>
      <c r="H752" s="123">
        <f>SUM(H750:H750)</f>
        <v>0</v>
      </c>
      <c r="I752" s="123">
        <f>SUM(I742:I751)</f>
        <v>0</v>
      </c>
      <c r="J752" s="123">
        <f>SUM(J742:J751)</f>
        <v>1735.1999999999998</v>
      </c>
      <c r="K752" s="123">
        <f>SUM(K742:K751)</f>
        <v>2658.2</v>
      </c>
      <c r="L752" s="123">
        <f>SUM(L742:L751)</f>
        <v>49.8</v>
      </c>
      <c r="M752" s="38" t="s">
        <v>2221</v>
      </c>
      <c r="N752" s="358"/>
      <c r="O752" s="1195"/>
      <c r="P752" s="386"/>
      <c r="Q752" s="356"/>
    </row>
    <row r="753" spans="1:17" ht="22.5" x14ac:dyDescent="0.2">
      <c r="A753" s="351">
        <v>4</v>
      </c>
      <c r="B753" s="160"/>
      <c r="C753" s="352" t="s">
        <v>1299</v>
      </c>
      <c r="D753" s="752" t="s">
        <v>1300</v>
      </c>
      <c r="E753" s="352" t="s">
        <v>191</v>
      </c>
      <c r="F753" s="370" t="s">
        <v>1301</v>
      </c>
      <c r="G753" s="776" t="s">
        <v>9</v>
      </c>
      <c r="H753" s="777"/>
      <c r="I753" s="1145"/>
      <c r="J753" s="778">
        <v>6</v>
      </c>
      <c r="K753" s="779"/>
      <c r="L753" s="779"/>
      <c r="M753" s="38" t="s">
        <v>870</v>
      </c>
      <c r="N753" s="358" t="s">
        <v>2330</v>
      </c>
      <c r="O753" s="1195" t="s">
        <v>2340</v>
      </c>
      <c r="P753" s="386">
        <v>1</v>
      </c>
      <c r="Q753" s="356"/>
    </row>
    <row r="754" spans="1:17" x14ac:dyDescent="0.2">
      <c r="A754" s="351">
        <v>4</v>
      </c>
      <c r="B754" s="160"/>
      <c r="C754" s="352"/>
      <c r="D754" s="780"/>
      <c r="E754" s="352"/>
      <c r="F754" s="781"/>
      <c r="G754" s="121" t="s">
        <v>608</v>
      </c>
      <c r="H754" s="123">
        <f>SUM(H752:H752)</f>
        <v>0</v>
      </c>
      <c r="I754" s="123">
        <f>SUM(I753)</f>
        <v>0</v>
      </c>
      <c r="J754" s="123">
        <f t="shared" ref="J754:L754" si="142">SUM(J753)</f>
        <v>6</v>
      </c>
      <c r="K754" s="123">
        <f t="shared" si="142"/>
        <v>0</v>
      </c>
      <c r="L754" s="123">
        <f t="shared" si="142"/>
        <v>0</v>
      </c>
      <c r="N754" s="358"/>
      <c r="O754" s="1195"/>
      <c r="P754" s="386"/>
      <c r="Q754" s="356"/>
    </row>
    <row r="755" spans="1:17" ht="22.5" x14ac:dyDescent="0.2">
      <c r="A755" s="40">
        <v>4</v>
      </c>
      <c r="B755" s="160"/>
      <c r="C755" s="352" t="s">
        <v>1302</v>
      </c>
      <c r="D755" s="98" t="s">
        <v>1303</v>
      </c>
      <c r="E755" s="352" t="s">
        <v>191</v>
      </c>
      <c r="F755" s="370" t="s">
        <v>1304</v>
      </c>
      <c r="G755" s="245" t="s">
        <v>9</v>
      </c>
      <c r="H755" s="782"/>
      <c r="I755" s="1146"/>
      <c r="J755" s="783">
        <v>19.399999999999999</v>
      </c>
      <c r="K755" s="178">
        <v>19.399999999999999</v>
      </c>
      <c r="L755" s="178">
        <v>19.399999999999999</v>
      </c>
      <c r="M755" s="38" t="s">
        <v>787</v>
      </c>
      <c r="N755" s="358" t="s">
        <v>2330</v>
      </c>
      <c r="O755" s="1195" t="s">
        <v>2341</v>
      </c>
      <c r="P755" s="386">
        <v>15</v>
      </c>
      <c r="Q755" s="1199" t="s">
        <v>799</v>
      </c>
    </row>
    <row r="756" spans="1:17" ht="15" x14ac:dyDescent="0.25">
      <c r="A756" s="81">
        <v>4</v>
      </c>
      <c r="B756" s="160"/>
      <c r="C756" s="352"/>
      <c r="D756" s="752"/>
      <c r="E756" s="352" t="s">
        <v>191</v>
      </c>
      <c r="F756" s="370" t="s">
        <v>1304</v>
      </c>
      <c r="G756" s="245" t="s">
        <v>58</v>
      </c>
      <c r="H756" s="782"/>
      <c r="I756" s="1146"/>
      <c r="J756" s="783">
        <v>110</v>
      </c>
      <c r="K756" s="178">
        <v>110</v>
      </c>
      <c r="L756" s="178">
        <v>110</v>
      </c>
      <c r="N756" s="358"/>
      <c r="O756" s="1200"/>
      <c r="P756" s="386"/>
      <c r="Q756" s="356"/>
    </row>
    <row r="757" spans="1:17" ht="15" x14ac:dyDescent="0.25">
      <c r="A757" s="351">
        <v>4</v>
      </c>
      <c r="B757" s="160"/>
      <c r="C757" s="352"/>
      <c r="D757" s="752"/>
      <c r="E757" s="352"/>
      <c r="F757" s="781"/>
      <c r="G757" s="785" t="s">
        <v>608</v>
      </c>
      <c r="H757" s="389">
        <f>SUM(H750:H750)</f>
        <v>0</v>
      </c>
      <c r="I757" s="389">
        <f>SUM(I755:I756)</f>
        <v>0</v>
      </c>
      <c r="J757" s="389">
        <f t="shared" ref="J757:L757" si="143">SUM(J755:J756)</f>
        <v>129.4</v>
      </c>
      <c r="K757" s="389">
        <f t="shared" si="143"/>
        <v>129.4</v>
      </c>
      <c r="L757" s="389">
        <f t="shared" si="143"/>
        <v>129.4</v>
      </c>
      <c r="N757" s="358"/>
      <c r="O757" s="1200"/>
      <c r="P757" s="386"/>
      <c r="Q757" s="356"/>
    </row>
    <row r="758" spans="1:17" ht="33.75" x14ac:dyDescent="0.2">
      <c r="A758" s="351">
        <v>4</v>
      </c>
      <c r="B758" s="160"/>
      <c r="C758" s="352" t="s">
        <v>1305</v>
      </c>
      <c r="D758" s="881" t="s">
        <v>1306</v>
      </c>
      <c r="E758" s="352" t="s">
        <v>191</v>
      </c>
      <c r="F758" s="370" t="s">
        <v>1307</v>
      </c>
      <c r="G758" s="245" t="s">
        <v>58</v>
      </c>
      <c r="H758" s="782"/>
      <c r="I758" s="1146"/>
      <c r="J758" s="783">
        <v>322</v>
      </c>
      <c r="K758" s="178"/>
      <c r="L758" s="178"/>
      <c r="M758" s="38" t="s">
        <v>787</v>
      </c>
      <c r="N758" s="358" t="s">
        <v>2330</v>
      </c>
      <c r="O758" s="1392" t="s">
        <v>2342</v>
      </c>
      <c r="P758" s="386">
        <v>1</v>
      </c>
      <c r="Q758" s="356"/>
    </row>
    <row r="759" spans="1:17" ht="15" x14ac:dyDescent="0.25">
      <c r="A759" s="351">
        <v>4</v>
      </c>
      <c r="B759" s="160"/>
      <c r="C759" s="352"/>
      <c r="D759" s="752"/>
      <c r="E759" s="352" t="s">
        <v>191</v>
      </c>
      <c r="F759" s="370" t="s">
        <v>1307</v>
      </c>
      <c r="G759" s="229" t="s">
        <v>59</v>
      </c>
      <c r="H759" s="884"/>
      <c r="I759" s="1147"/>
      <c r="J759" s="885">
        <v>56.8</v>
      </c>
      <c r="K759" s="886"/>
      <c r="L759" s="886"/>
      <c r="N759" s="358"/>
      <c r="O759" s="1200"/>
      <c r="P759" s="386"/>
      <c r="Q759" s="356"/>
    </row>
    <row r="760" spans="1:17" ht="15" x14ac:dyDescent="0.25">
      <c r="A760" s="351">
        <v>4</v>
      </c>
      <c r="B760" s="160"/>
      <c r="C760" s="352"/>
      <c r="D760" s="752"/>
      <c r="E760" s="352"/>
      <c r="F760" s="781"/>
      <c r="G760" s="882" t="s">
        <v>608</v>
      </c>
      <c r="H760" s="883">
        <f>SUM(H753:H753)</f>
        <v>0</v>
      </c>
      <c r="I760" s="883">
        <f>SUM(I758:I759)</f>
        <v>0</v>
      </c>
      <c r="J760" s="883">
        <f t="shared" ref="J760:L760" si="144">SUM(J758:J759)</f>
        <v>378.8</v>
      </c>
      <c r="K760" s="883">
        <f t="shared" si="144"/>
        <v>0</v>
      </c>
      <c r="L760" s="883">
        <f t="shared" si="144"/>
        <v>0</v>
      </c>
      <c r="N760" s="358"/>
      <c r="O760" s="1200"/>
      <c r="P760" s="386"/>
      <c r="Q760" s="356"/>
    </row>
    <row r="761" spans="1:17" ht="15" x14ac:dyDescent="0.25">
      <c r="A761" s="40">
        <v>4</v>
      </c>
      <c r="B761" s="160"/>
      <c r="C761" s="352"/>
      <c r="D761" s="752"/>
      <c r="E761" s="352"/>
      <c r="F761" s="781"/>
      <c r="G761" s="390" t="s">
        <v>608</v>
      </c>
      <c r="H761" s="391"/>
      <c r="I761" s="390">
        <f>SUM(I664,I666,I668,I672,I674,I678,I684,I687,I689,I691,I696,I699,I703,I720,I722,I729,I735,I741,I757,I754,I752,I738,I712,I709,I706,I714,I760,I716)</f>
        <v>2083.0999999999995</v>
      </c>
      <c r="J761" s="390">
        <f>SUM(J664,J666,J668,J672,J674,J678,J684,J687,J689,J691,J696,J699,J703,J720,J722,J729,J735,J741,J757,J754,J752,J738,J712,J709,J706,J714,J760,J716)</f>
        <v>5046.5299999999988</v>
      </c>
      <c r="K761" s="390">
        <f>SUM(K664,K666,K668,K672,K674,K678,K684,K687,K689,K691,K696,K699,K703,K720,K722,K729,K735,K741,K757,K754,K752,K738,K712,K709,K706,K714,K760,K716)</f>
        <v>5758.33</v>
      </c>
      <c r="L761" s="390">
        <f>SUM(L664,L666,L668,L672,L674,L678,L684,L687,L689,L691,L696,L699,L703,L720,L722,L729,L735,L741,L757,L754,L752,L738,L712,L709,L706,L714,L760,L716)</f>
        <v>3266.13</v>
      </c>
      <c r="M761" s="168"/>
      <c r="N761" s="358"/>
      <c r="O761" s="1200"/>
      <c r="P761" s="386"/>
      <c r="Q761" s="356"/>
    </row>
    <row r="762" spans="1:17" ht="15" x14ac:dyDescent="0.25">
      <c r="A762" s="81">
        <v>4</v>
      </c>
      <c r="B762" s="160"/>
      <c r="C762" s="352"/>
      <c r="D762" s="752"/>
      <c r="E762" s="352"/>
      <c r="F762" s="781"/>
      <c r="G762" s="181" t="s">
        <v>9</v>
      </c>
      <c r="H762" s="391"/>
      <c r="I762" s="179">
        <f>SUM(I662,I663,I665,I667,I670,I675,I679,I686,I700,I704,I707,I718,I719,I721,I723,I724,I725,I726,I727,I728,I730,I731,I732,I736,I737,I733,I746,I749,I753,I755,I713,I693)</f>
        <v>851.3</v>
      </c>
      <c r="J762" s="179">
        <f>SUM(J662,J663,J665,J667,J670,J675,J679,J686,J700,J704,J707,J718,J719,J721,J723,J724,J725,J726,J727,J728,J730,J731,J732,J736,J737,J733,J746,J749,J753,J755,J713,J693)</f>
        <v>1188.5000000000005</v>
      </c>
      <c r="K762" s="179">
        <f>SUM(K662,K663,K665,K667,K670,K675,K679,K686,K700,K704,K707,K718,K719,K721,K723,K724,K725,K726,K727,K728,K730,K731,K732,K736,K737,K733,K746,K749,K753,K755,K713,K693)</f>
        <v>1616.1000000000004</v>
      </c>
      <c r="L762" s="179">
        <f>SUM(L662,L663,L665,L667,L670,L675,L679,L686,L700,L704,L707,L718,L719,L721,L723,L724,L725,L726,L727,L728,L730,L731,L732,L736,L737,L733,L746,L749,L753,L755,L713,L693)</f>
        <v>1492.1000000000001</v>
      </c>
      <c r="N762" s="358"/>
      <c r="O762" s="1200"/>
      <c r="P762" s="386"/>
      <c r="Q762" s="356"/>
    </row>
    <row r="763" spans="1:17" ht="15" x14ac:dyDescent="0.25">
      <c r="A763" s="351">
        <v>4</v>
      </c>
      <c r="B763" s="160"/>
      <c r="C763" s="352"/>
      <c r="D763" s="752"/>
      <c r="E763" s="352"/>
      <c r="F763" s="781"/>
      <c r="G763" s="392" t="s">
        <v>11</v>
      </c>
      <c r="H763" s="391"/>
      <c r="I763" s="179">
        <f>SUM(I671,I680,I685,I715)</f>
        <v>1073.5999999999999</v>
      </c>
      <c r="J763" s="179">
        <f>SUM(J671,J680,J685,J715)</f>
        <v>915.13</v>
      </c>
      <c r="K763" s="179">
        <f>SUM(K671,K680,K685,K715)</f>
        <v>927.83</v>
      </c>
      <c r="L763" s="179">
        <f>SUM(L671,L680,L685,L715)</f>
        <v>941.03</v>
      </c>
      <c r="N763" s="385"/>
      <c r="O763" s="784"/>
      <c r="P763" s="386"/>
      <c r="Q763" s="356"/>
    </row>
    <row r="764" spans="1:17" ht="15" x14ac:dyDescent="0.25">
      <c r="A764" s="351">
        <v>4</v>
      </c>
      <c r="B764" s="160"/>
      <c r="C764" s="352"/>
      <c r="D764" s="752"/>
      <c r="E764" s="352"/>
      <c r="F764" s="781"/>
      <c r="G764" s="392" t="s">
        <v>148</v>
      </c>
      <c r="H764" s="391"/>
      <c r="I764" s="179">
        <f>SUM(I688,I690,I692,I694,I673)</f>
        <v>81.900000000000006</v>
      </c>
      <c r="J764" s="179">
        <f>SUM(J688,J690,J692,J694,J673)</f>
        <v>114</v>
      </c>
      <c r="K764" s="179">
        <f>SUM(K688,K690,K692,K694,K673)</f>
        <v>82</v>
      </c>
      <c r="L764" s="179">
        <f>SUM(L688,L690,L692,L694,L673)</f>
        <v>82</v>
      </c>
      <c r="N764" s="385"/>
      <c r="O764" s="784"/>
      <c r="P764" s="386"/>
      <c r="Q764" s="356"/>
    </row>
    <row r="765" spans="1:17" ht="15" x14ac:dyDescent="0.25">
      <c r="A765" s="351">
        <v>4</v>
      </c>
      <c r="B765" s="160"/>
      <c r="C765" s="352"/>
      <c r="D765" s="752"/>
      <c r="E765" s="352"/>
      <c r="F765" s="781"/>
      <c r="G765" s="392" t="s">
        <v>149</v>
      </c>
      <c r="H765" s="391"/>
      <c r="I765" s="179">
        <f>I695</f>
        <v>0</v>
      </c>
      <c r="J765" s="179">
        <f>J695</f>
        <v>0</v>
      </c>
      <c r="K765" s="179">
        <f>K695</f>
        <v>0</v>
      </c>
      <c r="L765" s="179">
        <f>L695</f>
        <v>0</v>
      </c>
      <c r="N765" s="385"/>
      <c r="O765" s="784"/>
      <c r="P765" s="386"/>
      <c r="Q765" s="356"/>
    </row>
    <row r="766" spans="1:17" ht="15" x14ac:dyDescent="0.25">
      <c r="A766" s="351">
        <v>4</v>
      </c>
      <c r="B766" s="160"/>
      <c r="C766" s="352"/>
      <c r="D766" s="752"/>
      <c r="E766" s="352"/>
      <c r="F766" s="781"/>
      <c r="G766" s="392" t="s">
        <v>12</v>
      </c>
      <c r="H766" s="391"/>
      <c r="I766" s="179">
        <f>I682</f>
        <v>4</v>
      </c>
      <c r="J766" s="179">
        <f>J682</f>
        <v>4</v>
      </c>
      <c r="K766" s="179">
        <f>K682</f>
        <v>4</v>
      </c>
      <c r="L766" s="179">
        <f>L682</f>
        <v>4</v>
      </c>
      <c r="N766" s="385"/>
      <c r="O766" s="784"/>
      <c r="P766" s="386"/>
      <c r="Q766" s="356"/>
    </row>
    <row r="767" spans="1:17" ht="15" x14ac:dyDescent="0.25">
      <c r="A767" s="40">
        <v>4</v>
      </c>
      <c r="B767" s="352"/>
      <c r="C767" s="352"/>
      <c r="D767" s="373"/>
      <c r="E767" s="352"/>
      <c r="F767" s="370"/>
      <c r="G767" s="84" t="s">
        <v>205</v>
      </c>
      <c r="H767" s="18"/>
      <c r="I767" s="179">
        <f>I681</f>
        <v>0</v>
      </c>
      <c r="J767" s="179">
        <f>J681</f>
        <v>255</v>
      </c>
      <c r="K767" s="179">
        <f>K681</f>
        <v>255</v>
      </c>
      <c r="L767" s="179">
        <f>L681</f>
        <v>255</v>
      </c>
      <c r="N767" s="385"/>
      <c r="O767" s="834"/>
      <c r="P767" s="386"/>
      <c r="Q767" s="356"/>
    </row>
    <row r="768" spans="1:17" ht="15" x14ac:dyDescent="0.25">
      <c r="A768" s="81">
        <v>4</v>
      </c>
      <c r="B768" s="352"/>
      <c r="C768" s="352"/>
      <c r="D768" s="373"/>
      <c r="E768" s="352"/>
      <c r="F768" s="370"/>
      <c r="G768" s="81" t="s">
        <v>59</v>
      </c>
      <c r="H768" s="37"/>
      <c r="I768" s="37">
        <f>I740+I759+I711+I751+I748+I745+I743</f>
        <v>0</v>
      </c>
      <c r="J768" s="37">
        <f>J740+J759+J711+J751+J748+J745+J743</f>
        <v>349.1</v>
      </c>
      <c r="K768" s="37">
        <f>K740+K759+K711+K751+K748+K745+K743</f>
        <v>365.7</v>
      </c>
      <c r="L768" s="37">
        <f>L740+L759+L711+L751+L748+L745+L743</f>
        <v>38.5</v>
      </c>
      <c r="N768" s="385"/>
      <c r="O768" s="784"/>
      <c r="P768" s="386"/>
      <c r="Q768" s="356"/>
    </row>
    <row r="769" spans="1:17" x14ac:dyDescent="0.2">
      <c r="A769" s="351">
        <v>4</v>
      </c>
      <c r="B769" s="352"/>
      <c r="C769" s="352"/>
      <c r="D769" s="373"/>
      <c r="E769" s="352"/>
      <c r="F769" s="370"/>
      <c r="G769" s="81" t="s">
        <v>58</v>
      </c>
      <c r="H769" s="37"/>
      <c r="I769" s="12">
        <f>SUM(I750,I747,I742,I739,I710,I708,I705,I756,I758,I744)</f>
        <v>0</v>
      </c>
      <c r="J769" s="12">
        <f t="shared" ref="J769:L769" si="145">SUM(J750,J747,J742,J739,J710,J708,J705,J756,J758,J744)</f>
        <v>2169.8000000000002</v>
      </c>
      <c r="K769" s="12">
        <f t="shared" si="145"/>
        <v>2266.6999999999998</v>
      </c>
      <c r="L769" s="12">
        <f t="shared" si="145"/>
        <v>412.5</v>
      </c>
      <c r="N769" s="385"/>
      <c r="O769" s="387"/>
      <c r="P769" s="386"/>
      <c r="Q769" s="356"/>
    </row>
    <row r="770" spans="1:17" x14ac:dyDescent="0.2">
      <c r="A770" s="351">
        <v>4</v>
      </c>
      <c r="B770" s="352"/>
      <c r="C770" s="352"/>
      <c r="D770" s="373"/>
      <c r="E770" s="352"/>
      <c r="F770" s="370"/>
      <c r="G770" s="81" t="s">
        <v>202</v>
      </c>
      <c r="H770" s="37"/>
      <c r="I770" s="37">
        <f>SUM(I677,I697,I702)</f>
        <v>26.5</v>
      </c>
      <c r="J770" s="37">
        <f>SUM(J677,J697,J702)</f>
        <v>0</v>
      </c>
      <c r="K770" s="37">
        <f>SUM(K677,K697,K702)</f>
        <v>0</v>
      </c>
      <c r="L770" s="37">
        <f>SUM(L677,L697,L702)</f>
        <v>0</v>
      </c>
      <c r="N770" s="358"/>
      <c r="O770" s="393"/>
      <c r="P770" s="351"/>
      <c r="Q770" s="356"/>
    </row>
    <row r="771" spans="1:17" x14ac:dyDescent="0.2">
      <c r="A771" s="351">
        <v>4</v>
      </c>
      <c r="B771" s="352"/>
      <c r="C771" s="352"/>
      <c r="D771" s="373"/>
      <c r="E771" s="352"/>
      <c r="F771" s="370"/>
      <c r="G771" s="81" t="s">
        <v>99</v>
      </c>
      <c r="H771" s="37"/>
      <c r="I771" s="37">
        <f>SUM(I683,I734)</f>
        <v>41</v>
      </c>
      <c r="J771" s="37">
        <f>SUM(J683,J734)</f>
        <v>51</v>
      </c>
      <c r="K771" s="37">
        <f>SUM(K683,K734)</f>
        <v>241</v>
      </c>
      <c r="L771" s="37">
        <f>SUM(L683,L734)</f>
        <v>41</v>
      </c>
      <c r="N771" s="358"/>
      <c r="O771" s="752"/>
      <c r="P771" s="351"/>
      <c r="Q771" s="356"/>
    </row>
    <row r="772" spans="1:17" x14ac:dyDescent="0.2">
      <c r="A772" s="351">
        <v>4</v>
      </c>
      <c r="B772" s="352"/>
      <c r="C772" s="352"/>
      <c r="D772" s="373"/>
      <c r="E772" s="352"/>
      <c r="F772" s="370"/>
      <c r="G772" s="81" t="s">
        <v>201</v>
      </c>
      <c r="H772" s="37"/>
      <c r="I772" s="37">
        <f>SUM(I676,I698,I701,)</f>
        <v>4.8</v>
      </c>
      <c r="J772" s="37">
        <f>SUM(J676,J698,J701,)</f>
        <v>0</v>
      </c>
      <c r="K772" s="37">
        <f>SUM(K676,K698,K701,)</f>
        <v>0</v>
      </c>
      <c r="L772" s="37">
        <f>SUM(L676,L698,L701,)</f>
        <v>0</v>
      </c>
      <c r="N772" s="358"/>
      <c r="O772" s="752"/>
      <c r="P772" s="351"/>
      <c r="Q772" s="356"/>
    </row>
    <row r="773" spans="1:17" x14ac:dyDescent="0.2">
      <c r="A773" s="40">
        <v>4</v>
      </c>
      <c r="B773" s="352"/>
      <c r="C773" s="352"/>
      <c r="D773" s="373"/>
      <c r="E773" s="352"/>
      <c r="F773" s="370"/>
      <c r="G773" s="185" t="s">
        <v>608</v>
      </c>
      <c r="H773" s="164"/>
      <c r="I773" s="185">
        <f>SUM(I762:I772)</f>
        <v>2083.1000000000004</v>
      </c>
      <c r="J773" s="185">
        <f>SUM(J762:J772)</f>
        <v>5046.5300000000007</v>
      </c>
      <c r="K773" s="185">
        <f>SUM(K762:K772)</f>
        <v>5758.33</v>
      </c>
      <c r="L773" s="185">
        <f>SUM(L762:L772)</f>
        <v>3266.13</v>
      </c>
      <c r="N773" s="358"/>
      <c r="O773" s="752"/>
      <c r="P773" s="351"/>
      <c r="Q773" s="356"/>
    </row>
    <row r="774" spans="1:17" x14ac:dyDescent="0.2">
      <c r="A774" s="81">
        <v>4</v>
      </c>
      <c r="B774" s="352"/>
      <c r="C774" s="352"/>
      <c r="D774" s="373"/>
      <c r="E774" s="352"/>
      <c r="F774" s="370"/>
      <c r="G774" s="21"/>
      <c r="H774" s="37"/>
      <c r="I774" s="37">
        <f>I761-I773</f>
        <v>0</v>
      </c>
      <c r="J774" s="37">
        <f>J761-J773</f>
        <v>0</v>
      </c>
      <c r="K774" s="37">
        <f>K761-K773</f>
        <v>0</v>
      </c>
      <c r="L774" s="37">
        <f>L761-L773</f>
        <v>0</v>
      </c>
      <c r="N774" s="358"/>
      <c r="O774" s="752"/>
      <c r="P774" s="351"/>
      <c r="Q774" s="356"/>
    </row>
    <row r="775" spans="1:17" ht="22.5" x14ac:dyDescent="0.2">
      <c r="A775" s="40">
        <v>5</v>
      </c>
      <c r="B775" s="394"/>
      <c r="C775" s="394"/>
      <c r="D775" s="108" t="s">
        <v>1309</v>
      </c>
      <c r="E775" s="109"/>
      <c r="F775" s="110"/>
      <c r="G775" s="109"/>
      <c r="H775" s="109"/>
      <c r="I775" s="109"/>
      <c r="J775" s="109"/>
      <c r="K775" s="109"/>
      <c r="L775" s="109"/>
      <c r="N775" s="82"/>
      <c r="O775" s="89"/>
      <c r="P775" s="181"/>
      <c r="Q775" s="81"/>
    </row>
    <row r="776" spans="1:17" ht="22.5" x14ac:dyDescent="0.2">
      <c r="A776" s="40">
        <v>5</v>
      </c>
      <c r="B776" s="395" t="s">
        <v>1310</v>
      </c>
      <c r="C776" s="395" t="s">
        <v>1310</v>
      </c>
      <c r="D776" s="396" t="s">
        <v>223</v>
      </c>
      <c r="E776" s="397"/>
      <c r="F776" s="40"/>
      <c r="G776" s="53"/>
      <c r="H776" s="37"/>
      <c r="I776" s="144">
        <f>SUM(I780,I782,I787,I793,I795,I798,I800,I802,I784)</f>
        <v>29392.699999999997</v>
      </c>
      <c r="J776" s="144">
        <f t="shared" ref="J776:L776" si="146">SUM(J780,J782,J787,J793,J795,J798,J800,J802,J784)</f>
        <v>36567</v>
      </c>
      <c r="K776" s="144">
        <f t="shared" si="146"/>
        <v>38401</v>
      </c>
      <c r="L776" s="144">
        <f t="shared" si="146"/>
        <v>38621</v>
      </c>
      <c r="N776" s="82"/>
      <c r="O776" s="89"/>
      <c r="P776" s="181"/>
      <c r="Q776" s="81"/>
    </row>
    <row r="777" spans="1:17" x14ac:dyDescent="0.2">
      <c r="A777" s="40">
        <v>5</v>
      </c>
      <c r="B777" s="44"/>
      <c r="C777" s="44" t="s">
        <v>1311</v>
      </c>
      <c r="D777" s="48" t="s">
        <v>224</v>
      </c>
      <c r="E777" s="40">
        <v>7</v>
      </c>
      <c r="F777" s="40" t="s">
        <v>225</v>
      </c>
      <c r="G777" s="40" t="s">
        <v>226</v>
      </c>
      <c r="H777" s="37">
        <v>17113.2</v>
      </c>
      <c r="I777" s="16">
        <v>20165.099999999999</v>
      </c>
      <c r="J777" s="116">
        <v>25724.2</v>
      </c>
      <c r="K777" s="855">
        <v>27000</v>
      </c>
      <c r="L777" s="855">
        <v>27000</v>
      </c>
      <c r="N777" s="340" t="s">
        <v>1312</v>
      </c>
      <c r="O777" s="149" t="s">
        <v>1004</v>
      </c>
      <c r="P777" s="73">
        <v>100</v>
      </c>
      <c r="Q777" s="786"/>
    </row>
    <row r="778" spans="1:17" x14ac:dyDescent="0.2">
      <c r="A778" s="40">
        <v>5</v>
      </c>
      <c r="B778" s="44"/>
      <c r="C778" s="44"/>
      <c r="D778" s="48"/>
      <c r="E778" s="40">
        <v>7</v>
      </c>
      <c r="F778" s="40" t="s">
        <v>225</v>
      </c>
      <c r="G778" s="40" t="s">
        <v>719</v>
      </c>
      <c r="H778" s="37">
        <f>89.9+62.6</f>
        <v>152.5</v>
      </c>
      <c r="I778" s="16">
        <v>208.9</v>
      </c>
      <c r="J778" s="116">
        <f>54</f>
        <v>54</v>
      </c>
      <c r="K778" s="37"/>
      <c r="L778" s="37"/>
      <c r="N778" s="340" t="s">
        <v>1313</v>
      </c>
      <c r="O778" s="149" t="s">
        <v>1314</v>
      </c>
      <c r="P778" s="73">
        <v>10</v>
      </c>
      <c r="Q778" s="786"/>
    </row>
    <row r="779" spans="1:17" ht="22.5" x14ac:dyDescent="0.2">
      <c r="A779" s="40">
        <v>5</v>
      </c>
      <c r="B779" s="44"/>
      <c r="C779" s="44"/>
      <c r="D779" s="48"/>
      <c r="E779" s="40">
        <v>7</v>
      </c>
      <c r="F779" s="40" t="s">
        <v>225</v>
      </c>
      <c r="G779" s="40" t="s">
        <v>227</v>
      </c>
      <c r="H779" s="37"/>
      <c r="I779" s="16"/>
      <c r="J779" s="116"/>
      <c r="K779" s="37"/>
      <c r="L779" s="37"/>
      <c r="N779" s="340"/>
      <c r="O779" s="149"/>
      <c r="P779" s="73"/>
      <c r="Q779" s="786"/>
    </row>
    <row r="780" spans="1:17" x14ac:dyDescent="0.2">
      <c r="A780" s="40">
        <v>5</v>
      </c>
      <c r="B780" s="44"/>
      <c r="C780" s="44"/>
      <c r="D780" s="48"/>
      <c r="E780" s="40"/>
      <c r="F780" s="40" t="s">
        <v>225</v>
      </c>
      <c r="G780" s="121" t="s">
        <v>608</v>
      </c>
      <c r="H780" s="123">
        <f>SUM(H777:H779)</f>
        <v>17265.7</v>
      </c>
      <c r="I780" s="123">
        <f>SUM(I777:I779)</f>
        <v>20374</v>
      </c>
      <c r="J780" s="123">
        <f t="shared" ref="J780:L780" si="147">SUM(J777:J779)</f>
        <v>25778.2</v>
      </c>
      <c r="K780" s="123">
        <f t="shared" si="147"/>
        <v>27000</v>
      </c>
      <c r="L780" s="123">
        <f t="shared" si="147"/>
        <v>27000</v>
      </c>
      <c r="N780" s="340"/>
      <c r="O780" s="149"/>
      <c r="P780" s="73"/>
      <c r="Q780" s="786"/>
    </row>
    <row r="781" spans="1:17" ht="33.75" x14ac:dyDescent="0.2">
      <c r="A781" s="40">
        <v>5</v>
      </c>
      <c r="B781" s="44"/>
      <c r="C781" s="44" t="s">
        <v>1315</v>
      </c>
      <c r="D781" s="48" t="s">
        <v>1316</v>
      </c>
      <c r="E781" s="40">
        <v>7</v>
      </c>
      <c r="F781" s="40" t="s">
        <v>228</v>
      </c>
      <c r="G781" s="40" t="s">
        <v>9</v>
      </c>
      <c r="H781" s="124">
        <v>351.2</v>
      </c>
      <c r="I781" s="16">
        <v>385.5</v>
      </c>
      <c r="J781" s="116">
        <f>400-50</f>
        <v>350</v>
      </c>
      <c r="K781" s="37">
        <v>420</v>
      </c>
      <c r="L781" s="37">
        <v>440</v>
      </c>
      <c r="M781" s="168" t="s">
        <v>796</v>
      </c>
      <c r="N781" s="1393" t="s">
        <v>1317</v>
      </c>
      <c r="O781" s="149" t="s">
        <v>1318</v>
      </c>
      <c r="P781" s="76">
        <v>800</v>
      </c>
      <c r="Q781" s="786"/>
    </row>
    <row r="782" spans="1:17" x14ac:dyDescent="0.2">
      <c r="A782" s="40">
        <v>5</v>
      </c>
      <c r="B782" s="44"/>
      <c r="C782" s="44"/>
      <c r="D782" s="48"/>
      <c r="E782" s="40"/>
      <c r="F782" s="40" t="s">
        <v>228</v>
      </c>
      <c r="G782" s="121" t="s">
        <v>608</v>
      </c>
      <c r="H782" s="123">
        <f>SUM(H781)</f>
        <v>351.2</v>
      </c>
      <c r="I782" s="123">
        <f>SUM(I781)</f>
        <v>385.5</v>
      </c>
      <c r="J782" s="123">
        <f t="shared" ref="J782:L782" si="148">SUM(J781)</f>
        <v>350</v>
      </c>
      <c r="K782" s="123">
        <f t="shared" si="148"/>
        <v>420</v>
      </c>
      <c r="L782" s="123">
        <f t="shared" si="148"/>
        <v>440</v>
      </c>
      <c r="N782" s="1393" t="s">
        <v>1317</v>
      </c>
      <c r="O782" s="149" t="s">
        <v>1319</v>
      </c>
      <c r="P782" s="76">
        <v>25</v>
      </c>
      <c r="Q782" s="786"/>
    </row>
    <row r="783" spans="1:17" x14ac:dyDescent="0.2">
      <c r="A783" s="40">
        <v>5</v>
      </c>
      <c r="B783" s="44"/>
      <c r="C783" s="44" t="s">
        <v>1320</v>
      </c>
      <c r="D783" s="48" t="s">
        <v>1321</v>
      </c>
      <c r="E783" s="40">
        <v>7</v>
      </c>
      <c r="F783" s="40" t="s">
        <v>1322</v>
      </c>
      <c r="G783" s="40" t="s">
        <v>9</v>
      </c>
      <c r="H783" s="124"/>
      <c r="I783" s="16"/>
      <c r="J783" s="116">
        <f>150+50</f>
        <v>200</v>
      </c>
      <c r="K783" s="37">
        <v>150</v>
      </c>
      <c r="L783" s="37">
        <v>150</v>
      </c>
      <c r="M783" s="38" t="s">
        <v>796</v>
      </c>
      <c r="N783" s="1393" t="s">
        <v>1317</v>
      </c>
      <c r="O783" s="149" t="s">
        <v>1336</v>
      </c>
      <c r="P783" s="76">
        <v>85</v>
      </c>
      <c r="Q783" s="786"/>
    </row>
    <row r="784" spans="1:17" x14ac:dyDescent="0.2">
      <c r="A784" s="40">
        <v>5</v>
      </c>
      <c r="B784" s="44"/>
      <c r="C784" s="44"/>
      <c r="D784" s="48"/>
      <c r="E784" s="40"/>
      <c r="F784" s="69"/>
      <c r="G784" s="121" t="s">
        <v>608</v>
      </c>
      <c r="H784" s="123">
        <f>SUM(H783)</f>
        <v>0</v>
      </c>
      <c r="I784" s="123">
        <f>SUM(I783)</f>
        <v>0</v>
      </c>
      <c r="J784" s="123">
        <f t="shared" ref="J784:L784" si="149">SUM(J783)</f>
        <v>200</v>
      </c>
      <c r="K784" s="123">
        <f t="shared" si="149"/>
        <v>150</v>
      </c>
      <c r="L784" s="123">
        <f t="shared" si="149"/>
        <v>150</v>
      </c>
      <c r="N784" s="149"/>
      <c r="O784" s="149"/>
      <c r="P784" s="76"/>
      <c r="Q784" s="786"/>
    </row>
    <row r="785" spans="1:17" ht="22.5" x14ac:dyDescent="0.2">
      <c r="A785" s="40">
        <v>5</v>
      </c>
      <c r="B785" s="44"/>
      <c r="C785" s="44" t="s">
        <v>1323</v>
      </c>
      <c r="D785" s="48" t="s">
        <v>229</v>
      </c>
      <c r="E785" s="40">
        <v>7</v>
      </c>
      <c r="F785" s="40" t="s">
        <v>230</v>
      </c>
      <c r="G785" s="40" t="s">
        <v>226</v>
      </c>
      <c r="H785" s="37">
        <v>3379.49</v>
      </c>
      <c r="I785" s="16">
        <v>4888.3</v>
      </c>
      <c r="J785" s="116">
        <v>6408.4</v>
      </c>
      <c r="K785" s="37">
        <v>7000</v>
      </c>
      <c r="L785" s="37">
        <v>7000</v>
      </c>
      <c r="N785" s="340" t="s">
        <v>1324</v>
      </c>
      <c r="O785" s="149" t="s">
        <v>1325</v>
      </c>
      <c r="P785" s="76">
        <v>100</v>
      </c>
      <c r="Q785" s="786"/>
    </row>
    <row r="786" spans="1:17" x14ac:dyDescent="0.2">
      <c r="A786" s="40">
        <v>5</v>
      </c>
      <c r="B786" s="44"/>
      <c r="C786" s="44"/>
      <c r="D786" s="48"/>
      <c r="E786" s="40">
        <v>7</v>
      </c>
      <c r="F786" s="40" t="s">
        <v>230</v>
      </c>
      <c r="G786" s="40" t="s">
        <v>719</v>
      </c>
      <c r="H786" s="37">
        <f>2.8</f>
        <v>2.8</v>
      </c>
      <c r="I786" s="16">
        <v>9.3000000000000007</v>
      </c>
      <c r="J786" s="116">
        <f>1</f>
        <v>1</v>
      </c>
      <c r="K786" s="37"/>
      <c r="L786" s="37"/>
      <c r="N786" s="340" t="s">
        <v>1324</v>
      </c>
      <c r="O786" s="149" t="s">
        <v>1314</v>
      </c>
      <c r="P786" s="76">
        <v>10</v>
      </c>
      <c r="Q786" s="786"/>
    </row>
    <row r="787" spans="1:17" x14ac:dyDescent="0.2">
      <c r="A787" s="40">
        <v>5</v>
      </c>
      <c r="B787" s="44"/>
      <c r="C787" s="44"/>
      <c r="D787" s="48"/>
      <c r="E787" s="40"/>
      <c r="F787" s="40" t="s">
        <v>230</v>
      </c>
      <c r="G787" s="121" t="s">
        <v>608</v>
      </c>
      <c r="H787" s="123">
        <f>SUM(H785:H786)</f>
        <v>3382.29</v>
      </c>
      <c r="I787" s="123">
        <f>SUM(I785:I786)</f>
        <v>4897.6000000000004</v>
      </c>
      <c r="J787" s="123">
        <f t="shared" ref="J787:L787" si="150">SUM(J785:J786)</f>
        <v>6409.4</v>
      </c>
      <c r="K787" s="123">
        <f t="shared" si="150"/>
        <v>7000</v>
      </c>
      <c r="L787" s="123">
        <f t="shared" si="150"/>
        <v>7000</v>
      </c>
      <c r="N787" s="340" t="s">
        <v>1313</v>
      </c>
      <c r="O787" s="149"/>
      <c r="P787" s="76"/>
      <c r="Q787" s="786"/>
    </row>
    <row r="788" spans="1:17" ht="33.75" x14ac:dyDescent="0.2">
      <c r="A788" s="40">
        <v>5</v>
      </c>
      <c r="B788" s="44"/>
      <c r="C788" s="44" t="s">
        <v>1326</v>
      </c>
      <c r="D788" s="48" t="s">
        <v>1327</v>
      </c>
      <c r="E788" s="40">
        <v>7</v>
      </c>
      <c r="F788" s="40" t="s">
        <v>231</v>
      </c>
      <c r="G788" s="40" t="s">
        <v>11</v>
      </c>
      <c r="H788" s="37">
        <v>267.89999999999998</v>
      </c>
      <c r="I788" s="16">
        <v>299.5</v>
      </c>
      <c r="J788" s="116">
        <v>368.9</v>
      </c>
      <c r="K788" s="16">
        <v>368.9</v>
      </c>
      <c r="L788" s="16">
        <v>368.9</v>
      </c>
      <c r="N788" s="340" t="s">
        <v>1328</v>
      </c>
      <c r="O788" s="149" t="s">
        <v>1329</v>
      </c>
      <c r="P788" s="76">
        <v>100</v>
      </c>
      <c r="Q788" s="786"/>
    </row>
    <row r="789" spans="1:17" x14ac:dyDescent="0.2">
      <c r="A789" s="40">
        <v>5</v>
      </c>
      <c r="B789" s="44"/>
      <c r="C789" s="44"/>
      <c r="D789" s="48"/>
      <c r="E789" s="40">
        <v>7</v>
      </c>
      <c r="F789" s="40" t="s">
        <v>231</v>
      </c>
      <c r="G789" s="40" t="s">
        <v>11</v>
      </c>
      <c r="H789" s="37"/>
      <c r="I789" s="16"/>
      <c r="J789" s="116"/>
      <c r="K789" s="37"/>
      <c r="L789" s="37"/>
      <c r="N789" s="340" t="s">
        <v>1330</v>
      </c>
      <c r="O789" s="149" t="s">
        <v>1314</v>
      </c>
      <c r="P789" s="76">
        <v>10</v>
      </c>
      <c r="Q789" s="786"/>
    </row>
    <row r="790" spans="1:17" x14ac:dyDescent="0.2">
      <c r="A790" s="40">
        <v>5</v>
      </c>
      <c r="B790" s="44"/>
      <c r="C790" s="44"/>
      <c r="D790" s="48"/>
      <c r="E790" s="40">
        <v>7</v>
      </c>
      <c r="F790" s="40" t="s">
        <v>231</v>
      </c>
      <c r="G790" s="40" t="s">
        <v>232</v>
      </c>
      <c r="H790" s="37"/>
      <c r="I790" s="16"/>
      <c r="J790" s="116"/>
      <c r="K790" s="37"/>
      <c r="L790" s="37"/>
      <c r="N790" s="340" t="s">
        <v>1331</v>
      </c>
      <c r="O790" s="149"/>
      <c r="P790" s="711"/>
      <c r="Q790" s="786"/>
    </row>
    <row r="791" spans="1:17" x14ac:dyDescent="0.2">
      <c r="A791" s="40">
        <v>5</v>
      </c>
      <c r="B791" s="44"/>
      <c r="C791" s="44"/>
      <c r="D791" s="48"/>
      <c r="E791" s="40">
        <v>7</v>
      </c>
      <c r="F791" s="40" t="s">
        <v>231</v>
      </c>
      <c r="G791" s="40" t="s">
        <v>740</v>
      </c>
      <c r="H791" s="37">
        <f>20.4+21.5</f>
        <v>41.9</v>
      </c>
      <c r="I791" s="16">
        <v>51.8</v>
      </c>
      <c r="J791" s="116">
        <f>11.1</f>
        <v>11.1</v>
      </c>
      <c r="K791" s="37"/>
      <c r="L791" s="37"/>
      <c r="N791" s="340" t="s">
        <v>1332</v>
      </c>
      <c r="O791" s="149"/>
      <c r="P791" s="711"/>
      <c r="Q791" s="786"/>
    </row>
    <row r="792" spans="1:17" ht="22.5" x14ac:dyDescent="0.2">
      <c r="A792" s="40">
        <v>5</v>
      </c>
      <c r="B792" s="44"/>
      <c r="C792" s="44"/>
      <c r="D792" s="48"/>
      <c r="E792" s="40">
        <v>7</v>
      </c>
      <c r="F792" s="40" t="s">
        <v>231</v>
      </c>
      <c r="G792" s="40" t="s">
        <v>9</v>
      </c>
      <c r="H792" s="37">
        <f>2073.4-1000+100+1052.7</f>
        <v>2226.1000000000004</v>
      </c>
      <c r="I792" s="16">
        <v>1923.9</v>
      </c>
      <c r="J792" s="116">
        <f>2226.1-200-18</f>
        <v>2008.1</v>
      </c>
      <c r="K792" s="16">
        <f>2226.1-200</f>
        <v>2026.1</v>
      </c>
      <c r="L792" s="37">
        <v>2226.1</v>
      </c>
      <c r="M792" s="38" t="s">
        <v>782</v>
      </c>
      <c r="N792" s="1446" t="s">
        <v>1317</v>
      </c>
      <c r="O792" s="149"/>
      <c r="P792" s="711"/>
      <c r="Q792" s="786"/>
    </row>
    <row r="793" spans="1:17" x14ac:dyDescent="0.2">
      <c r="A793" s="40">
        <v>5</v>
      </c>
      <c r="B793" s="44"/>
      <c r="C793" s="44"/>
      <c r="D793" s="48"/>
      <c r="E793" s="40"/>
      <c r="F793" s="40"/>
      <c r="G793" s="121" t="s">
        <v>608</v>
      </c>
      <c r="H793" s="123">
        <f>SUM(H788:H792)</f>
        <v>2535.9000000000005</v>
      </c>
      <c r="I793" s="123">
        <f>SUM(I788:I792)</f>
        <v>2275.2000000000003</v>
      </c>
      <c r="J793" s="123">
        <f t="shared" ref="J793:L793" si="151">SUM(J788:J792)</f>
        <v>2388.1</v>
      </c>
      <c r="K793" s="123">
        <f t="shared" si="151"/>
        <v>2395</v>
      </c>
      <c r="L793" s="123">
        <f t="shared" si="151"/>
        <v>2595</v>
      </c>
      <c r="N793" s="340"/>
      <c r="O793" s="149"/>
      <c r="P793" s="711"/>
      <c r="Q793" s="786"/>
    </row>
    <row r="794" spans="1:17" ht="22.5" x14ac:dyDescent="0.2">
      <c r="A794" s="40">
        <v>5</v>
      </c>
      <c r="B794" s="44"/>
      <c r="C794" s="44" t="s">
        <v>1333</v>
      </c>
      <c r="D794" s="48" t="s">
        <v>1334</v>
      </c>
      <c r="E794" s="40">
        <v>9</v>
      </c>
      <c r="F794" s="40" t="s">
        <v>233</v>
      </c>
      <c r="G794" s="40" t="s">
        <v>9</v>
      </c>
      <c r="H794" s="37">
        <f>360*2/3+50+70+22</f>
        <v>382</v>
      </c>
      <c r="I794" s="16">
        <v>385.9</v>
      </c>
      <c r="J794" s="116"/>
      <c r="K794" s="37"/>
      <c r="L794" s="37"/>
      <c r="M794" s="38" t="s">
        <v>782</v>
      </c>
      <c r="N794" s="340" t="s">
        <v>804</v>
      </c>
      <c r="O794" s="149"/>
      <c r="P794" s="76"/>
      <c r="Q794" s="786"/>
    </row>
    <row r="795" spans="1:17" x14ac:dyDescent="0.2">
      <c r="A795" s="40">
        <v>5</v>
      </c>
      <c r="B795" s="44"/>
      <c r="C795" s="44"/>
      <c r="D795" s="48"/>
      <c r="E795" s="40"/>
      <c r="F795" s="40" t="s">
        <v>233</v>
      </c>
      <c r="G795" s="121" t="s">
        <v>608</v>
      </c>
      <c r="H795" s="123">
        <f>SUM(H794:H794)</f>
        <v>382</v>
      </c>
      <c r="I795" s="123">
        <f>SUM(I794:I794)</f>
        <v>385.9</v>
      </c>
      <c r="J795" s="123">
        <f t="shared" ref="J795:L795" si="152">SUM(J794:J794)</f>
        <v>0</v>
      </c>
      <c r="K795" s="123">
        <f t="shared" si="152"/>
        <v>0</v>
      </c>
      <c r="L795" s="123">
        <f t="shared" si="152"/>
        <v>0</v>
      </c>
      <c r="N795" s="340"/>
      <c r="O795" s="149"/>
      <c r="P795" s="76"/>
      <c r="Q795" s="786"/>
    </row>
    <row r="796" spans="1:17" ht="22.5" x14ac:dyDescent="0.2">
      <c r="A796" s="40">
        <v>5</v>
      </c>
      <c r="B796" s="44"/>
      <c r="C796" s="44" t="s">
        <v>1335</v>
      </c>
      <c r="D796" s="48" t="s">
        <v>234</v>
      </c>
      <c r="E796" s="40">
        <v>7</v>
      </c>
      <c r="F796" s="40" t="s">
        <v>235</v>
      </c>
      <c r="G796" s="40" t="s">
        <v>11</v>
      </c>
      <c r="H796" s="37">
        <v>939.6</v>
      </c>
      <c r="I796" s="16">
        <v>1038.3</v>
      </c>
      <c r="J796" s="116">
        <v>1436</v>
      </c>
      <c r="K796" s="37">
        <v>1436</v>
      </c>
      <c r="L796" s="37">
        <v>1436</v>
      </c>
      <c r="N796" s="1393" t="s">
        <v>1317</v>
      </c>
      <c r="O796" s="149" t="s">
        <v>1336</v>
      </c>
      <c r="P796" s="76">
        <v>3000</v>
      </c>
      <c r="Q796" s="786"/>
    </row>
    <row r="797" spans="1:17" x14ac:dyDescent="0.2">
      <c r="A797" s="40">
        <v>5</v>
      </c>
      <c r="B797" s="44"/>
      <c r="C797" s="44"/>
      <c r="D797" s="48"/>
      <c r="E797" s="40">
        <v>7</v>
      </c>
      <c r="F797" s="40" t="s">
        <v>235</v>
      </c>
      <c r="G797" s="40" t="s">
        <v>740</v>
      </c>
      <c r="H797" s="37">
        <f>3+2.4</f>
        <v>5.4</v>
      </c>
      <c r="I797" s="16">
        <v>7.8</v>
      </c>
      <c r="J797" s="116">
        <f>2.9</f>
        <v>2.9</v>
      </c>
      <c r="K797" s="37"/>
      <c r="L797" s="37"/>
      <c r="N797" s="1393" t="s">
        <v>1317</v>
      </c>
      <c r="O797" s="149" t="s">
        <v>1337</v>
      </c>
      <c r="P797" s="76">
        <v>12</v>
      </c>
      <c r="Q797" s="786"/>
    </row>
    <row r="798" spans="1:17" x14ac:dyDescent="0.2">
      <c r="A798" s="40">
        <v>5</v>
      </c>
      <c r="B798" s="44"/>
      <c r="C798" s="44"/>
      <c r="D798" s="48"/>
      <c r="E798" s="40"/>
      <c r="F798" s="40" t="s">
        <v>1338</v>
      </c>
      <c r="G798" s="121" t="s">
        <v>608</v>
      </c>
      <c r="H798" s="123">
        <f>SUM(H796:H797)</f>
        <v>945</v>
      </c>
      <c r="I798" s="123">
        <f>SUM(I796:I797)</f>
        <v>1046.0999999999999</v>
      </c>
      <c r="J798" s="123">
        <f t="shared" ref="J798:L798" si="153">SUM(J796:J797)</f>
        <v>1438.9</v>
      </c>
      <c r="K798" s="123">
        <f t="shared" si="153"/>
        <v>1436</v>
      </c>
      <c r="L798" s="123">
        <f t="shared" si="153"/>
        <v>1436</v>
      </c>
      <c r="N798" s="340"/>
      <c r="O798" s="149"/>
      <c r="P798" s="76"/>
      <c r="Q798" s="786"/>
    </row>
    <row r="799" spans="1:17" x14ac:dyDescent="0.2">
      <c r="A799" s="40">
        <v>5</v>
      </c>
      <c r="B799" s="44"/>
      <c r="C799" s="44" t="s">
        <v>1339</v>
      </c>
      <c r="D799" s="48" t="s">
        <v>1340</v>
      </c>
      <c r="E799" s="40">
        <v>7</v>
      </c>
      <c r="F799" s="40" t="s">
        <v>1341</v>
      </c>
      <c r="G799" s="40" t="s">
        <v>740</v>
      </c>
      <c r="H799" s="37">
        <f>65+60+50+50</f>
        <v>225</v>
      </c>
      <c r="I799" s="16">
        <v>16.600000000000001</v>
      </c>
      <c r="J799" s="116">
        <v>0</v>
      </c>
      <c r="K799" s="37">
        <v>0</v>
      </c>
      <c r="L799" s="37">
        <v>0</v>
      </c>
      <c r="N799" s="1393" t="s">
        <v>1317</v>
      </c>
      <c r="O799" s="149" t="s">
        <v>1343</v>
      </c>
      <c r="P799" s="76">
        <v>100</v>
      </c>
      <c r="Q799" s="786"/>
    </row>
    <row r="800" spans="1:17" x14ac:dyDescent="0.2">
      <c r="A800" s="40">
        <v>5</v>
      </c>
      <c r="B800" s="44"/>
      <c r="C800" s="44"/>
      <c r="D800" s="48"/>
      <c r="E800" s="40"/>
      <c r="F800" s="40" t="s">
        <v>1341</v>
      </c>
      <c r="G800" s="121" t="s">
        <v>608</v>
      </c>
      <c r="H800" s="123">
        <f>SUM(H799)</f>
        <v>225</v>
      </c>
      <c r="I800" s="123">
        <f>SUM(I799)</f>
        <v>16.600000000000001</v>
      </c>
      <c r="J800" s="123">
        <f t="shared" ref="J800:L800" si="154">SUM(J799)</f>
        <v>0</v>
      </c>
      <c r="K800" s="123">
        <f t="shared" si="154"/>
        <v>0</v>
      </c>
      <c r="L800" s="123">
        <f t="shared" si="154"/>
        <v>0</v>
      </c>
      <c r="N800" s="340"/>
      <c r="O800" s="149"/>
      <c r="P800" s="76"/>
      <c r="Q800" s="786"/>
    </row>
    <row r="801" spans="1:17" ht="45" x14ac:dyDescent="0.2">
      <c r="A801" s="40">
        <v>5</v>
      </c>
      <c r="B801" s="44"/>
      <c r="C801" s="44" t="s">
        <v>1344</v>
      </c>
      <c r="D801" s="48" t="s">
        <v>1345</v>
      </c>
      <c r="E801" s="40">
        <v>7</v>
      </c>
      <c r="F801" s="40" t="s">
        <v>1346</v>
      </c>
      <c r="G801" s="40" t="s">
        <v>740</v>
      </c>
      <c r="H801" s="123"/>
      <c r="I801" s="16">
        <f>6.7+1.4+0.7+3</f>
        <v>11.799999999999999</v>
      </c>
      <c r="J801" s="116">
        <f>2.4</f>
        <v>2.4</v>
      </c>
      <c r="K801" s="37"/>
      <c r="L801" s="37"/>
      <c r="N801" s="149" t="s">
        <v>1342</v>
      </c>
      <c r="O801" s="787" t="s">
        <v>1336</v>
      </c>
      <c r="P801" s="76">
        <v>40</v>
      </c>
      <c r="Q801" s="786"/>
    </row>
    <row r="802" spans="1:17" x14ac:dyDescent="0.2">
      <c r="A802" s="40">
        <v>5</v>
      </c>
      <c r="B802" s="44"/>
      <c r="C802" s="44"/>
      <c r="D802" s="48"/>
      <c r="E802" s="40">
        <v>7</v>
      </c>
      <c r="F802" s="40" t="s">
        <v>1346</v>
      </c>
      <c r="G802" s="121" t="s">
        <v>608</v>
      </c>
      <c r="H802" s="123"/>
      <c r="I802" s="123">
        <f>SUM(I801)</f>
        <v>11.799999999999999</v>
      </c>
      <c r="J802" s="123">
        <f t="shared" ref="J802:L802" si="155">SUM(J801)</f>
        <v>2.4</v>
      </c>
      <c r="K802" s="123">
        <f t="shared" si="155"/>
        <v>0</v>
      </c>
      <c r="L802" s="123">
        <f t="shared" si="155"/>
        <v>0</v>
      </c>
      <c r="N802" s="340"/>
      <c r="O802" s="149"/>
      <c r="P802" s="76"/>
      <c r="Q802" s="786"/>
    </row>
    <row r="803" spans="1:17" ht="22.5" x14ac:dyDescent="0.2">
      <c r="A803" s="40">
        <v>5</v>
      </c>
      <c r="B803" s="395" t="s">
        <v>1347</v>
      </c>
      <c r="C803" s="395" t="s">
        <v>1347</v>
      </c>
      <c r="D803" s="396" t="s">
        <v>236</v>
      </c>
      <c r="E803" s="397"/>
      <c r="F803" s="40"/>
      <c r="G803" s="53"/>
      <c r="H803" s="37"/>
      <c r="I803" s="144">
        <f>SUM(I805,I808,I810,I813)</f>
        <v>89.40000000000002</v>
      </c>
      <c r="J803" s="144">
        <f t="shared" ref="J803:L803" si="156">SUM(J805,J808,J810,J813)</f>
        <v>246.8</v>
      </c>
      <c r="K803" s="144">
        <f t="shared" si="156"/>
        <v>162.69999999999999</v>
      </c>
      <c r="L803" s="144">
        <f t="shared" si="156"/>
        <v>162.69999999999999</v>
      </c>
      <c r="N803" s="340"/>
      <c r="O803" s="149"/>
      <c r="P803" s="76"/>
      <c r="Q803" s="786"/>
    </row>
    <row r="804" spans="1:17" ht="33.75" x14ac:dyDescent="0.2">
      <c r="A804" s="40">
        <v>5</v>
      </c>
      <c r="B804" s="44"/>
      <c r="C804" s="44" t="s">
        <v>1348</v>
      </c>
      <c r="D804" s="48" t="s">
        <v>237</v>
      </c>
      <c r="E804" s="40">
        <v>7</v>
      </c>
      <c r="F804" s="40" t="s">
        <v>238</v>
      </c>
      <c r="G804" s="40" t="s">
        <v>9</v>
      </c>
      <c r="H804" s="37"/>
      <c r="I804" s="16">
        <v>3</v>
      </c>
      <c r="J804" s="116">
        <v>12</v>
      </c>
      <c r="K804" s="37">
        <v>12</v>
      </c>
      <c r="L804" s="37">
        <v>12</v>
      </c>
      <c r="M804" s="168" t="s">
        <v>782</v>
      </c>
      <c r="N804" s="340" t="s">
        <v>1349</v>
      </c>
      <c r="O804" s="407" t="s">
        <v>1336</v>
      </c>
      <c r="P804" s="76">
        <v>2500</v>
      </c>
      <c r="Q804" s="786"/>
    </row>
    <row r="805" spans="1:17" x14ac:dyDescent="0.2">
      <c r="A805" s="40">
        <v>5</v>
      </c>
      <c r="B805" s="44"/>
      <c r="C805" s="44"/>
      <c r="D805" s="48"/>
      <c r="E805" s="40"/>
      <c r="F805" s="40" t="s">
        <v>238</v>
      </c>
      <c r="G805" s="121" t="s">
        <v>608</v>
      </c>
      <c r="H805" s="123">
        <f>SUM(H804)</f>
        <v>0</v>
      </c>
      <c r="I805" s="123">
        <f>SUM(I804)</f>
        <v>3</v>
      </c>
      <c r="J805" s="123">
        <f t="shared" ref="J805:L805" si="157">SUM(J804)</f>
        <v>12</v>
      </c>
      <c r="K805" s="123">
        <f t="shared" si="157"/>
        <v>12</v>
      </c>
      <c r="L805" s="123">
        <f t="shared" si="157"/>
        <v>12</v>
      </c>
      <c r="N805" s="340"/>
      <c r="O805" s="398"/>
      <c r="P805" s="76"/>
      <c r="Q805" s="786"/>
    </row>
    <row r="806" spans="1:17" x14ac:dyDescent="0.2">
      <c r="A806" s="40">
        <v>5</v>
      </c>
      <c r="B806" s="44"/>
      <c r="C806" s="44" t="s">
        <v>1350</v>
      </c>
      <c r="D806" s="48" t="s">
        <v>239</v>
      </c>
      <c r="E806" s="40">
        <v>7</v>
      </c>
      <c r="F806" s="40" t="s">
        <v>240</v>
      </c>
      <c r="G806" s="40" t="s">
        <v>9</v>
      </c>
      <c r="H806" s="37">
        <v>32</v>
      </c>
      <c r="I806" s="16">
        <v>35.200000000000003</v>
      </c>
      <c r="J806" s="116">
        <f>40+12</f>
        <v>52</v>
      </c>
      <c r="K806" s="37">
        <v>32</v>
      </c>
      <c r="L806" s="37">
        <v>32</v>
      </c>
      <c r="M806" s="38" t="s">
        <v>796</v>
      </c>
      <c r="N806" s="340" t="s">
        <v>2343</v>
      </c>
      <c r="O806" s="300" t="s">
        <v>1352</v>
      </c>
      <c r="P806" s="76">
        <v>37</v>
      </c>
      <c r="Q806" s="786"/>
    </row>
    <row r="807" spans="1:17" ht="22.5" x14ac:dyDescent="0.2">
      <c r="A807" s="40">
        <v>5</v>
      </c>
      <c r="B807" s="44"/>
      <c r="C807" s="44"/>
      <c r="D807" s="48"/>
      <c r="E807" s="40">
        <v>7</v>
      </c>
      <c r="F807" s="40" t="s">
        <v>240</v>
      </c>
      <c r="G807" s="40" t="s">
        <v>11</v>
      </c>
      <c r="H807" s="37">
        <f>40+25.5-25.5</f>
        <v>40</v>
      </c>
      <c r="I807" s="16">
        <v>41.6</v>
      </c>
      <c r="J807" s="116">
        <f>40+79.1</f>
        <v>119.1</v>
      </c>
      <c r="K807" s="37">
        <v>40</v>
      </c>
      <c r="L807" s="37">
        <v>40</v>
      </c>
      <c r="N807" s="340" t="s">
        <v>2343</v>
      </c>
      <c r="O807" s="300" t="s">
        <v>1353</v>
      </c>
      <c r="P807" s="76">
        <v>37</v>
      </c>
      <c r="Q807" s="786"/>
    </row>
    <row r="808" spans="1:17" x14ac:dyDescent="0.2">
      <c r="A808" s="40">
        <v>5</v>
      </c>
      <c r="B808" s="44"/>
      <c r="C808" s="44"/>
      <c r="D808" s="48"/>
      <c r="E808" s="40"/>
      <c r="F808" s="40" t="s">
        <v>240</v>
      </c>
      <c r="G808" s="121" t="s">
        <v>608</v>
      </c>
      <c r="H808" s="123">
        <f>SUM(H806:H807)</f>
        <v>72</v>
      </c>
      <c r="I808" s="123">
        <f>SUM(I806:I807)</f>
        <v>76.800000000000011</v>
      </c>
      <c r="J808" s="123">
        <f t="shared" ref="J808:L808" si="158">SUM(J806:J807)</f>
        <v>171.1</v>
      </c>
      <c r="K808" s="123">
        <f t="shared" si="158"/>
        <v>72</v>
      </c>
      <c r="L808" s="123">
        <f t="shared" si="158"/>
        <v>72</v>
      </c>
      <c r="N808" s="340"/>
      <c r="O808" s="149"/>
      <c r="P808" s="76"/>
      <c r="Q808" s="786"/>
    </row>
    <row r="809" spans="1:17" ht="22.5" x14ac:dyDescent="0.2">
      <c r="A809" s="40">
        <v>5</v>
      </c>
      <c r="B809" s="44"/>
      <c r="C809" s="44" t="s">
        <v>1354</v>
      </c>
      <c r="D809" s="48" t="s">
        <v>241</v>
      </c>
      <c r="E809" s="40">
        <v>7</v>
      </c>
      <c r="F809" s="40" t="s">
        <v>242</v>
      </c>
      <c r="G809" s="40" t="s">
        <v>11</v>
      </c>
      <c r="H809" s="37">
        <v>4.9000000000000004</v>
      </c>
      <c r="I809" s="16">
        <v>4.9000000000000004</v>
      </c>
      <c r="J809" s="116">
        <v>3.4</v>
      </c>
      <c r="K809" s="37">
        <v>3.4</v>
      </c>
      <c r="L809" s="37">
        <v>3.4</v>
      </c>
      <c r="N809" s="340" t="s">
        <v>1355</v>
      </c>
      <c r="O809" s="300" t="s">
        <v>1356</v>
      </c>
      <c r="P809" s="76">
        <v>100</v>
      </c>
      <c r="Q809" s="786"/>
    </row>
    <row r="810" spans="1:17" x14ac:dyDescent="0.2">
      <c r="A810" s="40">
        <v>5</v>
      </c>
      <c r="B810" s="44"/>
      <c r="C810" s="44"/>
      <c r="D810" s="48"/>
      <c r="E810" s="40"/>
      <c r="F810" s="40" t="s">
        <v>242</v>
      </c>
      <c r="G810" s="121" t="s">
        <v>608</v>
      </c>
      <c r="H810" s="123">
        <f>SUM(H809)</f>
        <v>4.9000000000000004</v>
      </c>
      <c r="I810" s="123">
        <f>SUM(I809)</f>
        <v>4.9000000000000004</v>
      </c>
      <c r="J810" s="123">
        <f t="shared" ref="J810:L810" si="159">SUM(J809)</f>
        <v>3.4</v>
      </c>
      <c r="K810" s="123">
        <f t="shared" si="159"/>
        <v>3.4</v>
      </c>
      <c r="L810" s="123">
        <f t="shared" si="159"/>
        <v>3.4</v>
      </c>
      <c r="N810" s="399"/>
      <c r="O810" s="400"/>
      <c r="P810" s="711"/>
      <c r="Q810" s="786"/>
    </row>
    <row r="811" spans="1:17" x14ac:dyDescent="0.2">
      <c r="A811" s="40">
        <v>5</v>
      </c>
      <c r="B811" s="44"/>
      <c r="C811" s="44" t="s">
        <v>1357</v>
      </c>
      <c r="D811" s="48" t="s">
        <v>1358</v>
      </c>
      <c r="E811" s="40">
        <v>7</v>
      </c>
      <c r="F811" s="40" t="s">
        <v>1359</v>
      </c>
      <c r="G811" s="40" t="s">
        <v>11</v>
      </c>
      <c r="H811" s="37"/>
      <c r="I811" s="16">
        <v>4.7</v>
      </c>
      <c r="J811" s="116">
        <v>55.3</v>
      </c>
      <c r="K811" s="37">
        <v>55.3</v>
      </c>
      <c r="L811" s="37">
        <v>55.3</v>
      </c>
      <c r="N811" s="340" t="s">
        <v>1351</v>
      </c>
      <c r="O811" s="407" t="s">
        <v>1336</v>
      </c>
      <c r="P811" s="711">
        <v>52</v>
      </c>
      <c r="Q811" s="786"/>
    </row>
    <row r="812" spans="1:17" x14ac:dyDescent="0.2">
      <c r="A812" s="40">
        <v>5</v>
      </c>
      <c r="B812" s="44"/>
      <c r="C812" s="44"/>
      <c r="D812" s="48"/>
      <c r="E812" s="40">
        <v>7</v>
      </c>
      <c r="F812" s="40" t="s">
        <v>1359</v>
      </c>
      <c r="G812" s="40" t="s">
        <v>9</v>
      </c>
      <c r="H812" s="37"/>
      <c r="I812" s="16"/>
      <c r="J812" s="116">
        <f>20-15</f>
        <v>5</v>
      </c>
      <c r="K812" s="37">
        <f>20</f>
        <v>20</v>
      </c>
      <c r="L812" s="37">
        <f>20</f>
        <v>20</v>
      </c>
      <c r="N812" s="340"/>
      <c r="O812" s="407"/>
      <c r="P812" s="711"/>
      <c r="Q812" s="786"/>
    </row>
    <row r="813" spans="1:17" x14ac:dyDescent="0.2">
      <c r="A813" s="40">
        <v>5</v>
      </c>
      <c r="B813" s="44"/>
      <c r="C813" s="44"/>
      <c r="D813" s="48"/>
      <c r="E813" s="40">
        <v>7</v>
      </c>
      <c r="F813" s="40" t="s">
        <v>1359</v>
      </c>
      <c r="G813" s="121" t="s">
        <v>608</v>
      </c>
      <c r="H813" s="123"/>
      <c r="I813" s="123">
        <f>SUM(I811:I812)</f>
        <v>4.7</v>
      </c>
      <c r="J813" s="123">
        <f t="shared" ref="J813:L813" si="160">SUM(J811:J812)</f>
        <v>60.3</v>
      </c>
      <c r="K813" s="123">
        <f t="shared" si="160"/>
        <v>75.3</v>
      </c>
      <c r="L813" s="123">
        <f t="shared" si="160"/>
        <v>75.3</v>
      </c>
      <c r="N813" s="399"/>
      <c r="O813" s="400"/>
      <c r="P813" s="711"/>
      <c r="Q813" s="786"/>
    </row>
    <row r="814" spans="1:17" ht="22.5" x14ac:dyDescent="0.2">
      <c r="A814" s="40">
        <v>5</v>
      </c>
      <c r="B814" s="394"/>
      <c r="C814" s="394"/>
      <c r="D814" s="108" t="s">
        <v>1360</v>
      </c>
      <c r="E814" s="109"/>
      <c r="F814" s="110"/>
      <c r="G814" s="109"/>
      <c r="H814" s="109"/>
      <c r="I814" s="109"/>
      <c r="J814" s="109"/>
      <c r="K814" s="109"/>
      <c r="L814" s="109"/>
      <c r="N814" s="399"/>
      <c r="O814" s="400"/>
      <c r="P814" s="711"/>
      <c r="Q814" s="786"/>
    </row>
    <row r="815" spans="1:17" ht="22.5" x14ac:dyDescent="0.2">
      <c r="A815" s="40">
        <v>5</v>
      </c>
      <c r="B815" s="395" t="s">
        <v>1361</v>
      </c>
      <c r="C815" s="395" t="s">
        <v>1361</v>
      </c>
      <c r="D815" s="396" t="s">
        <v>243</v>
      </c>
      <c r="E815" s="397"/>
      <c r="F815" s="40"/>
      <c r="G815" s="53"/>
      <c r="H815" s="37"/>
      <c r="I815" s="144">
        <f>SUM(I823,I829,I838,I843,I847,I850,I852,I859,I862,I866,I870)</f>
        <v>9049.1999999999971</v>
      </c>
      <c r="J815" s="144">
        <f t="shared" ref="J815:L815" si="161">SUM(J823,J829,J838,J843,J847,J850,J852,J859,J862,J866,J870)</f>
        <v>9763.8000000000011</v>
      </c>
      <c r="K815" s="144">
        <f t="shared" si="161"/>
        <v>9883</v>
      </c>
      <c r="L815" s="144">
        <f t="shared" si="161"/>
        <v>9961.8000000000011</v>
      </c>
      <c r="N815" s="399"/>
      <c r="O815" s="400"/>
      <c r="P815" s="711"/>
      <c r="Q815" s="786"/>
    </row>
    <row r="816" spans="1:17" ht="33.75" x14ac:dyDescent="0.2">
      <c r="A816" s="40">
        <v>5</v>
      </c>
      <c r="B816" s="44"/>
      <c r="C816" s="44" t="s">
        <v>1362</v>
      </c>
      <c r="D816" s="288" t="s">
        <v>1363</v>
      </c>
      <c r="E816" s="401" t="s">
        <v>403</v>
      </c>
      <c r="F816" s="40" t="s">
        <v>244</v>
      </c>
      <c r="G816" s="40" t="s">
        <v>9</v>
      </c>
      <c r="H816" s="37">
        <f>748.9-2-53.2-2</f>
        <v>691.69999999999993</v>
      </c>
      <c r="I816" s="16">
        <v>736.8</v>
      </c>
      <c r="J816" s="116">
        <f>854.4-61.3</f>
        <v>793.1</v>
      </c>
      <c r="K816" s="37">
        <v>890.9</v>
      </c>
      <c r="L816" s="37">
        <v>905.5</v>
      </c>
      <c r="M816" s="38" t="s">
        <v>739</v>
      </c>
      <c r="N816" s="399" t="s">
        <v>1364</v>
      </c>
      <c r="O816" s="400"/>
      <c r="P816" s="711"/>
      <c r="Q816" s="786"/>
    </row>
    <row r="817" spans="1:17" x14ac:dyDescent="0.2">
      <c r="A817" s="40">
        <v>5</v>
      </c>
      <c r="B817" s="44"/>
      <c r="C817" s="44"/>
      <c r="D817" s="48"/>
      <c r="E817" s="401" t="s">
        <v>403</v>
      </c>
      <c r="F817" s="40" t="s">
        <v>244</v>
      </c>
      <c r="G817" s="40" t="s">
        <v>99</v>
      </c>
      <c r="H817" s="37"/>
      <c r="I817" s="16"/>
      <c r="J817" s="116"/>
      <c r="K817" s="37"/>
      <c r="L817" s="37"/>
      <c r="N817" s="399"/>
      <c r="O817" s="400"/>
      <c r="P817" s="711"/>
      <c r="Q817" s="786"/>
    </row>
    <row r="818" spans="1:17" x14ac:dyDescent="0.2">
      <c r="A818" s="40">
        <v>5</v>
      </c>
      <c r="B818" s="44"/>
      <c r="C818" s="44"/>
      <c r="D818" s="48"/>
      <c r="E818" s="401" t="s">
        <v>403</v>
      </c>
      <c r="F818" s="40" t="s">
        <v>244</v>
      </c>
      <c r="G818" s="40" t="s">
        <v>11</v>
      </c>
      <c r="H818" s="37">
        <v>15.8</v>
      </c>
      <c r="I818" s="16">
        <f>62.5-62.5</f>
        <v>0</v>
      </c>
      <c r="J818" s="116"/>
      <c r="K818" s="37"/>
      <c r="L818" s="37"/>
      <c r="N818" s="399"/>
      <c r="O818" s="400"/>
      <c r="P818" s="711"/>
      <c r="Q818" s="786"/>
    </row>
    <row r="819" spans="1:17" ht="22.5" x14ac:dyDescent="0.2">
      <c r="A819" s="40">
        <v>5</v>
      </c>
      <c r="B819" s="44"/>
      <c r="C819" s="44"/>
      <c r="D819" s="48"/>
      <c r="E819" s="401" t="s">
        <v>403</v>
      </c>
      <c r="F819" s="40" t="s">
        <v>244</v>
      </c>
      <c r="G819" s="40" t="s">
        <v>611</v>
      </c>
      <c r="H819" s="37">
        <v>58.6</v>
      </c>
      <c r="I819" s="16"/>
      <c r="J819" s="116"/>
      <c r="K819" s="37"/>
      <c r="L819" s="37"/>
      <c r="N819" s="399"/>
      <c r="O819" s="400"/>
      <c r="P819" s="711"/>
      <c r="Q819" s="786"/>
    </row>
    <row r="820" spans="1:17" x14ac:dyDescent="0.2">
      <c r="A820" s="40">
        <v>5</v>
      </c>
      <c r="B820" s="44"/>
      <c r="C820" s="44"/>
      <c r="D820" s="48"/>
      <c r="E820" s="401" t="s">
        <v>403</v>
      </c>
      <c r="F820" s="40" t="s">
        <v>244</v>
      </c>
      <c r="G820" s="40" t="s">
        <v>12</v>
      </c>
      <c r="H820" s="37">
        <v>46.4</v>
      </c>
      <c r="I820" s="16">
        <v>34.700000000000003</v>
      </c>
      <c r="J820" s="116">
        <v>42.4</v>
      </c>
      <c r="K820" s="37">
        <v>42.4</v>
      </c>
      <c r="L820" s="37">
        <v>42.4</v>
      </c>
      <c r="N820" s="399"/>
      <c r="O820" s="400"/>
      <c r="P820" s="711"/>
      <c r="Q820" s="786"/>
    </row>
    <row r="821" spans="1:17" x14ac:dyDescent="0.2">
      <c r="A821" s="40">
        <v>5</v>
      </c>
      <c r="B821" s="44"/>
      <c r="C821" s="44"/>
      <c r="D821" s="48"/>
      <c r="E821" s="401" t="s">
        <v>403</v>
      </c>
      <c r="F821" s="40" t="s">
        <v>244</v>
      </c>
      <c r="G821" s="40" t="s">
        <v>740</v>
      </c>
      <c r="H821" s="37">
        <f>2+2</f>
        <v>4</v>
      </c>
      <c r="I821" s="16"/>
      <c r="J821" s="116"/>
      <c r="K821" s="37"/>
      <c r="L821" s="37"/>
      <c r="N821" s="399"/>
      <c r="O821" s="400"/>
      <c r="P821" s="711"/>
      <c r="Q821" s="786"/>
    </row>
    <row r="822" spans="1:17" x14ac:dyDescent="0.2">
      <c r="A822" s="40">
        <v>5</v>
      </c>
      <c r="B822" s="44"/>
      <c r="C822" s="44"/>
      <c r="D822" s="48"/>
      <c r="E822" s="401" t="s">
        <v>403</v>
      </c>
      <c r="F822" s="40" t="s">
        <v>244</v>
      </c>
      <c r="G822" s="40" t="s">
        <v>1151</v>
      </c>
      <c r="H822" s="37">
        <v>52.6</v>
      </c>
      <c r="I822" s="16">
        <v>64.900000000000006</v>
      </c>
      <c r="J822" s="116">
        <v>64.900000000000006</v>
      </c>
      <c r="K822" s="37">
        <v>64.900000000000006</v>
      </c>
      <c r="L822" s="37">
        <v>64.900000000000006</v>
      </c>
      <c r="N822" s="399"/>
      <c r="O822" s="400"/>
      <c r="P822" s="711"/>
      <c r="Q822" s="786"/>
    </row>
    <row r="823" spans="1:17" x14ac:dyDescent="0.2">
      <c r="A823" s="40">
        <v>5</v>
      </c>
      <c r="B823" s="44"/>
      <c r="C823" s="44"/>
      <c r="D823" s="48"/>
      <c r="E823" s="401"/>
      <c r="F823" s="40" t="s">
        <v>244</v>
      </c>
      <c r="G823" s="121" t="s">
        <v>608</v>
      </c>
      <c r="H823" s="123">
        <f>SUM(H816:H822)</f>
        <v>869.09999999999991</v>
      </c>
      <c r="I823" s="123">
        <f>SUM(I816:I822)</f>
        <v>836.4</v>
      </c>
      <c r="J823" s="123">
        <f t="shared" ref="J823:L823" si="162">SUM(J816:J822)</f>
        <v>900.4</v>
      </c>
      <c r="K823" s="123">
        <f t="shared" si="162"/>
        <v>998.19999999999993</v>
      </c>
      <c r="L823" s="123">
        <f t="shared" si="162"/>
        <v>1012.8</v>
      </c>
      <c r="N823" s="399"/>
      <c r="O823" s="400"/>
      <c r="P823" s="711"/>
      <c r="Q823" s="786"/>
    </row>
    <row r="824" spans="1:17" ht="33.75" x14ac:dyDescent="0.2">
      <c r="A824" s="40">
        <v>5</v>
      </c>
      <c r="B824" s="44"/>
      <c r="C824" s="44" t="s">
        <v>1365</v>
      </c>
      <c r="D824" s="288" t="s">
        <v>1366</v>
      </c>
      <c r="E824" s="402" t="s">
        <v>406</v>
      </c>
      <c r="F824" s="40" t="s">
        <v>245</v>
      </c>
      <c r="G824" s="40" t="s">
        <v>9</v>
      </c>
      <c r="H824" s="37">
        <v>927.1</v>
      </c>
      <c r="I824" s="16">
        <v>962.1</v>
      </c>
      <c r="J824" s="116">
        <f>1346.3-42.4</f>
        <v>1303.8999999999999</v>
      </c>
      <c r="K824" s="37">
        <v>1391.9</v>
      </c>
      <c r="L824" s="37">
        <v>1413.7</v>
      </c>
      <c r="M824" s="38" t="s">
        <v>739</v>
      </c>
      <c r="N824" s="399" t="s">
        <v>1367</v>
      </c>
      <c r="O824" s="400"/>
      <c r="P824" s="711"/>
      <c r="Q824" s="786"/>
    </row>
    <row r="825" spans="1:17" x14ac:dyDescent="0.2">
      <c r="A825" s="40">
        <v>5</v>
      </c>
      <c r="B825" s="44"/>
      <c r="C825" s="44"/>
      <c r="D825" s="48"/>
      <c r="E825" s="402" t="s">
        <v>406</v>
      </c>
      <c r="F825" s="40" t="s">
        <v>245</v>
      </c>
      <c r="G825" s="40" t="s">
        <v>99</v>
      </c>
      <c r="H825" s="37"/>
      <c r="I825" s="16"/>
      <c r="J825" s="116"/>
      <c r="K825" s="37"/>
      <c r="L825" s="37"/>
      <c r="N825" s="399"/>
      <c r="O825" s="400"/>
      <c r="P825" s="711"/>
      <c r="Q825" s="786"/>
    </row>
    <row r="826" spans="1:17" x14ac:dyDescent="0.2">
      <c r="A826" s="40">
        <v>5</v>
      </c>
      <c r="B826" s="44"/>
      <c r="C826" s="44"/>
      <c r="D826" s="48"/>
      <c r="E826" s="402" t="s">
        <v>406</v>
      </c>
      <c r="F826" s="40" t="s">
        <v>245</v>
      </c>
      <c r="G826" s="40" t="s">
        <v>11</v>
      </c>
      <c r="H826" s="37">
        <v>14.1</v>
      </c>
      <c r="I826" s="16">
        <f>31.9-31.9</f>
        <v>0</v>
      </c>
      <c r="J826" s="116"/>
      <c r="K826" s="37"/>
      <c r="L826" s="37"/>
      <c r="N826" s="399"/>
      <c r="O826" s="400"/>
      <c r="P826" s="711"/>
      <c r="Q826" s="786"/>
    </row>
    <row r="827" spans="1:17" ht="22.5" x14ac:dyDescent="0.2">
      <c r="A827" s="40">
        <v>5</v>
      </c>
      <c r="B827" s="44"/>
      <c r="C827" s="44"/>
      <c r="D827" s="48"/>
      <c r="E827" s="402" t="s">
        <v>406</v>
      </c>
      <c r="F827" s="40" t="s">
        <v>245</v>
      </c>
      <c r="G827" s="40" t="s">
        <v>611</v>
      </c>
      <c r="H827" s="37">
        <v>27.1</v>
      </c>
      <c r="I827" s="16"/>
      <c r="J827" s="116"/>
      <c r="K827" s="37"/>
      <c r="L827" s="37"/>
      <c r="N827" s="399"/>
      <c r="O827" s="400"/>
      <c r="P827" s="711"/>
      <c r="Q827" s="786"/>
    </row>
    <row r="828" spans="1:17" x14ac:dyDescent="0.2">
      <c r="A828" s="40">
        <v>5</v>
      </c>
      <c r="B828" s="44"/>
      <c r="C828" s="44"/>
      <c r="D828" s="48"/>
      <c r="E828" s="402" t="s">
        <v>406</v>
      </c>
      <c r="F828" s="40" t="s">
        <v>245</v>
      </c>
      <c r="G828" s="40" t="s">
        <v>12</v>
      </c>
      <c r="H828" s="37">
        <f>34+15</f>
        <v>49</v>
      </c>
      <c r="I828" s="16">
        <v>49.1</v>
      </c>
      <c r="J828" s="116">
        <v>60</v>
      </c>
      <c r="K828" s="37">
        <v>60</v>
      </c>
      <c r="L828" s="37">
        <v>60</v>
      </c>
      <c r="N828" s="399"/>
      <c r="O828" s="400"/>
      <c r="P828" s="711"/>
      <c r="Q828" s="786"/>
    </row>
    <row r="829" spans="1:17" x14ac:dyDescent="0.2">
      <c r="A829" s="40">
        <v>5</v>
      </c>
      <c r="B829" s="44"/>
      <c r="C829" s="44"/>
      <c r="D829" s="48"/>
      <c r="E829" s="402"/>
      <c r="F829" s="40" t="s">
        <v>245</v>
      </c>
      <c r="G829" s="121" t="s">
        <v>608</v>
      </c>
      <c r="H829" s="123">
        <f>SUM(H824:H828)</f>
        <v>1017.3000000000001</v>
      </c>
      <c r="I829" s="123">
        <f>SUM(I824:I828)</f>
        <v>1011.2</v>
      </c>
      <c r="J829" s="123">
        <f t="shared" ref="J829:L829" si="163">SUM(J824:J828)</f>
        <v>1363.8999999999999</v>
      </c>
      <c r="K829" s="123">
        <f t="shared" si="163"/>
        <v>1451.9</v>
      </c>
      <c r="L829" s="123">
        <f t="shared" si="163"/>
        <v>1473.7</v>
      </c>
      <c r="N829" s="399"/>
      <c r="O829" s="400"/>
      <c r="P829" s="711"/>
      <c r="Q829" s="786"/>
    </row>
    <row r="830" spans="1:17" ht="33.75" x14ac:dyDescent="0.2">
      <c r="A830" s="40">
        <v>5</v>
      </c>
      <c r="B830" s="44"/>
      <c r="C830" s="44" t="s">
        <v>1368</v>
      </c>
      <c r="D830" s="288" t="s">
        <v>1369</v>
      </c>
      <c r="E830" s="402" t="s">
        <v>400</v>
      </c>
      <c r="F830" s="40" t="s">
        <v>246</v>
      </c>
      <c r="G830" s="40" t="s">
        <v>9</v>
      </c>
      <c r="H830" s="37">
        <f>800-55.4</f>
        <v>744.6</v>
      </c>
      <c r="I830" s="16">
        <v>827.5</v>
      </c>
      <c r="J830" s="116">
        <f>927.1-40.3</f>
        <v>886.80000000000007</v>
      </c>
      <c r="K830" s="37">
        <v>970</v>
      </c>
      <c r="L830" s="37">
        <v>987.2</v>
      </c>
      <c r="M830" s="38" t="s">
        <v>739</v>
      </c>
      <c r="N830" s="399" t="s">
        <v>1370</v>
      </c>
      <c r="O830" s="400"/>
      <c r="P830" s="711"/>
      <c r="Q830" s="786"/>
    </row>
    <row r="831" spans="1:17" x14ac:dyDescent="0.2">
      <c r="A831" s="40">
        <v>5</v>
      </c>
      <c r="B831" s="44"/>
      <c r="C831" s="44"/>
      <c r="D831" s="48"/>
      <c r="E831" s="402" t="s">
        <v>400</v>
      </c>
      <c r="F831" s="40" t="s">
        <v>246</v>
      </c>
      <c r="G831" s="40" t="s">
        <v>11</v>
      </c>
      <c r="H831" s="37">
        <v>37</v>
      </c>
      <c r="I831" s="16">
        <v>62</v>
      </c>
      <c r="J831" s="116">
        <v>66.8</v>
      </c>
      <c r="K831" s="37">
        <v>66.8</v>
      </c>
      <c r="L831" s="37">
        <v>66.8</v>
      </c>
      <c r="N831" s="399"/>
      <c r="O831" s="400"/>
      <c r="P831" s="711"/>
      <c r="Q831" s="786"/>
    </row>
    <row r="832" spans="1:17" x14ac:dyDescent="0.2">
      <c r="A832" s="40">
        <v>5</v>
      </c>
      <c r="B832" s="44"/>
      <c r="C832" s="44"/>
      <c r="D832" s="48"/>
      <c r="E832" s="402" t="s">
        <v>400</v>
      </c>
      <c r="F832" s="40" t="s">
        <v>246</v>
      </c>
      <c r="G832" s="40" t="s">
        <v>11</v>
      </c>
      <c r="H832" s="37"/>
      <c r="I832" s="16">
        <v>37.5</v>
      </c>
      <c r="J832" s="116">
        <v>31.2</v>
      </c>
      <c r="K832" s="37">
        <v>37.5</v>
      </c>
      <c r="L832" s="37">
        <v>37.5</v>
      </c>
      <c r="N832" s="399"/>
      <c r="O832" s="400"/>
      <c r="P832" s="711"/>
      <c r="Q832" s="786"/>
    </row>
    <row r="833" spans="1:17" x14ac:dyDescent="0.2">
      <c r="A833" s="40">
        <v>5</v>
      </c>
      <c r="B833" s="44"/>
      <c r="C833" s="44"/>
      <c r="D833" s="48"/>
      <c r="E833" s="402" t="s">
        <v>400</v>
      </c>
      <c r="F833" s="40" t="s">
        <v>246</v>
      </c>
      <c r="G833" s="40" t="s">
        <v>12</v>
      </c>
      <c r="H833" s="37">
        <v>75.3</v>
      </c>
      <c r="I833" s="16">
        <v>74.7</v>
      </c>
      <c r="J833" s="116">
        <v>82.6</v>
      </c>
      <c r="K833" s="37">
        <v>81.599999999999994</v>
      </c>
      <c r="L833" s="37">
        <v>81.599999999999994</v>
      </c>
      <c r="N833" s="399"/>
      <c r="O833" s="400"/>
      <c r="P833" s="711"/>
      <c r="Q833" s="786"/>
    </row>
    <row r="834" spans="1:17" x14ac:dyDescent="0.2">
      <c r="A834" s="40">
        <v>5</v>
      </c>
      <c r="B834" s="44"/>
      <c r="C834" s="44"/>
      <c r="D834" s="48"/>
      <c r="E834" s="402" t="s">
        <v>400</v>
      </c>
      <c r="F834" s="40" t="s">
        <v>246</v>
      </c>
      <c r="G834" s="40" t="s">
        <v>11</v>
      </c>
      <c r="H834" s="37">
        <f>597.2+1.3-1.2-133.4</f>
        <v>463.9</v>
      </c>
      <c r="I834" s="16">
        <v>580.29999999999995</v>
      </c>
      <c r="J834" s="116">
        <v>655.20000000000005</v>
      </c>
      <c r="K834" s="37">
        <v>655.20000000000005</v>
      </c>
      <c r="L834" s="37">
        <v>655.20000000000005</v>
      </c>
      <c r="N834" s="399"/>
      <c r="O834" s="400"/>
      <c r="P834" s="711"/>
      <c r="Q834" s="786"/>
    </row>
    <row r="835" spans="1:17" x14ac:dyDescent="0.2">
      <c r="A835" s="40">
        <v>5</v>
      </c>
      <c r="B835" s="44"/>
      <c r="C835" s="44"/>
      <c r="D835" s="48"/>
      <c r="E835" s="402" t="s">
        <v>400</v>
      </c>
      <c r="F835" s="40" t="s">
        <v>246</v>
      </c>
      <c r="G835" s="69" t="s">
        <v>11</v>
      </c>
      <c r="H835" s="16"/>
      <c r="I835" s="16">
        <f>41.6-41.6</f>
        <v>0</v>
      </c>
      <c r="J835" s="116"/>
      <c r="K835" s="37"/>
      <c r="L835" s="37"/>
      <c r="N835" s="399"/>
      <c r="O835" s="400"/>
      <c r="P835" s="711"/>
      <c r="Q835" s="786"/>
    </row>
    <row r="836" spans="1:17" ht="22.5" x14ac:dyDescent="0.2">
      <c r="A836" s="40">
        <v>5</v>
      </c>
      <c r="B836" s="44"/>
      <c r="C836" s="44"/>
      <c r="D836" s="48"/>
      <c r="E836" s="402" t="s">
        <v>400</v>
      </c>
      <c r="F836" s="40" t="s">
        <v>246</v>
      </c>
      <c r="G836" s="40" t="s">
        <v>611</v>
      </c>
      <c r="H836" s="37">
        <f>56.2+1.2</f>
        <v>57.400000000000006</v>
      </c>
      <c r="I836" s="16"/>
      <c r="J836" s="116"/>
      <c r="K836" s="37"/>
      <c r="L836" s="37"/>
      <c r="N836" s="399"/>
      <c r="O836" s="400"/>
      <c r="P836" s="711"/>
      <c r="Q836" s="786"/>
    </row>
    <row r="837" spans="1:17" x14ac:dyDescent="0.2">
      <c r="A837" s="40">
        <v>5</v>
      </c>
      <c r="B837" s="44"/>
      <c r="C837" s="44"/>
      <c r="D837" s="48"/>
      <c r="E837" s="402" t="s">
        <v>400</v>
      </c>
      <c r="F837" s="40" t="s">
        <v>246</v>
      </c>
      <c r="G837" s="40" t="s">
        <v>99</v>
      </c>
      <c r="H837" s="37"/>
      <c r="I837" s="16"/>
      <c r="J837" s="116"/>
      <c r="K837" s="37"/>
      <c r="L837" s="37"/>
      <c r="N837" s="399"/>
      <c r="O837" s="400"/>
      <c r="P837" s="711"/>
      <c r="Q837" s="786"/>
    </row>
    <row r="838" spans="1:17" x14ac:dyDescent="0.2">
      <c r="A838" s="40">
        <v>5</v>
      </c>
      <c r="B838" s="44"/>
      <c r="C838" s="44"/>
      <c r="D838" s="48"/>
      <c r="E838" s="402"/>
      <c r="F838" s="40" t="s">
        <v>246</v>
      </c>
      <c r="G838" s="121" t="s">
        <v>608</v>
      </c>
      <c r="H838" s="123">
        <f>SUM(H830:H837)</f>
        <v>1378.2</v>
      </c>
      <c r="I838" s="123">
        <f>SUM(I830:I837)</f>
        <v>1582</v>
      </c>
      <c r="J838" s="123">
        <f t="shared" ref="J838:L838" si="164">SUM(J830:J837)</f>
        <v>1722.6000000000001</v>
      </c>
      <c r="K838" s="123">
        <f t="shared" si="164"/>
        <v>1811.1</v>
      </c>
      <c r="L838" s="123">
        <f t="shared" si="164"/>
        <v>1828.3</v>
      </c>
      <c r="N838" s="399"/>
      <c r="O838" s="400"/>
      <c r="P838" s="711"/>
      <c r="Q838" s="786"/>
    </row>
    <row r="839" spans="1:17" x14ac:dyDescent="0.2">
      <c r="A839" s="40">
        <v>5</v>
      </c>
      <c r="B839" s="44"/>
      <c r="C839" s="44" t="s">
        <v>1371</v>
      </c>
      <c r="D839" s="1477" t="s">
        <v>1372</v>
      </c>
      <c r="E839" s="44" t="s">
        <v>220</v>
      </c>
      <c r="F839" s="40" t="s">
        <v>247</v>
      </c>
      <c r="G839" s="40" t="s">
        <v>12</v>
      </c>
      <c r="H839" s="37">
        <v>1375.9</v>
      </c>
      <c r="I839" s="16">
        <v>1638.1</v>
      </c>
      <c r="J839" s="116">
        <v>1623</v>
      </c>
      <c r="K839" s="37">
        <v>1623</v>
      </c>
      <c r="L839" s="37">
        <v>1623</v>
      </c>
      <c r="N839" s="399"/>
      <c r="O839" s="400"/>
      <c r="P839" s="711"/>
      <c r="Q839" s="786"/>
    </row>
    <row r="840" spans="1:17" x14ac:dyDescent="0.2">
      <c r="A840" s="40">
        <v>5</v>
      </c>
      <c r="B840" s="44"/>
      <c r="C840" s="44"/>
      <c r="D840" s="1478"/>
      <c r="E840" s="44" t="s">
        <v>220</v>
      </c>
      <c r="F840" s="40" t="s">
        <v>247</v>
      </c>
      <c r="G840" s="40" t="s">
        <v>11</v>
      </c>
      <c r="H840" s="37">
        <v>317.10000000000002</v>
      </c>
      <c r="I840" s="16">
        <v>367.8</v>
      </c>
      <c r="J840" s="116">
        <v>360.2</v>
      </c>
      <c r="K840" s="37">
        <v>360.2</v>
      </c>
      <c r="L840" s="37">
        <v>360.2</v>
      </c>
      <c r="N840" s="399"/>
      <c r="O840" s="400"/>
      <c r="P840" s="711"/>
      <c r="Q840" s="786"/>
    </row>
    <row r="841" spans="1:17" x14ac:dyDescent="0.2">
      <c r="A841" s="40">
        <v>5</v>
      </c>
      <c r="B841" s="44"/>
      <c r="C841" s="44"/>
      <c r="D841" s="1478"/>
      <c r="E841" s="44" t="s">
        <v>220</v>
      </c>
      <c r="F841" s="40" t="s">
        <v>247</v>
      </c>
      <c r="G841" s="40" t="s">
        <v>9</v>
      </c>
      <c r="H841" s="37">
        <v>224</v>
      </c>
      <c r="I841" s="16">
        <v>146</v>
      </c>
      <c r="J841" s="116">
        <v>19.399999999999999</v>
      </c>
      <c r="K841" s="37">
        <v>19.399999999999999</v>
      </c>
      <c r="L841" s="37">
        <v>19.399999999999999</v>
      </c>
      <c r="M841" s="38" t="s">
        <v>739</v>
      </c>
      <c r="N841" s="399"/>
      <c r="O841" s="400"/>
      <c r="P841" s="711"/>
      <c r="Q841" s="786"/>
    </row>
    <row r="842" spans="1:17" x14ac:dyDescent="0.2">
      <c r="A842" s="40">
        <v>5</v>
      </c>
      <c r="B842" s="44"/>
      <c r="C842" s="44"/>
      <c r="D842" s="1479"/>
      <c r="E842" s="44" t="s">
        <v>220</v>
      </c>
      <c r="F842" s="40" t="s">
        <v>247</v>
      </c>
      <c r="G842" s="40" t="s">
        <v>99</v>
      </c>
      <c r="H842" s="37">
        <v>1624.3</v>
      </c>
      <c r="I842" s="16">
        <v>1792.7</v>
      </c>
      <c r="J842" s="116">
        <v>1681.4</v>
      </c>
      <c r="K842" s="37">
        <v>1681.4</v>
      </c>
      <c r="L842" s="37">
        <v>1681.4</v>
      </c>
      <c r="N842" s="399"/>
      <c r="O842" s="400"/>
      <c r="P842" s="711"/>
      <c r="Q842" s="786"/>
    </row>
    <row r="843" spans="1:17" x14ac:dyDescent="0.2">
      <c r="A843" s="40">
        <v>5</v>
      </c>
      <c r="B843" s="44"/>
      <c r="C843" s="44"/>
      <c r="D843" s="48"/>
      <c r="E843" s="44"/>
      <c r="F843" s="40" t="s">
        <v>247</v>
      </c>
      <c r="G843" s="121" t="s">
        <v>608</v>
      </c>
      <c r="H843" s="123">
        <f>SUM(H839:H842)</f>
        <v>3541.3</v>
      </c>
      <c r="I843" s="123">
        <f>SUM(I839:I842)</f>
        <v>3944.5999999999995</v>
      </c>
      <c r="J843" s="123">
        <f t="shared" ref="J843:L843" si="165">SUM(J839:J842)</f>
        <v>3684</v>
      </c>
      <c r="K843" s="123">
        <f t="shared" si="165"/>
        <v>3684</v>
      </c>
      <c r="L843" s="123">
        <f t="shared" si="165"/>
        <v>3684</v>
      </c>
      <c r="N843" s="399"/>
      <c r="O843" s="400"/>
      <c r="P843" s="711"/>
      <c r="Q843" s="786"/>
    </row>
    <row r="844" spans="1:17" ht="22.5" x14ac:dyDescent="0.2">
      <c r="A844" s="40">
        <v>5</v>
      </c>
      <c r="B844" s="44"/>
      <c r="C844" s="44" t="s">
        <v>1373</v>
      </c>
      <c r="D844" s="288" t="s">
        <v>1374</v>
      </c>
      <c r="E844" s="401" t="s">
        <v>403</v>
      </c>
      <c r="F844" s="40" t="s">
        <v>248</v>
      </c>
      <c r="G844" s="40" t="s">
        <v>9</v>
      </c>
      <c r="H844" s="37">
        <v>254.9</v>
      </c>
      <c r="I844" s="16">
        <v>243.2</v>
      </c>
      <c r="J844" s="116">
        <v>248.6</v>
      </c>
      <c r="K844" s="37">
        <v>260</v>
      </c>
      <c r="L844" s="37">
        <v>264.39999999999998</v>
      </c>
      <c r="M844" s="38" t="s">
        <v>739</v>
      </c>
      <c r="N844" s="399" t="s">
        <v>1375</v>
      </c>
      <c r="O844" s="400"/>
      <c r="P844" s="711"/>
      <c r="Q844" s="786"/>
    </row>
    <row r="845" spans="1:17" x14ac:dyDescent="0.2">
      <c r="A845" s="40">
        <v>5</v>
      </c>
      <c r="B845" s="44"/>
      <c r="C845" s="44"/>
      <c r="D845" s="48"/>
      <c r="E845" s="401" t="s">
        <v>403</v>
      </c>
      <c r="F845" s="40" t="s">
        <v>248</v>
      </c>
      <c r="G845" s="40" t="s">
        <v>11</v>
      </c>
      <c r="H845" s="37"/>
      <c r="I845" s="16"/>
      <c r="J845" s="116"/>
      <c r="K845" s="37"/>
      <c r="L845" s="37"/>
      <c r="N845" s="399"/>
      <c r="O845" s="400"/>
      <c r="P845" s="711"/>
      <c r="Q845" s="786"/>
    </row>
    <row r="846" spans="1:17" x14ac:dyDescent="0.2">
      <c r="A846" s="40">
        <v>5</v>
      </c>
      <c r="B846" s="44"/>
      <c r="C846" s="44"/>
      <c r="D846" s="48"/>
      <c r="E846" s="401" t="s">
        <v>403</v>
      </c>
      <c r="F846" s="40" t="s">
        <v>248</v>
      </c>
      <c r="G846" s="40" t="s">
        <v>12</v>
      </c>
      <c r="H846" s="37">
        <v>18.5</v>
      </c>
      <c r="I846" s="16">
        <v>11.5</v>
      </c>
      <c r="J846" s="116">
        <v>17</v>
      </c>
      <c r="K846" s="37">
        <v>17</v>
      </c>
      <c r="L846" s="37">
        <v>17</v>
      </c>
      <c r="N846" s="399"/>
      <c r="O846" s="400"/>
      <c r="P846" s="711"/>
      <c r="Q846" s="786"/>
    </row>
    <row r="847" spans="1:17" x14ac:dyDescent="0.2">
      <c r="A847" s="40">
        <v>5</v>
      </c>
      <c r="B847" s="44"/>
      <c r="C847" s="44"/>
      <c r="D847" s="48"/>
      <c r="E847" s="401"/>
      <c r="F847" s="40" t="s">
        <v>248</v>
      </c>
      <c r="G847" s="121" t="s">
        <v>608</v>
      </c>
      <c r="H847" s="123">
        <f>SUM(H844:H846)</f>
        <v>273.39999999999998</v>
      </c>
      <c r="I847" s="123">
        <f>SUM(I844:I846)</f>
        <v>254.7</v>
      </c>
      <c r="J847" s="123">
        <f t="shared" ref="J847:L847" si="166">SUM(J844:J846)</f>
        <v>265.60000000000002</v>
      </c>
      <c r="K847" s="123">
        <f t="shared" si="166"/>
        <v>277</v>
      </c>
      <c r="L847" s="123">
        <f t="shared" si="166"/>
        <v>281.39999999999998</v>
      </c>
      <c r="N847" s="399"/>
      <c r="O847" s="400"/>
      <c r="P847" s="711"/>
      <c r="Q847" s="786"/>
    </row>
    <row r="848" spans="1:17" ht="22.5" x14ac:dyDescent="0.2">
      <c r="A848" s="40">
        <v>5</v>
      </c>
      <c r="B848" s="44"/>
      <c r="C848" s="44" t="s">
        <v>1376</v>
      </c>
      <c r="D848" s="288" t="s">
        <v>1377</v>
      </c>
      <c r="E848" s="40" t="s">
        <v>403</v>
      </c>
      <c r="F848" s="40" t="s">
        <v>249</v>
      </c>
      <c r="G848" s="40" t="s">
        <v>9</v>
      </c>
      <c r="H848" s="37">
        <v>310.10000000000002</v>
      </c>
      <c r="I848" s="16">
        <v>278</v>
      </c>
      <c r="J848" s="116">
        <v>470.6</v>
      </c>
      <c r="K848" s="37">
        <v>483.4</v>
      </c>
      <c r="L848" s="37">
        <v>488.5</v>
      </c>
      <c r="M848" s="38" t="s">
        <v>739</v>
      </c>
      <c r="N848" s="399" t="s">
        <v>1378</v>
      </c>
      <c r="O848" s="400"/>
      <c r="P848" s="711"/>
      <c r="Q848" s="786"/>
    </row>
    <row r="849" spans="1:17" x14ac:dyDescent="0.2">
      <c r="A849" s="40">
        <v>5</v>
      </c>
      <c r="B849" s="44"/>
      <c r="C849" s="44"/>
      <c r="D849" s="48"/>
      <c r="E849" s="40" t="s">
        <v>403</v>
      </c>
      <c r="F849" s="40" t="s">
        <v>249</v>
      </c>
      <c r="G849" s="40" t="s">
        <v>11</v>
      </c>
      <c r="H849" s="37"/>
      <c r="I849" s="16"/>
      <c r="J849" s="116"/>
      <c r="K849" s="37"/>
      <c r="L849" s="37"/>
      <c r="N849" s="399"/>
      <c r="O849" s="400"/>
      <c r="P849" s="711"/>
      <c r="Q849" s="786"/>
    </row>
    <row r="850" spans="1:17" x14ac:dyDescent="0.2">
      <c r="A850" s="40">
        <v>5</v>
      </c>
      <c r="B850" s="44"/>
      <c r="C850" s="44"/>
      <c r="D850" s="48"/>
      <c r="E850" s="40"/>
      <c r="F850" s="40" t="s">
        <v>249</v>
      </c>
      <c r="G850" s="121" t="s">
        <v>608</v>
      </c>
      <c r="H850" s="123">
        <f>SUM(H848:H849)</f>
        <v>310.10000000000002</v>
      </c>
      <c r="I850" s="123">
        <f>SUM(I848:I849)</f>
        <v>278</v>
      </c>
      <c r="J850" s="123">
        <f t="shared" ref="J850:L850" si="167">SUM(J848:J849)</f>
        <v>470.6</v>
      </c>
      <c r="K850" s="123">
        <f t="shared" si="167"/>
        <v>483.4</v>
      </c>
      <c r="L850" s="123">
        <f t="shared" si="167"/>
        <v>488.5</v>
      </c>
      <c r="N850" s="399"/>
      <c r="O850" s="400"/>
      <c r="P850" s="711"/>
      <c r="Q850" s="786"/>
    </row>
    <row r="851" spans="1:17" ht="33.75" x14ac:dyDescent="0.2">
      <c r="A851" s="40">
        <v>5</v>
      </c>
      <c r="B851" s="44"/>
      <c r="C851" s="44" t="s">
        <v>1379</v>
      </c>
      <c r="D851" s="403" t="s">
        <v>1380</v>
      </c>
      <c r="E851" s="40">
        <v>18</v>
      </c>
      <c r="F851" s="40" t="s">
        <v>250</v>
      </c>
      <c r="G851" s="40" t="s">
        <v>9</v>
      </c>
      <c r="H851" s="37">
        <f>130-30-4</f>
        <v>96</v>
      </c>
      <c r="I851" s="16">
        <v>103</v>
      </c>
      <c r="J851" s="116">
        <v>100</v>
      </c>
      <c r="K851" s="37">
        <v>100</v>
      </c>
      <c r="L851" s="37">
        <v>100</v>
      </c>
      <c r="M851" s="38" t="s">
        <v>782</v>
      </c>
      <c r="N851" s="149" t="s">
        <v>1381</v>
      </c>
      <c r="O851" s="149" t="s">
        <v>1382</v>
      </c>
      <c r="P851" s="76">
        <v>100</v>
      </c>
      <c r="Q851" s="786"/>
    </row>
    <row r="852" spans="1:17" x14ac:dyDescent="0.2">
      <c r="A852" s="40">
        <v>5</v>
      </c>
      <c r="B852" s="44"/>
      <c r="C852" s="44"/>
      <c r="D852" s="403"/>
      <c r="E852" s="40"/>
      <c r="F852" s="40" t="s">
        <v>250</v>
      </c>
      <c r="G852" s="121" t="s">
        <v>608</v>
      </c>
      <c r="H852" s="123">
        <f>SUM(H851)</f>
        <v>96</v>
      </c>
      <c r="I852" s="123">
        <f>SUM(I851)</f>
        <v>103</v>
      </c>
      <c r="J852" s="123">
        <f t="shared" ref="J852:L852" si="168">SUM(J851)</f>
        <v>100</v>
      </c>
      <c r="K852" s="123">
        <f t="shared" si="168"/>
        <v>100</v>
      </c>
      <c r="L852" s="123">
        <f t="shared" si="168"/>
        <v>100</v>
      </c>
      <c r="N852" s="399"/>
      <c r="O852" s="400"/>
      <c r="P852" s="711"/>
      <c r="Q852" s="786"/>
    </row>
    <row r="853" spans="1:17" ht="33.75" x14ac:dyDescent="0.2">
      <c r="A853" s="40">
        <v>5</v>
      </c>
      <c r="B853" s="44"/>
      <c r="C853" s="44" t="s">
        <v>1383</v>
      </c>
      <c r="D853" s="48" t="s">
        <v>1384</v>
      </c>
      <c r="E853" s="40">
        <v>7</v>
      </c>
      <c r="F853" s="40" t="s">
        <v>251</v>
      </c>
      <c r="G853" s="40" t="s">
        <v>9</v>
      </c>
      <c r="H853" s="37">
        <v>4</v>
      </c>
      <c r="I853" s="16">
        <v>8</v>
      </c>
      <c r="J853" s="116">
        <v>8</v>
      </c>
      <c r="K853" s="37">
        <v>200</v>
      </c>
      <c r="L853" s="37">
        <v>200</v>
      </c>
      <c r="N853" s="74" t="s">
        <v>1385</v>
      </c>
      <c r="O853" s="149" t="s">
        <v>1386</v>
      </c>
      <c r="P853" s="76">
        <v>100</v>
      </c>
      <c r="Q853" s="786"/>
    </row>
    <row r="854" spans="1:17" x14ac:dyDescent="0.2">
      <c r="A854" s="40">
        <v>5</v>
      </c>
      <c r="B854" s="44"/>
      <c r="C854" s="44"/>
      <c r="D854" s="48"/>
      <c r="E854" s="40" t="s">
        <v>400</v>
      </c>
      <c r="F854" s="40" t="s">
        <v>251</v>
      </c>
      <c r="G854" s="40" t="s">
        <v>9</v>
      </c>
      <c r="H854" s="37">
        <v>20</v>
      </c>
      <c r="I854" s="16"/>
      <c r="J854" s="116">
        <v>16</v>
      </c>
      <c r="K854" s="37"/>
      <c r="L854" s="37"/>
      <c r="N854" s="399"/>
      <c r="O854" s="400"/>
      <c r="P854" s="711"/>
      <c r="Q854" s="786"/>
    </row>
    <row r="855" spans="1:17" x14ac:dyDescent="0.2">
      <c r="A855" s="40">
        <v>5</v>
      </c>
      <c r="B855" s="44"/>
      <c r="C855" s="44"/>
      <c r="D855" s="48"/>
      <c r="E855" s="40" t="s">
        <v>406</v>
      </c>
      <c r="F855" s="40" t="s">
        <v>251</v>
      </c>
      <c r="G855" s="40" t="s">
        <v>9</v>
      </c>
      <c r="H855" s="37">
        <v>20</v>
      </c>
      <c r="I855" s="16"/>
      <c r="J855" s="116">
        <f>40+6.5</f>
        <v>46.5</v>
      </c>
      <c r="K855" s="37"/>
      <c r="L855" s="37"/>
      <c r="N855" s="399"/>
      <c r="O855" s="400"/>
      <c r="P855" s="711"/>
      <c r="Q855" s="786"/>
    </row>
    <row r="856" spans="1:17" x14ac:dyDescent="0.2">
      <c r="A856" s="40">
        <v>5</v>
      </c>
      <c r="B856" s="44"/>
      <c r="C856" s="44"/>
      <c r="D856" s="48"/>
      <c r="E856" s="40" t="s">
        <v>220</v>
      </c>
      <c r="F856" s="40" t="s">
        <v>251</v>
      </c>
      <c r="G856" s="40" t="s">
        <v>9</v>
      </c>
      <c r="H856" s="37">
        <v>20</v>
      </c>
      <c r="I856" s="16"/>
      <c r="J856" s="116">
        <v>40</v>
      </c>
      <c r="K856" s="37">
        <v>0</v>
      </c>
      <c r="L856" s="37">
        <v>0</v>
      </c>
      <c r="N856" s="399"/>
      <c r="O856" s="400"/>
      <c r="P856" s="711"/>
      <c r="Q856" s="786"/>
    </row>
    <row r="857" spans="1:17" x14ac:dyDescent="0.2">
      <c r="A857" s="40">
        <v>5</v>
      </c>
      <c r="B857" s="44"/>
      <c r="C857" s="44"/>
      <c r="D857" s="48"/>
      <c r="E857" s="40" t="s">
        <v>274</v>
      </c>
      <c r="F857" s="40" t="s">
        <v>251</v>
      </c>
      <c r="G857" s="40" t="s">
        <v>9</v>
      </c>
      <c r="H857" s="37">
        <f>20+15</f>
        <v>35</v>
      </c>
      <c r="I857" s="16">
        <v>6</v>
      </c>
      <c r="J857" s="116">
        <v>50</v>
      </c>
      <c r="K857" s="37"/>
      <c r="L857" s="37"/>
      <c r="N857" s="399"/>
      <c r="O857" s="404"/>
      <c r="P857" s="711"/>
      <c r="Q857" s="786"/>
    </row>
    <row r="858" spans="1:17" x14ac:dyDescent="0.2">
      <c r="A858" s="40">
        <v>5</v>
      </c>
      <c r="B858" s="44"/>
      <c r="C858" s="44"/>
      <c r="D858" s="48"/>
      <c r="E858" s="40" t="s">
        <v>403</v>
      </c>
      <c r="F858" s="40" t="s">
        <v>251</v>
      </c>
      <c r="G858" s="40" t="s">
        <v>9</v>
      </c>
      <c r="H858" s="37">
        <v>198</v>
      </c>
      <c r="I858" s="16"/>
      <c r="J858" s="116">
        <v>46</v>
      </c>
      <c r="K858" s="37"/>
      <c r="L858" s="37"/>
      <c r="N858" s="399"/>
      <c r="O858" s="400"/>
      <c r="P858" s="711"/>
      <c r="Q858" s="786"/>
    </row>
    <row r="859" spans="1:17" x14ac:dyDescent="0.2">
      <c r="A859" s="40">
        <v>5</v>
      </c>
      <c r="B859" s="44"/>
      <c r="C859" s="44"/>
      <c r="D859" s="48"/>
      <c r="E859" s="40"/>
      <c r="F859" s="40" t="s">
        <v>251</v>
      </c>
      <c r="G859" s="121" t="s">
        <v>608</v>
      </c>
      <c r="H859" s="123">
        <f>SUM(H853:H858)</f>
        <v>297</v>
      </c>
      <c r="I859" s="123">
        <f>SUM(I853:I858)</f>
        <v>14</v>
      </c>
      <c r="J859" s="123">
        <f t="shared" ref="J859:L859" si="169">SUM(J853:J858)</f>
        <v>206.5</v>
      </c>
      <c r="K859" s="123">
        <f t="shared" si="169"/>
        <v>200</v>
      </c>
      <c r="L859" s="123">
        <f t="shared" si="169"/>
        <v>200</v>
      </c>
      <c r="M859" s="38" t="s">
        <v>796</v>
      </c>
      <c r="N859" s="399"/>
      <c r="O859" s="400"/>
      <c r="P859" s="711"/>
      <c r="Q859" s="786"/>
    </row>
    <row r="860" spans="1:17" ht="22.5" x14ac:dyDescent="0.2">
      <c r="A860" s="40">
        <v>5</v>
      </c>
      <c r="B860" s="44"/>
      <c r="C860" s="44" t="s">
        <v>1387</v>
      </c>
      <c r="D860" s="48" t="s">
        <v>1388</v>
      </c>
      <c r="E860" s="40" t="s">
        <v>403</v>
      </c>
      <c r="F860" s="40" t="s">
        <v>1389</v>
      </c>
      <c r="G860" s="40" t="s">
        <v>9</v>
      </c>
      <c r="H860" s="37">
        <v>765.5</v>
      </c>
      <c r="I860" s="16">
        <v>798.1</v>
      </c>
      <c r="J860" s="116">
        <v>838.2</v>
      </c>
      <c r="K860" s="37">
        <v>877.4</v>
      </c>
      <c r="L860" s="37">
        <v>893.1</v>
      </c>
      <c r="M860" s="38" t="s">
        <v>739</v>
      </c>
      <c r="N860" s="399" t="s">
        <v>1390</v>
      </c>
      <c r="O860" s="400"/>
      <c r="P860" s="711"/>
      <c r="Q860" s="786"/>
    </row>
    <row r="861" spans="1:17" x14ac:dyDescent="0.2">
      <c r="A861" s="40">
        <v>5</v>
      </c>
      <c r="B861" s="44"/>
      <c r="D861" s="48"/>
      <c r="E861" s="40" t="s">
        <v>403</v>
      </c>
      <c r="F861" s="40" t="s">
        <v>1389</v>
      </c>
      <c r="G861" s="40" t="s">
        <v>11</v>
      </c>
      <c r="H861" s="37">
        <v>0</v>
      </c>
      <c r="I861" s="16">
        <v>0</v>
      </c>
      <c r="J861" s="116">
        <v>0</v>
      </c>
      <c r="K861" s="37">
        <v>0</v>
      </c>
      <c r="L861" s="37">
        <v>0</v>
      </c>
      <c r="N861" s="399"/>
      <c r="O861" s="400"/>
      <c r="P861" s="711"/>
      <c r="Q861" s="786"/>
    </row>
    <row r="862" spans="1:17" x14ac:dyDescent="0.2">
      <c r="A862" s="40">
        <v>5</v>
      </c>
      <c r="B862" s="44"/>
      <c r="C862" s="44"/>
      <c r="D862" s="48"/>
      <c r="E862" s="40"/>
      <c r="F862" s="40" t="s">
        <v>1389</v>
      </c>
      <c r="G862" s="121" t="s">
        <v>608</v>
      </c>
      <c r="H862" s="123">
        <f>SUM(H860:H861)</f>
        <v>765.5</v>
      </c>
      <c r="I862" s="123">
        <f>SUM(I860:I861)</f>
        <v>798.1</v>
      </c>
      <c r="J862" s="123">
        <f t="shared" ref="J862:L862" si="170">SUM(J860:J861)</f>
        <v>838.2</v>
      </c>
      <c r="K862" s="123">
        <f t="shared" si="170"/>
        <v>877.4</v>
      </c>
      <c r="L862" s="123">
        <f t="shared" si="170"/>
        <v>893.1</v>
      </c>
      <c r="N862" s="399"/>
      <c r="O862" s="400"/>
      <c r="P862" s="711"/>
      <c r="Q862" s="786"/>
    </row>
    <row r="863" spans="1:17" ht="33.75" x14ac:dyDescent="0.2">
      <c r="A863" s="40">
        <v>5</v>
      </c>
      <c r="B863" s="44"/>
      <c r="C863" s="44" t="s">
        <v>1391</v>
      </c>
      <c r="D863" s="48" t="s">
        <v>1392</v>
      </c>
      <c r="E863" s="40" t="s">
        <v>403</v>
      </c>
      <c r="F863" s="40" t="s">
        <v>1393</v>
      </c>
      <c r="G863" s="40" t="s">
        <v>11</v>
      </c>
      <c r="H863" s="37"/>
      <c r="I863" s="16">
        <v>85.8</v>
      </c>
      <c r="J863" s="116">
        <v>61.3</v>
      </c>
      <c r="K863" s="37"/>
      <c r="L863" s="37"/>
      <c r="N863" s="399"/>
      <c r="O863" s="400"/>
      <c r="P863" s="711"/>
      <c r="Q863" s="786"/>
    </row>
    <row r="864" spans="1:17" x14ac:dyDescent="0.2">
      <c r="A864" s="40">
        <v>5</v>
      </c>
      <c r="B864" s="44"/>
      <c r="C864" s="44"/>
      <c r="D864" s="48"/>
      <c r="E864" s="40" t="s">
        <v>406</v>
      </c>
      <c r="F864" s="40" t="s">
        <v>1393</v>
      </c>
      <c r="G864" s="40" t="s">
        <v>11</v>
      </c>
      <c r="H864" s="37"/>
      <c r="I864" s="16">
        <v>43.9</v>
      </c>
      <c r="J864" s="116">
        <v>42.4</v>
      </c>
      <c r="K864" s="37"/>
      <c r="L864" s="37"/>
      <c r="N864" s="399"/>
      <c r="O864" s="400"/>
      <c r="P864" s="711"/>
      <c r="Q864" s="786"/>
    </row>
    <row r="865" spans="1:17" x14ac:dyDescent="0.2">
      <c r="A865" s="40">
        <v>5</v>
      </c>
      <c r="B865" s="44"/>
      <c r="C865" s="44"/>
      <c r="D865" s="48"/>
      <c r="E865" s="40" t="s">
        <v>400</v>
      </c>
      <c r="F865" s="40" t="s">
        <v>1393</v>
      </c>
      <c r="G865" s="40" t="s">
        <v>11</v>
      </c>
      <c r="H865" s="37"/>
      <c r="I865" s="16">
        <v>57.1</v>
      </c>
      <c r="J865" s="116">
        <v>40.299999999999997</v>
      </c>
      <c r="K865" s="37"/>
      <c r="L865" s="37"/>
      <c r="N865" s="399"/>
      <c r="O865" s="400"/>
      <c r="P865" s="711"/>
      <c r="Q865" s="786"/>
    </row>
    <row r="866" spans="1:17" x14ac:dyDescent="0.2">
      <c r="A866" s="40">
        <v>5</v>
      </c>
      <c r="B866" s="44"/>
      <c r="C866" s="44"/>
      <c r="D866" s="48"/>
      <c r="E866" s="40"/>
      <c r="F866" s="40"/>
      <c r="G866" s="121" t="s">
        <v>608</v>
      </c>
      <c r="H866" s="123"/>
      <c r="I866" s="123">
        <f>SUM(I863:I865)</f>
        <v>186.79999999999998</v>
      </c>
      <c r="J866" s="123">
        <f t="shared" ref="J866:L866" si="171">SUM(J863:J865)</f>
        <v>144</v>
      </c>
      <c r="K866" s="123">
        <f t="shared" si="171"/>
        <v>0</v>
      </c>
      <c r="L866" s="123">
        <f t="shared" si="171"/>
        <v>0</v>
      </c>
      <c r="N866" s="399"/>
      <c r="O866" s="400"/>
      <c r="P866" s="711"/>
      <c r="Q866" s="786"/>
    </row>
    <row r="867" spans="1:17" ht="22.5" x14ac:dyDescent="0.2">
      <c r="A867" s="40">
        <v>5</v>
      </c>
      <c r="B867" s="44"/>
      <c r="C867" s="72" t="s">
        <v>1394</v>
      </c>
      <c r="D867" s="48" t="s">
        <v>1395</v>
      </c>
      <c r="E867" s="40" t="s">
        <v>403</v>
      </c>
      <c r="F867" s="40" t="s">
        <v>1396</v>
      </c>
      <c r="G867" s="40" t="s">
        <v>11</v>
      </c>
      <c r="H867" s="37"/>
      <c r="I867" s="16">
        <v>22.6</v>
      </c>
      <c r="J867" s="116">
        <v>28.3</v>
      </c>
      <c r="K867" s="37"/>
      <c r="L867" s="37"/>
      <c r="N867" s="399"/>
      <c r="O867" s="400"/>
      <c r="P867" s="711"/>
      <c r="Q867" s="786"/>
    </row>
    <row r="868" spans="1:17" x14ac:dyDescent="0.2">
      <c r="A868" s="40">
        <v>5</v>
      </c>
      <c r="B868" s="42"/>
      <c r="C868" s="245"/>
      <c r="D868" s="856"/>
      <c r="E868" s="40" t="s">
        <v>406</v>
      </c>
      <c r="F868" s="40" t="s">
        <v>1396</v>
      </c>
      <c r="G868" s="40" t="s">
        <v>11</v>
      </c>
      <c r="H868" s="37"/>
      <c r="I868" s="16">
        <v>17.8</v>
      </c>
      <c r="J868" s="116">
        <v>20.7</v>
      </c>
      <c r="K868" s="37"/>
      <c r="L868" s="37"/>
      <c r="N868" s="399"/>
      <c r="O868" s="400"/>
      <c r="P868" s="711"/>
      <c r="Q868" s="786"/>
    </row>
    <row r="869" spans="1:17" x14ac:dyDescent="0.2">
      <c r="A869" s="40">
        <v>5</v>
      </c>
      <c r="B869" s="42"/>
      <c r="C869" s="245"/>
      <c r="D869" s="856"/>
      <c r="E869" s="40" t="s">
        <v>400</v>
      </c>
      <c r="F869" s="40" t="s">
        <v>1396</v>
      </c>
      <c r="G869" s="40" t="s">
        <v>11</v>
      </c>
      <c r="H869" s="37"/>
      <c r="I869" s="16"/>
      <c r="J869" s="116">
        <v>19</v>
      </c>
      <c r="K869" s="37"/>
      <c r="L869" s="37"/>
      <c r="N869" s="399"/>
      <c r="O869" s="400"/>
      <c r="P869" s="711"/>
      <c r="Q869" s="786"/>
    </row>
    <row r="870" spans="1:17" x14ac:dyDescent="0.2">
      <c r="A870" s="40">
        <v>5</v>
      </c>
      <c r="B870" s="44"/>
      <c r="C870" s="45"/>
      <c r="D870" s="48"/>
      <c r="E870" s="40"/>
      <c r="F870" s="40"/>
      <c r="G870" s="121" t="s">
        <v>608</v>
      </c>
      <c r="H870" s="123"/>
      <c r="I870" s="123">
        <f>SUM(I867:I868)</f>
        <v>40.400000000000006</v>
      </c>
      <c r="J870" s="123">
        <f>SUM(J867:J869)</f>
        <v>68</v>
      </c>
      <c r="K870" s="123">
        <f t="shared" ref="K870:L870" si="172">SUM(K867:K869)</f>
        <v>0</v>
      </c>
      <c r="L870" s="123">
        <f t="shared" si="172"/>
        <v>0</v>
      </c>
      <c r="N870" s="399"/>
      <c r="O870" s="400"/>
      <c r="P870" s="711"/>
      <c r="Q870" s="786"/>
    </row>
    <row r="871" spans="1:17" ht="22.5" x14ac:dyDescent="0.2">
      <c r="A871" s="40">
        <v>5</v>
      </c>
      <c r="B871" s="395" t="s">
        <v>1397</v>
      </c>
      <c r="C871" s="395" t="s">
        <v>1397</v>
      </c>
      <c r="D871" s="396" t="s">
        <v>252</v>
      </c>
      <c r="E871" s="40"/>
      <c r="F871" s="40"/>
      <c r="G871" s="21"/>
      <c r="H871" s="144"/>
      <c r="I871" s="144">
        <f>SUM(I875,I878,I880,I882,I890,I894,I896,I899,I903)</f>
        <v>4359.6000000000004</v>
      </c>
      <c r="J871" s="144">
        <f>SUM(J875,J878,J880,J882,J890,J894,J896,J899,J903)</f>
        <v>5294</v>
      </c>
      <c r="K871" s="144">
        <f>SUM(K875,K878,K880,K882,K890,K894,K896,K899,K903)</f>
        <v>5692.0999999999995</v>
      </c>
      <c r="L871" s="144">
        <f>SUM(L875,L878,L880,L882,L890,L894,L896,L899,L903)</f>
        <v>6187.5</v>
      </c>
      <c r="N871" s="399"/>
      <c r="O871" s="400"/>
      <c r="P871" s="711"/>
      <c r="Q871" s="786"/>
    </row>
    <row r="872" spans="1:17" ht="45" x14ac:dyDescent="0.2">
      <c r="A872" s="40">
        <v>5</v>
      </c>
      <c r="B872" s="44"/>
      <c r="C872" s="44" t="s">
        <v>1398</v>
      </c>
      <c r="D872" s="288" t="s">
        <v>1399</v>
      </c>
      <c r="E872" s="40">
        <v>7</v>
      </c>
      <c r="F872" s="40" t="s">
        <v>253</v>
      </c>
      <c r="G872" s="40" t="s">
        <v>11</v>
      </c>
      <c r="H872" s="405">
        <f>797.6+133.4+332.1</f>
        <v>1263.0999999999999</v>
      </c>
      <c r="I872" s="16">
        <v>2059.4</v>
      </c>
      <c r="J872" s="116">
        <v>2124</v>
      </c>
      <c r="K872" s="405">
        <v>2124</v>
      </c>
      <c r="L872" s="405">
        <v>2124</v>
      </c>
      <c r="N872" s="117" t="s">
        <v>1400</v>
      </c>
      <c r="O872" s="149" t="s">
        <v>1401</v>
      </c>
      <c r="P872" s="76">
        <v>100</v>
      </c>
      <c r="Q872" s="786"/>
    </row>
    <row r="873" spans="1:17" ht="33.75" x14ac:dyDescent="0.2">
      <c r="A873" s="40">
        <v>5</v>
      </c>
      <c r="B873" s="44"/>
      <c r="C873" s="44"/>
      <c r="D873" s="48"/>
      <c r="E873" s="40">
        <v>7</v>
      </c>
      <c r="F873" s="40" t="s">
        <v>253</v>
      </c>
      <c r="G873" s="40" t="s">
        <v>9</v>
      </c>
      <c r="H873" s="405">
        <v>1130</v>
      </c>
      <c r="I873" s="16">
        <v>1570.2</v>
      </c>
      <c r="J873" s="116">
        <f>2207.1-150-20</f>
        <v>2037.1</v>
      </c>
      <c r="K873" s="37">
        <v>2467.9</v>
      </c>
      <c r="L873" s="405">
        <v>2963.3</v>
      </c>
      <c r="M873" s="38" t="s">
        <v>782</v>
      </c>
      <c r="N873" s="400"/>
      <c r="O873" s="787" t="s">
        <v>1402</v>
      </c>
      <c r="P873" s="76">
        <v>1174</v>
      </c>
      <c r="Q873" s="786"/>
    </row>
    <row r="874" spans="1:17" x14ac:dyDescent="0.2">
      <c r="A874" s="40">
        <v>5</v>
      </c>
      <c r="B874" s="44"/>
      <c r="C874" s="44"/>
      <c r="D874" s="48"/>
      <c r="E874" s="40">
        <v>7</v>
      </c>
      <c r="F874" s="40" t="s">
        <v>253</v>
      </c>
      <c r="G874" s="69" t="s">
        <v>740</v>
      </c>
      <c r="H874" s="405"/>
      <c r="I874" s="16"/>
      <c r="J874" s="116">
        <f>2.2</f>
        <v>2.2000000000000002</v>
      </c>
      <c r="K874" s="37"/>
      <c r="L874" s="405"/>
      <c r="N874" s="400"/>
      <c r="O874" s="787"/>
      <c r="P874" s="76"/>
      <c r="Q874" s="786"/>
    </row>
    <row r="875" spans="1:17" ht="22.5" x14ac:dyDescent="0.2">
      <c r="A875" s="40">
        <v>5</v>
      </c>
      <c r="B875" s="44"/>
      <c r="C875" s="44"/>
      <c r="D875" s="48"/>
      <c r="E875" s="40"/>
      <c r="F875" s="40" t="s">
        <v>253</v>
      </c>
      <c r="G875" s="121" t="s">
        <v>608</v>
      </c>
      <c r="H875" s="123">
        <f>SUM(H872:H873)</f>
        <v>2393.1</v>
      </c>
      <c r="I875" s="123">
        <f>SUM(I872:I874)</f>
        <v>3629.6000000000004</v>
      </c>
      <c r="J875" s="123">
        <f t="shared" ref="J875:L875" si="173">SUM(J872:J874)</f>
        <v>4163.3</v>
      </c>
      <c r="K875" s="123">
        <f t="shared" si="173"/>
        <v>4591.8999999999996</v>
      </c>
      <c r="L875" s="123">
        <f t="shared" si="173"/>
        <v>5087.3</v>
      </c>
      <c r="N875" s="338"/>
      <c r="O875" s="787" t="s">
        <v>1403</v>
      </c>
      <c r="P875" s="73">
        <v>100</v>
      </c>
      <c r="Q875" s="786"/>
    </row>
    <row r="876" spans="1:17" ht="22.5" x14ac:dyDescent="0.2">
      <c r="A876" s="40">
        <v>5</v>
      </c>
      <c r="B876" s="44"/>
      <c r="C876" s="44" t="s">
        <v>1404</v>
      </c>
      <c r="D876" s="48" t="s">
        <v>1405</v>
      </c>
      <c r="E876" s="40">
        <v>7</v>
      </c>
      <c r="F876" s="40" t="s">
        <v>254</v>
      </c>
      <c r="G876" s="40" t="s">
        <v>9</v>
      </c>
      <c r="H876" s="37">
        <f>60-30-5</f>
        <v>25</v>
      </c>
      <c r="I876" s="16">
        <v>32.799999999999997</v>
      </c>
      <c r="J876" s="116">
        <f>70.3-19.2-12</f>
        <v>39.099999999999994</v>
      </c>
      <c r="K876" s="37">
        <v>70.3</v>
      </c>
      <c r="L876" s="37">
        <v>70.3</v>
      </c>
      <c r="M876" s="168" t="s">
        <v>782</v>
      </c>
      <c r="N876" s="406" t="s">
        <v>1351</v>
      </c>
      <c r="O876" s="407" t="s">
        <v>1406</v>
      </c>
      <c r="P876" s="73">
        <v>4</v>
      </c>
      <c r="Q876" s="786"/>
    </row>
    <row r="877" spans="1:17" ht="22.5" x14ac:dyDescent="0.2">
      <c r="A877" s="40">
        <v>5</v>
      </c>
      <c r="B877" s="44"/>
      <c r="C877" s="44"/>
      <c r="D877" s="48"/>
      <c r="E877" s="40">
        <v>7</v>
      </c>
      <c r="F877" s="40" t="s">
        <v>254</v>
      </c>
      <c r="G877" s="40" t="s">
        <v>11</v>
      </c>
      <c r="H877" s="37">
        <f>56.8-13.8</f>
        <v>43</v>
      </c>
      <c r="I877" s="16">
        <v>41.4</v>
      </c>
      <c r="J877" s="116">
        <v>47.1</v>
      </c>
      <c r="K877" s="37">
        <v>47.1</v>
      </c>
      <c r="L877" s="37">
        <v>47.1</v>
      </c>
      <c r="N877" s="406" t="s">
        <v>1351</v>
      </c>
      <c r="O877" s="407" t="s">
        <v>1407</v>
      </c>
      <c r="P877" s="73">
        <v>96</v>
      </c>
      <c r="Q877" s="786"/>
    </row>
    <row r="878" spans="1:17" x14ac:dyDescent="0.2">
      <c r="A878" s="40">
        <v>5</v>
      </c>
      <c r="B878" s="44"/>
      <c r="C878" s="44"/>
      <c r="D878" s="48"/>
      <c r="E878" s="40"/>
      <c r="F878" s="40" t="s">
        <v>254</v>
      </c>
      <c r="G878" s="121" t="s">
        <v>608</v>
      </c>
      <c r="H878" s="123">
        <f>SUM(H876:H877)</f>
        <v>68</v>
      </c>
      <c r="I878" s="123">
        <f>SUM(I876:I877)</f>
        <v>74.199999999999989</v>
      </c>
      <c r="J878" s="123">
        <f t="shared" ref="J878:L878" si="174">SUM(J876:J877)</f>
        <v>86.199999999999989</v>
      </c>
      <c r="K878" s="123">
        <f t="shared" si="174"/>
        <v>117.4</v>
      </c>
      <c r="L878" s="123">
        <f t="shared" si="174"/>
        <v>117.4</v>
      </c>
      <c r="N878" s="406" t="s">
        <v>1351</v>
      </c>
      <c r="O878" s="407" t="s">
        <v>1337</v>
      </c>
      <c r="P878" s="73">
        <v>4</v>
      </c>
      <c r="Q878" s="786"/>
    </row>
    <row r="879" spans="1:17" ht="33.75" x14ac:dyDescent="0.2">
      <c r="A879" s="40">
        <v>5</v>
      </c>
      <c r="B879" s="44"/>
      <c r="C879" s="44" t="s">
        <v>1408</v>
      </c>
      <c r="D879" s="48" t="s">
        <v>255</v>
      </c>
      <c r="E879" s="40">
        <v>7</v>
      </c>
      <c r="F879" s="40" t="s">
        <v>256</v>
      </c>
      <c r="G879" s="40" t="s">
        <v>9</v>
      </c>
      <c r="H879" s="37">
        <v>40</v>
      </c>
      <c r="I879" s="16">
        <v>40</v>
      </c>
      <c r="J879" s="116">
        <v>45</v>
      </c>
      <c r="K879" s="37">
        <v>45</v>
      </c>
      <c r="L879" s="37">
        <v>45</v>
      </c>
      <c r="M879" s="38" t="s">
        <v>782</v>
      </c>
      <c r="N879" s="406" t="s">
        <v>1351</v>
      </c>
      <c r="O879" s="149" t="s">
        <v>1336</v>
      </c>
      <c r="P879" s="73">
        <v>521</v>
      </c>
      <c r="Q879" s="786"/>
    </row>
    <row r="880" spans="1:17" x14ac:dyDescent="0.2">
      <c r="A880" s="40">
        <v>5</v>
      </c>
      <c r="B880" s="44"/>
      <c r="C880" s="44"/>
      <c r="D880" s="48"/>
      <c r="E880" s="40"/>
      <c r="F880" s="40" t="s">
        <v>256</v>
      </c>
      <c r="G880" s="121" t="s">
        <v>608</v>
      </c>
      <c r="H880" s="123">
        <f>SUM(H879)</f>
        <v>40</v>
      </c>
      <c r="I880" s="123">
        <f>SUM(I879)</f>
        <v>40</v>
      </c>
      <c r="J880" s="123">
        <f t="shared" ref="J880:L880" si="175">SUM(J879)</f>
        <v>45</v>
      </c>
      <c r="K880" s="123">
        <f t="shared" si="175"/>
        <v>45</v>
      </c>
      <c r="L880" s="123">
        <f t="shared" si="175"/>
        <v>45</v>
      </c>
      <c r="N880" s="406"/>
      <c r="O880" s="400"/>
      <c r="P880" s="361"/>
      <c r="Q880" s="786"/>
    </row>
    <row r="881" spans="1:17" ht="22.5" x14ac:dyDescent="0.2">
      <c r="A881" s="40">
        <v>5</v>
      </c>
      <c r="B881" s="44"/>
      <c r="C881" s="44" t="s">
        <v>1409</v>
      </c>
      <c r="D881" s="48" t="s">
        <v>257</v>
      </c>
      <c r="E881" s="40">
        <v>7</v>
      </c>
      <c r="F881" s="40" t="s">
        <v>258</v>
      </c>
      <c r="G881" s="40" t="s">
        <v>9</v>
      </c>
      <c r="H881" s="37">
        <v>2</v>
      </c>
      <c r="I881" s="16">
        <v>2</v>
      </c>
      <c r="J881" s="116">
        <v>2</v>
      </c>
      <c r="K881" s="37">
        <v>2</v>
      </c>
      <c r="L881" s="37">
        <v>2</v>
      </c>
      <c r="M881" s="38" t="s">
        <v>782</v>
      </c>
      <c r="N881" s="406" t="s">
        <v>1351</v>
      </c>
      <c r="O881" s="407" t="s">
        <v>1343</v>
      </c>
      <c r="P881" s="408">
        <v>100</v>
      </c>
      <c r="Q881" s="786"/>
    </row>
    <row r="882" spans="1:17" x14ac:dyDescent="0.2">
      <c r="A882" s="40">
        <v>5</v>
      </c>
      <c r="B882" s="44"/>
      <c r="C882" s="44"/>
      <c r="D882" s="48"/>
      <c r="E882" s="40"/>
      <c r="F882" s="40" t="s">
        <v>258</v>
      </c>
      <c r="G882" s="121" t="s">
        <v>608</v>
      </c>
      <c r="H882" s="123">
        <f>SUM(H881)</f>
        <v>2</v>
      </c>
      <c r="I882" s="123">
        <f>SUM(I881)</f>
        <v>2</v>
      </c>
      <c r="J882" s="123">
        <f t="shared" ref="J882:L882" si="176">SUM(J881)</f>
        <v>2</v>
      </c>
      <c r="K882" s="123">
        <f t="shared" si="176"/>
        <v>2</v>
      </c>
      <c r="L882" s="123">
        <f t="shared" si="176"/>
        <v>2</v>
      </c>
      <c r="N882" s="399"/>
      <c r="O882" s="400"/>
      <c r="P882" s="361"/>
      <c r="Q882" s="786"/>
    </row>
    <row r="883" spans="1:17" ht="22.5" x14ac:dyDescent="0.2">
      <c r="A883" s="40">
        <v>5</v>
      </c>
      <c r="B883" s="44"/>
      <c r="C883" s="44" t="s">
        <v>1410</v>
      </c>
      <c r="D883" s="48" t="s">
        <v>259</v>
      </c>
      <c r="E883" s="40">
        <v>7</v>
      </c>
      <c r="F883" s="40" t="s">
        <v>260</v>
      </c>
      <c r="G883" s="40" t="s">
        <v>9</v>
      </c>
      <c r="H883" s="37">
        <f>70.6-53.5+30</f>
        <v>47.099999999999994</v>
      </c>
      <c r="I883" s="16">
        <v>72</v>
      </c>
      <c r="J883" s="116">
        <f>111.3-20.5+20.4</f>
        <v>111.19999999999999</v>
      </c>
      <c r="K883" s="37">
        <f t="shared" ref="K883:L883" si="177">111.3-20.5</f>
        <v>90.8</v>
      </c>
      <c r="L883" s="37">
        <f t="shared" si="177"/>
        <v>90.8</v>
      </c>
      <c r="M883" s="38" t="s">
        <v>782</v>
      </c>
      <c r="N883" s="340" t="s">
        <v>1349</v>
      </c>
      <c r="O883" s="787" t="s">
        <v>1343</v>
      </c>
      <c r="P883" s="73">
        <v>100</v>
      </c>
      <c r="Q883" s="786"/>
    </row>
    <row r="884" spans="1:17" x14ac:dyDescent="0.2">
      <c r="A884" s="40">
        <v>5</v>
      </c>
      <c r="B884" s="44"/>
      <c r="C884" s="44"/>
      <c r="D884" s="48"/>
      <c r="E884" s="40" t="s">
        <v>403</v>
      </c>
      <c r="F884" s="40" t="s">
        <v>260</v>
      </c>
      <c r="G884" s="40" t="s">
        <v>9</v>
      </c>
      <c r="H884" s="37">
        <v>22.9</v>
      </c>
      <c r="I884" s="16">
        <v>29.7</v>
      </c>
      <c r="J884" s="116">
        <v>40.299999999999997</v>
      </c>
      <c r="K884" s="37">
        <v>40.299999999999997</v>
      </c>
      <c r="L884" s="37">
        <v>40.299999999999997</v>
      </c>
      <c r="M884" s="38" t="s">
        <v>782</v>
      </c>
      <c r="N884" s="340" t="s">
        <v>1349</v>
      </c>
      <c r="O884" s="787" t="s">
        <v>1336</v>
      </c>
      <c r="P884" s="73">
        <v>112</v>
      </c>
      <c r="Q884" s="786"/>
    </row>
    <row r="885" spans="1:17" x14ac:dyDescent="0.2">
      <c r="A885" s="40">
        <v>5</v>
      </c>
      <c r="B885" s="44"/>
      <c r="C885" s="44"/>
      <c r="D885" s="48"/>
      <c r="E885" s="40" t="s">
        <v>406</v>
      </c>
      <c r="F885" s="40" t="s">
        <v>260</v>
      </c>
      <c r="G885" s="40" t="s">
        <v>9</v>
      </c>
      <c r="H885" s="37">
        <v>30.6</v>
      </c>
      <c r="I885" s="16">
        <v>45.5</v>
      </c>
      <c r="J885" s="116">
        <v>57.1</v>
      </c>
      <c r="K885" s="37">
        <v>57.1</v>
      </c>
      <c r="L885" s="37">
        <v>57.1</v>
      </c>
      <c r="M885" s="38" t="s">
        <v>782</v>
      </c>
      <c r="N885" s="340"/>
      <c r="O885" s="149"/>
      <c r="P885" s="73"/>
      <c r="Q885" s="786"/>
    </row>
    <row r="886" spans="1:17" x14ac:dyDescent="0.2">
      <c r="A886" s="40">
        <v>5</v>
      </c>
      <c r="B886" s="44"/>
      <c r="C886" s="44"/>
      <c r="D886" s="48"/>
      <c r="E886" s="40">
        <v>7</v>
      </c>
      <c r="F886" s="40" t="s">
        <v>260</v>
      </c>
      <c r="G886" s="40" t="s">
        <v>11</v>
      </c>
      <c r="H886" s="37">
        <f>74-16.7</f>
        <v>57.3</v>
      </c>
      <c r="I886" s="16">
        <v>76.400000000000006</v>
      </c>
      <c r="J886" s="116">
        <v>116.6</v>
      </c>
      <c r="K886" s="37">
        <v>116.6</v>
      </c>
      <c r="L886" s="37">
        <v>116.6</v>
      </c>
      <c r="N886" s="149"/>
      <c r="O886" s="149"/>
      <c r="P886" s="73"/>
      <c r="Q886" s="786"/>
    </row>
    <row r="887" spans="1:17" x14ac:dyDescent="0.2">
      <c r="A887" s="40">
        <v>5</v>
      </c>
      <c r="B887" s="44"/>
      <c r="C887" s="44"/>
      <c r="D887" s="48"/>
      <c r="E887" s="40">
        <v>7</v>
      </c>
      <c r="F887" s="40" t="s">
        <v>260</v>
      </c>
      <c r="G887" s="40" t="s">
        <v>740</v>
      </c>
      <c r="H887" s="37"/>
      <c r="I887" s="16">
        <v>0.1</v>
      </c>
      <c r="J887" s="116"/>
      <c r="K887" s="37"/>
      <c r="L887" s="37"/>
      <c r="N887" s="340"/>
      <c r="O887" s="149"/>
      <c r="P887" s="73"/>
      <c r="Q887" s="786"/>
    </row>
    <row r="888" spans="1:17" x14ac:dyDescent="0.2">
      <c r="A888" s="40">
        <v>5</v>
      </c>
      <c r="B888" s="44"/>
      <c r="C888" s="44"/>
      <c r="D888" s="48"/>
      <c r="E888" s="40" t="s">
        <v>403</v>
      </c>
      <c r="F888" s="40" t="s">
        <v>260</v>
      </c>
      <c r="G888" s="40" t="s">
        <v>11</v>
      </c>
      <c r="H888" s="37">
        <v>7.9</v>
      </c>
      <c r="I888" s="16">
        <v>7.9</v>
      </c>
      <c r="J888" s="116">
        <v>7.9</v>
      </c>
      <c r="K888" s="37">
        <v>7.9</v>
      </c>
      <c r="L888" s="37">
        <v>7.9</v>
      </c>
      <c r="N888" s="340"/>
      <c r="O888" s="149"/>
      <c r="P888" s="73"/>
      <c r="Q888" s="786"/>
    </row>
    <row r="889" spans="1:17" x14ac:dyDescent="0.2">
      <c r="A889" s="40">
        <v>5</v>
      </c>
      <c r="B889" s="44"/>
      <c r="C889" s="44"/>
      <c r="D889" s="48"/>
      <c r="E889" s="40" t="s">
        <v>406</v>
      </c>
      <c r="F889" s="40" t="s">
        <v>260</v>
      </c>
      <c r="G889" s="40" t="s">
        <v>11</v>
      </c>
      <c r="H889" s="37">
        <v>8.8000000000000007</v>
      </c>
      <c r="I889" s="16">
        <v>8.8000000000000007</v>
      </c>
      <c r="J889" s="116">
        <v>8.8000000000000007</v>
      </c>
      <c r="K889" s="37">
        <v>8.8000000000000007</v>
      </c>
      <c r="L889" s="37">
        <v>8.8000000000000007</v>
      </c>
      <c r="N889" s="340"/>
      <c r="O889" s="149"/>
      <c r="P889" s="409"/>
      <c r="Q889" s="786"/>
    </row>
    <row r="890" spans="1:17" x14ac:dyDescent="0.2">
      <c r="A890" s="40">
        <v>5</v>
      </c>
      <c r="B890" s="44"/>
      <c r="C890" s="44"/>
      <c r="D890" s="48"/>
      <c r="E890" s="40"/>
      <c r="F890" s="40" t="s">
        <v>260</v>
      </c>
      <c r="G890" s="121" t="s">
        <v>608</v>
      </c>
      <c r="H890" s="123">
        <f>SUM(H883:H889)</f>
        <v>174.6</v>
      </c>
      <c r="I890" s="123">
        <f>SUM(I883:I889)</f>
        <v>240.4</v>
      </c>
      <c r="J890" s="123">
        <f t="shared" ref="J890:L890" si="178">SUM(J883:J889)</f>
        <v>341.9</v>
      </c>
      <c r="K890" s="123">
        <f t="shared" si="178"/>
        <v>321.49999999999994</v>
      </c>
      <c r="L890" s="123">
        <f t="shared" si="178"/>
        <v>321.49999999999994</v>
      </c>
      <c r="N890" s="399"/>
      <c r="O890" s="400"/>
      <c r="P890" s="361"/>
      <c r="Q890" s="786"/>
    </row>
    <row r="891" spans="1:17" ht="22.5" x14ac:dyDescent="0.2">
      <c r="A891" s="40">
        <v>5</v>
      </c>
      <c r="B891" s="44"/>
      <c r="C891" s="44" t="s">
        <v>1411</v>
      </c>
      <c r="D891" s="48" t="s">
        <v>261</v>
      </c>
      <c r="E891" s="40">
        <v>7</v>
      </c>
      <c r="F891" s="40" t="s">
        <v>262</v>
      </c>
      <c r="G891" s="53" t="s">
        <v>11</v>
      </c>
      <c r="H891" s="37">
        <f>142.5+100.2</f>
        <v>242.7</v>
      </c>
      <c r="I891" s="16">
        <v>218.4</v>
      </c>
      <c r="J891" s="116">
        <v>315.3</v>
      </c>
      <c r="K891" s="37">
        <v>315.3</v>
      </c>
      <c r="L891" s="37">
        <v>315.3</v>
      </c>
      <c r="N891" s="406" t="s">
        <v>1412</v>
      </c>
      <c r="O891" s="787" t="s">
        <v>1343</v>
      </c>
      <c r="P891" s="73">
        <v>100</v>
      </c>
      <c r="Q891" s="786"/>
    </row>
    <row r="892" spans="1:17" x14ac:dyDescent="0.2">
      <c r="A892" s="40">
        <v>5</v>
      </c>
      <c r="B892" s="44"/>
      <c r="C892" s="44"/>
      <c r="D892" s="48"/>
      <c r="E892" s="40" t="s">
        <v>400</v>
      </c>
      <c r="F892" s="40" t="s">
        <v>262</v>
      </c>
      <c r="G892" s="40" t="s">
        <v>9</v>
      </c>
      <c r="H892" s="37">
        <v>20</v>
      </c>
      <c r="I892" s="16">
        <v>61</v>
      </c>
      <c r="J892" s="116">
        <v>20</v>
      </c>
      <c r="K892" s="37">
        <v>20</v>
      </c>
      <c r="L892" s="37">
        <v>20</v>
      </c>
      <c r="M892" s="38" t="s">
        <v>796</v>
      </c>
      <c r="N892" s="399"/>
      <c r="O892" s="787" t="s">
        <v>1336</v>
      </c>
      <c r="P892" s="73">
        <v>39</v>
      </c>
      <c r="Q892" s="786"/>
    </row>
    <row r="893" spans="1:17" x14ac:dyDescent="0.2">
      <c r="A893" s="40">
        <v>5</v>
      </c>
      <c r="B893" s="44"/>
      <c r="C893" s="44"/>
      <c r="D893" s="48"/>
      <c r="E893" s="40">
        <v>7</v>
      </c>
      <c r="F893" s="40" t="s">
        <v>262</v>
      </c>
      <c r="G893" s="40" t="s">
        <v>740</v>
      </c>
      <c r="H893" s="37">
        <v>8.8000000000000007</v>
      </c>
      <c r="I893" s="16">
        <v>14.1</v>
      </c>
      <c r="J893" s="116">
        <f>2.7</f>
        <v>2.7</v>
      </c>
      <c r="K893" s="37"/>
      <c r="L893" s="37"/>
      <c r="N893" s="399"/>
      <c r="O893" s="400"/>
      <c r="P893" s="73"/>
      <c r="Q893" s="786"/>
    </row>
    <row r="894" spans="1:17" x14ac:dyDescent="0.2">
      <c r="A894" s="40">
        <v>5</v>
      </c>
      <c r="B894" s="44"/>
      <c r="C894" s="44"/>
      <c r="D894" s="48"/>
      <c r="E894" s="40">
        <v>7</v>
      </c>
      <c r="F894" s="40" t="s">
        <v>262</v>
      </c>
      <c r="G894" s="121" t="s">
        <v>608</v>
      </c>
      <c r="H894" s="123">
        <f>SUM(H891:H893)</f>
        <v>271.5</v>
      </c>
      <c r="I894" s="123">
        <f>SUM(I891:I893)</f>
        <v>293.5</v>
      </c>
      <c r="J894" s="123">
        <f>SUM(J891:J893)</f>
        <v>338</v>
      </c>
      <c r="K894" s="123">
        <f>SUM(K891:K893)</f>
        <v>335.3</v>
      </c>
      <c r="L894" s="123">
        <f>SUM(L891:L893)</f>
        <v>335.3</v>
      </c>
      <c r="N894" s="399"/>
      <c r="O894" s="400"/>
      <c r="P894" s="361"/>
      <c r="Q894" s="786"/>
    </row>
    <row r="895" spans="1:17" x14ac:dyDescent="0.2">
      <c r="A895" s="40">
        <v>5</v>
      </c>
      <c r="B895" s="44"/>
      <c r="C895" s="44" t="s">
        <v>1413</v>
      </c>
      <c r="D895" s="48" t="s">
        <v>1414</v>
      </c>
      <c r="E895" s="40">
        <v>7</v>
      </c>
      <c r="F895" s="40" t="s">
        <v>1415</v>
      </c>
      <c r="G895" s="40" t="s">
        <v>58</v>
      </c>
      <c r="H895" s="410">
        <v>11.5</v>
      </c>
      <c r="I895" s="16">
        <v>23.2</v>
      </c>
      <c r="J895" s="116"/>
      <c r="K895" s="37"/>
      <c r="L895" s="37"/>
      <c r="N895" s="399" t="s">
        <v>1349</v>
      </c>
      <c r="O895" s="400" t="s">
        <v>1343</v>
      </c>
      <c r="P895" s="361">
        <v>100</v>
      </c>
      <c r="Q895" s="786"/>
    </row>
    <row r="896" spans="1:17" x14ac:dyDescent="0.2">
      <c r="A896" s="40">
        <v>5</v>
      </c>
      <c r="B896" s="44"/>
      <c r="C896" s="44"/>
      <c r="D896" s="48"/>
      <c r="E896" s="40">
        <v>7</v>
      </c>
      <c r="F896" s="40" t="s">
        <v>1415</v>
      </c>
      <c r="G896" s="121" t="s">
        <v>608</v>
      </c>
      <c r="H896" s="123">
        <f>SUM(H895)</f>
        <v>11.5</v>
      </c>
      <c r="I896" s="123">
        <f>SUM(I895)</f>
        <v>23.2</v>
      </c>
      <c r="J896" s="123">
        <f t="shared" ref="J896:L896" si="179">SUM(J895)</f>
        <v>0</v>
      </c>
      <c r="K896" s="123">
        <f t="shared" si="179"/>
        <v>0</v>
      </c>
      <c r="L896" s="123">
        <f t="shared" si="179"/>
        <v>0</v>
      </c>
      <c r="N896" s="399"/>
      <c r="O896" s="400"/>
      <c r="P896" s="361"/>
      <c r="Q896" s="786"/>
    </row>
    <row r="897" spans="1:17" x14ac:dyDescent="0.2">
      <c r="A897" s="40">
        <v>5</v>
      </c>
      <c r="B897" s="44"/>
      <c r="C897" s="44" t="s">
        <v>1416</v>
      </c>
      <c r="D897" s="48" t="s">
        <v>1417</v>
      </c>
      <c r="E897" s="40">
        <v>7</v>
      </c>
      <c r="F897" s="40" t="s">
        <v>1418</v>
      </c>
      <c r="G897" s="40" t="s">
        <v>9</v>
      </c>
      <c r="H897" s="37"/>
      <c r="I897" s="16">
        <v>29.2</v>
      </c>
      <c r="J897" s="116">
        <v>50</v>
      </c>
      <c r="K897" s="37">
        <v>50</v>
      </c>
      <c r="L897" s="37">
        <v>50</v>
      </c>
      <c r="M897" s="38" t="s">
        <v>787</v>
      </c>
      <c r="N897" s="399" t="s">
        <v>1351</v>
      </c>
      <c r="O897" s="404" t="s">
        <v>1336</v>
      </c>
      <c r="P897" s="711">
        <v>10</v>
      </c>
      <c r="Q897" s="786"/>
    </row>
    <row r="898" spans="1:17" x14ac:dyDescent="0.2">
      <c r="A898" s="40">
        <v>5</v>
      </c>
      <c r="B898" s="44"/>
      <c r="C898" s="44"/>
      <c r="D898" s="48"/>
      <c r="E898" s="40">
        <v>7</v>
      </c>
      <c r="F898" s="40" t="s">
        <v>1418</v>
      </c>
      <c r="G898" s="40" t="s">
        <v>58</v>
      </c>
      <c r="H898" s="37"/>
      <c r="I898" s="16">
        <v>25</v>
      </c>
      <c r="J898" s="116">
        <v>50</v>
      </c>
      <c r="K898" s="37">
        <v>50</v>
      </c>
      <c r="L898" s="37">
        <v>50</v>
      </c>
      <c r="N898" s="399"/>
      <c r="O898" s="400"/>
      <c r="P898" s="361"/>
      <c r="Q898" s="786"/>
    </row>
    <row r="899" spans="1:17" x14ac:dyDescent="0.2">
      <c r="A899" s="40">
        <v>5</v>
      </c>
      <c r="B899" s="44"/>
      <c r="C899" s="44"/>
      <c r="D899" s="48"/>
      <c r="E899" s="40">
        <v>7</v>
      </c>
      <c r="F899" s="40" t="s">
        <v>1418</v>
      </c>
      <c r="G899" s="121" t="s">
        <v>608</v>
      </c>
      <c r="H899" s="123">
        <f>SUM(H897:H898)</f>
        <v>0</v>
      </c>
      <c r="I899" s="123">
        <f>SUM(I897:I898)</f>
        <v>54.2</v>
      </c>
      <c r="J899" s="123">
        <f t="shared" ref="J899:L899" si="180">SUM(J897:J898)</f>
        <v>100</v>
      </c>
      <c r="K899" s="123">
        <f t="shared" si="180"/>
        <v>100</v>
      </c>
      <c r="L899" s="123">
        <f t="shared" si="180"/>
        <v>100</v>
      </c>
      <c r="N899" s="399"/>
      <c r="O899" s="400"/>
      <c r="P899" s="361"/>
      <c r="Q899" s="786"/>
    </row>
    <row r="900" spans="1:17" x14ac:dyDescent="0.2">
      <c r="A900" s="40">
        <v>5</v>
      </c>
      <c r="B900" s="44"/>
      <c r="C900" s="44" t="s">
        <v>1419</v>
      </c>
      <c r="D900" s="48" t="s">
        <v>1420</v>
      </c>
      <c r="E900" s="40">
        <v>7</v>
      </c>
      <c r="F900" s="40" t="s">
        <v>1421</v>
      </c>
      <c r="G900" s="81" t="s">
        <v>9</v>
      </c>
      <c r="H900" s="123"/>
      <c r="I900" s="16">
        <v>2.5</v>
      </c>
      <c r="J900" s="116">
        <f>90.5-20.4</f>
        <v>70.099999999999994</v>
      </c>
      <c r="K900" s="37">
        <v>179</v>
      </c>
      <c r="L900" s="37">
        <v>179</v>
      </c>
      <c r="M900" s="38" t="s">
        <v>2221</v>
      </c>
      <c r="N900" s="399" t="s">
        <v>1349</v>
      </c>
      <c r="O900" s="400" t="s">
        <v>1422</v>
      </c>
      <c r="P900" s="361">
        <v>455</v>
      </c>
      <c r="Q900" s="786"/>
    </row>
    <row r="901" spans="1:17" x14ac:dyDescent="0.2">
      <c r="A901" s="40">
        <v>5</v>
      </c>
      <c r="B901" s="44"/>
      <c r="C901" s="44"/>
      <c r="D901" s="48"/>
      <c r="E901" s="40" t="s">
        <v>398</v>
      </c>
      <c r="F901" s="40" t="s">
        <v>1421</v>
      </c>
      <c r="G901" s="81" t="s">
        <v>9</v>
      </c>
      <c r="H901" s="123"/>
      <c r="I901" s="16"/>
      <c r="J901" s="116">
        <v>129.5</v>
      </c>
      <c r="K901" s="37"/>
      <c r="L901" s="37"/>
      <c r="M901" s="38" t="s">
        <v>2221</v>
      </c>
      <c r="N901" s="399"/>
      <c r="O901" s="400"/>
      <c r="P901" s="361"/>
      <c r="Q901" s="786"/>
    </row>
    <row r="902" spans="1:17" x14ac:dyDescent="0.2">
      <c r="A902" s="40">
        <v>5</v>
      </c>
      <c r="B902" s="44"/>
      <c r="C902" s="44"/>
      <c r="D902" s="48"/>
      <c r="E902" s="40" t="s">
        <v>400</v>
      </c>
      <c r="F902" s="40" t="s">
        <v>1421</v>
      </c>
      <c r="G902" s="81" t="s">
        <v>9</v>
      </c>
      <c r="H902" s="123"/>
      <c r="I902" s="16"/>
      <c r="J902" s="116">
        <v>18</v>
      </c>
      <c r="K902" s="37"/>
      <c r="L902" s="37"/>
      <c r="M902" s="38" t="s">
        <v>2221</v>
      </c>
      <c r="N902" s="399"/>
      <c r="O902" s="400"/>
      <c r="P902" s="361"/>
      <c r="Q902" s="786"/>
    </row>
    <row r="903" spans="1:17" x14ac:dyDescent="0.2">
      <c r="A903" s="40">
        <v>5</v>
      </c>
      <c r="B903" s="44"/>
      <c r="C903" s="44"/>
      <c r="D903" s="48"/>
      <c r="E903" s="40">
        <v>7</v>
      </c>
      <c r="F903" s="40" t="s">
        <v>1421</v>
      </c>
      <c r="G903" s="121" t="s">
        <v>608</v>
      </c>
      <c r="H903" s="123"/>
      <c r="I903" s="123">
        <f>SUM(I900)</f>
        <v>2.5</v>
      </c>
      <c r="J903" s="123">
        <f>SUM(J900:J902)</f>
        <v>217.6</v>
      </c>
      <c r="K903" s="123">
        <f t="shared" ref="K903:L903" si="181">SUM(K900:K902)</f>
        <v>179</v>
      </c>
      <c r="L903" s="123">
        <f t="shared" si="181"/>
        <v>179</v>
      </c>
      <c r="M903" s="38" t="s">
        <v>2221</v>
      </c>
      <c r="N903" s="37"/>
      <c r="O903" s="37"/>
      <c r="P903" s="37"/>
      <c r="Q903" s="786"/>
    </row>
    <row r="904" spans="1:17" ht="22.5" x14ac:dyDescent="0.2">
      <c r="A904" s="40">
        <v>5</v>
      </c>
      <c r="B904" s="395" t="s">
        <v>1423</v>
      </c>
      <c r="C904" s="395" t="s">
        <v>1423</v>
      </c>
      <c r="D904" s="396" t="s">
        <v>263</v>
      </c>
      <c r="E904" s="40"/>
      <c r="F904" s="40"/>
      <c r="G904" s="21"/>
      <c r="H904" s="144"/>
      <c r="I904" s="144">
        <f>SUM(I911,I917,I924,I927,I931,I934,I937,I940,I943)</f>
        <v>708.7</v>
      </c>
      <c r="J904" s="144">
        <f t="shared" ref="J904:L904" si="182">SUM(J911,J917,J924,J927,J931,J934,J937,J940,J943)</f>
        <v>1631.8999999999999</v>
      </c>
      <c r="K904" s="144">
        <f t="shared" si="182"/>
        <v>5792</v>
      </c>
      <c r="L904" s="144">
        <f t="shared" si="182"/>
        <v>4174.6000000000004</v>
      </c>
      <c r="N904" s="399"/>
      <c r="O904" s="400"/>
      <c r="P904" s="361"/>
      <c r="Q904" s="786"/>
    </row>
    <row r="905" spans="1:17" ht="22.5" x14ac:dyDescent="0.2">
      <c r="A905" s="40">
        <v>5</v>
      </c>
      <c r="B905" s="44"/>
      <c r="C905" s="44" t="s">
        <v>1424</v>
      </c>
      <c r="D905" s="48" t="s">
        <v>264</v>
      </c>
      <c r="E905" s="40">
        <v>7</v>
      </c>
      <c r="F905" s="40" t="s">
        <v>265</v>
      </c>
      <c r="G905" s="40" t="s">
        <v>9</v>
      </c>
      <c r="H905" s="37">
        <v>74</v>
      </c>
      <c r="I905" s="16">
        <v>54.9</v>
      </c>
      <c r="J905" s="116">
        <f>75+15</f>
        <v>90</v>
      </c>
      <c r="K905" s="37">
        <v>75</v>
      </c>
      <c r="L905" s="37">
        <v>75</v>
      </c>
      <c r="M905" s="38" t="s">
        <v>796</v>
      </c>
      <c r="N905" s="406" t="s">
        <v>1425</v>
      </c>
      <c r="O905" s="117" t="s">
        <v>1426</v>
      </c>
      <c r="P905" s="73">
        <v>3</v>
      </c>
      <c r="Q905" s="786"/>
    </row>
    <row r="906" spans="1:17" ht="22.5" x14ac:dyDescent="0.2">
      <c r="A906" s="40">
        <v>5</v>
      </c>
      <c r="B906" s="44"/>
      <c r="C906" s="44"/>
      <c r="D906" s="48"/>
      <c r="E906" s="40">
        <v>7</v>
      </c>
      <c r="F906" s="40" t="s">
        <v>265</v>
      </c>
      <c r="G906" s="40" t="s">
        <v>12</v>
      </c>
      <c r="H906" s="411">
        <v>26</v>
      </c>
      <c r="I906" s="16">
        <v>15.6</v>
      </c>
      <c r="J906" s="116">
        <v>26</v>
      </c>
      <c r="K906" s="411">
        <v>26</v>
      </c>
      <c r="L906" s="411">
        <v>26</v>
      </c>
      <c r="N906" s="406" t="s">
        <v>1425</v>
      </c>
      <c r="O906" s="117" t="s">
        <v>1427</v>
      </c>
      <c r="P906" s="73">
        <v>5</v>
      </c>
      <c r="Q906" s="786"/>
    </row>
    <row r="907" spans="1:17" x14ac:dyDescent="0.2">
      <c r="A907" s="40">
        <v>5</v>
      </c>
      <c r="B907" s="44"/>
      <c r="C907" s="44"/>
      <c r="D907" s="48"/>
      <c r="E907" s="40">
        <v>7</v>
      </c>
      <c r="F907" s="40" t="s">
        <v>265</v>
      </c>
      <c r="G907" s="40" t="s">
        <v>11</v>
      </c>
      <c r="H907" s="37">
        <f>10.2+2.6</f>
        <v>12.799999999999999</v>
      </c>
      <c r="I907" s="16">
        <v>4.5</v>
      </c>
      <c r="J907" s="116">
        <f>55.7-35</f>
        <v>20.700000000000003</v>
      </c>
      <c r="K907" s="37">
        <v>55.7</v>
      </c>
      <c r="L907" s="37">
        <v>55.7</v>
      </c>
      <c r="N907" s="399"/>
      <c r="O907" s="400"/>
      <c r="P907" s="361"/>
      <c r="Q907" s="786"/>
    </row>
    <row r="908" spans="1:17" x14ac:dyDescent="0.2">
      <c r="A908" s="40">
        <v>5</v>
      </c>
      <c r="B908" s="44"/>
      <c r="C908" s="44"/>
      <c r="D908" s="48"/>
      <c r="E908" s="40">
        <v>7</v>
      </c>
      <c r="F908" s="40" t="s">
        <v>265</v>
      </c>
      <c r="G908" s="40" t="s">
        <v>11</v>
      </c>
      <c r="H908" s="37"/>
      <c r="I908" s="16"/>
      <c r="J908" s="116">
        <f>2.4-2.4</f>
        <v>0</v>
      </c>
      <c r="K908" s="37">
        <v>2.4</v>
      </c>
      <c r="L908" s="37">
        <v>2.4</v>
      </c>
      <c r="M908" s="168"/>
      <c r="N908" s="399"/>
      <c r="O908" s="400"/>
      <c r="P908" s="361"/>
      <c r="Q908" s="786"/>
    </row>
    <row r="909" spans="1:17" x14ac:dyDescent="0.2">
      <c r="A909" s="40">
        <v>5</v>
      </c>
      <c r="B909" s="44"/>
      <c r="C909" s="44"/>
      <c r="D909" s="48"/>
      <c r="E909" s="40">
        <v>7</v>
      </c>
      <c r="F909" s="40" t="s">
        <v>265</v>
      </c>
      <c r="G909" s="40" t="s">
        <v>266</v>
      </c>
      <c r="H909" s="411">
        <v>25</v>
      </c>
      <c r="I909" s="16">
        <v>3.6</v>
      </c>
      <c r="J909" s="116">
        <v>7.3</v>
      </c>
      <c r="K909" s="411"/>
      <c r="L909" s="411"/>
      <c r="N909" s="399"/>
      <c r="O909" s="400"/>
      <c r="P909" s="361"/>
      <c r="Q909" s="786"/>
    </row>
    <row r="910" spans="1:17" x14ac:dyDescent="0.2">
      <c r="A910" s="40">
        <v>5</v>
      </c>
      <c r="B910" s="44"/>
      <c r="C910" s="44"/>
      <c r="D910" s="48"/>
      <c r="E910" s="40">
        <v>7</v>
      </c>
      <c r="F910" s="40" t="s">
        <v>265</v>
      </c>
      <c r="G910" s="40" t="s">
        <v>740</v>
      </c>
      <c r="H910" s="411">
        <v>11.5</v>
      </c>
      <c r="I910" s="16">
        <v>4.5999999999999996</v>
      </c>
      <c r="J910" s="116">
        <f>1</f>
        <v>1</v>
      </c>
      <c r="K910" s="411"/>
      <c r="L910" s="411"/>
      <c r="N910" s="399"/>
      <c r="O910" s="400"/>
      <c r="P910" s="361"/>
      <c r="Q910" s="786"/>
    </row>
    <row r="911" spans="1:17" x14ac:dyDescent="0.2">
      <c r="A911" s="40">
        <v>5</v>
      </c>
      <c r="B911" s="44"/>
      <c r="C911" s="44"/>
      <c r="D911" s="48"/>
      <c r="E911" s="40"/>
      <c r="F911" s="40" t="s">
        <v>265</v>
      </c>
      <c r="G911" s="121" t="s">
        <v>608</v>
      </c>
      <c r="H911" s="123">
        <f>SUM(H905:H910)</f>
        <v>149.30000000000001</v>
      </c>
      <c r="I911" s="123">
        <f>SUM(I905:I910)</f>
        <v>83.199999999999989</v>
      </c>
      <c r="J911" s="123">
        <f t="shared" ref="J911:L911" si="183">SUM(J905:J910)</f>
        <v>145</v>
      </c>
      <c r="K911" s="123">
        <f t="shared" si="183"/>
        <v>159.1</v>
      </c>
      <c r="L911" s="123">
        <f t="shared" si="183"/>
        <v>159.1</v>
      </c>
      <c r="N911" s="399"/>
      <c r="O911" s="400"/>
      <c r="P911" s="361"/>
      <c r="Q911" s="786"/>
    </row>
    <row r="912" spans="1:17" ht="22.5" x14ac:dyDescent="0.2">
      <c r="A912" s="40">
        <v>5</v>
      </c>
      <c r="B912" s="44"/>
      <c r="C912" s="44" t="s">
        <v>1428</v>
      </c>
      <c r="D912" s="48" t="s">
        <v>267</v>
      </c>
      <c r="E912" s="44" t="s">
        <v>191</v>
      </c>
      <c r="F912" s="40" t="s">
        <v>268</v>
      </c>
      <c r="G912" s="40" t="s">
        <v>9</v>
      </c>
      <c r="H912" s="37">
        <v>281.89999999999998</v>
      </c>
      <c r="I912" s="16">
        <v>291.39999999999998</v>
      </c>
      <c r="J912" s="116">
        <v>0</v>
      </c>
      <c r="K912" s="37">
        <v>0</v>
      </c>
      <c r="L912" s="37">
        <v>0</v>
      </c>
      <c r="M912" s="38" t="s">
        <v>787</v>
      </c>
      <c r="N912" s="300"/>
      <c r="O912" s="128"/>
      <c r="P912" s="76"/>
      <c r="Q912" s="128"/>
    </row>
    <row r="913" spans="1:17" x14ac:dyDescent="0.2">
      <c r="A913" s="40">
        <v>5</v>
      </c>
      <c r="B913" s="44"/>
      <c r="C913" s="44"/>
      <c r="D913" s="48"/>
      <c r="E913" s="44" t="s">
        <v>191</v>
      </c>
      <c r="F913" s="40" t="s">
        <v>268</v>
      </c>
      <c r="G913" s="40" t="s">
        <v>715</v>
      </c>
      <c r="H913" s="37">
        <v>101.2</v>
      </c>
      <c r="I913" s="16"/>
      <c r="J913" s="116"/>
      <c r="K913" s="37"/>
      <c r="L913" s="37"/>
      <c r="M913" s="38" t="s">
        <v>787</v>
      </c>
      <c r="N913" s="399"/>
      <c r="O913" s="400"/>
      <c r="P913" s="361"/>
      <c r="Q913" s="786"/>
    </row>
    <row r="914" spans="1:17" x14ac:dyDescent="0.2">
      <c r="A914" s="40">
        <v>5</v>
      </c>
      <c r="B914" s="44"/>
      <c r="C914" s="44"/>
      <c r="D914" s="48"/>
      <c r="E914" s="44" t="s">
        <v>191</v>
      </c>
      <c r="F914" s="40" t="s">
        <v>268</v>
      </c>
      <c r="G914" s="40" t="s">
        <v>61</v>
      </c>
      <c r="H914" s="37">
        <v>80.599999999999994</v>
      </c>
      <c r="I914" s="16"/>
      <c r="J914" s="116"/>
      <c r="K914" s="37"/>
      <c r="L914" s="37"/>
      <c r="N914" s="399"/>
      <c r="O914" s="400"/>
      <c r="P914" s="361"/>
      <c r="Q914" s="786"/>
    </row>
    <row r="915" spans="1:17" x14ac:dyDescent="0.2">
      <c r="A915" s="40">
        <v>5</v>
      </c>
      <c r="B915" s="44"/>
      <c r="C915" s="44"/>
      <c r="D915" s="48"/>
      <c r="E915" s="44" t="s">
        <v>191</v>
      </c>
      <c r="F915" s="40" t="s">
        <v>268</v>
      </c>
      <c r="G915" s="40" t="s">
        <v>58</v>
      </c>
      <c r="H915" s="37">
        <v>283.89999999999998</v>
      </c>
      <c r="I915" s="16">
        <v>325.8</v>
      </c>
      <c r="J915" s="116">
        <v>0</v>
      </c>
      <c r="K915" s="37">
        <v>0</v>
      </c>
      <c r="L915" s="37">
        <v>0</v>
      </c>
      <c r="N915" s="399"/>
      <c r="O915" s="400"/>
      <c r="P915" s="361"/>
      <c r="Q915" s="786"/>
    </row>
    <row r="916" spans="1:17" x14ac:dyDescent="0.2">
      <c r="A916" s="40">
        <v>5</v>
      </c>
      <c r="B916" s="44"/>
      <c r="C916" s="44"/>
      <c r="D916" s="48"/>
      <c r="E916" s="44" t="s">
        <v>406</v>
      </c>
      <c r="F916" s="40" t="s">
        <v>268</v>
      </c>
      <c r="G916" s="40" t="s">
        <v>9</v>
      </c>
      <c r="H916" s="37">
        <v>18.2</v>
      </c>
      <c r="I916" s="16">
        <v>8.3000000000000007</v>
      </c>
      <c r="J916" s="116">
        <f>6.5-6.5</f>
        <v>0</v>
      </c>
      <c r="K916" s="37"/>
      <c r="L916" s="37"/>
      <c r="M916" s="38" t="s">
        <v>787</v>
      </c>
      <c r="N916" s="399"/>
      <c r="O916" s="400"/>
      <c r="P916" s="361"/>
      <c r="Q916" s="786"/>
    </row>
    <row r="917" spans="1:17" x14ac:dyDescent="0.2">
      <c r="A917" s="40">
        <v>5</v>
      </c>
      <c r="B917" s="44"/>
      <c r="C917" s="44"/>
      <c r="D917" s="48"/>
      <c r="E917" s="44"/>
      <c r="F917" s="40" t="s">
        <v>268</v>
      </c>
      <c r="G917" s="121" t="s">
        <v>608</v>
      </c>
      <c r="H917" s="123">
        <f>SUM(H912:H916)</f>
        <v>765.8</v>
      </c>
      <c r="I917" s="123">
        <f>SUM(I912:I916)</f>
        <v>625.5</v>
      </c>
      <c r="J917" s="123">
        <f t="shared" ref="J917:L917" si="184">SUM(J912:J916)</f>
        <v>0</v>
      </c>
      <c r="K917" s="123">
        <f t="shared" si="184"/>
        <v>0</v>
      </c>
      <c r="L917" s="123">
        <f t="shared" si="184"/>
        <v>0</v>
      </c>
      <c r="N917" s="399"/>
      <c r="O917" s="400"/>
      <c r="P917" s="361"/>
      <c r="Q917" s="786"/>
    </row>
    <row r="918" spans="1:17" ht="33.75" x14ac:dyDescent="0.2">
      <c r="A918" s="40">
        <v>5</v>
      </c>
      <c r="B918" s="44"/>
      <c r="C918" s="44" t="s">
        <v>1429</v>
      </c>
      <c r="D918" s="48" t="s">
        <v>1430</v>
      </c>
      <c r="E918" s="44"/>
      <c r="F918" s="40"/>
      <c r="G918" s="116" t="s">
        <v>713</v>
      </c>
      <c r="H918" s="37">
        <v>0</v>
      </c>
      <c r="I918" s="116">
        <f>I922+I925+I928+I932+I935+I938</f>
        <v>0</v>
      </c>
      <c r="J918" s="116">
        <f t="shared" ref="J918:L918" si="185">J922+J925+J928+J932+J935+J938</f>
        <v>190.6</v>
      </c>
      <c r="K918" s="828">
        <f t="shared" si="185"/>
        <v>563.9</v>
      </c>
      <c r="L918" s="828">
        <f t="shared" si="185"/>
        <v>282</v>
      </c>
      <c r="N918" s="399" t="s">
        <v>1431</v>
      </c>
      <c r="O918" s="404"/>
      <c r="P918" s="711"/>
      <c r="Q918" s="1201"/>
    </row>
    <row r="919" spans="1:17" x14ac:dyDescent="0.2">
      <c r="A919" s="40">
        <v>5</v>
      </c>
      <c r="B919" s="44"/>
      <c r="C919" s="44"/>
      <c r="D919" s="48"/>
      <c r="E919" s="44"/>
      <c r="F919" s="40"/>
      <c r="G919" s="116" t="s">
        <v>58</v>
      </c>
      <c r="H919" s="37">
        <v>0</v>
      </c>
      <c r="I919" s="177">
        <v>0</v>
      </c>
      <c r="J919" s="177">
        <f>SUM(J923,J926,J929,J933,J936,J939,J942)</f>
        <v>1248.3</v>
      </c>
      <c r="K919" s="827">
        <f t="shared" ref="K919:L919" si="186">SUM(K923,K926,K929,K933,K936,K939,K942)</f>
        <v>4770.8</v>
      </c>
      <c r="L919" s="827">
        <f t="shared" si="186"/>
        <v>3435.3</v>
      </c>
      <c r="N919" s="399"/>
      <c r="O919" s="400"/>
      <c r="P919" s="361"/>
      <c r="Q919" s="786"/>
    </row>
    <row r="920" spans="1:17" x14ac:dyDescent="0.2">
      <c r="A920" s="40">
        <v>5</v>
      </c>
      <c r="B920" s="44"/>
      <c r="C920" s="44"/>
      <c r="D920" s="48"/>
      <c r="E920" s="44"/>
      <c r="F920" s="40"/>
      <c r="G920" s="116" t="s">
        <v>9</v>
      </c>
      <c r="H920" s="37"/>
      <c r="I920" s="177"/>
      <c r="J920" s="177">
        <f>J941</f>
        <v>30</v>
      </c>
      <c r="K920" s="827">
        <f t="shared" ref="K920:L920" si="187">K941</f>
        <v>298.2</v>
      </c>
      <c r="L920" s="827">
        <f t="shared" si="187"/>
        <v>298.2</v>
      </c>
      <c r="N920" s="399"/>
      <c r="O920" s="400"/>
      <c r="P920" s="361"/>
      <c r="Q920" s="786"/>
    </row>
    <row r="921" spans="1:17" x14ac:dyDescent="0.2">
      <c r="A921" s="40">
        <v>5</v>
      </c>
      <c r="B921" s="44"/>
      <c r="C921" s="44"/>
      <c r="D921" s="48"/>
      <c r="E921" s="44"/>
      <c r="F921" s="40"/>
      <c r="G921" s="296" t="s">
        <v>608</v>
      </c>
      <c r="H921" s="297">
        <f>SUM(H918:H919)</f>
        <v>0</v>
      </c>
      <c r="I921" s="297">
        <f>SUM(I918:I919)</f>
        <v>0</v>
      </c>
      <c r="J921" s="297">
        <f>SUM(J918:J920)</f>
        <v>1468.8999999999999</v>
      </c>
      <c r="K921" s="829">
        <f t="shared" ref="K921:L921" si="188">SUM(K918:K920)</f>
        <v>5632.9</v>
      </c>
      <c r="L921" s="829">
        <f t="shared" si="188"/>
        <v>4015.5</v>
      </c>
      <c r="N921" s="399"/>
      <c r="O921" s="400"/>
      <c r="P921" s="361"/>
      <c r="Q921" s="786"/>
    </row>
    <row r="922" spans="1:17" x14ac:dyDescent="0.2">
      <c r="A922" s="40">
        <v>5</v>
      </c>
      <c r="B922" s="44"/>
      <c r="C922" s="44" t="s">
        <v>1432</v>
      </c>
      <c r="D922" s="82" t="s">
        <v>1433</v>
      </c>
      <c r="E922" s="44" t="s">
        <v>191</v>
      </c>
      <c r="F922" s="40" t="s">
        <v>1434</v>
      </c>
      <c r="G922" s="192" t="s">
        <v>713</v>
      </c>
      <c r="H922" s="7"/>
      <c r="I922" s="63"/>
      <c r="J922" s="176">
        <v>157.6</v>
      </c>
      <c r="K922" s="7">
        <v>265.7</v>
      </c>
      <c r="L922" s="7">
        <v>100.6</v>
      </c>
      <c r="M922" s="38" t="s">
        <v>787</v>
      </c>
      <c r="N922" s="399" t="s">
        <v>1431</v>
      </c>
      <c r="O922" s="149" t="s">
        <v>2420</v>
      </c>
      <c r="P922" s="76">
        <v>5</v>
      </c>
      <c r="Q922" s="786"/>
    </row>
    <row r="923" spans="1:17" x14ac:dyDescent="0.2">
      <c r="A923" s="40">
        <v>5</v>
      </c>
      <c r="B923" s="44"/>
      <c r="C923" s="44"/>
      <c r="D923" s="82"/>
      <c r="E923" s="44" t="s">
        <v>191</v>
      </c>
      <c r="F923" s="40" t="s">
        <v>1434</v>
      </c>
      <c r="G923" s="192" t="s">
        <v>58</v>
      </c>
      <c r="H923" s="7"/>
      <c r="I923" s="63"/>
      <c r="J923" s="176">
        <v>893.3</v>
      </c>
      <c r="K923" s="7">
        <v>1505.8</v>
      </c>
      <c r="L923" s="7">
        <v>570.29999999999995</v>
      </c>
      <c r="N923" s="399"/>
      <c r="O923" s="400"/>
      <c r="P923" s="361"/>
      <c r="Q923" s="786"/>
    </row>
    <row r="924" spans="1:17" x14ac:dyDescent="0.2">
      <c r="A924" s="40">
        <v>5</v>
      </c>
      <c r="B924" s="44"/>
      <c r="C924" s="44"/>
      <c r="D924" s="82"/>
      <c r="E924" s="44"/>
      <c r="F924" s="40"/>
      <c r="G924" s="121" t="s">
        <v>608</v>
      </c>
      <c r="H924" s="123">
        <f>SUM(H922:H923)</f>
        <v>0</v>
      </c>
      <c r="I924" s="123">
        <f>SUM(I922:I923)</f>
        <v>0</v>
      </c>
      <c r="J924" s="123">
        <f t="shared" ref="J924:L924" si="189">SUM(J922:J923)</f>
        <v>1050.8999999999999</v>
      </c>
      <c r="K924" s="123">
        <f t="shared" si="189"/>
        <v>1771.5</v>
      </c>
      <c r="L924" s="123">
        <f t="shared" si="189"/>
        <v>670.9</v>
      </c>
      <c r="N924" s="399"/>
      <c r="O924" s="400"/>
      <c r="P924" s="361"/>
      <c r="Q924" s="786"/>
    </row>
    <row r="925" spans="1:17" ht="27" customHeight="1" x14ac:dyDescent="0.2">
      <c r="A925" s="40">
        <v>5</v>
      </c>
      <c r="B925" s="44"/>
      <c r="C925" s="44" t="s">
        <v>1435</v>
      </c>
      <c r="D925" s="82" t="s">
        <v>1436</v>
      </c>
      <c r="E925" s="44" t="s">
        <v>191</v>
      </c>
      <c r="F925" s="40" t="s">
        <v>1437</v>
      </c>
      <c r="G925" s="192" t="s">
        <v>713</v>
      </c>
      <c r="H925" s="7"/>
      <c r="I925" s="63"/>
      <c r="J925" s="176"/>
      <c r="K925" s="7">
        <v>45</v>
      </c>
      <c r="L925" s="7"/>
      <c r="M925" s="38" t="s">
        <v>787</v>
      </c>
      <c r="N925" s="399"/>
      <c r="O925" s="400"/>
      <c r="P925" s="361"/>
      <c r="Q925" s="786"/>
    </row>
    <row r="926" spans="1:17" x14ac:dyDescent="0.2">
      <c r="A926" s="40">
        <v>5</v>
      </c>
      <c r="B926" s="44"/>
      <c r="C926" s="44"/>
      <c r="D926" s="82"/>
      <c r="E926" s="44" t="s">
        <v>191</v>
      </c>
      <c r="F926" s="40" t="s">
        <v>1437</v>
      </c>
      <c r="G926" s="192" t="s">
        <v>58</v>
      </c>
      <c r="H926" s="7"/>
      <c r="I926" s="63"/>
      <c r="J926" s="176"/>
      <c r="K926" s="7">
        <v>250</v>
      </c>
      <c r="L926" s="7"/>
      <c r="N926" s="399"/>
      <c r="O926" s="400"/>
      <c r="P926" s="361"/>
      <c r="Q926" s="786"/>
    </row>
    <row r="927" spans="1:17" x14ac:dyDescent="0.2">
      <c r="A927" s="40">
        <v>5</v>
      </c>
      <c r="B927" s="44"/>
      <c r="C927" s="44"/>
      <c r="D927" s="82"/>
      <c r="E927" s="44"/>
      <c r="F927" s="40"/>
      <c r="G927" s="121" t="s">
        <v>608</v>
      </c>
      <c r="H927" s="123">
        <f>SUM(H925:H926)</f>
        <v>0</v>
      </c>
      <c r="I927" s="123">
        <f>SUM(I925:I926)</f>
        <v>0</v>
      </c>
      <c r="J927" s="123">
        <f t="shared" ref="J927:L927" si="190">SUM(J925:J926)</f>
        <v>0</v>
      </c>
      <c r="K927" s="123">
        <f t="shared" si="190"/>
        <v>295</v>
      </c>
      <c r="L927" s="123">
        <f t="shared" si="190"/>
        <v>0</v>
      </c>
      <c r="N927" s="399"/>
      <c r="O927" s="400"/>
      <c r="P927" s="361"/>
      <c r="Q927" s="786"/>
    </row>
    <row r="928" spans="1:17" ht="22.5" x14ac:dyDescent="0.2">
      <c r="A928" s="40">
        <v>5</v>
      </c>
      <c r="B928" s="44"/>
      <c r="C928" s="44" t="s">
        <v>1438</v>
      </c>
      <c r="D928" s="82" t="s">
        <v>1439</v>
      </c>
      <c r="E928" s="44" t="s">
        <v>191</v>
      </c>
      <c r="F928" s="40" t="s">
        <v>1440</v>
      </c>
      <c r="G928" s="192" t="s">
        <v>713</v>
      </c>
      <c r="H928" s="7"/>
      <c r="I928" s="63"/>
      <c r="J928" s="176">
        <v>18</v>
      </c>
      <c r="K928" s="7">
        <v>17.3</v>
      </c>
      <c r="L928" s="7"/>
      <c r="M928" s="38" t="s">
        <v>787</v>
      </c>
      <c r="N928" s="399" t="s">
        <v>1431</v>
      </c>
      <c r="O928" s="404" t="s">
        <v>2344</v>
      </c>
      <c r="P928" s="361">
        <v>20</v>
      </c>
      <c r="Q928" s="399" t="s">
        <v>799</v>
      </c>
    </row>
    <row r="929" spans="1:17" x14ac:dyDescent="0.2">
      <c r="A929" s="40">
        <v>5</v>
      </c>
      <c r="B929" s="44"/>
      <c r="C929" s="44"/>
      <c r="D929" s="82"/>
      <c r="E929" s="44" t="s">
        <v>191</v>
      </c>
      <c r="F929" s="40" t="s">
        <v>1440</v>
      </c>
      <c r="G929" s="192" t="s">
        <v>58</v>
      </c>
      <c r="H929" s="7"/>
      <c r="I929" s="63"/>
      <c r="J929" s="176">
        <v>100</v>
      </c>
      <c r="K929" s="7">
        <v>100</v>
      </c>
      <c r="L929" s="7"/>
      <c r="N929" s="399"/>
      <c r="O929" s="400"/>
      <c r="P929" s="361"/>
      <c r="Q929" s="399" t="s">
        <v>799</v>
      </c>
    </row>
    <row r="930" spans="1:17" ht="22.5" x14ac:dyDescent="0.2">
      <c r="A930" s="40">
        <v>5</v>
      </c>
      <c r="B930" s="44"/>
      <c r="C930" s="44"/>
      <c r="D930" s="82"/>
      <c r="E930" s="44" t="s">
        <v>585</v>
      </c>
      <c r="F930" s="40" t="s">
        <v>1440</v>
      </c>
      <c r="G930" s="298" t="s">
        <v>9</v>
      </c>
      <c r="H930" s="7"/>
      <c r="I930" s="63"/>
      <c r="J930" s="176">
        <f>18</f>
        <v>18</v>
      </c>
      <c r="K930" s="7"/>
      <c r="L930" s="7"/>
      <c r="N930" s="149" t="s">
        <v>698</v>
      </c>
      <c r="O930" s="300" t="s">
        <v>2523</v>
      </c>
      <c r="P930" s="76">
        <v>1</v>
      </c>
      <c r="Q930" s="399" t="s">
        <v>799</v>
      </c>
    </row>
    <row r="931" spans="1:17" x14ac:dyDescent="0.2">
      <c r="A931" s="40">
        <v>5</v>
      </c>
      <c r="B931" s="44"/>
      <c r="C931" s="44"/>
      <c r="D931" s="82"/>
      <c r="E931" s="44"/>
      <c r="F931" s="40"/>
      <c r="G931" s="121" t="s">
        <v>608</v>
      </c>
      <c r="H931" s="123">
        <f>SUM(H928:H929)</f>
        <v>0</v>
      </c>
      <c r="I931" s="123">
        <f>SUM(I928:I930)</f>
        <v>0</v>
      </c>
      <c r="J931" s="123">
        <f t="shared" ref="J931:L931" si="191">SUM(J928:J930)</f>
        <v>136</v>
      </c>
      <c r="K931" s="123">
        <f t="shared" si="191"/>
        <v>117.3</v>
      </c>
      <c r="L931" s="123">
        <f t="shared" si="191"/>
        <v>0</v>
      </c>
      <c r="N931" s="399"/>
      <c r="O931" s="400"/>
      <c r="P931" s="361"/>
      <c r="Q931" s="786"/>
    </row>
    <row r="932" spans="1:17" ht="24" customHeight="1" x14ac:dyDescent="0.2">
      <c r="A932" s="40">
        <v>5</v>
      </c>
      <c r="B932" s="44"/>
      <c r="C932" s="44" t="s">
        <v>1441</v>
      </c>
      <c r="D932" s="82" t="s">
        <v>1442</v>
      </c>
      <c r="E932" s="44" t="s">
        <v>191</v>
      </c>
      <c r="F932" s="40" t="s">
        <v>1443</v>
      </c>
      <c r="G932" s="192" t="s">
        <v>713</v>
      </c>
      <c r="H932" s="7"/>
      <c r="I932" s="63"/>
      <c r="J932" s="176"/>
      <c r="K932" s="7">
        <f>36/2</f>
        <v>18</v>
      </c>
      <c r="L932" s="7">
        <v>17.3</v>
      </c>
      <c r="M932" s="38" t="s">
        <v>787</v>
      </c>
      <c r="N932" s="399"/>
      <c r="O932" s="400"/>
      <c r="P932" s="361"/>
      <c r="Q932" s="786"/>
    </row>
    <row r="933" spans="1:17" x14ac:dyDescent="0.2">
      <c r="A933" s="40">
        <v>5</v>
      </c>
      <c r="B933" s="44"/>
      <c r="C933" s="44"/>
      <c r="D933" s="82"/>
      <c r="E933" s="44" t="s">
        <v>191</v>
      </c>
      <c r="F933" s="40" t="s">
        <v>1443</v>
      </c>
      <c r="G933" s="192" t="s">
        <v>58</v>
      </c>
      <c r="H933" s="7"/>
      <c r="I933" s="63"/>
      <c r="J933" s="176"/>
      <c r="K933" s="7">
        <v>100</v>
      </c>
      <c r="L933" s="7">
        <v>100</v>
      </c>
      <c r="N933" s="399"/>
      <c r="O933" s="400"/>
      <c r="P933" s="361"/>
      <c r="Q933" s="786"/>
    </row>
    <row r="934" spans="1:17" x14ac:dyDescent="0.2">
      <c r="A934" s="40">
        <v>5</v>
      </c>
      <c r="B934" s="44"/>
      <c r="C934" s="44"/>
      <c r="D934" s="82"/>
      <c r="E934" s="44"/>
      <c r="F934" s="40"/>
      <c r="G934" s="121" t="s">
        <v>608</v>
      </c>
      <c r="H934" s="123">
        <f>SUM(H932:H933)</f>
        <v>0</v>
      </c>
      <c r="I934" s="123">
        <f>SUM(I932:I933)</f>
        <v>0</v>
      </c>
      <c r="J934" s="123">
        <f t="shared" ref="J934:L934" si="192">SUM(J932:J933)</f>
        <v>0</v>
      </c>
      <c r="K934" s="123">
        <f t="shared" si="192"/>
        <v>118</v>
      </c>
      <c r="L934" s="123">
        <f t="shared" si="192"/>
        <v>117.3</v>
      </c>
      <c r="N934" s="399"/>
      <c r="O934" s="400"/>
      <c r="P934" s="361"/>
      <c r="Q934" s="786"/>
    </row>
    <row r="935" spans="1:17" ht="22.5" x14ac:dyDescent="0.2">
      <c r="A935" s="40">
        <v>5</v>
      </c>
      <c r="B935" s="44"/>
      <c r="C935" s="44" t="s">
        <v>1444</v>
      </c>
      <c r="D935" s="82" t="s">
        <v>1445</v>
      </c>
      <c r="E935" s="44" t="s">
        <v>191</v>
      </c>
      <c r="F935" s="40" t="s">
        <v>1446</v>
      </c>
      <c r="G935" s="192" t="s">
        <v>713</v>
      </c>
      <c r="H935" s="7"/>
      <c r="I935" s="63"/>
      <c r="J935" s="176">
        <v>15</v>
      </c>
      <c r="K935" s="7">
        <v>195.4</v>
      </c>
      <c r="L935" s="7">
        <v>142.5</v>
      </c>
      <c r="M935" s="38" t="s">
        <v>787</v>
      </c>
      <c r="N935" s="399" t="s">
        <v>1431</v>
      </c>
      <c r="O935" s="404" t="s">
        <v>2345</v>
      </c>
      <c r="P935" s="711">
        <v>1</v>
      </c>
      <c r="Q935" s="1201"/>
    </row>
    <row r="936" spans="1:17" x14ac:dyDescent="0.2">
      <c r="A936" s="40">
        <v>5</v>
      </c>
      <c r="B936" s="44"/>
      <c r="C936" s="44"/>
      <c r="D936" s="82"/>
      <c r="E936" s="44" t="s">
        <v>191</v>
      </c>
      <c r="F936" s="40" t="s">
        <v>1446</v>
      </c>
      <c r="G936" s="192" t="s">
        <v>58</v>
      </c>
      <c r="H936" s="7"/>
      <c r="I936" s="63"/>
      <c r="J936" s="176">
        <v>85</v>
      </c>
      <c r="K936" s="7">
        <v>1000</v>
      </c>
      <c r="L936" s="7">
        <v>950</v>
      </c>
      <c r="N936" s="399"/>
      <c r="O936" s="400"/>
      <c r="P936" s="361"/>
      <c r="Q936" s="786"/>
    </row>
    <row r="937" spans="1:17" x14ac:dyDescent="0.2">
      <c r="A937" s="40">
        <v>5</v>
      </c>
      <c r="B937" s="44"/>
      <c r="C937" s="44"/>
      <c r="D937" s="82"/>
      <c r="E937" s="44"/>
      <c r="F937" s="40"/>
      <c r="G937" s="121" t="s">
        <v>608</v>
      </c>
      <c r="H937" s="123">
        <f>SUM(H935:H936)</f>
        <v>0</v>
      </c>
      <c r="I937" s="123">
        <f>SUM(I935:I936)</f>
        <v>0</v>
      </c>
      <c r="J937" s="123">
        <f t="shared" ref="J937:L937" si="193">SUM(J935:J936)</f>
        <v>100</v>
      </c>
      <c r="K937" s="123">
        <f t="shared" si="193"/>
        <v>1195.4000000000001</v>
      </c>
      <c r="L937" s="123">
        <f t="shared" si="193"/>
        <v>1092.5</v>
      </c>
      <c r="N937" s="399"/>
      <c r="O937" s="400"/>
      <c r="P937" s="361"/>
      <c r="Q937" s="786"/>
    </row>
    <row r="938" spans="1:17" x14ac:dyDescent="0.2">
      <c r="A938" s="40">
        <v>5</v>
      </c>
      <c r="B938" s="44"/>
      <c r="C938" s="44" t="s">
        <v>1447</v>
      </c>
      <c r="D938" s="82" t="s">
        <v>1448</v>
      </c>
      <c r="E938" s="44" t="s">
        <v>191</v>
      </c>
      <c r="F938" s="40" t="s">
        <v>1449</v>
      </c>
      <c r="G938" s="192" t="s">
        <v>713</v>
      </c>
      <c r="H938" s="7"/>
      <c r="I938" s="63"/>
      <c r="J938" s="176"/>
      <c r="K938" s="7">
        <f>45/2</f>
        <v>22.5</v>
      </c>
      <c r="L938" s="7">
        <v>21.6</v>
      </c>
      <c r="M938" s="38" t="s">
        <v>787</v>
      </c>
      <c r="N938" s="399"/>
      <c r="O938" s="400"/>
      <c r="P938" s="361"/>
      <c r="Q938" s="786"/>
    </row>
    <row r="939" spans="1:17" x14ac:dyDescent="0.2">
      <c r="A939" s="40">
        <v>5</v>
      </c>
      <c r="B939" s="44"/>
      <c r="C939" s="44"/>
      <c r="D939" s="82"/>
      <c r="E939" s="44" t="s">
        <v>191</v>
      </c>
      <c r="F939" s="40" t="s">
        <v>1449</v>
      </c>
      <c r="G939" s="192" t="s">
        <v>58</v>
      </c>
      <c r="H939" s="7"/>
      <c r="I939" s="63"/>
      <c r="J939" s="176"/>
      <c r="K939" s="7">
        <f>250/2</f>
        <v>125</v>
      </c>
      <c r="L939" s="7">
        <f>250/2</f>
        <v>125</v>
      </c>
      <c r="N939" s="399"/>
      <c r="O939" s="400"/>
      <c r="P939" s="361"/>
      <c r="Q939" s="786"/>
    </row>
    <row r="940" spans="1:17" x14ac:dyDescent="0.2">
      <c r="A940" s="40">
        <v>5</v>
      </c>
      <c r="B940" s="44"/>
      <c r="C940" s="44"/>
      <c r="D940" s="82"/>
      <c r="E940" s="44"/>
      <c r="F940" s="40"/>
      <c r="G940" s="121" t="s">
        <v>608</v>
      </c>
      <c r="H940" s="123">
        <f>SUM(H938:H939)</f>
        <v>0</v>
      </c>
      <c r="I940" s="123">
        <f>SUM(I938:I939)</f>
        <v>0</v>
      </c>
      <c r="J940" s="123">
        <f t="shared" ref="J940:L940" si="194">SUM(J938:J939)</f>
        <v>0</v>
      </c>
      <c r="K940" s="123">
        <f t="shared" si="194"/>
        <v>147.5</v>
      </c>
      <c r="L940" s="123">
        <f t="shared" si="194"/>
        <v>146.6</v>
      </c>
      <c r="N940" s="399"/>
      <c r="O940" s="400"/>
      <c r="P940" s="361"/>
      <c r="Q940" s="786"/>
    </row>
    <row r="941" spans="1:17" ht="22.5" x14ac:dyDescent="0.2">
      <c r="A941" s="40">
        <v>5</v>
      </c>
      <c r="B941" s="44"/>
      <c r="C941" s="44" t="s">
        <v>1450</v>
      </c>
      <c r="D941" s="82" t="s">
        <v>1451</v>
      </c>
      <c r="E941" s="44" t="s">
        <v>220</v>
      </c>
      <c r="F941" s="40" t="s">
        <v>1452</v>
      </c>
      <c r="G941" s="192" t="s">
        <v>9</v>
      </c>
      <c r="H941" s="7"/>
      <c r="I941" s="63"/>
      <c r="J941" s="176">
        <v>30</v>
      </c>
      <c r="K941" s="7">
        <v>298.2</v>
      </c>
      <c r="L941" s="7">
        <v>298.2</v>
      </c>
      <c r="M941" s="38" t="s">
        <v>787</v>
      </c>
      <c r="N941" s="399"/>
      <c r="O941" s="400"/>
      <c r="P941" s="361"/>
      <c r="Q941" s="399" t="s">
        <v>799</v>
      </c>
    </row>
    <row r="942" spans="1:17" x14ac:dyDescent="0.2">
      <c r="A942" s="40">
        <v>5</v>
      </c>
      <c r="B942" s="44"/>
      <c r="C942" s="44"/>
      <c r="D942" s="82"/>
      <c r="E942" s="44" t="s">
        <v>220</v>
      </c>
      <c r="F942" s="40" t="s">
        <v>1452</v>
      </c>
      <c r="G942" s="192" t="s">
        <v>58</v>
      </c>
      <c r="H942" s="7"/>
      <c r="I942" s="63"/>
      <c r="J942" s="176">
        <v>170</v>
      </c>
      <c r="K942" s="7">
        <v>1690</v>
      </c>
      <c r="L942" s="7">
        <v>1690</v>
      </c>
      <c r="N942" s="399"/>
      <c r="O942" s="400"/>
      <c r="P942" s="361"/>
      <c r="Q942" s="786"/>
    </row>
    <row r="943" spans="1:17" x14ac:dyDescent="0.2">
      <c r="A943" s="40">
        <v>5</v>
      </c>
      <c r="B943" s="44"/>
      <c r="C943" s="44"/>
      <c r="D943" s="82"/>
      <c r="E943" s="44"/>
      <c r="F943" s="40"/>
      <c r="G943" s="121" t="s">
        <v>608</v>
      </c>
      <c r="H943" s="123">
        <f>SUM(H941:H942)</f>
        <v>0</v>
      </c>
      <c r="I943" s="123">
        <f>SUM(I941:I942)</f>
        <v>0</v>
      </c>
      <c r="J943" s="123">
        <f t="shared" ref="J943:L943" si="195">SUM(J941:J942)</f>
        <v>200</v>
      </c>
      <c r="K943" s="123">
        <f t="shared" si="195"/>
        <v>1988.2</v>
      </c>
      <c r="L943" s="123">
        <f t="shared" si="195"/>
        <v>1988.2</v>
      </c>
      <c r="N943" s="399"/>
      <c r="O943" s="400"/>
      <c r="P943" s="361"/>
      <c r="Q943" s="786"/>
    </row>
    <row r="944" spans="1:17" ht="22.5" x14ac:dyDescent="0.2">
      <c r="A944" s="40">
        <v>5</v>
      </c>
      <c r="B944" s="394"/>
      <c r="C944" s="394"/>
      <c r="D944" s="108" t="s">
        <v>1453</v>
      </c>
      <c r="E944" s="109"/>
      <c r="F944" s="110"/>
      <c r="G944" s="109"/>
      <c r="H944" s="109"/>
      <c r="I944" s="109"/>
      <c r="J944" s="109"/>
      <c r="K944" s="109"/>
      <c r="L944" s="109"/>
      <c r="N944" s="399"/>
      <c r="O944" s="400"/>
      <c r="P944" s="361"/>
      <c r="Q944" s="786"/>
    </row>
    <row r="945" spans="1:17" ht="22.5" x14ac:dyDescent="0.2">
      <c r="A945" s="40">
        <v>5</v>
      </c>
      <c r="B945" s="395" t="s">
        <v>1454</v>
      </c>
      <c r="C945" s="395" t="s">
        <v>1454</v>
      </c>
      <c r="D945" s="396" t="s">
        <v>269</v>
      </c>
      <c r="E945" s="397">
        <v>7</v>
      </c>
      <c r="F945" s="40" t="s">
        <v>270</v>
      </c>
      <c r="G945" s="53" t="s">
        <v>11</v>
      </c>
      <c r="H945" s="37">
        <v>107.2</v>
      </c>
      <c r="I945" s="16">
        <v>77.900000000000006</v>
      </c>
      <c r="J945" s="116">
        <v>77.2</v>
      </c>
      <c r="K945" s="37">
        <v>77.2</v>
      </c>
      <c r="L945" s="37">
        <v>77.2</v>
      </c>
      <c r="N945" s="406" t="s">
        <v>1412</v>
      </c>
      <c r="O945" s="400" t="s">
        <v>1455</v>
      </c>
      <c r="P945" s="73">
        <v>5</v>
      </c>
      <c r="Q945" s="786"/>
    </row>
    <row r="946" spans="1:17" x14ac:dyDescent="0.2">
      <c r="A946" s="40">
        <v>5</v>
      </c>
      <c r="B946" s="44"/>
      <c r="C946" s="44"/>
      <c r="D946" s="48"/>
      <c r="E946" s="397"/>
      <c r="F946" s="40" t="s">
        <v>270</v>
      </c>
      <c r="G946" s="121" t="s">
        <v>608</v>
      </c>
      <c r="H946" s="123">
        <f>SUM(H945:H945)</f>
        <v>107.2</v>
      </c>
      <c r="I946" s="123">
        <f>SUM(I945:I945)</f>
        <v>77.900000000000006</v>
      </c>
      <c r="J946" s="123">
        <f>SUM(J945:J945)</f>
        <v>77.2</v>
      </c>
      <c r="K946" s="123">
        <f>SUM(K945:K945)</f>
        <v>77.2</v>
      </c>
      <c r="L946" s="123">
        <f>SUM(L945:L945)</f>
        <v>77.2</v>
      </c>
      <c r="N946" s="399"/>
      <c r="O946" s="400"/>
      <c r="P946" s="361"/>
      <c r="Q946" s="786"/>
    </row>
    <row r="947" spans="1:17" ht="22.5" x14ac:dyDescent="0.2">
      <c r="A947" s="40">
        <v>5</v>
      </c>
      <c r="B947" s="395" t="s">
        <v>1456</v>
      </c>
      <c r="C947" s="395" t="s">
        <v>1456</v>
      </c>
      <c r="D947" s="396" t="s">
        <v>1308</v>
      </c>
      <c r="E947" s="397"/>
      <c r="F947" s="40"/>
      <c r="G947" s="81"/>
      <c r="H947" s="37"/>
      <c r="I947" s="144">
        <f>SUM(I952,I957)</f>
        <v>287.8</v>
      </c>
      <c r="J947" s="144">
        <f>SUM(J952,J957)</f>
        <v>342.5</v>
      </c>
      <c r="K947" s="144">
        <f>SUM(K952,K957)</f>
        <v>334</v>
      </c>
      <c r="L947" s="144">
        <f>SUM(L952,L957)</f>
        <v>338.6</v>
      </c>
      <c r="N947" s="406" t="s">
        <v>1457</v>
      </c>
      <c r="O947" s="189" t="s">
        <v>1458</v>
      </c>
      <c r="P947" s="73">
        <v>11</v>
      </c>
      <c r="Q947" s="786"/>
    </row>
    <row r="948" spans="1:17" ht="22.5" x14ac:dyDescent="0.2">
      <c r="A948" s="40">
        <v>5</v>
      </c>
      <c r="B948" s="44"/>
      <c r="C948" s="44" t="s">
        <v>1459</v>
      </c>
      <c r="D948" s="48" t="s">
        <v>271</v>
      </c>
      <c r="E948" s="44" t="s">
        <v>272</v>
      </c>
      <c r="F948" s="40" t="s">
        <v>273</v>
      </c>
      <c r="G948" s="40" t="s">
        <v>9</v>
      </c>
      <c r="H948" s="16">
        <v>25</v>
      </c>
      <c r="I948" s="16">
        <v>22</v>
      </c>
      <c r="J948" s="116">
        <v>22.5</v>
      </c>
      <c r="K948" s="16">
        <v>22.5</v>
      </c>
      <c r="L948" s="16">
        <v>22.5</v>
      </c>
      <c r="M948" s="38" t="s">
        <v>796</v>
      </c>
      <c r="N948" s="406" t="s">
        <v>1457</v>
      </c>
      <c r="O948" s="189" t="s">
        <v>1460</v>
      </c>
      <c r="P948" s="73">
        <v>10</v>
      </c>
      <c r="Q948" s="786"/>
    </row>
    <row r="949" spans="1:17" x14ac:dyDescent="0.2">
      <c r="A949" s="40">
        <v>5</v>
      </c>
      <c r="B949" s="44"/>
      <c r="C949" s="44"/>
      <c r="D949" s="48"/>
      <c r="E949" s="44" t="s">
        <v>272</v>
      </c>
      <c r="F949" s="40" t="s">
        <v>273</v>
      </c>
      <c r="G949" s="40" t="s">
        <v>11</v>
      </c>
      <c r="H949" s="16"/>
      <c r="I949" s="16"/>
      <c r="J949" s="116"/>
      <c r="K949" s="16"/>
      <c r="L949" s="16"/>
      <c r="N949" s="406" t="s">
        <v>1457</v>
      </c>
      <c r="O949" s="189" t="s">
        <v>1461</v>
      </c>
      <c r="P949" s="73">
        <v>10</v>
      </c>
      <c r="Q949" s="786"/>
    </row>
    <row r="950" spans="1:17" ht="22.5" x14ac:dyDescent="0.2">
      <c r="A950" s="40">
        <v>5</v>
      </c>
      <c r="B950" s="44"/>
      <c r="C950" s="44"/>
      <c r="D950" s="48"/>
      <c r="E950" s="44" t="s">
        <v>274</v>
      </c>
      <c r="F950" s="40" t="s">
        <v>273</v>
      </c>
      <c r="G950" s="40" t="s">
        <v>9</v>
      </c>
      <c r="H950" s="16">
        <f>20+5</f>
        <v>25</v>
      </c>
      <c r="I950" s="16">
        <v>21.1</v>
      </c>
      <c r="J950" s="116">
        <f>22.5+20</f>
        <v>42.5</v>
      </c>
      <c r="K950" s="16">
        <v>22.5</v>
      </c>
      <c r="L950" s="16">
        <v>22.5</v>
      </c>
      <c r="M950" s="38" t="s">
        <v>796</v>
      </c>
      <c r="N950" s="406" t="s">
        <v>1457</v>
      </c>
      <c r="O950" s="189" t="s">
        <v>1462</v>
      </c>
      <c r="P950" s="73">
        <v>46</v>
      </c>
      <c r="Q950" s="786"/>
    </row>
    <row r="951" spans="1:17" ht="33.75" x14ac:dyDescent="0.2">
      <c r="A951" s="40">
        <v>5</v>
      </c>
      <c r="B951" s="44"/>
      <c r="C951" s="44"/>
      <c r="D951" s="48"/>
      <c r="E951" s="44" t="s">
        <v>274</v>
      </c>
      <c r="F951" s="40" t="s">
        <v>273</v>
      </c>
      <c r="G951" s="40" t="s">
        <v>11</v>
      </c>
      <c r="H951" s="16"/>
      <c r="I951" s="16"/>
      <c r="J951" s="116"/>
      <c r="K951" s="16"/>
      <c r="L951" s="16"/>
      <c r="N951" s="406" t="s">
        <v>1457</v>
      </c>
      <c r="O951" s="189" t="s">
        <v>1463</v>
      </c>
      <c r="P951" s="73">
        <v>21</v>
      </c>
      <c r="Q951" s="786"/>
    </row>
    <row r="952" spans="1:17" x14ac:dyDescent="0.2">
      <c r="A952" s="40">
        <v>5</v>
      </c>
      <c r="B952" s="44"/>
      <c r="C952" s="44"/>
      <c r="D952" s="48"/>
      <c r="E952" s="44"/>
      <c r="F952" s="40" t="s">
        <v>273</v>
      </c>
      <c r="G952" s="121" t="s">
        <v>608</v>
      </c>
      <c r="H952" s="123">
        <f>SUM(H948:H951)</f>
        <v>50</v>
      </c>
      <c r="I952" s="123">
        <f>SUM(I948:I951)</f>
        <v>43.1</v>
      </c>
      <c r="J952" s="123">
        <f t="shared" ref="J952:L952" si="196">SUM(J948:J951)</f>
        <v>65</v>
      </c>
      <c r="K952" s="123">
        <f t="shared" si="196"/>
        <v>45</v>
      </c>
      <c r="L952" s="123">
        <f t="shared" si="196"/>
        <v>45</v>
      </c>
      <c r="N952" s="399"/>
      <c r="O952" s="400"/>
      <c r="P952" s="361"/>
      <c r="Q952" s="786"/>
    </row>
    <row r="953" spans="1:17" ht="28.5" customHeight="1" x14ac:dyDescent="0.2">
      <c r="A953" s="40">
        <v>5</v>
      </c>
      <c r="B953" s="44"/>
      <c r="C953" s="44" t="s">
        <v>1459</v>
      </c>
      <c r="D953" s="48" t="s">
        <v>275</v>
      </c>
      <c r="E953" s="71" t="s">
        <v>274</v>
      </c>
      <c r="F953" s="40" t="s">
        <v>276</v>
      </c>
      <c r="G953" s="40" t="s">
        <v>9</v>
      </c>
      <c r="H953" s="16">
        <v>236</v>
      </c>
      <c r="I953" s="16">
        <v>244.1</v>
      </c>
      <c r="J953" s="116">
        <v>276.5</v>
      </c>
      <c r="K953" s="37">
        <v>288</v>
      </c>
      <c r="L953" s="37">
        <v>292.60000000000002</v>
      </c>
      <c r="M953" s="38" t="s">
        <v>739</v>
      </c>
      <c r="N953" s="399" t="s">
        <v>1464</v>
      </c>
      <c r="O953" s="400"/>
      <c r="P953" s="361"/>
      <c r="Q953" s="786"/>
    </row>
    <row r="954" spans="1:17" x14ac:dyDescent="0.2">
      <c r="A954" s="40">
        <v>5</v>
      </c>
      <c r="B954" s="44"/>
      <c r="C954" s="44"/>
      <c r="D954" s="48"/>
      <c r="E954" s="71" t="s">
        <v>274</v>
      </c>
      <c r="F954" s="40" t="s">
        <v>276</v>
      </c>
      <c r="G954" s="69" t="s">
        <v>11</v>
      </c>
      <c r="H954" s="16"/>
      <c r="I954" s="16"/>
      <c r="J954" s="116"/>
      <c r="K954" s="16"/>
      <c r="L954" s="16"/>
      <c r="N954" s="399"/>
      <c r="O954" s="400"/>
      <c r="P954" s="361"/>
      <c r="Q954" s="786"/>
    </row>
    <row r="955" spans="1:17" x14ac:dyDescent="0.2">
      <c r="A955" s="40">
        <v>5</v>
      </c>
      <c r="B955" s="44"/>
      <c r="C955" s="44"/>
      <c r="D955" s="48"/>
      <c r="E955" s="71" t="s">
        <v>274</v>
      </c>
      <c r="F955" s="40" t="s">
        <v>276</v>
      </c>
      <c r="G955" s="69" t="s">
        <v>99</v>
      </c>
      <c r="H955" s="16">
        <f>51.7</f>
        <v>51.7</v>
      </c>
      <c r="I955" s="16"/>
      <c r="J955" s="116"/>
      <c r="K955" s="16"/>
      <c r="L955" s="16"/>
      <c r="N955" s="399"/>
      <c r="O955" s="400"/>
      <c r="P955" s="361"/>
      <c r="Q955" s="786"/>
    </row>
    <row r="956" spans="1:17" x14ac:dyDescent="0.2">
      <c r="A956" s="40">
        <v>5</v>
      </c>
      <c r="B956" s="44"/>
      <c r="C956" s="44"/>
      <c r="D956" s="48"/>
      <c r="E956" s="71" t="s">
        <v>274</v>
      </c>
      <c r="F956" s="40" t="s">
        <v>276</v>
      </c>
      <c r="G956" s="69" t="s">
        <v>12</v>
      </c>
      <c r="H956" s="16">
        <v>0.5</v>
      </c>
      <c r="I956" s="16">
        <v>0.6</v>
      </c>
      <c r="J956" s="116">
        <v>1</v>
      </c>
      <c r="K956" s="37">
        <v>1</v>
      </c>
      <c r="L956" s="37">
        <v>1</v>
      </c>
      <c r="N956" s="399"/>
      <c r="O956" s="400"/>
      <c r="P956" s="361"/>
      <c r="Q956" s="786"/>
    </row>
    <row r="957" spans="1:17" x14ac:dyDescent="0.2">
      <c r="A957" s="40">
        <v>5</v>
      </c>
      <c r="B957" s="44"/>
      <c r="C957" s="44"/>
      <c r="D957" s="48"/>
      <c r="E957" s="71"/>
      <c r="F957" s="40" t="s">
        <v>276</v>
      </c>
      <c r="G957" s="121" t="s">
        <v>608</v>
      </c>
      <c r="H957" s="123">
        <f>SUM(H953:H956)</f>
        <v>288.2</v>
      </c>
      <c r="I957" s="123">
        <f>SUM(I953:I956)</f>
        <v>244.7</v>
      </c>
      <c r="J957" s="123">
        <f t="shared" ref="J957:L957" si="197">SUM(J953:J956)</f>
        <v>277.5</v>
      </c>
      <c r="K957" s="123">
        <f t="shared" si="197"/>
        <v>289</v>
      </c>
      <c r="L957" s="123">
        <f t="shared" si="197"/>
        <v>293.60000000000002</v>
      </c>
      <c r="N957" s="399"/>
      <c r="O957" s="400"/>
      <c r="P957" s="361"/>
      <c r="Q957" s="786"/>
    </row>
    <row r="958" spans="1:17" ht="33.75" x14ac:dyDescent="0.2">
      <c r="A958" s="40">
        <v>5</v>
      </c>
      <c r="B958" s="394"/>
      <c r="C958" s="394"/>
      <c r="D958" s="108" t="s">
        <v>1465</v>
      </c>
      <c r="E958" s="109"/>
      <c r="F958" s="110"/>
      <c r="G958" s="109"/>
      <c r="H958" s="109"/>
      <c r="I958" s="109"/>
      <c r="J958" s="109"/>
      <c r="K958" s="109"/>
      <c r="L958" s="109"/>
      <c r="N958" s="399"/>
      <c r="O958" s="400"/>
      <c r="P958" s="361"/>
      <c r="Q958" s="786"/>
    </row>
    <row r="959" spans="1:17" ht="33.75" x14ac:dyDescent="0.2">
      <c r="A959" s="40">
        <v>5</v>
      </c>
      <c r="B959" s="142" t="s">
        <v>1466</v>
      </c>
      <c r="C959" s="142" t="s">
        <v>1466</v>
      </c>
      <c r="D959" s="191" t="s">
        <v>277</v>
      </c>
      <c r="E959" s="71"/>
      <c r="F959" s="40"/>
      <c r="G959" s="81"/>
      <c r="H959" s="37"/>
      <c r="I959" s="144">
        <f>SUM(I962,I964,I966,I977,I980)</f>
        <v>851.6</v>
      </c>
      <c r="J959" s="144">
        <f t="shared" ref="J959:L959" si="198">SUM(J962,J964,J966,J977,J980)</f>
        <v>504.6</v>
      </c>
      <c r="K959" s="144">
        <f t="shared" si="198"/>
        <v>546.6</v>
      </c>
      <c r="L959" s="144">
        <f t="shared" si="198"/>
        <v>471.5</v>
      </c>
      <c r="N959" s="406" t="s">
        <v>1467</v>
      </c>
      <c r="O959" s="412" t="s">
        <v>1468</v>
      </c>
      <c r="P959" s="73">
        <v>43</v>
      </c>
      <c r="Q959" s="786"/>
    </row>
    <row r="960" spans="1:17" ht="22.5" x14ac:dyDescent="0.2">
      <c r="A960" s="40">
        <v>5</v>
      </c>
      <c r="B960" s="44"/>
      <c r="C960" s="44" t="s">
        <v>1469</v>
      </c>
      <c r="D960" s="48" t="s">
        <v>278</v>
      </c>
      <c r="E960" s="44" t="s">
        <v>1470</v>
      </c>
      <c r="F960" s="40" t="s">
        <v>279</v>
      </c>
      <c r="G960" s="40" t="s">
        <v>99</v>
      </c>
      <c r="H960" s="16"/>
      <c r="I960" s="16"/>
      <c r="J960" s="116"/>
      <c r="K960" s="16"/>
      <c r="L960" s="16"/>
      <c r="N960" s="406" t="s">
        <v>1467</v>
      </c>
      <c r="O960" s="413" t="s">
        <v>1471</v>
      </c>
      <c r="P960" s="73">
        <v>43</v>
      </c>
      <c r="Q960" s="786"/>
    </row>
    <row r="961" spans="1:17" ht="33.75" x14ac:dyDescent="0.2">
      <c r="A961" s="40">
        <v>5</v>
      </c>
      <c r="B961" s="44"/>
      <c r="C961" s="44"/>
      <c r="D961" s="48"/>
      <c r="E961" s="44" t="s">
        <v>1470</v>
      </c>
      <c r="F961" s="40" t="s">
        <v>279</v>
      </c>
      <c r="G961" s="40" t="s">
        <v>9</v>
      </c>
      <c r="H961" s="37">
        <f>160-8.7</f>
        <v>151.30000000000001</v>
      </c>
      <c r="I961" s="16">
        <v>160.30000000000001</v>
      </c>
      <c r="J961" s="116">
        <f>200-19</f>
        <v>181</v>
      </c>
      <c r="K961" s="37">
        <v>190</v>
      </c>
      <c r="L961" s="37">
        <v>190</v>
      </c>
      <c r="M961" s="38" t="s">
        <v>796</v>
      </c>
      <c r="N961" s="406" t="s">
        <v>1467</v>
      </c>
      <c r="O961" s="412" t="s">
        <v>1472</v>
      </c>
      <c r="P961" s="73">
        <v>2</v>
      </c>
      <c r="Q961" s="786"/>
    </row>
    <row r="962" spans="1:17" ht="33.75" x14ac:dyDescent="0.2">
      <c r="A962" s="40">
        <v>5</v>
      </c>
      <c r="B962" s="44"/>
      <c r="C962" s="44"/>
      <c r="D962" s="48"/>
      <c r="E962" s="44"/>
      <c r="F962" s="40" t="s">
        <v>279</v>
      </c>
      <c r="G962" s="121" t="s">
        <v>608</v>
      </c>
      <c r="H962" s="123">
        <f>SUM(H960:H961)</f>
        <v>151.30000000000001</v>
      </c>
      <c r="I962" s="123">
        <f>SUM(I960:I961)</f>
        <v>160.30000000000001</v>
      </c>
      <c r="J962" s="123">
        <f t="shared" ref="J962:L962" si="199">SUM(J960:J961)</f>
        <v>181</v>
      </c>
      <c r="K962" s="123">
        <f t="shared" si="199"/>
        <v>190</v>
      </c>
      <c r="L962" s="123">
        <f t="shared" si="199"/>
        <v>190</v>
      </c>
      <c r="N962" s="406" t="s">
        <v>1467</v>
      </c>
      <c r="O962" s="412" t="s">
        <v>1473</v>
      </c>
      <c r="P962" s="73">
        <v>9</v>
      </c>
      <c r="Q962" s="786"/>
    </row>
    <row r="963" spans="1:17" ht="22.5" x14ac:dyDescent="0.2">
      <c r="A963" s="40">
        <v>5</v>
      </c>
      <c r="B963" s="44"/>
      <c r="C963" s="44" t="s">
        <v>1474</v>
      </c>
      <c r="D963" s="48" t="s">
        <v>280</v>
      </c>
      <c r="E963" s="71">
        <v>8</v>
      </c>
      <c r="F963" s="40" t="s">
        <v>281</v>
      </c>
      <c r="G963" s="69" t="s">
        <v>11</v>
      </c>
      <c r="H963" s="16">
        <f>45+1.7</f>
        <v>46.7</v>
      </c>
      <c r="I963" s="16">
        <v>48.5</v>
      </c>
      <c r="J963" s="116">
        <v>49.6</v>
      </c>
      <c r="K963" s="16">
        <v>49.6</v>
      </c>
      <c r="L963" s="16">
        <v>49.6</v>
      </c>
      <c r="N963" s="406" t="s">
        <v>1467</v>
      </c>
      <c r="O963" s="413" t="s">
        <v>1475</v>
      </c>
      <c r="P963" s="73">
        <v>12</v>
      </c>
      <c r="Q963" s="786"/>
    </row>
    <row r="964" spans="1:17" x14ac:dyDescent="0.2">
      <c r="A964" s="40">
        <v>5</v>
      </c>
      <c r="B964" s="44"/>
      <c r="C964" s="44"/>
      <c r="D964" s="48"/>
      <c r="E964" s="71"/>
      <c r="F964" s="399"/>
      <c r="G964" s="121" t="s">
        <v>608</v>
      </c>
      <c r="H964" s="123">
        <f>SUM(H963)</f>
        <v>46.7</v>
      </c>
      <c r="I964" s="123">
        <f>SUM(I963)</f>
        <v>48.5</v>
      </c>
      <c r="J964" s="123">
        <f t="shared" ref="J964:L964" si="200">SUM(J963)</f>
        <v>49.6</v>
      </c>
      <c r="K964" s="123">
        <f t="shared" si="200"/>
        <v>49.6</v>
      </c>
      <c r="L964" s="123">
        <f t="shared" si="200"/>
        <v>49.6</v>
      </c>
      <c r="N964" s="406"/>
      <c r="O964" s="189"/>
      <c r="P964" s="73"/>
      <c r="Q964" s="786"/>
    </row>
    <row r="965" spans="1:17" ht="56.25" x14ac:dyDescent="0.2">
      <c r="A965" s="40">
        <v>5</v>
      </c>
      <c r="B965" s="44"/>
      <c r="C965" s="44" t="s">
        <v>1476</v>
      </c>
      <c r="D965" s="48" t="s">
        <v>2429</v>
      </c>
      <c r="E965" s="44" t="s">
        <v>1470</v>
      </c>
      <c r="F965" s="40" t="s">
        <v>282</v>
      </c>
      <c r="G965" s="37" t="s">
        <v>9</v>
      </c>
      <c r="H965" s="37">
        <f>263.3+75+60+51.9+56.5</f>
        <v>506.7</v>
      </c>
      <c r="I965" s="16">
        <f>I967+I968+I969+I970+I972+I973+I974+I971</f>
        <v>467.9</v>
      </c>
      <c r="J965" s="116">
        <f t="shared" ref="J965:L965" si="201">J967+J968+J969+J970+J972+J973+J974+J971</f>
        <v>60</v>
      </c>
      <c r="K965" s="116">
        <f t="shared" si="201"/>
        <v>0</v>
      </c>
      <c r="L965" s="116">
        <f t="shared" si="201"/>
        <v>0</v>
      </c>
      <c r="M965" s="38" t="s">
        <v>796</v>
      </c>
      <c r="N965" s="406" t="s">
        <v>1467</v>
      </c>
      <c r="O965" s="413" t="s">
        <v>1477</v>
      </c>
      <c r="P965" s="40">
        <v>2</v>
      </c>
      <c r="Q965" s="786"/>
    </row>
    <row r="966" spans="1:17" x14ac:dyDescent="0.2">
      <c r="A966" s="40">
        <v>5</v>
      </c>
      <c r="B966" s="44"/>
      <c r="C966" s="44"/>
      <c r="D966" s="48"/>
      <c r="E966" s="44"/>
      <c r="F966" s="40" t="s">
        <v>282</v>
      </c>
      <c r="G966" s="121" t="s">
        <v>608</v>
      </c>
      <c r="H966" s="123">
        <f>SUM(H965)</f>
        <v>506.7</v>
      </c>
      <c r="I966" s="123">
        <f>SUM(I965)</f>
        <v>467.9</v>
      </c>
      <c r="J966" s="123">
        <f t="shared" ref="J966:L966" si="202">SUM(J965)</f>
        <v>60</v>
      </c>
      <c r="K966" s="123">
        <f t="shared" si="202"/>
        <v>0</v>
      </c>
      <c r="L966" s="123">
        <f t="shared" si="202"/>
        <v>0</v>
      </c>
      <c r="N966" s="406" t="s">
        <v>1467</v>
      </c>
      <c r="O966" s="189"/>
      <c r="P966" s="361"/>
      <c r="Q966" s="786"/>
    </row>
    <row r="967" spans="1:17" x14ac:dyDescent="0.2">
      <c r="A967" s="40">
        <v>5</v>
      </c>
      <c r="B967" s="44"/>
      <c r="C967" s="44" t="s">
        <v>1478</v>
      </c>
      <c r="D967" s="323" t="s">
        <v>1479</v>
      </c>
      <c r="E967" s="44" t="s">
        <v>1470</v>
      </c>
      <c r="F967" s="40"/>
      <c r="G967" s="298" t="s">
        <v>9</v>
      </c>
      <c r="H967" s="37"/>
      <c r="I967" s="63">
        <f>51.9+62.5</f>
        <v>114.4</v>
      </c>
      <c r="J967" s="116"/>
      <c r="K967" s="37"/>
      <c r="L967" s="37"/>
      <c r="N967" s="406" t="s">
        <v>1467</v>
      </c>
      <c r="O967" s="400"/>
      <c r="P967" s="361"/>
      <c r="Q967" s="399" t="s">
        <v>878</v>
      </c>
    </row>
    <row r="968" spans="1:17" x14ac:dyDescent="0.2">
      <c r="A968" s="40">
        <v>5</v>
      </c>
      <c r="B968" s="44"/>
      <c r="C968" s="44" t="s">
        <v>1480</v>
      </c>
      <c r="D968" s="323" t="s">
        <v>1481</v>
      </c>
      <c r="E968" s="44" t="s">
        <v>1470</v>
      </c>
      <c r="F968" s="40"/>
      <c r="G968" s="298" t="s">
        <v>9</v>
      </c>
      <c r="H968" s="37"/>
      <c r="I968" s="63">
        <v>156</v>
      </c>
      <c r="J968" s="116"/>
      <c r="K968" s="37"/>
      <c r="L968" s="37"/>
      <c r="N968" s="406" t="s">
        <v>1467</v>
      </c>
      <c r="O968" s="400"/>
      <c r="P968" s="361"/>
      <c r="Q968" s="399" t="s">
        <v>912</v>
      </c>
    </row>
    <row r="969" spans="1:17" x14ac:dyDescent="0.2">
      <c r="A969" s="40">
        <v>5</v>
      </c>
      <c r="B969" s="44"/>
      <c r="C969" s="44" t="s">
        <v>1482</v>
      </c>
      <c r="D969" s="323" t="s">
        <v>1483</v>
      </c>
      <c r="E969" s="44" t="s">
        <v>1470</v>
      </c>
      <c r="F969" s="40"/>
      <c r="G969" s="298" t="s">
        <v>9</v>
      </c>
      <c r="H969" s="37"/>
      <c r="I969" s="63">
        <v>28.8</v>
      </c>
      <c r="J969" s="116"/>
      <c r="K969" s="37"/>
      <c r="L969" s="37"/>
      <c r="N969" s="406" t="s">
        <v>1467</v>
      </c>
      <c r="O969" s="400"/>
      <c r="P969" s="361"/>
      <c r="Q969" s="399" t="s">
        <v>886</v>
      </c>
    </row>
    <row r="970" spans="1:17" x14ac:dyDescent="0.2">
      <c r="A970" s="40">
        <v>5</v>
      </c>
      <c r="B970" s="44"/>
      <c r="C970" s="44" t="s">
        <v>1484</v>
      </c>
      <c r="D970" s="323" t="s">
        <v>1485</v>
      </c>
      <c r="E970" s="44" t="s">
        <v>1470</v>
      </c>
      <c r="F970" s="40"/>
      <c r="G970" s="298" t="s">
        <v>9</v>
      </c>
      <c r="H970" s="37"/>
      <c r="I970" s="63">
        <v>33</v>
      </c>
      <c r="J970" s="116"/>
      <c r="K970" s="37"/>
      <c r="L970" s="37"/>
      <c r="N970" s="406" t="s">
        <v>1467</v>
      </c>
      <c r="O970" s="400"/>
      <c r="P970" s="361"/>
      <c r="Q970" s="399" t="s">
        <v>878</v>
      </c>
    </row>
    <row r="971" spans="1:17" x14ac:dyDescent="0.2">
      <c r="A971" s="40">
        <v>5</v>
      </c>
      <c r="B971" s="72"/>
      <c r="C971" s="72" t="s">
        <v>1486</v>
      </c>
      <c r="D971" s="830" t="s">
        <v>1487</v>
      </c>
      <c r="E971" s="44" t="s">
        <v>1470</v>
      </c>
      <c r="F971" s="41"/>
      <c r="G971" s="414" t="s">
        <v>9</v>
      </c>
      <c r="H971" s="13"/>
      <c r="I971" s="831"/>
      <c r="J971" s="116">
        <v>60</v>
      </c>
      <c r="K971" s="13"/>
      <c r="L971" s="13"/>
      <c r="N971" s="406" t="s">
        <v>1467</v>
      </c>
      <c r="O971" s="400"/>
      <c r="P971" s="361"/>
      <c r="Q971" s="399" t="s">
        <v>799</v>
      </c>
    </row>
    <row r="972" spans="1:17" x14ac:dyDescent="0.2">
      <c r="A972" s="40">
        <v>5</v>
      </c>
      <c r="B972" s="44"/>
      <c r="C972" s="44" t="s">
        <v>1488</v>
      </c>
      <c r="D972" s="323" t="s">
        <v>1489</v>
      </c>
      <c r="E972" s="44" t="s">
        <v>1470</v>
      </c>
      <c r="F972" s="40"/>
      <c r="G972" s="298" t="s">
        <v>9</v>
      </c>
      <c r="H972" s="37"/>
      <c r="I972" s="63">
        <f>14.5+68.1</f>
        <v>82.6</v>
      </c>
      <c r="J972" s="116"/>
      <c r="K972" s="37"/>
      <c r="L972" s="37"/>
      <c r="N972" s="406" t="s">
        <v>1467</v>
      </c>
      <c r="O972" s="400"/>
      <c r="P972" s="361"/>
      <c r="Q972" s="399" t="s">
        <v>878</v>
      </c>
    </row>
    <row r="973" spans="1:17" x14ac:dyDescent="0.2">
      <c r="A973" s="40">
        <v>5</v>
      </c>
      <c r="B973" s="44"/>
      <c r="C973" s="44" t="s">
        <v>1490</v>
      </c>
      <c r="D973" s="323" t="s">
        <v>1491</v>
      </c>
      <c r="E973" s="44" t="s">
        <v>1470</v>
      </c>
      <c r="F973" s="40"/>
      <c r="G973" s="298" t="s">
        <v>9</v>
      </c>
      <c r="H973" s="37"/>
      <c r="I973" s="63">
        <v>50</v>
      </c>
      <c r="J973" s="116"/>
      <c r="K973" s="37"/>
      <c r="L973" s="37"/>
      <c r="N973" s="406" t="s">
        <v>1467</v>
      </c>
      <c r="O973" s="400"/>
      <c r="P973" s="361"/>
      <c r="Q973" s="399" t="s">
        <v>886</v>
      </c>
    </row>
    <row r="974" spans="1:17" x14ac:dyDescent="0.2">
      <c r="A974" s="40">
        <v>5</v>
      </c>
      <c r="B974" s="44"/>
      <c r="C974" s="44" t="s">
        <v>1492</v>
      </c>
      <c r="D974" s="323" t="s">
        <v>1493</v>
      </c>
      <c r="E974" s="44" t="s">
        <v>1470</v>
      </c>
      <c r="F974" s="40"/>
      <c r="G974" s="298" t="s">
        <v>9</v>
      </c>
      <c r="H974" s="37"/>
      <c r="I974" s="63">
        <v>3.1</v>
      </c>
      <c r="J974" s="116"/>
      <c r="K974" s="37"/>
      <c r="L974" s="37"/>
      <c r="N974" s="406" t="s">
        <v>1467</v>
      </c>
      <c r="O974" s="400"/>
      <c r="P974" s="361"/>
      <c r="Q974" s="399" t="s">
        <v>878</v>
      </c>
    </row>
    <row r="975" spans="1:17" ht="22.5" x14ac:dyDescent="0.2">
      <c r="A975" s="40">
        <v>5</v>
      </c>
      <c r="B975" s="45"/>
      <c r="C975" s="45" t="s">
        <v>1494</v>
      </c>
      <c r="D975" s="750" t="s">
        <v>283</v>
      </c>
      <c r="E975" s="751">
        <v>8</v>
      </c>
      <c r="F975" s="39" t="s">
        <v>284</v>
      </c>
      <c r="G975" s="39" t="s">
        <v>9</v>
      </c>
      <c r="H975" s="14">
        <f>150-20</f>
        <v>130</v>
      </c>
      <c r="I975" s="14">
        <v>129.9</v>
      </c>
      <c r="J975" s="415">
        <v>150</v>
      </c>
      <c r="K975" s="14">
        <v>150</v>
      </c>
      <c r="L975" s="14">
        <v>150</v>
      </c>
      <c r="M975" s="168" t="s">
        <v>796</v>
      </c>
      <c r="N975" s="406" t="s">
        <v>1467</v>
      </c>
      <c r="O975" s="413" t="s">
        <v>1475</v>
      </c>
      <c r="P975" s="73">
        <v>14</v>
      </c>
      <c r="Q975" s="786"/>
    </row>
    <row r="976" spans="1:17" x14ac:dyDescent="0.2">
      <c r="A976" s="40">
        <v>5</v>
      </c>
      <c r="B976" s="44"/>
      <c r="C976" s="44"/>
      <c r="D976" s="48"/>
      <c r="E976" s="71">
        <v>8</v>
      </c>
      <c r="F976" s="40" t="s">
        <v>284</v>
      </c>
      <c r="G976" s="69" t="s">
        <v>99</v>
      </c>
      <c r="H976" s="16">
        <v>45</v>
      </c>
      <c r="I976" s="16">
        <v>45</v>
      </c>
      <c r="J976" s="116">
        <v>45</v>
      </c>
      <c r="K976" s="16">
        <v>45</v>
      </c>
      <c r="L976" s="16">
        <v>45</v>
      </c>
      <c r="N976" s="406" t="s">
        <v>1467</v>
      </c>
      <c r="O976" s="189"/>
      <c r="P976" s="73"/>
      <c r="Q976" s="786"/>
    </row>
    <row r="977" spans="1:17" x14ac:dyDescent="0.2">
      <c r="A977" s="40">
        <v>5</v>
      </c>
      <c r="B977" s="44"/>
      <c r="C977" s="44"/>
      <c r="D977" s="48"/>
      <c r="E977" s="71"/>
      <c r="F977" s="40" t="s">
        <v>284</v>
      </c>
      <c r="G977" s="121" t="s">
        <v>608</v>
      </c>
      <c r="H977" s="123">
        <f>SUM(H975:H976)</f>
        <v>175</v>
      </c>
      <c r="I977" s="123">
        <f>SUM(I975:I976)</f>
        <v>174.9</v>
      </c>
      <c r="J977" s="123">
        <f t="shared" ref="J977:L977" si="203">SUM(J975:J976)</f>
        <v>195</v>
      </c>
      <c r="K977" s="123">
        <f t="shared" si="203"/>
        <v>195</v>
      </c>
      <c r="L977" s="123">
        <f t="shared" si="203"/>
        <v>195</v>
      </c>
      <c r="N977" s="406" t="s">
        <v>1467</v>
      </c>
      <c r="O977" s="400"/>
      <c r="P977" s="361"/>
      <c r="Q977" s="786"/>
    </row>
    <row r="978" spans="1:17" ht="33.75" x14ac:dyDescent="0.2">
      <c r="A978" s="40">
        <v>5</v>
      </c>
      <c r="B978" s="44"/>
      <c r="C978" s="45" t="s">
        <v>2536</v>
      </c>
      <c r="D978" s="48" t="s">
        <v>2538</v>
      </c>
      <c r="E978" s="71">
        <v>8</v>
      </c>
      <c r="F978" s="40" t="s">
        <v>2537</v>
      </c>
      <c r="G978" s="69" t="s">
        <v>9</v>
      </c>
      <c r="H978" s="16"/>
      <c r="I978" s="16"/>
      <c r="J978" s="116">
        <v>19</v>
      </c>
      <c r="K978" s="16">
        <v>53.8</v>
      </c>
      <c r="L978" s="16">
        <v>20.5</v>
      </c>
      <c r="N978" s="406" t="s">
        <v>1467</v>
      </c>
      <c r="O978" s="413" t="s">
        <v>2555</v>
      </c>
      <c r="P978" s="1453">
        <v>1</v>
      </c>
      <c r="Q978" s="786"/>
    </row>
    <row r="979" spans="1:17" x14ac:dyDescent="0.2">
      <c r="A979" s="40">
        <v>5</v>
      </c>
      <c r="B979" s="44"/>
      <c r="C979" s="44"/>
      <c r="D979" s="48"/>
      <c r="E979" s="71">
        <v>8</v>
      </c>
      <c r="F979" s="40" t="s">
        <v>2537</v>
      </c>
      <c r="G979" s="69" t="s">
        <v>58</v>
      </c>
      <c r="H979" s="37">
        <f>160-8.7</f>
        <v>151.30000000000001</v>
      </c>
      <c r="I979" s="16"/>
      <c r="J979" s="116"/>
      <c r="K979" s="37">
        <v>58.2</v>
      </c>
      <c r="L979" s="37">
        <v>16.399999999999999</v>
      </c>
      <c r="N979" s="406" t="s">
        <v>1467</v>
      </c>
      <c r="O979" s="400"/>
      <c r="P979" s="361"/>
      <c r="Q979" s="786"/>
    </row>
    <row r="980" spans="1:17" x14ac:dyDescent="0.2">
      <c r="A980" s="40">
        <v>5</v>
      </c>
      <c r="B980" s="44"/>
      <c r="C980" s="44"/>
      <c r="D980" s="48"/>
      <c r="E980" s="71">
        <v>8</v>
      </c>
      <c r="F980" s="40" t="s">
        <v>2537</v>
      </c>
      <c r="G980" s="121" t="s">
        <v>608</v>
      </c>
      <c r="H980" s="123">
        <f>SUM(H978:H979)</f>
        <v>151.30000000000001</v>
      </c>
      <c r="I980" s="123">
        <f>SUM(I978:I979)</f>
        <v>0</v>
      </c>
      <c r="J980" s="123">
        <f t="shared" ref="J980:L980" si="204">SUM(J978:J979)</f>
        <v>19</v>
      </c>
      <c r="K980" s="123">
        <f t="shared" si="204"/>
        <v>112</v>
      </c>
      <c r="L980" s="123">
        <f t="shared" si="204"/>
        <v>36.9</v>
      </c>
      <c r="N980" s="406" t="s">
        <v>1467</v>
      </c>
      <c r="O980" s="400"/>
      <c r="P980" s="361"/>
      <c r="Q980" s="786"/>
    </row>
    <row r="981" spans="1:17" x14ac:dyDescent="0.2">
      <c r="A981" s="40">
        <v>5</v>
      </c>
      <c r="B981" s="44"/>
      <c r="C981" s="44"/>
      <c r="D981" s="48"/>
      <c r="E981" s="71"/>
      <c r="F981" s="40"/>
      <c r="G981" s="185" t="s">
        <v>608</v>
      </c>
      <c r="H981" s="164"/>
      <c r="I981" s="185">
        <f>SUM(I780,I782,I787,I793,I795,I798,I800,I805,I808,I823,I829,I838,I843,I847,I850,I852,I859,I862,I875,I878,I882,I890,I894,I896,I899,I903,I911,I917,I946,I952,I957,I962,I964,I966,I977,I802,I810,I880,I866,I870,I813,I784,I924,I927,I931,I934,I937,I940,I943,I980)</f>
        <v>44816.899999999994</v>
      </c>
      <c r="J981" s="185">
        <f t="shared" ref="J981:L981" si="205">SUM(J780,J782,J787,J793,J795,J798,J800,J805,J808,J823,J829,J838,J843,J847,J850,J852,J859,J862,J875,J878,J882,J890,J894,J896,J899,J903,J911,J917,J946,J952,J957,J962,J964,J966,J977,J802,J810,J880,J866,J870,J813,J784,J924,J927,J931,J934,J937,J940,J943,J980)</f>
        <v>54427.799999999996</v>
      </c>
      <c r="K981" s="185">
        <f t="shared" si="205"/>
        <v>60888.600000000006</v>
      </c>
      <c r="L981" s="185">
        <f t="shared" si="205"/>
        <v>59994.900000000009</v>
      </c>
      <c r="N981" s="406"/>
      <c r="O981" s="400"/>
      <c r="P981" s="361"/>
      <c r="Q981" s="786"/>
    </row>
    <row r="982" spans="1:17" x14ac:dyDescent="0.2">
      <c r="A982" s="40">
        <v>5</v>
      </c>
      <c r="B982" s="44"/>
      <c r="C982" s="44"/>
      <c r="D982" s="48"/>
      <c r="E982" s="71"/>
      <c r="F982" s="40"/>
      <c r="G982" s="81" t="s">
        <v>9</v>
      </c>
      <c r="H982" s="37"/>
      <c r="I982" s="37">
        <f>SUM(I781,I792,I794,I804,I806,I816,I824,I830,I841,I844,I848,I851,I853,I854,I855,I856,I857,I858,I860,I873,I876,I879,I881,I883,I884,I885,I892,I897,I900,I905,I912,I916,I948,I950,I953,I961,I965,I975,I783,I941,I901,I902,I812,I930,I978)</f>
        <v>10127</v>
      </c>
      <c r="J982" s="37">
        <f t="shared" ref="J982:L982" si="206">SUM(J781,J792,J794,J804,J806,J816,J824,J830,J841,J844,J848,J851,J853,J854,J855,J856,J857,J858,J860,J873,J876,J879,J881,J883,J884,J885,J892,J897,J900,J905,J912,J916,J948,J950,J953,J961,J965,J975,J783,J941,J901,J902,J812,J930,J978)</f>
        <v>11003.1</v>
      </c>
      <c r="K982" s="37">
        <f t="shared" si="206"/>
        <v>11975.499999999996</v>
      </c>
      <c r="L982" s="37">
        <f t="shared" si="206"/>
        <v>12741</v>
      </c>
      <c r="N982" s="406"/>
      <c r="O982" s="400"/>
      <c r="P982" s="361"/>
      <c r="Q982" s="786"/>
    </row>
    <row r="983" spans="1:17" x14ac:dyDescent="0.2">
      <c r="A983" s="40">
        <v>5</v>
      </c>
      <c r="B983" s="44"/>
      <c r="C983" s="44"/>
      <c r="D983" s="48"/>
      <c r="E983" s="71"/>
      <c r="F983" s="40"/>
      <c r="G983" s="81" t="s">
        <v>226</v>
      </c>
      <c r="H983" s="37"/>
      <c r="I983" s="37">
        <f>SUM(I777,I785)</f>
        <v>25053.399999999998</v>
      </c>
      <c r="J983" s="37">
        <f>SUM(J777,J785)</f>
        <v>32132.6</v>
      </c>
      <c r="K983" s="37">
        <f>SUM(K777,K785)</f>
        <v>34000</v>
      </c>
      <c r="L983" s="37">
        <f>SUM(L777,L785)</f>
        <v>34000</v>
      </c>
      <c r="N983" s="406"/>
      <c r="O983" s="400"/>
      <c r="P983" s="361"/>
      <c r="Q983" s="786"/>
    </row>
    <row r="984" spans="1:17" x14ac:dyDescent="0.2">
      <c r="A984" s="40">
        <v>5</v>
      </c>
      <c r="B984" s="44"/>
      <c r="C984" s="44"/>
      <c r="D984" s="48"/>
      <c r="E984" s="71"/>
      <c r="F984" s="40"/>
      <c r="G984" s="81" t="s">
        <v>11</v>
      </c>
      <c r="H984" s="37"/>
      <c r="I984" s="37">
        <f>SUM(I788,I789,I796,I807,I809,I818,I826,I831,I832,I834,I835,I840,I845,I849,I861,I872,I877,,I886,I888,I889,I891,I907,I908,I945,I949,I951,I954,I963,I863,I864,I865,I867,I868,I811,I869)</f>
        <v>5206.9999999999991</v>
      </c>
      <c r="J984" s="37">
        <f t="shared" ref="J984:L984" si="207">SUM(J788,J789,J796,J807,J809,J818,J826,J831,J832,J834,J835,J840,J845,J849,J861,J872,J877,,J886,J888,J889,J891,J907,J908,J945,J949,J951,J954,J963,J863,J864,J865,J867,J868,J811,J869)</f>
        <v>6075.3000000000011</v>
      </c>
      <c r="K984" s="37">
        <f t="shared" si="207"/>
        <v>5827.9000000000005</v>
      </c>
      <c r="L984" s="37">
        <f t="shared" si="207"/>
        <v>5827.9000000000005</v>
      </c>
      <c r="N984" s="406"/>
      <c r="O984" s="400"/>
      <c r="P984" s="361"/>
      <c r="Q984" s="786"/>
    </row>
    <row r="985" spans="1:17" x14ac:dyDescent="0.2">
      <c r="A985" s="40">
        <v>5</v>
      </c>
      <c r="B985" s="44"/>
      <c r="C985" s="44"/>
      <c r="D985" s="48"/>
      <c r="E985" s="71"/>
      <c r="F985" s="40"/>
      <c r="G985" s="81" t="s">
        <v>58</v>
      </c>
      <c r="H985" s="37"/>
      <c r="I985" s="37">
        <f>SUM(I915,I895,I898,I923,I926,I929,I933,I936,I939,I942,I979)</f>
        <v>374</v>
      </c>
      <c r="J985" s="37">
        <f t="shared" ref="J985:L985" si="208">SUM(J915,J895,J898,J923,J926,J929,J933,J936,J939,J942,J979)</f>
        <v>1298.3</v>
      </c>
      <c r="K985" s="37">
        <f t="shared" si="208"/>
        <v>4879</v>
      </c>
      <c r="L985" s="37">
        <f t="shared" si="208"/>
        <v>3501.7000000000003</v>
      </c>
      <c r="N985" s="406"/>
      <c r="O985" s="400"/>
      <c r="P985" s="361"/>
      <c r="Q985" s="786"/>
    </row>
    <row r="986" spans="1:17" x14ac:dyDescent="0.2">
      <c r="A986" s="40">
        <v>5</v>
      </c>
      <c r="B986" s="44"/>
      <c r="C986" s="44"/>
      <c r="D986" s="48"/>
      <c r="E986" s="71"/>
      <c r="F986" s="40"/>
      <c r="G986" s="81" t="s">
        <v>99</v>
      </c>
      <c r="H986" s="37"/>
      <c r="I986" s="37">
        <f>SUM(I817,I825,I837,I842,I955,I960,I976)</f>
        <v>1837.7</v>
      </c>
      <c r="J986" s="37">
        <f>SUM(J817,J825,J837,J842,J955,J960,J976)</f>
        <v>1726.4</v>
      </c>
      <c r="K986" s="37">
        <f>SUM(K817,K825,K837,K842,K955,K960,K976)</f>
        <v>1726.4</v>
      </c>
      <c r="L986" s="37">
        <f>SUM(L817,L825,L837,L842,L955,L960,L976)</f>
        <v>1726.4</v>
      </c>
      <c r="N986" s="406"/>
      <c r="O986" s="400"/>
      <c r="P986" s="361"/>
      <c r="Q986" s="786"/>
    </row>
    <row r="987" spans="1:17" x14ac:dyDescent="0.2">
      <c r="A987" s="40">
        <v>5</v>
      </c>
      <c r="B987" s="44"/>
      <c r="C987" s="44"/>
      <c r="D987" s="48"/>
      <c r="E987" s="71"/>
      <c r="F987" s="40"/>
      <c r="G987" s="81" t="s">
        <v>12</v>
      </c>
      <c r="H987" s="37"/>
      <c r="I987" s="37">
        <f>SUM(I820,I828,I833,I839,I846,I906,I956,)</f>
        <v>1824.2999999999997</v>
      </c>
      <c r="J987" s="37">
        <f>SUM(J820,J828,J833,J839,J846,J906,J956,)</f>
        <v>1852</v>
      </c>
      <c r="K987" s="37">
        <f>SUM(K820,K828,K833,K839,K846,K906,K956,)</f>
        <v>1851</v>
      </c>
      <c r="L987" s="37">
        <f>SUM(L820,L828,L833,L839,L846,L906,L956,)</f>
        <v>1851</v>
      </c>
      <c r="N987" s="406"/>
      <c r="O987" s="400"/>
      <c r="P987" s="361"/>
      <c r="Q987" s="786"/>
    </row>
    <row r="988" spans="1:17" x14ac:dyDescent="0.2">
      <c r="A988" s="40">
        <v>5</v>
      </c>
      <c r="B988" s="44"/>
      <c r="C988" s="44"/>
      <c r="D988" s="48"/>
      <c r="E988" s="71"/>
      <c r="F988" s="40"/>
      <c r="G988" s="81" t="s">
        <v>266</v>
      </c>
      <c r="H988" s="37"/>
      <c r="I988" s="37">
        <f>I909</f>
        <v>3.6</v>
      </c>
      <c r="J988" s="37">
        <f>J909</f>
        <v>7.3</v>
      </c>
      <c r="K988" s="37">
        <f>K909</f>
        <v>0</v>
      </c>
      <c r="L988" s="37">
        <f>L909</f>
        <v>0</v>
      </c>
      <c r="N988" s="406"/>
      <c r="O988" s="400"/>
      <c r="P988" s="361"/>
      <c r="Q988" s="786"/>
    </row>
    <row r="989" spans="1:17" x14ac:dyDescent="0.2">
      <c r="A989" s="40">
        <v>5</v>
      </c>
      <c r="B989" s="44"/>
      <c r="C989" s="44"/>
      <c r="D989" s="48"/>
      <c r="E989" s="71"/>
      <c r="F989" s="40"/>
      <c r="G989" s="81" t="s">
        <v>740</v>
      </c>
      <c r="H989" s="37"/>
      <c r="I989" s="37">
        <f>SUM(I791,I797,I799,I801,I821,I893,I910,I887,I874)</f>
        <v>106.79999999999997</v>
      </c>
      <c r="J989" s="37">
        <f t="shared" ref="J989:L989" si="209">SUM(J791,J797,J799,J801,J821,J893,J910,J887,J874)</f>
        <v>22.299999999999997</v>
      </c>
      <c r="K989" s="37">
        <f t="shared" si="209"/>
        <v>0</v>
      </c>
      <c r="L989" s="37">
        <f t="shared" si="209"/>
        <v>0</v>
      </c>
      <c r="N989" s="406"/>
      <c r="O989" s="400"/>
      <c r="P989" s="361"/>
      <c r="Q989" s="786"/>
    </row>
    <row r="990" spans="1:17" x14ac:dyDescent="0.2">
      <c r="A990" s="40">
        <v>5</v>
      </c>
      <c r="B990" s="44"/>
      <c r="C990" s="44"/>
      <c r="D990" s="48"/>
      <c r="E990" s="71"/>
      <c r="F990" s="40"/>
      <c r="G990" s="81" t="s">
        <v>719</v>
      </c>
      <c r="H990" s="37"/>
      <c r="I990" s="37">
        <f>I778+I786</f>
        <v>218.20000000000002</v>
      </c>
      <c r="J990" s="37">
        <f t="shared" ref="J990:L990" si="210">J778+J786</f>
        <v>55</v>
      </c>
      <c r="K990" s="37">
        <f t="shared" si="210"/>
        <v>0</v>
      </c>
      <c r="L990" s="37">
        <f t="shared" si="210"/>
        <v>0</v>
      </c>
      <c r="N990" s="406"/>
      <c r="O990" s="400"/>
      <c r="P990" s="361"/>
      <c r="Q990" s="786"/>
    </row>
    <row r="991" spans="1:17" x14ac:dyDescent="0.2">
      <c r="A991" s="40">
        <v>5</v>
      </c>
      <c r="B991" s="44"/>
      <c r="C991" s="44"/>
      <c r="D991" s="48"/>
      <c r="E991" s="71"/>
      <c r="F991" s="40"/>
      <c r="G991" s="81" t="s">
        <v>61</v>
      </c>
      <c r="H991" s="37"/>
      <c r="I991" s="37">
        <f>SUM(I914,)</f>
        <v>0</v>
      </c>
      <c r="J991" s="37">
        <f t="shared" ref="J991:L991" si="211">SUM(J914,)</f>
        <v>0</v>
      </c>
      <c r="K991" s="37">
        <f t="shared" si="211"/>
        <v>0</v>
      </c>
      <c r="L991" s="37">
        <f t="shared" si="211"/>
        <v>0</v>
      </c>
      <c r="N991" s="406"/>
      <c r="O991" s="400"/>
      <c r="P991" s="361"/>
      <c r="Q991" s="786"/>
    </row>
    <row r="992" spans="1:17" x14ac:dyDescent="0.2">
      <c r="A992" s="40">
        <v>5</v>
      </c>
      <c r="B992" s="44"/>
      <c r="C992" s="44"/>
      <c r="D992" s="48"/>
      <c r="E992" s="71"/>
      <c r="F992" s="40"/>
      <c r="G992" s="81" t="s">
        <v>713</v>
      </c>
      <c r="H992" s="37"/>
      <c r="I992" s="37">
        <f>I938+I935+I932+I928+I925+I922</f>
        <v>0</v>
      </c>
      <c r="J992" s="37">
        <f t="shared" ref="J992:L992" si="212">J938+J935+J932+J928+J925+J922</f>
        <v>190.6</v>
      </c>
      <c r="K992" s="37">
        <f t="shared" si="212"/>
        <v>563.90000000000009</v>
      </c>
      <c r="L992" s="37">
        <f t="shared" si="212"/>
        <v>282</v>
      </c>
      <c r="N992" s="406"/>
      <c r="O992" s="400"/>
      <c r="P992" s="361"/>
      <c r="Q992" s="786"/>
    </row>
    <row r="993" spans="1:17" x14ac:dyDescent="0.2">
      <c r="A993" s="40">
        <v>5</v>
      </c>
      <c r="B993" s="44"/>
      <c r="C993" s="44"/>
      <c r="D993" s="48"/>
      <c r="E993" s="71"/>
      <c r="F993" s="40"/>
      <c r="G993" s="81" t="s">
        <v>1151</v>
      </c>
      <c r="H993" s="37"/>
      <c r="I993" s="37">
        <f>SUM(I822,)</f>
        <v>64.900000000000006</v>
      </c>
      <c r="J993" s="37">
        <f>SUM(J822,)</f>
        <v>64.900000000000006</v>
      </c>
      <c r="K993" s="37">
        <f>SUM(K822,)</f>
        <v>64.900000000000006</v>
      </c>
      <c r="L993" s="37">
        <f>SUM(L822,)</f>
        <v>64.900000000000006</v>
      </c>
      <c r="N993" s="406"/>
      <c r="O993" s="400"/>
      <c r="P993" s="361"/>
      <c r="Q993" s="786"/>
    </row>
    <row r="994" spans="1:17" x14ac:dyDescent="0.2">
      <c r="A994" s="40">
        <v>5</v>
      </c>
      <c r="B994" s="44"/>
      <c r="C994" s="44"/>
      <c r="D994" s="48"/>
      <c r="E994" s="71"/>
      <c r="F994" s="40"/>
      <c r="G994" s="185" t="s">
        <v>608</v>
      </c>
      <c r="H994" s="164"/>
      <c r="I994" s="185">
        <f>SUM(I982:I993)</f>
        <v>44816.899999999994</v>
      </c>
      <c r="J994" s="185">
        <f t="shared" ref="J994:L994" si="213">SUM(J982:J993)</f>
        <v>54427.80000000001</v>
      </c>
      <c r="K994" s="185">
        <f t="shared" si="213"/>
        <v>60888.600000000006</v>
      </c>
      <c r="L994" s="185">
        <f t="shared" si="213"/>
        <v>59994.9</v>
      </c>
      <c r="N994" s="406"/>
      <c r="O994" s="400"/>
      <c r="P994" s="361"/>
      <c r="Q994" s="786"/>
    </row>
    <row r="995" spans="1:17" x14ac:dyDescent="0.2">
      <c r="A995" s="40">
        <v>5</v>
      </c>
      <c r="B995" s="44"/>
      <c r="C995" s="44"/>
      <c r="D995" s="48"/>
      <c r="E995" s="71"/>
      <c r="F995" s="40"/>
      <c r="G995" s="81"/>
      <c r="H995" s="37"/>
      <c r="I995" s="37">
        <f>I981-I994</f>
        <v>0</v>
      </c>
      <c r="J995" s="37">
        <f>J981-J994</f>
        <v>0</v>
      </c>
      <c r="K995" s="37">
        <f>K981-K994</f>
        <v>0</v>
      </c>
      <c r="L995" s="37">
        <f>L981-L994</f>
        <v>0</v>
      </c>
      <c r="N995" s="406"/>
      <c r="O995" s="400"/>
      <c r="P995" s="361"/>
      <c r="Q995" s="786"/>
    </row>
    <row r="996" spans="1:17" ht="22.5" x14ac:dyDescent="0.2">
      <c r="A996" s="418">
        <v>6</v>
      </c>
      <c r="B996" s="419"/>
      <c r="C996" s="419"/>
      <c r="D996" s="420" t="s">
        <v>1499</v>
      </c>
      <c r="E996" s="421"/>
      <c r="F996" s="422"/>
      <c r="G996" s="423"/>
      <c r="H996" s="424"/>
      <c r="I996" s="424"/>
      <c r="J996" s="424"/>
      <c r="K996" s="932"/>
      <c r="L996" s="1004"/>
      <c r="M996" s="1059"/>
      <c r="N996" s="1053"/>
      <c r="O996" s="426"/>
      <c r="P996" s="427"/>
      <c r="Q996" s="426"/>
    </row>
    <row r="997" spans="1:17" ht="22.5" x14ac:dyDescent="0.2">
      <c r="A997" s="418">
        <v>6</v>
      </c>
      <c r="B997" s="428" t="s">
        <v>1500</v>
      </c>
      <c r="C997" s="428" t="s">
        <v>1500</v>
      </c>
      <c r="D997" s="429" t="s">
        <v>286</v>
      </c>
      <c r="E997" s="430"/>
      <c r="F997" s="430"/>
      <c r="G997" s="430"/>
      <c r="H997" s="430"/>
      <c r="I997" s="430"/>
      <c r="J997" s="430"/>
      <c r="K997" s="887"/>
      <c r="L997" s="1005"/>
      <c r="M997" s="467"/>
      <c r="N997" s="1054"/>
      <c r="O997" s="416"/>
      <c r="P997" s="432"/>
      <c r="Q997" s="416"/>
    </row>
    <row r="998" spans="1:17" ht="33.75" x14ac:dyDescent="0.2">
      <c r="A998" s="418">
        <v>6</v>
      </c>
      <c r="B998" s="433"/>
      <c r="C998" s="434"/>
      <c r="D998" s="435"/>
      <c r="E998" s="436"/>
      <c r="F998" s="437"/>
      <c r="G998" s="438" t="s">
        <v>312</v>
      </c>
      <c r="H998" s="438">
        <f>SUM(H1001,H1004,H1007,H1010,H1013,H1016,H1019,H1022,H1025,H1028,H1031,H1034,)</f>
        <v>212.99999999999997</v>
      </c>
      <c r="I998" s="438">
        <f>SUM(I1001,I1004,I1007,I1010,I1013,I1016,I1019,I1022,I1025,I1028,I1031,I1034,I1037)</f>
        <v>723.8</v>
      </c>
      <c r="J998" s="438">
        <f>SUM(J1001,J1004,J1007,J1010,J1013,J1016,J1019,J1022,J1025,J1028,J1031,J1034,J1037)</f>
        <v>50</v>
      </c>
      <c r="K998" s="933">
        <f t="shared" ref="K998:L998" si="214">SUM(K1001,K1004,K1007,K1010,K1013,K1016,K1019,K1022,K1025,K1028,K1031,K1034,K1037)</f>
        <v>100</v>
      </c>
      <c r="L998" s="1006">
        <f t="shared" si="214"/>
        <v>50</v>
      </c>
      <c r="M998" s="467"/>
      <c r="N998" s="525"/>
      <c r="O998" s="762"/>
      <c r="P998" s="439"/>
      <c r="Q998" s="440"/>
    </row>
    <row r="999" spans="1:17" ht="33.75" x14ac:dyDescent="0.2">
      <c r="A999" s="418">
        <v>6</v>
      </c>
      <c r="B999" s="433"/>
      <c r="C999" s="433"/>
      <c r="D999" s="435"/>
      <c r="E999" s="436"/>
      <c r="F999" s="437"/>
      <c r="G999" s="438" t="s">
        <v>313</v>
      </c>
      <c r="H999" s="438">
        <f>SUM(H1002,H1005,H1008,H1011,H1014,H1017,H1020,H1023,H1026,H1029,H1032)</f>
        <v>1469.8999999999999</v>
      </c>
      <c r="I999" s="438">
        <f>SUM(I1002,I1005,I1008,I1011,I1014,I1017,I1020,I1023,I1026,I1029,I1032,I1038,I1035)</f>
        <v>1750.1000000000001</v>
      </c>
      <c r="J999" s="438">
        <f t="shared" ref="J999:L999" si="215">SUM(J1002,J1005,J1008,J1011,J1014,J1017,J1020,J1023,J1026,J1029,J1032,J1038,J1035)</f>
        <v>2061.6999999999998</v>
      </c>
      <c r="K999" s="933">
        <f t="shared" si="215"/>
        <v>1999.9999999999998</v>
      </c>
      <c r="L999" s="1006">
        <f t="shared" si="215"/>
        <v>1999.9999999999998</v>
      </c>
      <c r="M999" s="467"/>
      <c r="N999" s="525"/>
      <c r="O999" s="440"/>
      <c r="P999" s="439"/>
      <c r="Q999" s="440"/>
    </row>
    <row r="1000" spans="1:17" x14ac:dyDescent="0.2">
      <c r="A1000" s="418">
        <v>6</v>
      </c>
      <c r="B1000" s="433"/>
      <c r="C1000" s="433"/>
      <c r="D1000" s="435"/>
      <c r="E1000" s="436"/>
      <c r="F1000" s="437"/>
      <c r="G1000" s="441" t="s">
        <v>1501</v>
      </c>
      <c r="H1000" s="441"/>
      <c r="I1000" s="441">
        <f>I998+I999</f>
        <v>2473.9</v>
      </c>
      <c r="J1000" s="441">
        <f t="shared" ref="J1000:L1000" si="216">J998+J999</f>
        <v>2111.6999999999998</v>
      </c>
      <c r="K1000" s="934">
        <f t="shared" si="216"/>
        <v>2100</v>
      </c>
      <c r="L1000" s="1007">
        <f t="shared" si="216"/>
        <v>2050</v>
      </c>
      <c r="M1000" s="467"/>
      <c r="N1000" s="525"/>
      <c r="O1000" s="440"/>
      <c r="P1000" s="439"/>
      <c r="Q1000" s="440"/>
    </row>
    <row r="1001" spans="1:17" ht="22.5" x14ac:dyDescent="0.2">
      <c r="A1001" s="418">
        <v>6</v>
      </c>
      <c r="B1001" s="433"/>
      <c r="C1001" s="433" t="s">
        <v>1502</v>
      </c>
      <c r="D1001" s="435" t="s">
        <v>287</v>
      </c>
      <c r="E1001" s="442">
        <v>19</v>
      </c>
      <c r="F1001" s="436" t="s">
        <v>288</v>
      </c>
      <c r="G1001" s="446" t="s">
        <v>9</v>
      </c>
      <c r="H1001" s="443">
        <v>5.5</v>
      </c>
      <c r="I1001" s="445">
        <v>6.3</v>
      </c>
      <c r="J1001" s="444"/>
      <c r="K1001" s="935"/>
      <c r="L1001" s="1008"/>
      <c r="M1001" s="467" t="s">
        <v>782</v>
      </c>
      <c r="N1001" s="1202" t="s">
        <v>2346</v>
      </c>
      <c r="O1001" s="1203" t="s">
        <v>1504</v>
      </c>
      <c r="P1001" s="1204">
        <v>53.1</v>
      </c>
      <c r="Q1001" s="1203" t="s">
        <v>894</v>
      </c>
    </row>
    <row r="1002" spans="1:17" x14ac:dyDescent="0.2">
      <c r="A1002" s="418">
        <v>6</v>
      </c>
      <c r="B1002" s="433"/>
      <c r="C1002" s="433"/>
      <c r="D1002" s="435"/>
      <c r="E1002" s="442">
        <v>19</v>
      </c>
      <c r="F1002" s="436" t="s">
        <v>288</v>
      </c>
      <c r="G1002" s="445" t="s">
        <v>289</v>
      </c>
      <c r="H1002" s="443">
        <v>48.1</v>
      </c>
      <c r="I1002" s="445">
        <v>52.9</v>
      </c>
      <c r="J1002" s="444">
        <v>62.5</v>
      </c>
      <c r="K1002" s="936">
        <v>62.5</v>
      </c>
      <c r="L1002" s="1009">
        <v>62.5</v>
      </c>
      <c r="M1002" s="467" t="s">
        <v>782</v>
      </c>
      <c r="N1002" s="1202"/>
      <c r="O1002" s="1203"/>
      <c r="P1002" s="1204"/>
      <c r="Q1002" s="1203" t="s">
        <v>894</v>
      </c>
    </row>
    <row r="1003" spans="1:17" x14ac:dyDescent="0.2">
      <c r="A1003" s="418">
        <v>6</v>
      </c>
      <c r="B1003" s="433"/>
      <c r="C1003" s="433"/>
      <c r="D1003" s="435"/>
      <c r="E1003" s="442"/>
      <c r="F1003" s="436" t="s">
        <v>288</v>
      </c>
      <c r="G1003" s="447" t="s">
        <v>608</v>
      </c>
      <c r="H1003" s="448">
        <f>SUM(H1001:H1002)</f>
        <v>53.6</v>
      </c>
      <c r="I1003" s="448">
        <f>SUM(I1001:I1002)</f>
        <v>59.199999999999996</v>
      </c>
      <c r="J1003" s="448">
        <f t="shared" ref="J1003:L1003" si="217">SUM(J1001:J1002)</f>
        <v>62.5</v>
      </c>
      <c r="K1003" s="937">
        <f t="shared" si="217"/>
        <v>62.5</v>
      </c>
      <c r="L1003" s="1010">
        <f t="shared" si="217"/>
        <v>62.5</v>
      </c>
      <c r="M1003" s="467"/>
      <c r="N1003" s="1205"/>
      <c r="O1003" s="1206"/>
      <c r="P1003" s="1207"/>
      <c r="Q1003" s="1206"/>
    </row>
    <row r="1004" spans="1:17" ht="22.5" x14ac:dyDescent="0.2">
      <c r="A1004" s="418">
        <v>6</v>
      </c>
      <c r="B1004" s="433"/>
      <c r="C1004" s="433" t="s">
        <v>1505</v>
      </c>
      <c r="D1004" s="435" t="s">
        <v>290</v>
      </c>
      <c r="E1004" s="442">
        <v>20</v>
      </c>
      <c r="F1004" s="436" t="s">
        <v>291</v>
      </c>
      <c r="G1004" s="446" t="s">
        <v>9</v>
      </c>
      <c r="H1004" s="443">
        <f>13.5</f>
        <v>13.5</v>
      </c>
      <c r="I1004" s="445">
        <v>8.8000000000000007</v>
      </c>
      <c r="J1004" s="444"/>
      <c r="K1004" s="935"/>
      <c r="L1004" s="1008"/>
      <c r="M1004" s="467" t="s">
        <v>782</v>
      </c>
      <c r="N1004" s="1202" t="s">
        <v>2347</v>
      </c>
      <c r="O1004" s="1203" t="s">
        <v>1504</v>
      </c>
      <c r="P1004" s="1204">
        <v>72.900000000000006</v>
      </c>
      <c r="Q1004" s="1203" t="s">
        <v>912</v>
      </c>
    </row>
    <row r="1005" spans="1:17" x14ac:dyDescent="0.2">
      <c r="A1005" s="418">
        <v>6</v>
      </c>
      <c r="B1005" s="433"/>
      <c r="C1005" s="433"/>
      <c r="D1005" s="435"/>
      <c r="E1005" s="442">
        <v>20</v>
      </c>
      <c r="F1005" s="436" t="s">
        <v>291</v>
      </c>
      <c r="G1005" s="445" t="s">
        <v>289</v>
      </c>
      <c r="H1005" s="443">
        <v>99</v>
      </c>
      <c r="I1005" s="445">
        <v>114.9</v>
      </c>
      <c r="J1005" s="444">
        <v>135.80000000000001</v>
      </c>
      <c r="K1005" s="936">
        <v>135.80000000000001</v>
      </c>
      <c r="L1005" s="1009">
        <v>135.80000000000001</v>
      </c>
      <c r="M1005" s="467" t="s">
        <v>782</v>
      </c>
      <c r="N1005" s="1202"/>
      <c r="O1005" s="1203"/>
      <c r="P1005" s="1204"/>
      <c r="Q1005" s="1203" t="s">
        <v>912</v>
      </c>
    </row>
    <row r="1006" spans="1:17" x14ac:dyDescent="0.2">
      <c r="A1006" s="418">
        <v>6</v>
      </c>
      <c r="B1006" s="433"/>
      <c r="C1006" s="433"/>
      <c r="D1006" s="435"/>
      <c r="E1006" s="442"/>
      <c r="F1006" s="436" t="s">
        <v>291</v>
      </c>
      <c r="G1006" s="447" t="s">
        <v>608</v>
      </c>
      <c r="H1006" s="448">
        <f>SUM(H1004:H1005)</f>
        <v>112.5</v>
      </c>
      <c r="I1006" s="448">
        <f>SUM(I1004:I1005)</f>
        <v>123.7</v>
      </c>
      <c r="J1006" s="448">
        <f>SUM(J1004:J1005)</f>
        <v>135.80000000000001</v>
      </c>
      <c r="K1006" s="937">
        <f>SUM(K1004:K1005)</f>
        <v>135.80000000000001</v>
      </c>
      <c r="L1006" s="1010">
        <f>SUM(L1004:L1005)</f>
        <v>135.80000000000001</v>
      </c>
      <c r="M1006" s="467"/>
      <c r="N1006" s="1205"/>
      <c r="O1006" s="1206"/>
      <c r="P1006" s="1207"/>
      <c r="Q1006" s="1206"/>
    </row>
    <row r="1007" spans="1:17" x14ac:dyDescent="0.2">
      <c r="A1007" s="418">
        <v>6</v>
      </c>
      <c r="B1007" s="433"/>
      <c r="C1007" s="433" t="s">
        <v>1506</v>
      </c>
      <c r="D1007" s="435" t="s">
        <v>292</v>
      </c>
      <c r="E1007" s="442">
        <v>21</v>
      </c>
      <c r="F1007" s="436" t="s">
        <v>293</v>
      </c>
      <c r="G1007" s="446" t="s">
        <v>9</v>
      </c>
      <c r="H1007" s="443">
        <v>30</v>
      </c>
      <c r="I1007" s="445">
        <v>59.8</v>
      </c>
      <c r="J1007" s="444"/>
      <c r="K1007" s="935"/>
      <c r="L1007" s="1008"/>
      <c r="M1007" s="467" t="s">
        <v>782</v>
      </c>
      <c r="N1007" s="1202" t="s">
        <v>2348</v>
      </c>
      <c r="O1007" s="1203" t="s">
        <v>1504</v>
      </c>
      <c r="P1007" s="1204">
        <v>119</v>
      </c>
      <c r="Q1007" s="1203" t="s">
        <v>875</v>
      </c>
    </row>
    <row r="1008" spans="1:17" x14ac:dyDescent="0.2">
      <c r="A1008" s="418">
        <v>6</v>
      </c>
      <c r="B1008" s="433"/>
      <c r="C1008" s="433"/>
      <c r="D1008" s="435"/>
      <c r="E1008" s="442">
        <v>21</v>
      </c>
      <c r="F1008" s="436" t="s">
        <v>293</v>
      </c>
      <c r="G1008" s="445" t="s">
        <v>289</v>
      </c>
      <c r="H1008" s="443">
        <v>147.19999999999999</v>
      </c>
      <c r="I1008" s="445">
        <v>164</v>
      </c>
      <c r="J1008" s="444">
        <v>195.8</v>
      </c>
      <c r="K1008" s="936">
        <v>195.8</v>
      </c>
      <c r="L1008" s="1009">
        <v>195.8</v>
      </c>
      <c r="M1008" s="467" t="s">
        <v>782</v>
      </c>
      <c r="N1008" s="1202"/>
      <c r="O1008" s="1203"/>
      <c r="P1008" s="1204"/>
      <c r="Q1008" s="1203" t="s">
        <v>875</v>
      </c>
    </row>
    <row r="1009" spans="1:17" x14ac:dyDescent="0.2">
      <c r="A1009" s="418">
        <v>6</v>
      </c>
      <c r="B1009" s="433"/>
      <c r="C1009" s="433"/>
      <c r="D1009" s="435"/>
      <c r="E1009" s="442"/>
      <c r="F1009" s="436" t="s">
        <v>293</v>
      </c>
      <c r="G1009" s="447" t="s">
        <v>608</v>
      </c>
      <c r="H1009" s="448">
        <f>SUM(H1007:H1008)</f>
        <v>177.2</v>
      </c>
      <c r="I1009" s="448">
        <f>SUM(I1007:I1008)</f>
        <v>223.8</v>
      </c>
      <c r="J1009" s="448">
        <f>SUM(J1007:J1008)</f>
        <v>195.8</v>
      </c>
      <c r="K1009" s="937">
        <f>SUM(K1007:K1008)</f>
        <v>195.8</v>
      </c>
      <c r="L1009" s="1010">
        <f>SUM(L1007:L1008)</f>
        <v>195.8</v>
      </c>
      <c r="M1009" s="467"/>
      <c r="N1009" s="1205"/>
      <c r="O1009" s="1208"/>
      <c r="P1009" s="1207"/>
      <c r="Q1009" s="1206"/>
    </row>
    <row r="1010" spans="1:17" ht="22.5" x14ac:dyDescent="0.2">
      <c r="A1010" s="418">
        <v>6</v>
      </c>
      <c r="B1010" s="433"/>
      <c r="C1010" s="433" t="s">
        <v>1508</v>
      </c>
      <c r="D1010" s="435" t="s">
        <v>294</v>
      </c>
      <c r="E1010" s="442">
        <v>22</v>
      </c>
      <c r="F1010" s="436" t="s">
        <v>295</v>
      </c>
      <c r="G1010" s="446" t="s">
        <v>9</v>
      </c>
      <c r="H1010" s="443">
        <v>9.4</v>
      </c>
      <c r="I1010" s="445">
        <v>14.6</v>
      </c>
      <c r="J1010" s="444"/>
      <c r="K1010" s="935"/>
      <c r="L1010" s="1008"/>
      <c r="M1010" s="467" t="s">
        <v>782</v>
      </c>
      <c r="N1010" s="1202" t="s">
        <v>2349</v>
      </c>
      <c r="O1010" s="1203" t="s">
        <v>1504</v>
      </c>
      <c r="P1010" s="1204">
        <v>77.900000000000006</v>
      </c>
      <c r="Q1010" s="1203" t="s">
        <v>911</v>
      </c>
    </row>
    <row r="1011" spans="1:17" x14ac:dyDescent="0.2">
      <c r="A1011" s="418">
        <v>6</v>
      </c>
      <c r="B1011" s="433"/>
      <c r="C1011" s="433"/>
      <c r="D1011" s="435"/>
      <c r="E1011" s="442">
        <v>22</v>
      </c>
      <c r="F1011" s="436" t="s">
        <v>295</v>
      </c>
      <c r="G1011" s="445" t="s">
        <v>289</v>
      </c>
      <c r="H1011" s="443">
        <v>69.2</v>
      </c>
      <c r="I1011" s="445">
        <v>76.2</v>
      </c>
      <c r="J1011" s="444">
        <v>87.7</v>
      </c>
      <c r="K1011" s="936">
        <v>87.7</v>
      </c>
      <c r="L1011" s="1009">
        <v>87.7</v>
      </c>
      <c r="M1011" s="467" t="s">
        <v>782</v>
      </c>
      <c r="N1011" s="1202"/>
      <c r="O1011" s="1203"/>
      <c r="P1011" s="1204"/>
      <c r="Q1011" s="1203" t="s">
        <v>911</v>
      </c>
    </row>
    <row r="1012" spans="1:17" x14ac:dyDescent="0.2">
      <c r="A1012" s="418">
        <v>6</v>
      </c>
      <c r="B1012" s="433"/>
      <c r="C1012" s="433"/>
      <c r="D1012" s="435"/>
      <c r="E1012" s="442"/>
      <c r="F1012" s="436" t="s">
        <v>295</v>
      </c>
      <c r="G1012" s="447" t="s">
        <v>608</v>
      </c>
      <c r="H1012" s="448">
        <f>SUM(H1010:H1011)</f>
        <v>78.600000000000009</v>
      </c>
      <c r="I1012" s="448">
        <f>SUM(I1010:I1011)</f>
        <v>90.8</v>
      </c>
      <c r="J1012" s="448">
        <f>SUM(J1010:J1011)</f>
        <v>87.7</v>
      </c>
      <c r="K1012" s="937">
        <f>SUM(K1010:K1011)</f>
        <v>87.7</v>
      </c>
      <c r="L1012" s="1010">
        <f>SUM(L1010:L1011)</f>
        <v>87.7</v>
      </c>
      <c r="M1012" s="467"/>
      <c r="N1012" s="1205"/>
      <c r="O1012" s="1206"/>
      <c r="P1012" s="1207"/>
      <c r="Q1012" s="1206"/>
    </row>
    <row r="1013" spans="1:17" ht="22.5" x14ac:dyDescent="0.2">
      <c r="A1013" s="418">
        <v>6</v>
      </c>
      <c r="B1013" s="433"/>
      <c r="C1013" s="433" t="s">
        <v>1509</v>
      </c>
      <c r="D1013" s="435" t="s">
        <v>296</v>
      </c>
      <c r="E1013" s="442">
        <v>23</v>
      </c>
      <c r="F1013" s="436" t="s">
        <v>297</v>
      </c>
      <c r="G1013" s="446" t="s">
        <v>9</v>
      </c>
      <c r="H1013" s="443">
        <v>23.6</v>
      </c>
      <c r="I1013" s="445">
        <v>123</v>
      </c>
      <c r="J1013" s="444"/>
      <c r="K1013" s="935"/>
      <c r="L1013" s="1008"/>
      <c r="M1013" s="467" t="s">
        <v>782</v>
      </c>
      <c r="N1013" s="1202" t="s">
        <v>1510</v>
      </c>
      <c r="O1013" s="1203" t="s">
        <v>1504</v>
      </c>
      <c r="P1013" s="1204">
        <v>65.599999999999994</v>
      </c>
      <c r="Q1013" s="1203" t="s">
        <v>799</v>
      </c>
    </row>
    <row r="1014" spans="1:17" x14ac:dyDescent="0.2">
      <c r="A1014" s="418">
        <v>6</v>
      </c>
      <c r="B1014" s="433"/>
      <c r="C1014" s="433"/>
      <c r="D1014" s="435"/>
      <c r="E1014" s="442">
        <v>23</v>
      </c>
      <c r="F1014" s="436" t="s">
        <v>297</v>
      </c>
      <c r="G1014" s="445" t="s">
        <v>289</v>
      </c>
      <c r="H1014" s="443">
        <v>208.9</v>
      </c>
      <c r="I1014" s="445">
        <v>224</v>
      </c>
      <c r="J1014" s="444">
        <v>258.2</v>
      </c>
      <c r="K1014" s="936">
        <v>258.2</v>
      </c>
      <c r="L1014" s="1009">
        <v>258.2</v>
      </c>
      <c r="M1014" s="467" t="s">
        <v>782</v>
      </c>
      <c r="N1014" s="1202"/>
      <c r="O1014" s="1203"/>
      <c r="P1014" s="1204"/>
      <c r="Q1014" s="1203" t="s">
        <v>799</v>
      </c>
    </row>
    <row r="1015" spans="1:17" x14ac:dyDescent="0.2">
      <c r="A1015" s="418">
        <v>6</v>
      </c>
      <c r="B1015" s="433"/>
      <c r="C1015" s="433"/>
      <c r="D1015" s="435"/>
      <c r="E1015" s="442"/>
      <c r="F1015" s="436" t="s">
        <v>297</v>
      </c>
      <c r="G1015" s="447" t="s">
        <v>608</v>
      </c>
      <c r="H1015" s="448">
        <f>SUM(H1013:H1014)</f>
        <v>232.5</v>
      </c>
      <c r="I1015" s="448">
        <f>SUM(I1013:I1014)</f>
        <v>347</v>
      </c>
      <c r="J1015" s="448">
        <f>SUM(J1013:J1014)</f>
        <v>258.2</v>
      </c>
      <c r="K1015" s="937">
        <f>SUM(K1013:K1014)</f>
        <v>258.2</v>
      </c>
      <c r="L1015" s="1010">
        <f>SUM(L1013:L1014)</f>
        <v>258.2</v>
      </c>
      <c r="M1015" s="467"/>
      <c r="N1015" s="1205"/>
      <c r="O1015" s="1206"/>
      <c r="P1015" s="1207"/>
      <c r="Q1015" s="1206"/>
    </row>
    <row r="1016" spans="1:17" ht="22.5" x14ac:dyDescent="0.2">
      <c r="A1016" s="418">
        <v>6</v>
      </c>
      <c r="B1016" s="433"/>
      <c r="C1016" s="433" t="s">
        <v>1511</v>
      </c>
      <c r="D1016" s="435" t="s">
        <v>298</v>
      </c>
      <c r="E1016" s="442">
        <v>24</v>
      </c>
      <c r="F1016" s="436" t="s">
        <v>299</v>
      </c>
      <c r="G1016" s="446" t="s">
        <v>9</v>
      </c>
      <c r="H1016" s="443">
        <f>4.8</f>
        <v>4.8</v>
      </c>
      <c r="I1016" s="445">
        <v>0.4</v>
      </c>
      <c r="J1016" s="444"/>
      <c r="K1016" s="935"/>
      <c r="L1016" s="1008"/>
      <c r="M1016" s="467" t="s">
        <v>782</v>
      </c>
      <c r="N1016" s="1202" t="s">
        <v>2350</v>
      </c>
      <c r="O1016" s="1203" t="s">
        <v>1504</v>
      </c>
      <c r="P1016" s="1204">
        <v>42.4</v>
      </c>
      <c r="Q1016" s="1203" t="s">
        <v>913</v>
      </c>
    </row>
    <row r="1017" spans="1:17" x14ac:dyDescent="0.2">
      <c r="A1017" s="418">
        <v>6</v>
      </c>
      <c r="B1017" s="433"/>
      <c r="C1017" s="433"/>
      <c r="D1017" s="435"/>
      <c r="E1017" s="442">
        <v>24</v>
      </c>
      <c r="F1017" s="436" t="s">
        <v>299</v>
      </c>
      <c r="G1017" s="445" t="s">
        <v>289</v>
      </c>
      <c r="H1017" s="443">
        <v>35</v>
      </c>
      <c r="I1017" s="445">
        <v>38.799999999999997</v>
      </c>
      <c r="J1017" s="444">
        <v>45.7</v>
      </c>
      <c r="K1017" s="936">
        <v>45.7</v>
      </c>
      <c r="L1017" s="1009">
        <v>45.7</v>
      </c>
      <c r="M1017" s="467" t="s">
        <v>782</v>
      </c>
      <c r="N1017" s="1202"/>
      <c r="O1017" s="1203"/>
      <c r="P1017" s="1204"/>
      <c r="Q1017" s="1203" t="s">
        <v>913</v>
      </c>
    </row>
    <row r="1018" spans="1:17" x14ac:dyDescent="0.2">
      <c r="A1018" s="418">
        <v>6</v>
      </c>
      <c r="B1018" s="433"/>
      <c r="C1018" s="433"/>
      <c r="D1018" s="435"/>
      <c r="E1018" s="442"/>
      <c r="F1018" s="436" t="s">
        <v>299</v>
      </c>
      <c r="G1018" s="447" t="s">
        <v>608</v>
      </c>
      <c r="H1018" s="448">
        <f>SUM(H1016:H1017)</f>
        <v>39.799999999999997</v>
      </c>
      <c r="I1018" s="448">
        <f>SUM(I1016:I1017)</f>
        <v>39.199999999999996</v>
      </c>
      <c r="J1018" s="448">
        <f>SUM(J1016:J1017)</f>
        <v>45.7</v>
      </c>
      <c r="K1018" s="937">
        <f>SUM(K1016:K1017)</f>
        <v>45.7</v>
      </c>
      <c r="L1018" s="1010">
        <f>SUM(L1016:L1017)</f>
        <v>45.7</v>
      </c>
      <c r="M1018" s="467"/>
      <c r="N1018" s="1205"/>
      <c r="O1018" s="1206"/>
      <c r="P1018" s="1207"/>
      <c r="Q1018" s="1206"/>
    </row>
    <row r="1019" spans="1:17" ht="22.5" x14ac:dyDescent="0.2">
      <c r="A1019" s="418">
        <v>6</v>
      </c>
      <c r="B1019" s="433"/>
      <c r="C1019" s="433" t="s">
        <v>1513</v>
      </c>
      <c r="D1019" s="435" t="s">
        <v>300</v>
      </c>
      <c r="E1019" s="442">
        <v>25</v>
      </c>
      <c r="F1019" s="436" t="s">
        <v>301</v>
      </c>
      <c r="G1019" s="446" t="s">
        <v>9</v>
      </c>
      <c r="H1019" s="443">
        <v>21.3</v>
      </c>
      <c r="I1019" s="445">
        <v>22</v>
      </c>
      <c r="J1019" s="444"/>
      <c r="K1019" s="935"/>
      <c r="L1019" s="1008"/>
      <c r="M1019" s="467" t="s">
        <v>782</v>
      </c>
      <c r="N1019" s="1202" t="s">
        <v>2351</v>
      </c>
      <c r="O1019" s="1203" t="s">
        <v>1504</v>
      </c>
      <c r="P1019" s="1204">
        <v>139.30000000000001</v>
      </c>
      <c r="Q1019" s="1203" t="s">
        <v>889</v>
      </c>
    </row>
    <row r="1020" spans="1:17" x14ac:dyDescent="0.2">
      <c r="A1020" s="418">
        <v>6</v>
      </c>
      <c r="B1020" s="433"/>
      <c r="C1020" s="433"/>
      <c r="D1020" s="435"/>
      <c r="E1020" s="442">
        <v>25</v>
      </c>
      <c r="F1020" s="436" t="s">
        <v>301</v>
      </c>
      <c r="G1020" s="445" t="s">
        <v>289</v>
      </c>
      <c r="H1020" s="443">
        <v>156.19999999999999</v>
      </c>
      <c r="I1020" s="445">
        <v>177.2</v>
      </c>
      <c r="J1020" s="444">
        <v>209.8</v>
      </c>
      <c r="K1020" s="936">
        <v>209.8</v>
      </c>
      <c r="L1020" s="1009">
        <v>209.8</v>
      </c>
      <c r="M1020" s="467" t="s">
        <v>782</v>
      </c>
      <c r="N1020" s="1202"/>
      <c r="O1020" s="1203"/>
      <c r="P1020" s="1204"/>
      <c r="Q1020" s="1203" t="s">
        <v>889</v>
      </c>
    </row>
    <row r="1021" spans="1:17" x14ac:dyDescent="0.2">
      <c r="A1021" s="418">
        <v>6</v>
      </c>
      <c r="B1021" s="433"/>
      <c r="C1021" s="433"/>
      <c r="D1021" s="435"/>
      <c r="E1021" s="442"/>
      <c r="F1021" s="436" t="s">
        <v>301</v>
      </c>
      <c r="G1021" s="447" t="s">
        <v>608</v>
      </c>
      <c r="H1021" s="448">
        <f>SUM(H1019:H1020)</f>
        <v>177.5</v>
      </c>
      <c r="I1021" s="448">
        <f>SUM(I1019:I1020)</f>
        <v>199.2</v>
      </c>
      <c r="J1021" s="448">
        <f>SUM(J1019:J1020)</f>
        <v>209.8</v>
      </c>
      <c r="K1021" s="937">
        <f>SUM(K1019:K1020)</f>
        <v>209.8</v>
      </c>
      <c r="L1021" s="1010">
        <f>SUM(L1019:L1020)</f>
        <v>209.8</v>
      </c>
      <c r="M1021" s="467"/>
      <c r="N1021" s="1205"/>
      <c r="O1021" s="1206"/>
      <c r="P1021" s="1207"/>
      <c r="Q1021" s="1206"/>
    </row>
    <row r="1022" spans="1:17" ht="33.75" x14ac:dyDescent="0.2">
      <c r="A1022" s="418">
        <v>6</v>
      </c>
      <c r="B1022" s="433"/>
      <c r="C1022" s="433" t="s">
        <v>1514</v>
      </c>
      <c r="D1022" s="435" t="s">
        <v>302</v>
      </c>
      <c r="E1022" s="442">
        <v>26</v>
      </c>
      <c r="F1022" s="436" t="s">
        <v>303</v>
      </c>
      <c r="G1022" s="446" t="s">
        <v>9</v>
      </c>
      <c r="H1022" s="443">
        <v>6.8</v>
      </c>
      <c r="I1022" s="445">
        <v>45.5</v>
      </c>
      <c r="J1022" s="444"/>
      <c r="K1022" s="935"/>
      <c r="L1022" s="1008"/>
      <c r="M1022" s="467" t="s">
        <v>782</v>
      </c>
      <c r="N1022" s="1202" t="s">
        <v>2352</v>
      </c>
      <c r="O1022" s="1203" t="s">
        <v>1504</v>
      </c>
      <c r="P1022" s="1204">
        <v>144.30000000000001</v>
      </c>
      <c r="Q1022" s="1203" t="s">
        <v>878</v>
      </c>
    </row>
    <row r="1023" spans="1:17" x14ac:dyDescent="0.2">
      <c r="A1023" s="418">
        <v>6</v>
      </c>
      <c r="B1023" s="433"/>
      <c r="C1023" s="433"/>
      <c r="D1023" s="435"/>
      <c r="E1023" s="442">
        <v>26</v>
      </c>
      <c r="F1023" s="436" t="s">
        <v>303</v>
      </c>
      <c r="G1023" s="445" t="s">
        <v>289</v>
      </c>
      <c r="H1023" s="443">
        <v>205.6</v>
      </c>
      <c r="I1023" s="445">
        <v>228.7</v>
      </c>
      <c r="J1023" s="444">
        <v>270.2</v>
      </c>
      <c r="K1023" s="936">
        <v>270.2</v>
      </c>
      <c r="L1023" s="1009">
        <v>270.2</v>
      </c>
      <c r="M1023" s="467" t="s">
        <v>782</v>
      </c>
      <c r="N1023" s="1202"/>
      <c r="O1023" s="1203"/>
      <c r="P1023" s="1204"/>
      <c r="Q1023" s="1203" t="s">
        <v>878</v>
      </c>
    </row>
    <row r="1024" spans="1:17" x14ac:dyDescent="0.2">
      <c r="A1024" s="418">
        <v>6</v>
      </c>
      <c r="B1024" s="433"/>
      <c r="C1024" s="433"/>
      <c r="D1024" s="435"/>
      <c r="E1024" s="442"/>
      <c r="F1024" s="436" t="s">
        <v>303</v>
      </c>
      <c r="G1024" s="447" t="s">
        <v>608</v>
      </c>
      <c r="H1024" s="448">
        <f>SUM(H1022:H1023)</f>
        <v>212.4</v>
      </c>
      <c r="I1024" s="448">
        <f>SUM(I1022:I1023)</f>
        <v>274.2</v>
      </c>
      <c r="J1024" s="448">
        <f>SUM(J1022:J1023)</f>
        <v>270.2</v>
      </c>
      <c r="K1024" s="937">
        <f>SUM(K1022:K1023)</f>
        <v>270.2</v>
      </c>
      <c r="L1024" s="1010">
        <f>SUM(L1022:L1023)</f>
        <v>270.2</v>
      </c>
      <c r="M1024" s="467"/>
      <c r="N1024" s="1205"/>
      <c r="O1024" s="1206"/>
      <c r="P1024" s="1207"/>
      <c r="Q1024" s="1206"/>
    </row>
    <row r="1025" spans="1:17" ht="22.5" x14ac:dyDescent="0.2">
      <c r="A1025" s="418">
        <v>6</v>
      </c>
      <c r="B1025" s="433"/>
      <c r="C1025" s="433" t="s">
        <v>1516</v>
      </c>
      <c r="D1025" s="435" t="s">
        <v>304</v>
      </c>
      <c r="E1025" s="442">
        <v>27</v>
      </c>
      <c r="F1025" s="436" t="s">
        <v>305</v>
      </c>
      <c r="G1025" s="446" t="s">
        <v>9</v>
      </c>
      <c r="H1025" s="443">
        <v>31.9</v>
      </c>
      <c r="I1025" s="445">
        <v>95.1</v>
      </c>
      <c r="J1025" s="444"/>
      <c r="K1025" s="935"/>
      <c r="L1025" s="1008"/>
      <c r="M1025" s="467" t="s">
        <v>782</v>
      </c>
      <c r="N1025" s="1202" t="s">
        <v>2353</v>
      </c>
      <c r="O1025" s="1203" t="s">
        <v>1504</v>
      </c>
      <c r="P1025" s="1204">
        <v>87.8</v>
      </c>
      <c r="Q1025" s="1203" t="s">
        <v>861</v>
      </c>
    </row>
    <row r="1026" spans="1:17" x14ac:dyDescent="0.2">
      <c r="A1026" s="418">
        <v>6</v>
      </c>
      <c r="B1026" s="433"/>
      <c r="C1026" s="433"/>
      <c r="D1026" s="435"/>
      <c r="E1026" s="442">
        <v>27</v>
      </c>
      <c r="F1026" s="436" t="s">
        <v>305</v>
      </c>
      <c r="G1026" s="445" t="s">
        <v>289</v>
      </c>
      <c r="H1026" s="443">
        <v>234.6</v>
      </c>
      <c r="I1026" s="445">
        <v>279</v>
      </c>
      <c r="J1026" s="444">
        <v>339.9</v>
      </c>
      <c r="K1026" s="936">
        <v>339.9</v>
      </c>
      <c r="L1026" s="1009">
        <v>339.9</v>
      </c>
      <c r="M1026" s="467" t="s">
        <v>782</v>
      </c>
      <c r="N1026" s="1202"/>
      <c r="O1026" s="1203"/>
      <c r="P1026" s="1204"/>
      <c r="Q1026" s="1203" t="s">
        <v>861</v>
      </c>
    </row>
    <row r="1027" spans="1:17" x14ac:dyDescent="0.2">
      <c r="A1027" s="418">
        <v>6</v>
      </c>
      <c r="B1027" s="433"/>
      <c r="C1027" s="433"/>
      <c r="D1027" s="435"/>
      <c r="E1027" s="442"/>
      <c r="F1027" s="436" t="s">
        <v>305</v>
      </c>
      <c r="G1027" s="447" t="s">
        <v>608</v>
      </c>
      <c r="H1027" s="448">
        <f>SUM(H1025:H1026)</f>
        <v>266.5</v>
      </c>
      <c r="I1027" s="448">
        <f>SUM(I1025:I1026)</f>
        <v>374.1</v>
      </c>
      <c r="J1027" s="448">
        <f>SUM(J1025:J1026)</f>
        <v>339.9</v>
      </c>
      <c r="K1027" s="937">
        <f>SUM(K1025:K1026)</f>
        <v>339.9</v>
      </c>
      <c r="L1027" s="1010">
        <f>SUM(L1025:L1026)</f>
        <v>339.9</v>
      </c>
      <c r="M1027" s="467"/>
      <c r="N1027" s="1205"/>
      <c r="O1027" s="1206"/>
      <c r="P1027" s="1207"/>
      <c r="Q1027" s="1206"/>
    </row>
    <row r="1028" spans="1:17" ht="22.5" x14ac:dyDescent="0.2">
      <c r="A1028" s="418">
        <v>6</v>
      </c>
      <c r="B1028" s="433"/>
      <c r="C1028" s="433" t="s">
        <v>1517</v>
      </c>
      <c r="D1028" s="435" t="s">
        <v>306</v>
      </c>
      <c r="E1028" s="442">
        <v>28</v>
      </c>
      <c r="F1028" s="436" t="s">
        <v>307</v>
      </c>
      <c r="G1028" s="446" t="s">
        <v>9</v>
      </c>
      <c r="H1028" s="443">
        <v>15.6</v>
      </c>
      <c r="I1028" s="445">
        <v>36.1</v>
      </c>
      <c r="J1028" s="444"/>
      <c r="K1028" s="935"/>
      <c r="L1028" s="1008"/>
      <c r="M1028" s="467" t="s">
        <v>782</v>
      </c>
      <c r="N1028" s="1202" t="s">
        <v>2354</v>
      </c>
      <c r="O1028" s="1203" t="s">
        <v>1504</v>
      </c>
      <c r="P1028" s="1204">
        <v>127.5</v>
      </c>
      <c r="Q1028" s="1203" t="s">
        <v>871</v>
      </c>
    </row>
    <row r="1029" spans="1:17" x14ac:dyDescent="0.2">
      <c r="A1029" s="418">
        <v>6</v>
      </c>
      <c r="B1029" s="433"/>
      <c r="C1029" s="433"/>
      <c r="D1029" s="435"/>
      <c r="E1029" s="442">
        <v>28</v>
      </c>
      <c r="F1029" s="436" t="s">
        <v>307</v>
      </c>
      <c r="G1029" s="445" t="s">
        <v>289</v>
      </c>
      <c r="H1029" s="443">
        <v>114.5</v>
      </c>
      <c r="I1029" s="445">
        <v>126.5</v>
      </c>
      <c r="J1029" s="444">
        <v>148.30000000000001</v>
      </c>
      <c r="K1029" s="936">
        <v>148.30000000000001</v>
      </c>
      <c r="L1029" s="1009">
        <v>148.30000000000001</v>
      </c>
      <c r="M1029" s="467" t="s">
        <v>782</v>
      </c>
      <c r="N1029" s="1202"/>
      <c r="O1029" s="1203"/>
      <c r="P1029" s="1204"/>
      <c r="Q1029" s="1203" t="s">
        <v>871</v>
      </c>
    </row>
    <row r="1030" spans="1:17" x14ac:dyDescent="0.2">
      <c r="A1030" s="418">
        <v>6</v>
      </c>
      <c r="B1030" s="433"/>
      <c r="C1030" s="433"/>
      <c r="D1030" s="435"/>
      <c r="E1030" s="442"/>
      <c r="F1030" s="436" t="s">
        <v>307</v>
      </c>
      <c r="G1030" s="447" t="s">
        <v>608</v>
      </c>
      <c r="H1030" s="448">
        <f>SUM(H1028:H1029)</f>
        <v>130.1</v>
      </c>
      <c r="I1030" s="448">
        <f>SUM(I1028:I1029)</f>
        <v>162.6</v>
      </c>
      <c r="J1030" s="448">
        <f>SUM(J1028:J1029)</f>
        <v>148.30000000000001</v>
      </c>
      <c r="K1030" s="937">
        <f>SUM(K1028:K1029)</f>
        <v>148.30000000000001</v>
      </c>
      <c r="L1030" s="1010">
        <f>SUM(L1028:L1029)</f>
        <v>148.30000000000001</v>
      </c>
      <c r="M1030" s="467"/>
      <c r="N1030" s="1205"/>
      <c r="O1030" s="1206"/>
      <c r="P1030" s="1207"/>
      <c r="Q1030" s="1206"/>
    </row>
    <row r="1031" spans="1:17" ht="22.5" x14ac:dyDescent="0.2">
      <c r="A1031" s="418">
        <v>6</v>
      </c>
      <c r="B1031" s="433"/>
      <c r="C1031" s="433" t="s">
        <v>1518</v>
      </c>
      <c r="D1031" s="435" t="s">
        <v>308</v>
      </c>
      <c r="E1031" s="442">
        <v>29</v>
      </c>
      <c r="F1031" s="436" t="s">
        <v>309</v>
      </c>
      <c r="G1031" s="446" t="s">
        <v>9</v>
      </c>
      <c r="H1031" s="443">
        <v>20.6</v>
      </c>
      <c r="I1031" s="445">
        <v>25.5</v>
      </c>
      <c r="J1031" s="444"/>
      <c r="K1031" s="935"/>
      <c r="L1031" s="1008"/>
      <c r="M1031" s="467" t="s">
        <v>782</v>
      </c>
      <c r="N1031" s="1202" t="s">
        <v>2355</v>
      </c>
      <c r="O1031" s="1203" t="s">
        <v>1504</v>
      </c>
      <c r="P1031" s="1204">
        <v>153.4</v>
      </c>
      <c r="Q1031" s="1203" t="s">
        <v>886</v>
      </c>
    </row>
    <row r="1032" spans="1:17" x14ac:dyDescent="0.2">
      <c r="A1032" s="418">
        <v>6</v>
      </c>
      <c r="B1032" s="433"/>
      <c r="C1032" s="433"/>
      <c r="D1032" s="435"/>
      <c r="E1032" s="442">
        <v>29</v>
      </c>
      <c r="F1032" s="436" t="s">
        <v>309</v>
      </c>
      <c r="G1032" s="445" t="s">
        <v>289</v>
      </c>
      <c r="H1032" s="443">
        <v>151.6</v>
      </c>
      <c r="I1032" s="445">
        <v>167.9</v>
      </c>
      <c r="J1032" s="444">
        <v>196.1</v>
      </c>
      <c r="K1032" s="936">
        <v>196.1</v>
      </c>
      <c r="L1032" s="1009">
        <v>196.1</v>
      </c>
      <c r="M1032" s="467" t="s">
        <v>782</v>
      </c>
      <c r="N1032" s="1202"/>
      <c r="O1032" s="1203"/>
      <c r="P1032" s="1204"/>
      <c r="Q1032" s="1203" t="s">
        <v>886</v>
      </c>
    </row>
    <row r="1033" spans="1:17" x14ac:dyDescent="0.2">
      <c r="A1033" s="418">
        <v>6</v>
      </c>
      <c r="B1033" s="433"/>
      <c r="C1033" s="433"/>
      <c r="D1033" s="435"/>
      <c r="E1033" s="442"/>
      <c r="F1033" s="436" t="s">
        <v>309</v>
      </c>
      <c r="G1033" s="447" t="s">
        <v>608</v>
      </c>
      <c r="H1033" s="448">
        <f>SUM(H1031:H1032)</f>
        <v>172.2</v>
      </c>
      <c r="I1033" s="448">
        <f>SUM(I1031:I1032)</f>
        <v>193.4</v>
      </c>
      <c r="J1033" s="448">
        <f>SUM(J1031:J1032)</f>
        <v>196.1</v>
      </c>
      <c r="K1033" s="937">
        <f>SUM(K1031:K1032)</f>
        <v>196.1</v>
      </c>
      <c r="L1033" s="1010">
        <f>SUM(L1031:L1032)</f>
        <v>196.1</v>
      </c>
      <c r="M1033" s="467"/>
      <c r="N1033" s="1205"/>
      <c r="O1033" s="1206"/>
      <c r="P1033" s="1207"/>
      <c r="Q1033" s="1206"/>
    </row>
    <row r="1034" spans="1:17" ht="33.75" x14ac:dyDescent="0.2">
      <c r="A1034" s="418">
        <v>6</v>
      </c>
      <c r="B1034" s="433"/>
      <c r="C1034" s="433" t="s">
        <v>1519</v>
      </c>
      <c r="D1034" s="330" t="s">
        <v>310</v>
      </c>
      <c r="E1034" s="442">
        <v>9</v>
      </c>
      <c r="F1034" s="436" t="s">
        <v>311</v>
      </c>
      <c r="G1034" s="446" t="s">
        <v>9</v>
      </c>
      <c r="H1034" s="443">
        <v>30</v>
      </c>
      <c r="I1034" s="445">
        <v>50</v>
      </c>
      <c r="J1034" s="444"/>
      <c r="K1034" s="936"/>
      <c r="L1034" s="1009"/>
      <c r="M1034" s="467" t="s">
        <v>782</v>
      </c>
      <c r="N1034" s="1202" t="s">
        <v>1049</v>
      </c>
      <c r="O1034" s="1203" t="s">
        <v>1520</v>
      </c>
      <c r="P1034" s="1209">
        <v>100</v>
      </c>
      <c r="Q1034" s="1203"/>
    </row>
    <row r="1035" spans="1:17" x14ac:dyDescent="0.2">
      <c r="A1035" s="418">
        <v>6</v>
      </c>
      <c r="B1035" s="433"/>
      <c r="C1035" s="433"/>
      <c r="D1035" s="330"/>
      <c r="E1035" s="442"/>
      <c r="F1035" s="436" t="s">
        <v>311</v>
      </c>
      <c r="G1035" s="446" t="s">
        <v>289</v>
      </c>
      <c r="H1035" s="443"/>
      <c r="I1035" s="445"/>
      <c r="J1035" s="444">
        <v>50</v>
      </c>
      <c r="K1035" s="936">
        <v>50</v>
      </c>
      <c r="L1035" s="1009">
        <v>50</v>
      </c>
      <c r="M1035" s="467"/>
      <c r="N1035" s="1202"/>
      <c r="O1035" s="1203"/>
      <c r="P1035" s="1209"/>
      <c r="Q1035" s="1203"/>
    </row>
    <row r="1036" spans="1:17" x14ac:dyDescent="0.2">
      <c r="A1036" s="418">
        <v>6</v>
      </c>
      <c r="B1036" s="433"/>
      <c r="C1036" s="433"/>
      <c r="D1036" s="435"/>
      <c r="E1036" s="442"/>
      <c r="F1036" s="436" t="s">
        <v>311</v>
      </c>
      <c r="G1036" s="447" t="s">
        <v>608</v>
      </c>
      <c r="H1036" s="448">
        <f>SUM(H1034)</f>
        <v>30</v>
      </c>
      <c r="I1036" s="448">
        <f>SUM(I1034:I1035)</f>
        <v>50</v>
      </c>
      <c r="J1036" s="448">
        <f t="shared" ref="J1036:L1036" si="218">SUM(J1034:J1035)</f>
        <v>50</v>
      </c>
      <c r="K1036" s="937">
        <f t="shared" si="218"/>
        <v>50</v>
      </c>
      <c r="L1036" s="1010">
        <f t="shared" si="218"/>
        <v>50</v>
      </c>
      <c r="M1036" s="467"/>
      <c r="N1036" s="1205"/>
      <c r="O1036" s="1206"/>
      <c r="P1036" s="1207"/>
      <c r="Q1036" s="1210"/>
    </row>
    <row r="1037" spans="1:17" ht="33.75" x14ac:dyDescent="0.2">
      <c r="A1037" s="418">
        <v>6</v>
      </c>
      <c r="B1037" s="451"/>
      <c r="C1037" s="433" t="s">
        <v>1521</v>
      </c>
      <c r="D1037" s="452" t="s">
        <v>1522</v>
      </c>
      <c r="E1037" s="442" t="s">
        <v>1523</v>
      </c>
      <c r="F1037" s="436" t="s">
        <v>316</v>
      </c>
      <c r="G1037" s="446" t="s">
        <v>9</v>
      </c>
      <c r="H1037" s="446"/>
      <c r="I1037" s="1149">
        <v>236.7</v>
      </c>
      <c r="J1037" s="453">
        <f>100-50</f>
        <v>50</v>
      </c>
      <c r="K1037" s="939">
        <v>100</v>
      </c>
      <c r="L1037" s="1011">
        <v>50</v>
      </c>
      <c r="M1037" s="467" t="s">
        <v>796</v>
      </c>
      <c r="N1037" s="1211" t="s">
        <v>1524</v>
      </c>
      <c r="O1037" s="1203" t="s">
        <v>2356</v>
      </c>
      <c r="P1037" s="1212">
        <v>100</v>
      </c>
      <c r="Q1037" s="58"/>
    </row>
    <row r="1038" spans="1:17" x14ac:dyDescent="0.2">
      <c r="A1038" s="418">
        <v>6</v>
      </c>
      <c r="B1038" s="451"/>
      <c r="C1038" s="451"/>
      <c r="D1038" s="435"/>
      <c r="E1038" s="442" t="s">
        <v>1523</v>
      </c>
      <c r="F1038" s="436" t="s">
        <v>316</v>
      </c>
      <c r="G1038" s="445" t="s">
        <v>289</v>
      </c>
      <c r="H1038" s="443">
        <v>100</v>
      </c>
      <c r="I1038" s="445">
        <v>100</v>
      </c>
      <c r="J1038" s="444">
        <f>161.7-100</f>
        <v>61.699999999999989</v>
      </c>
      <c r="K1038" s="936"/>
      <c r="L1038" s="1009"/>
      <c r="M1038" s="467" t="s">
        <v>796</v>
      </c>
      <c r="N1038" s="1211"/>
      <c r="O1038" s="1203"/>
      <c r="P1038" s="1213"/>
      <c r="Q1038" s="1214"/>
    </row>
    <row r="1039" spans="1:17" x14ac:dyDescent="0.2">
      <c r="A1039" s="418">
        <v>6</v>
      </c>
      <c r="B1039" s="451"/>
      <c r="C1039" s="451"/>
      <c r="D1039" s="435"/>
      <c r="E1039" s="442"/>
      <c r="F1039" s="436" t="s">
        <v>316</v>
      </c>
      <c r="G1039" s="447" t="s">
        <v>608</v>
      </c>
      <c r="H1039" s="448">
        <f>SUM(H1037:H1038)</f>
        <v>100</v>
      </c>
      <c r="I1039" s="448">
        <f>SUM(I1037:I1038)</f>
        <v>336.7</v>
      </c>
      <c r="J1039" s="448">
        <f>SUM(J1037:J1038)</f>
        <v>111.69999999999999</v>
      </c>
      <c r="K1039" s="937">
        <f t="shared" ref="K1039:L1039" si="219">SUM(K1037:K1038)</f>
        <v>100</v>
      </c>
      <c r="L1039" s="1010">
        <f t="shared" si="219"/>
        <v>50</v>
      </c>
      <c r="M1039" s="467"/>
      <c r="N1039" s="1205"/>
      <c r="O1039" s="1206"/>
      <c r="P1039" s="1215"/>
      <c r="Q1039" s="1206"/>
    </row>
    <row r="1040" spans="1:17" ht="22.5" x14ac:dyDescent="0.2">
      <c r="A1040" s="418">
        <v>6</v>
      </c>
      <c r="B1040" s="419"/>
      <c r="C1040" s="419"/>
      <c r="D1040" s="420" t="s">
        <v>1525</v>
      </c>
      <c r="E1040" s="454"/>
      <c r="F1040" s="455"/>
      <c r="G1040" s="456"/>
      <c r="H1040" s="457"/>
      <c r="I1040" s="457"/>
      <c r="J1040" s="457"/>
      <c r="K1040" s="940"/>
      <c r="L1040" s="1012"/>
      <c r="M1040" s="1059"/>
      <c r="N1040" s="1055"/>
      <c r="O1040" s="458"/>
      <c r="P1040" s="459"/>
      <c r="Q1040" s="458"/>
    </row>
    <row r="1041" spans="1:17" ht="22.5" x14ac:dyDescent="0.2">
      <c r="A1041" s="418">
        <v>6</v>
      </c>
      <c r="B1041" s="460" t="s">
        <v>1526</v>
      </c>
      <c r="C1041" s="460" t="s">
        <v>1526</v>
      </c>
      <c r="D1041" s="1063" t="s">
        <v>1495</v>
      </c>
      <c r="E1041" s="430"/>
      <c r="F1041" s="430"/>
      <c r="G1041" s="430"/>
      <c r="H1041" s="430"/>
      <c r="I1041" s="430"/>
      <c r="J1041" s="430"/>
      <c r="K1041" s="887"/>
      <c r="L1041" s="1005"/>
      <c r="M1041" s="467"/>
      <c r="N1041" s="468"/>
      <c r="O1041" s="449"/>
      <c r="P1041" s="450"/>
      <c r="Q1041" s="449"/>
    </row>
    <row r="1042" spans="1:17" ht="33.75" x14ac:dyDescent="0.2">
      <c r="A1042" s="418">
        <v>6</v>
      </c>
      <c r="B1042" s="433"/>
      <c r="C1042" s="434"/>
      <c r="D1042" s="435"/>
      <c r="E1042" s="436"/>
      <c r="F1042" s="437"/>
      <c r="G1042" s="438" t="s">
        <v>312</v>
      </c>
      <c r="H1042" s="438" t="e">
        <f>SUM(H1053,#REF!,#REF!,#REF!,H1055,H1058,#REF!,H1077,H1079,H1082,#REF!,#REF!,)</f>
        <v>#REF!</v>
      </c>
      <c r="I1042" s="438">
        <f>SUM(I1053,I1056,I1057,I1058,I1059,I1060,I1076,I1084,I1061,I1062,I1064,I1072,I1074,I1075,I1055,I1051,I1052,I1085,I1086,I1071)</f>
        <v>1684.7799999999997</v>
      </c>
      <c r="J1042" s="438">
        <f>SUM(J1053,J1056,J1057,J1058,J1059,J1060,J1076,J1084,J1061,J1062,J1064,J1072,J1074,J1075,J1055,J1051,J1052,J1085,J1086,J1071)</f>
        <v>4372.4000000000005</v>
      </c>
      <c r="K1042" s="438">
        <f>SUM(K1053,K1056,K1057,K1058,K1059,K1060,K1076,K1084,K1061,K1062,K1064,K1072,K1074,K1075,K1055,K1051,K1052,K1085,K1086,K1071)</f>
        <v>3470.2</v>
      </c>
      <c r="L1042" s="438">
        <f>SUM(L1053,L1056,L1057,L1058,L1059,L1060,L1076,L1084,L1061,L1062,L1064,L1072,L1074,L1075,L1055,L1051,L1052,L1085,L1086,L1071)</f>
        <v>5063.7999999999993</v>
      </c>
      <c r="M1042" s="467"/>
      <c r="N1042" s="525"/>
      <c r="O1042" s="931"/>
      <c r="P1042" s="862"/>
      <c r="Q1042" s="863"/>
    </row>
    <row r="1043" spans="1:17" x14ac:dyDescent="0.2">
      <c r="A1043" s="418">
        <v>6</v>
      </c>
      <c r="B1043" s="433"/>
      <c r="C1043" s="434"/>
      <c r="D1043" s="435"/>
      <c r="E1043" s="436"/>
      <c r="F1043" s="437"/>
      <c r="G1043" s="438" t="s">
        <v>12</v>
      </c>
      <c r="H1043" s="438"/>
      <c r="I1043" s="438">
        <f>SUM(I1054,I1063,I1065,I1087)</f>
        <v>515</v>
      </c>
      <c r="J1043" s="438">
        <f t="shared" ref="J1043:L1043" si="220">SUM(J1054,J1063,J1065,J1087)</f>
        <v>48.9</v>
      </c>
      <c r="K1043" s="933">
        <f t="shared" si="220"/>
        <v>0</v>
      </c>
      <c r="L1043" s="1006">
        <f t="shared" si="220"/>
        <v>610</v>
      </c>
      <c r="M1043" s="467"/>
      <c r="N1043" s="1056"/>
      <c r="O1043" s="858"/>
      <c r="P1043" s="859"/>
      <c r="Q1043" s="859"/>
    </row>
    <row r="1044" spans="1:17" x14ac:dyDescent="0.2">
      <c r="A1044" s="418">
        <v>6</v>
      </c>
      <c r="B1044" s="433"/>
      <c r="C1044" s="434"/>
      <c r="D1044" s="435"/>
      <c r="E1044" s="436"/>
      <c r="F1044" s="437"/>
      <c r="G1044" s="438" t="s">
        <v>266</v>
      </c>
      <c r="H1044" s="438"/>
      <c r="I1044" s="438"/>
      <c r="J1044" s="438"/>
      <c r="K1044" s="933"/>
      <c r="L1044" s="1006"/>
      <c r="M1044" s="467"/>
      <c r="N1044" s="1056"/>
      <c r="O1044" s="493"/>
      <c r="P1044" s="859"/>
      <c r="Q1044" s="859"/>
    </row>
    <row r="1045" spans="1:17" x14ac:dyDescent="0.2">
      <c r="A1045" s="418">
        <v>6</v>
      </c>
      <c r="B1045" s="433"/>
      <c r="C1045" s="434"/>
      <c r="D1045" s="435"/>
      <c r="E1045" s="436"/>
      <c r="F1045" s="437"/>
      <c r="G1045" s="438" t="s">
        <v>11</v>
      </c>
      <c r="H1045" s="438"/>
      <c r="I1045" s="438">
        <f>SUM(I1068,I1069,I1070)</f>
        <v>152</v>
      </c>
      <c r="J1045" s="438">
        <f>SUM(J1068,J1069,J1070)</f>
        <v>1060</v>
      </c>
      <c r="K1045" s="933">
        <f t="shared" ref="K1045:L1045" si="221">SUM(K1068,K1069,K1070)</f>
        <v>2100</v>
      </c>
      <c r="L1045" s="1006">
        <f t="shared" si="221"/>
        <v>1000</v>
      </c>
      <c r="M1045" s="467"/>
      <c r="N1045" s="1056"/>
      <c r="O1045" s="493"/>
      <c r="P1045" s="859"/>
      <c r="Q1045" s="859"/>
    </row>
    <row r="1046" spans="1:17" x14ac:dyDescent="0.2">
      <c r="A1046" s="418">
        <v>6</v>
      </c>
      <c r="B1046" s="433"/>
      <c r="C1046" s="434"/>
      <c r="D1046" s="435"/>
      <c r="E1046" s="436"/>
      <c r="F1046" s="437"/>
      <c r="G1046" s="438" t="s">
        <v>1527</v>
      </c>
      <c r="H1046" s="438"/>
      <c r="I1046" s="438">
        <f>SUM(I1073)</f>
        <v>93.100000000000009</v>
      </c>
      <c r="J1046" s="438">
        <f>SUM(J1073)</f>
        <v>40.200000000000003</v>
      </c>
      <c r="K1046" s="933">
        <f>SUM(K1073)</f>
        <v>0</v>
      </c>
      <c r="L1046" s="1006">
        <f>SUM(L1073)</f>
        <v>0</v>
      </c>
      <c r="M1046" s="467"/>
      <c r="N1046" s="1056"/>
      <c r="O1046" s="493"/>
      <c r="P1046" s="859"/>
      <c r="Q1046" s="860"/>
    </row>
    <row r="1047" spans="1:17" x14ac:dyDescent="0.2">
      <c r="A1047" s="418">
        <v>6</v>
      </c>
      <c r="B1047" s="433"/>
      <c r="C1047" s="434"/>
      <c r="D1047" s="435"/>
      <c r="E1047" s="436"/>
      <c r="F1047" s="437"/>
      <c r="G1047" s="438" t="s">
        <v>58</v>
      </c>
      <c r="H1047" s="438"/>
      <c r="I1047" s="438">
        <f>SUM(I1067)</f>
        <v>0</v>
      </c>
      <c r="J1047" s="438">
        <f>SUM(J1067)</f>
        <v>400</v>
      </c>
      <c r="K1047" s="933">
        <f>SUM(K1067)</f>
        <v>645.70000000000005</v>
      </c>
      <c r="L1047" s="1006">
        <f>SUM(L1067)</f>
        <v>0</v>
      </c>
      <c r="M1047" s="467"/>
      <c r="N1047" s="1056"/>
      <c r="O1047" s="493"/>
      <c r="P1047" s="859"/>
      <c r="Q1047" s="859"/>
    </row>
    <row r="1048" spans="1:17" x14ac:dyDescent="0.2">
      <c r="A1048" s="418">
        <v>6</v>
      </c>
      <c r="B1048" s="433"/>
      <c r="C1048" s="434"/>
      <c r="D1048" s="435"/>
      <c r="E1048" s="436"/>
      <c r="F1048" s="437"/>
      <c r="G1048" s="438" t="s">
        <v>713</v>
      </c>
      <c r="H1048" s="438"/>
      <c r="I1048" s="438">
        <f>I1066</f>
        <v>0</v>
      </c>
      <c r="J1048" s="438">
        <f t="shared" ref="J1048:L1048" si="222">J1066</f>
        <v>85</v>
      </c>
      <c r="K1048" s="933">
        <f t="shared" si="222"/>
        <v>97.199999999999989</v>
      </c>
      <c r="L1048" s="1006">
        <f t="shared" si="222"/>
        <v>0</v>
      </c>
      <c r="M1048" s="467"/>
      <c r="N1048" s="1056"/>
      <c r="O1048" s="493"/>
      <c r="P1048" s="859"/>
      <c r="Q1048" s="859"/>
    </row>
    <row r="1049" spans="1:17" x14ac:dyDescent="0.2">
      <c r="A1049" s="418">
        <v>6</v>
      </c>
      <c r="B1049" s="433"/>
      <c r="C1049" s="433"/>
      <c r="D1049" s="435"/>
      <c r="E1049" s="436"/>
      <c r="F1049" s="437"/>
      <c r="G1049" s="438" t="s">
        <v>99</v>
      </c>
      <c r="H1049" s="438" t="e">
        <f>SUM(H1054,#REF!,#REF!,#REF!,H1056,H1059,#REF!,H1078,H1080,H1083,#REF!)</f>
        <v>#REF!</v>
      </c>
      <c r="I1049" s="438">
        <f>SUM(I1077,)</f>
        <v>160.80000000000001</v>
      </c>
      <c r="J1049" s="438">
        <f t="shared" ref="J1049:L1049" si="223">SUM(J1077,)</f>
        <v>25.8</v>
      </c>
      <c r="K1049" s="438">
        <f t="shared" si="223"/>
        <v>0</v>
      </c>
      <c r="L1049" s="438">
        <f t="shared" si="223"/>
        <v>0</v>
      </c>
      <c r="M1049" s="467"/>
      <c r="N1049" s="1056"/>
      <c r="O1049" s="493"/>
      <c r="P1049" s="861"/>
      <c r="Q1049" s="861"/>
    </row>
    <row r="1050" spans="1:17" x14ac:dyDescent="0.2">
      <c r="A1050" s="418">
        <v>6</v>
      </c>
      <c r="B1050" s="433"/>
      <c r="C1050" s="433"/>
      <c r="D1050" s="461"/>
      <c r="E1050" s="436"/>
      <c r="F1050" s="437"/>
      <c r="G1050" s="438" t="s">
        <v>741</v>
      </c>
      <c r="H1050" s="438"/>
      <c r="I1050" s="438">
        <f>SUM(I1042:I1049)</f>
        <v>2605.6799999999998</v>
      </c>
      <c r="J1050" s="438">
        <f t="shared" ref="J1050:L1050" si="224">SUM(J1042:J1049)</f>
        <v>6032.3</v>
      </c>
      <c r="K1050" s="933">
        <f t="shared" si="224"/>
        <v>6313.0999999999995</v>
      </c>
      <c r="L1050" s="1006">
        <f t="shared" si="224"/>
        <v>6673.7999999999993</v>
      </c>
      <c r="M1050" s="467"/>
      <c r="N1050" s="1056"/>
      <c r="O1050" s="493"/>
      <c r="P1050" s="861"/>
      <c r="Q1050" s="861"/>
    </row>
    <row r="1051" spans="1:17" ht="67.5" x14ac:dyDescent="0.2">
      <c r="A1051" s="418">
        <v>6</v>
      </c>
      <c r="B1051" s="433"/>
      <c r="C1051" s="433" t="s">
        <v>1528</v>
      </c>
      <c r="D1051" s="754" t="s">
        <v>1529</v>
      </c>
      <c r="E1051" s="418">
        <v>9</v>
      </c>
      <c r="F1051" s="835" t="s">
        <v>1530</v>
      </c>
      <c r="G1051" s="462" t="s">
        <v>9</v>
      </c>
      <c r="H1051" s="463"/>
      <c r="I1051" s="1150"/>
      <c r="J1051" s="906">
        <v>192.5</v>
      </c>
      <c r="K1051" s="942"/>
      <c r="L1051" s="1013"/>
      <c r="M1051" s="467" t="s">
        <v>787</v>
      </c>
      <c r="N1051" s="1216" t="s">
        <v>1531</v>
      </c>
      <c r="O1051" s="1217" t="s">
        <v>1532</v>
      </c>
      <c r="P1051" s="1218">
        <v>100</v>
      </c>
      <c r="Q1051" s="1219" t="s">
        <v>875</v>
      </c>
    </row>
    <row r="1052" spans="1:17" ht="22.5" x14ac:dyDescent="0.2">
      <c r="A1052" s="418">
        <v>6</v>
      </c>
      <c r="B1052" s="433"/>
      <c r="C1052" s="433" t="s">
        <v>1533</v>
      </c>
      <c r="D1052" s="754" t="s">
        <v>1534</v>
      </c>
      <c r="E1052" s="418">
        <v>9</v>
      </c>
      <c r="F1052" s="836" t="s">
        <v>1535</v>
      </c>
      <c r="G1052" s="462" t="s">
        <v>9</v>
      </c>
      <c r="H1052" s="438"/>
      <c r="I1052" s="1151">
        <v>0</v>
      </c>
      <c r="J1052" s="907">
        <v>120</v>
      </c>
      <c r="K1052" s="941">
        <v>70</v>
      </c>
      <c r="L1052" s="1013"/>
      <c r="M1052" s="467" t="s">
        <v>870</v>
      </c>
      <c r="N1052" s="1216" t="s">
        <v>1531</v>
      </c>
      <c r="O1052" s="1220" t="s">
        <v>2357</v>
      </c>
      <c r="P1052" s="1221">
        <v>100</v>
      </c>
      <c r="Q1052" s="1222" t="s">
        <v>861</v>
      </c>
    </row>
    <row r="1053" spans="1:17" x14ac:dyDescent="0.2">
      <c r="A1053" s="418">
        <v>6</v>
      </c>
      <c r="B1053" s="517"/>
      <c r="C1053" s="534" t="s">
        <v>1536</v>
      </c>
      <c r="D1053" s="1463" t="s">
        <v>1540</v>
      </c>
      <c r="E1053" s="418">
        <v>9</v>
      </c>
      <c r="F1053" s="837" t="s">
        <v>1541</v>
      </c>
      <c r="G1053" s="462" t="s">
        <v>9</v>
      </c>
      <c r="H1053" s="465"/>
      <c r="I1053" s="1152">
        <v>70.900000000000006</v>
      </c>
      <c r="J1053" s="749">
        <v>764.7</v>
      </c>
      <c r="K1053" s="943"/>
      <c r="L1053" s="1014"/>
      <c r="M1053" s="467" t="s">
        <v>787</v>
      </c>
      <c r="N1053" s="1223" t="s">
        <v>859</v>
      </c>
      <c r="O1053" s="1224" t="s">
        <v>1532</v>
      </c>
      <c r="P1053" s="1225">
        <v>100</v>
      </c>
      <c r="Q1053" s="1203" t="s">
        <v>861</v>
      </c>
    </row>
    <row r="1054" spans="1:17" x14ac:dyDescent="0.2">
      <c r="A1054" s="418">
        <v>6</v>
      </c>
      <c r="B1054" s="517"/>
      <c r="C1054" s="534" t="s">
        <v>1536</v>
      </c>
      <c r="D1054" s="1462"/>
      <c r="E1054" s="442">
        <v>9</v>
      </c>
      <c r="F1054" s="838" t="s">
        <v>1541</v>
      </c>
      <c r="G1054" s="467" t="s">
        <v>12</v>
      </c>
      <c r="H1054" s="462"/>
      <c r="I1054" s="1152">
        <v>400</v>
      </c>
      <c r="J1054" s="749"/>
      <c r="K1054" s="945"/>
      <c r="L1054" s="1015"/>
      <c r="M1054" s="504" t="s">
        <v>787</v>
      </c>
      <c r="N1054" s="1286"/>
      <c r="O1054" s="1310"/>
      <c r="P1054" s="1311"/>
      <c r="Q1054" s="1226" t="s">
        <v>861</v>
      </c>
    </row>
    <row r="1055" spans="1:17" ht="33.75" x14ac:dyDescent="0.2">
      <c r="A1055" s="418">
        <v>6</v>
      </c>
      <c r="B1055" s="517"/>
      <c r="C1055" s="534" t="s">
        <v>1539</v>
      </c>
      <c r="D1055" s="82" t="s">
        <v>1544</v>
      </c>
      <c r="E1055" s="442">
        <v>9</v>
      </c>
      <c r="F1055" s="837" t="s">
        <v>1545</v>
      </c>
      <c r="G1055" s="467" t="s">
        <v>9</v>
      </c>
      <c r="H1055" s="465"/>
      <c r="I1055" s="1153"/>
      <c r="J1055" s="789">
        <f>45-45</f>
        <v>0</v>
      </c>
      <c r="K1055" s="943">
        <f>300+45</f>
        <v>345</v>
      </c>
      <c r="L1055" s="955"/>
      <c r="M1055" s="504" t="s">
        <v>870</v>
      </c>
      <c r="N1055" s="1216" t="s">
        <v>2360</v>
      </c>
      <c r="O1055" s="1227" t="s">
        <v>2361</v>
      </c>
      <c r="P1055" s="1204" t="s">
        <v>2362</v>
      </c>
      <c r="Q1055" s="1206" t="s">
        <v>799</v>
      </c>
    </row>
    <row r="1056" spans="1:17" ht="22.5" x14ac:dyDescent="0.2">
      <c r="A1056" s="418">
        <v>6</v>
      </c>
      <c r="B1056" s="433"/>
      <c r="C1056" s="534" t="s">
        <v>1543</v>
      </c>
      <c r="D1056" s="82" t="s">
        <v>1547</v>
      </c>
      <c r="E1056" s="442">
        <v>9</v>
      </c>
      <c r="F1056" s="837" t="s">
        <v>1548</v>
      </c>
      <c r="G1056" s="467" t="s">
        <v>9</v>
      </c>
      <c r="H1056" s="465"/>
      <c r="I1056" s="1153">
        <f>180-140</f>
        <v>40</v>
      </c>
      <c r="J1056" s="789"/>
      <c r="K1056" s="947">
        <v>100</v>
      </c>
      <c r="L1056" s="1016"/>
      <c r="M1056" s="504" t="s">
        <v>870</v>
      </c>
      <c r="N1056" s="1223" t="s">
        <v>1049</v>
      </c>
      <c r="O1056" s="1224" t="s">
        <v>1549</v>
      </c>
      <c r="P1056" s="1228">
        <v>0.35</v>
      </c>
      <c r="Q1056" s="1206" t="s">
        <v>799</v>
      </c>
    </row>
    <row r="1057" spans="1:17" x14ac:dyDescent="0.2">
      <c r="A1057" s="418">
        <v>6</v>
      </c>
      <c r="B1057" s="433"/>
      <c r="C1057" s="534" t="s">
        <v>1546</v>
      </c>
      <c r="D1057" s="82" t="s">
        <v>1551</v>
      </c>
      <c r="E1057" s="442">
        <v>9</v>
      </c>
      <c r="F1057" s="837" t="s">
        <v>1552</v>
      </c>
      <c r="G1057" s="467" t="s">
        <v>9</v>
      </c>
      <c r="H1057" s="465"/>
      <c r="I1057" s="1153">
        <v>325.8</v>
      </c>
      <c r="J1057" s="789">
        <v>388</v>
      </c>
      <c r="K1057" s="947">
        <v>100</v>
      </c>
      <c r="L1057" s="1016">
        <v>0</v>
      </c>
      <c r="M1057" s="504" t="s">
        <v>787</v>
      </c>
      <c r="N1057" s="1223" t="s">
        <v>1051</v>
      </c>
      <c r="O1057" s="1224" t="s">
        <v>1553</v>
      </c>
      <c r="P1057" s="1229">
        <v>100</v>
      </c>
      <c r="Q1057" s="1206" t="s">
        <v>799</v>
      </c>
    </row>
    <row r="1058" spans="1:17" ht="22.5" x14ac:dyDescent="0.2">
      <c r="A1058" s="418">
        <v>6</v>
      </c>
      <c r="B1058" s="471"/>
      <c r="C1058" s="1400" t="s">
        <v>1550</v>
      </c>
      <c r="D1058" s="755" t="s">
        <v>1555</v>
      </c>
      <c r="E1058" s="472">
        <v>9</v>
      </c>
      <c r="F1058" s="839" t="s">
        <v>1556</v>
      </c>
      <c r="G1058" s="474" t="s">
        <v>9</v>
      </c>
      <c r="H1058" s="475"/>
      <c r="I1058" s="1154">
        <v>4.9000000000000004</v>
      </c>
      <c r="J1058" s="908">
        <v>25</v>
      </c>
      <c r="K1058" s="948">
        <v>120</v>
      </c>
      <c r="L1058" s="1017"/>
      <c r="M1058" s="504" t="s">
        <v>870</v>
      </c>
      <c r="N1058" s="1223" t="s">
        <v>1051</v>
      </c>
      <c r="O1058" s="1227" t="s">
        <v>2524</v>
      </c>
      <c r="P1058" s="1230" t="s">
        <v>860</v>
      </c>
      <c r="Q1058" s="1206" t="s">
        <v>799</v>
      </c>
    </row>
    <row r="1059" spans="1:17" x14ac:dyDescent="0.2">
      <c r="A1059" s="418">
        <v>6</v>
      </c>
      <c r="B1059" s="477"/>
      <c r="C1059" s="1401" t="s">
        <v>1554</v>
      </c>
      <c r="D1059" s="756" t="s">
        <v>1558</v>
      </c>
      <c r="E1059" s="478">
        <v>9</v>
      </c>
      <c r="F1059" s="488" t="s">
        <v>1559</v>
      </c>
      <c r="G1059" s="480" t="s">
        <v>9</v>
      </c>
      <c r="H1059" s="476"/>
      <c r="I1059" s="1155">
        <v>10</v>
      </c>
      <c r="J1059" s="909">
        <v>35</v>
      </c>
      <c r="K1059" s="949">
        <v>120</v>
      </c>
      <c r="L1059" s="1018"/>
      <c r="M1059" s="504" t="s">
        <v>787</v>
      </c>
      <c r="N1059" s="1223" t="s">
        <v>1051</v>
      </c>
      <c r="O1059" s="1224" t="s">
        <v>1560</v>
      </c>
      <c r="P1059" s="1229">
        <v>1</v>
      </c>
      <c r="Q1059" s="1206" t="s">
        <v>799</v>
      </c>
    </row>
    <row r="1060" spans="1:17" ht="45" x14ac:dyDescent="0.2">
      <c r="A1060" s="418">
        <v>6</v>
      </c>
      <c r="B1060" s="477"/>
      <c r="C1060" s="1401" t="s">
        <v>1557</v>
      </c>
      <c r="D1060" s="757" t="s">
        <v>1562</v>
      </c>
      <c r="E1060" s="478">
        <v>9</v>
      </c>
      <c r="F1060" s="481" t="s">
        <v>325</v>
      </c>
      <c r="G1060" s="479" t="s">
        <v>9</v>
      </c>
      <c r="H1060" s="482">
        <f>50-32-18</f>
        <v>0</v>
      </c>
      <c r="I1060" s="1156">
        <v>18.38</v>
      </c>
      <c r="J1060" s="910">
        <v>46.9</v>
      </c>
      <c r="K1060" s="950">
        <f>500-400</f>
        <v>100</v>
      </c>
      <c r="L1060" s="1019">
        <f>600+400</f>
        <v>1000</v>
      </c>
      <c r="M1060" s="467" t="s">
        <v>870</v>
      </c>
      <c r="N1060" s="1223" t="s">
        <v>859</v>
      </c>
      <c r="O1060" s="1224" t="s">
        <v>1563</v>
      </c>
      <c r="P1060" s="1229">
        <v>1</v>
      </c>
      <c r="Q1060" s="1206" t="s">
        <v>799</v>
      </c>
    </row>
    <row r="1061" spans="1:17" ht="22.5" x14ac:dyDescent="0.2">
      <c r="A1061" s="418">
        <v>6</v>
      </c>
      <c r="B1061" s="433"/>
      <c r="C1061" s="1400" t="s">
        <v>1561</v>
      </c>
      <c r="D1061" s="1369" t="s">
        <v>2448</v>
      </c>
      <c r="E1061" s="472">
        <v>9</v>
      </c>
      <c r="F1061" s="840" t="s">
        <v>1565</v>
      </c>
      <c r="G1061" s="484" t="s">
        <v>9</v>
      </c>
      <c r="H1061" s="473"/>
      <c r="I1061" s="1154"/>
      <c r="J1061" s="908">
        <f>80-40-30-5</f>
        <v>5</v>
      </c>
      <c r="K1061" s="944">
        <f>300+40+30+5</f>
        <v>375</v>
      </c>
      <c r="L1061" s="1014">
        <v>200</v>
      </c>
      <c r="M1061" s="192" t="s">
        <v>870</v>
      </c>
      <c r="N1061" s="1223" t="s">
        <v>2549</v>
      </c>
      <c r="O1061" s="1224" t="s">
        <v>1563</v>
      </c>
      <c r="P1061" s="1231">
        <v>1</v>
      </c>
      <c r="Q1061" s="1232" t="s">
        <v>889</v>
      </c>
    </row>
    <row r="1062" spans="1:17" x14ac:dyDescent="0.2">
      <c r="A1062" s="418">
        <v>6</v>
      </c>
      <c r="B1062" s="485"/>
      <c r="C1062" s="1401" t="s">
        <v>1564</v>
      </c>
      <c r="D1062" s="1480" t="s">
        <v>1567</v>
      </c>
      <c r="E1062" s="478">
        <v>9</v>
      </c>
      <c r="F1062" s="841" t="s">
        <v>1568</v>
      </c>
      <c r="G1062" s="486" t="s">
        <v>9</v>
      </c>
      <c r="H1062" s="479"/>
      <c r="I1062" s="1157"/>
      <c r="J1062" s="911">
        <f>370-70</f>
        <v>300</v>
      </c>
      <c r="K1062" s="946">
        <f>50-50</f>
        <v>0</v>
      </c>
      <c r="L1062" s="1015"/>
      <c r="M1062" s="192" t="s">
        <v>2221</v>
      </c>
      <c r="N1062" s="1233" t="s">
        <v>2363</v>
      </c>
      <c r="O1062" s="1234" t="s">
        <v>1570</v>
      </c>
      <c r="P1062" s="1235">
        <v>1</v>
      </c>
      <c r="Q1062" s="1236" t="s">
        <v>861</v>
      </c>
    </row>
    <row r="1063" spans="1:17" x14ac:dyDescent="0.2">
      <c r="A1063" s="418">
        <v>6</v>
      </c>
      <c r="B1063" s="485"/>
      <c r="C1063" s="1401" t="s">
        <v>1564</v>
      </c>
      <c r="D1063" s="1481"/>
      <c r="E1063" s="478" t="s">
        <v>649</v>
      </c>
      <c r="F1063" s="842" t="s">
        <v>1568</v>
      </c>
      <c r="G1063" s="480" t="s">
        <v>12</v>
      </c>
      <c r="H1063" s="476"/>
      <c r="I1063" s="1155">
        <v>65</v>
      </c>
      <c r="J1063" s="909"/>
      <c r="K1063" s="946"/>
      <c r="L1063" s="1015"/>
      <c r="M1063" s="298" t="s">
        <v>2221</v>
      </c>
      <c r="N1063" s="1233" t="s">
        <v>1569</v>
      </c>
      <c r="O1063" s="1234" t="s">
        <v>2364</v>
      </c>
      <c r="P1063" s="1235">
        <v>100</v>
      </c>
      <c r="Q1063" s="1237" t="s">
        <v>861</v>
      </c>
    </row>
    <row r="1064" spans="1:17" x14ac:dyDescent="0.2">
      <c r="A1064" s="418">
        <v>6</v>
      </c>
      <c r="B1064" s="433"/>
      <c r="C1064" s="1403" t="s">
        <v>1566</v>
      </c>
      <c r="D1064" s="1482" t="s">
        <v>1572</v>
      </c>
      <c r="E1064" s="490">
        <v>9</v>
      </c>
      <c r="F1064" s="842" t="s">
        <v>1573</v>
      </c>
      <c r="G1064" s="491" t="s">
        <v>9</v>
      </c>
      <c r="H1064" s="492"/>
      <c r="I1064" s="1158"/>
      <c r="J1064" s="912">
        <f>1015-400-85-300-130</f>
        <v>100</v>
      </c>
      <c r="K1064" s="951">
        <f>700-85+300+130</f>
        <v>1045</v>
      </c>
      <c r="L1064" s="1020"/>
      <c r="M1064" s="298" t="s">
        <v>2221</v>
      </c>
      <c r="N1064" s="1233" t="s">
        <v>1569</v>
      </c>
      <c r="O1064" s="1238" t="s">
        <v>2365</v>
      </c>
      <c r="P1064" s="1239">
        <v>100</v>
      </c>
      <c r="Q1064" s="1240" t="s">
        <v>861</v>
      </c>
    </row>
    <row r="1065" spans="1:17" x14ac:dyDescent="0.2">
      <c r="A1065" s="418">
        <v>6</v>
      </c>
      <c r="B1065" s="471"/>
      <c r="C1065" s="1403" t="s">
        <v>1566</v>
      </c>
      <c r="D1065" s="1483"/>
      <c r="E1065" s="478">
        <v>9</v>
      </c>
      <c r="F1065" s="842" t="s">
        <v>1573</v>
      </c>
      <c r="G1065" s="479" t="s">
        <v>12</v>
      </c>
      <c r="H1065" s="494"/>
      <c r="I1065" s="1157">
        <v>50</v>
      </c>
      <c r="J1065" s="911"/>
      <c r="K1065" s="952"/>
      <c r="L1065" s="1021"/>
      <c r="M1065" s="298" t="s">
        <v>2221</v>
      </c>
      <c r="N1065" s="1233" t="s">
        <v>2363</v>
      </c>
      <c r="O1065" s="1241" t="s">
        <v>2366</v>
      </c>
      <c r="P1065" s="1229">
        <v>1</v>
      </c>
      <c r="Q1065" s="1206" t="s">
        <v>861</v>
      </c>
    </row>
    <row r="1066" spans="1:17" x14ac:dyDescent="0.2">
      <c r="A1066" s="418">
        <v>6</v>
      </c>
      <c r="B1066" s="471"/>
      <c r="C1066" s="1403" t="s">
        <v>1566</v>
      </c>
      <c r="D1066" s="1483"/>
      <c r="E1066" s="478">
        <v>9</v>
      </c>
      <c r="F1066" s="842" t="s">
        <v>1573</v>
      </c>
      <c r="G1066" s="479" t="s">
        <v>713</v>
      </c>
      <c r="H1066" s="494"/>
      <c r="I1066" s="1157"/>
      <c r="J1066" s="911">
        <v>85</v>
      </c>
      <c r="K1066" s="953">
        <f>182.2-J1066</f>
        <v>97.199999999999989</v>
      </c>
      <c r="L1066" s="1021"/>
      <c r="M1066" s="298" t="s">
        <v>2221</v>
      </c>
      <c r="N1066" s="1233" t="s">
        <v>2363</v>
      </c>
      <c r="O1066" s="1241"/>
      <c r="P1066" s="1225"/>
      <c r="Q1066" s="1206" t="s">
        <v>861</v>
      </c>
    </row>
    <row r="1067" spans="1:17" x14ac:dyDescent="0.2">
      <c r="A1067" s="418">
        <v>6</v>
      </c>
      <c r="B1067" s="433"/>
      <c r="C1067" s="1403" t="s">
        <v>1566</v>
      </c>
      <c r="D1067" s="1483"/>
      <c r="E1067" s="496">
        <v>9</v>
      </c>
      <c r="F1067" s="842" t="s">
        <v>1573</v>
      </c>
      <c r="G1067" s="891" t="s">
        <v>58</v>
      </c>
      <c r="H1067" s="494"/>
      <c r="I1067" s="1157"/>
      <c r="J1067" s="911">
        <v>400</v>
      </c>
      <c r="K1067" s="954">
        <f>1032.2-J1067+13.5</f>
        <v>645.70000000000005</v>
      </c>
      <c r="L1067" s="1021"/>
      <c r="M1067" s="298" t="s">
        <v>2221</v>
      </c>
      <c r="N1067" s="1233" t="s">
        <v>2363</v>
      </c>
      <c r="O1067" s="1241"/>
      <c r="P1067" s="1207"/>
      <c r="Q1067" s="1206" t="s">
        <v>861</v>
      </c>
    </row>
    <row r="1068" spans="1:17" ht="33.75" x14ac:dyDescent="0.2">
      <c r="A1068" s="418">
        <v>6</v>
      </c>
      <c r="B1068" s="489"/>
      <c r="C1068" s="1402" t="s">
        <v>1571</v>
      </c>
      <c r="D1068" s="502" t="s">
        <v>1575</v>
      </c>
      <c r="E1068" s="478">
        <v>9</v>
      </c>
      <c r="F1068" s="487" t="s">
        <v>1576</v>
      </c>
      <c r="G1068" s="480" t="s">
        <v>11</v>
      </c>
      <c r="H1068" s="476"/>
      <c r="I1068" s="1155">
        <f>460-308</f>
        <v>152</v>
      </c>
      <c r="J1068" s="909">
        <v>1000</v>
      </c>
      <c r="K1068" s="946">
        <f>1200-100</f>
        <v>1100</v>
      </c>
      <c r="L1068" s="1015"/>
      <c r="M1068" s="504" t="s">
        <v>787</v>
      </c>
      <c r="N1068" s="1242" t="s">
        <v>1531</v>
      </c>
      <c r="O1068" s="659" t="s">
        <v>2367</v>
      </c>
      <c r="P1068" s="1243" t="s">
        <v>2307</v>
      </c>
      <c r="Q1068" s="660" t="s">
        <v>878</v>
      </c>
    </row>
    <row r="1069" spans="1:17" ht="33.75" x14ac:dyDescent="0.2">
      <c r="A1069" s="418">
        <v>6</v>
      </c>
      <c r="B1069" s="485"/>
      <c r="C1069" s="1401" t="s">
        <v>1574</v>
      </c>
      <c r="D1069" s="890" t="s">
        <v>1577</v>
      </c>
      <c r="E1069" s="498">
        <v>9</v>
      </c>
      <c r="F1069" s="1125" t="s">
        <v>2274</v>
      </c>
      <c r="G1069" s="500" t="s">
        <v>11</v>
      </c>
      <c r="H1069" s="501"/>
      <c r="I1069" s="1159"/>
      <c r="J1069" s="913">
        <f>60</f>
        <v>60</v>
      </c>
      <c r="K1069" s="955">
        <f>1000+60-60</f>
        <v>1000</v>
      </c>
      <c r="L1069" s="1022">
        <v>1000</v>
      </c>
      <c r="M1069" s="504" t="s">
        <v>787</v>
      </c>
      <c r="N1069" s="1244" t="s">
        <v>1569</v>
      </c>
      <c r="O1069" s="1366" t="s">
        <v>1570</v>
      </c>
      <c r="P1069" s="1367">
        <v>1</v>
      </c>
      <c r="Q1069" s="660" t="s">
        <v>878</v>
      </c>
    </row>
    <row r="1070" spans="1:17" x14ac:dyDescent="0.2">
      <c r="A1070" s="418">
        <v>6</v>
      </c>
      <c r="B1070" s="485"/>
      <c r="C1070" s="477" t="s">
        <v>1578</v>
      </c>
      <c r="D1070" s="1474" t="s">
        <v>1579</v>
      </c>
      <c r="E1070" s="418">
        <v>9</v>
      </c>
      <c r="F1070" s="499" t="s">
        <v>1580</v>
      </c>
      <c r="G1070" s="467" t="s">
        <v>11</v>
      </c>
      <c r="H1070" s="462"/>
      <c r="I1070" s="1151"/>
      <c r="J1070" s="907">
        <f>1500-1500</f>
        <v>0</v>
      </c>
      <c r="K1070" s="1363"/>
      <c r="L1070" s="1364"/>
      <c r="M1070" s="504" t="s">
        <v>787</v>
      </c>
      <c r="N1070" s="1365" t="s">
        <v>1049</v>
      </c>
      <c r="O1070" s="1224" t="s">
        <v>1581</v>
      </c>
      <c r="P1070" s="1225">
        <v>100</v>
      </c>
      <c r="Q1070" s="1245" t="s">
        <v>861</v>
      </c>
    </row>
    <row r="1071" spans="1:17" x14ac:dyDescent="0.2">
      <c r="A1071" s="418">
        <v>6</v>
      </c>
      <c r="B1071" s="485"/>
      <c r="C1071" s="477" t="s">
        <v>1578</v>
      </c>
      <c r="D1071" s="1475"/>
      <c r="E1071" s="418">
        <v>9</v>
      </c>
      <c r="F1071" s="499" t="s">
        <v>1580</v>
      </c>
      <c r="G1071" s="298" t="s">
        <v>9</v>
      </c>
      <c r="H1071" s="462"/>
      <c r="I1071" s="1151"/>
      <c r="J1071" s="907">
        <v>744.4</v>
      </c>
      <c r="K1071" s="956"/>
      <c r="L1071" s="956"/>
      <c r="M1071" s="504" t="s">
        <v>787</v>
      </c>
      <c r="N1071" s="1365" t="s">
        <v>1049</v>
      </c>
      <c r="O1071" s="1224" t="s">
        <v>1581</v>
      </c>
      <c r="P1071" s="1225">
        <v>100</v>
      </c>
      <c r="Q1071" s="1245"/>
    </row>
    <row r="1072" spans="1:17" x14ac:dyDescent="0.2">
      <c r="A1072" s="418">
        <v>6</v>
      </c>
      <c r="B1072" s="433"/>
      <c r="C1072" s="477" t="s">
        <v>1582</v>
      </c>
      <c r="D1072" s="1468" t="s">
        <v>1583</v>
      </c>
      <c r="E1072" s="442">
        <v>9</v>
      </c>
      <c r="F1072" s="436" t="s">
        <v>330</v>
      </c>
      <c r="G1072" s="504" t="s">
        <v>9</v>
      </c>
      <c r="H1072" s="448"/>
      <c r="I1072" s="1151">
        <v>341.8</v>
      </c>
      <c r="J1072" s="907">
        <v>797.2</v>
      </c>
      <c r="K1072" s="956"/>
      <c r="L1072" s="957"/>
      <c r="M1072" s="192" t="s">
        <v>2221</v>
      </c>
      <c r="N1072" s="1223" t="s">
        <v>1531</v>
      </c>
      <c r="O1072" s="1224" t="s">
        <v>1532</v>
      </c>
      <c r="P1072" s="1225">
        <v>100</v>
      </c>
      <c r="Q1072" s="753" t="s">
        <v>878</v>
      </c>
    </row>
    <row r="1073" spans="1:17" x14ac:dyDescent="0.2">
      <c r="A1073" s="418">
        <v>6</v>
      </c>
      <c r="B1073" s="433"/>
      <c r="C1073" s="477" t="s">
        <v>1582</v>
      </c>
      <c r="D1073" s="1461"/>
      <c r="E1073" s="442">
        <v>9</v>
      </c>
      <c r="F1073" s="436" t="s">
        <v>330</v>
      </c>
      <c r="G1073" s="467" t="s">
        <v>716</v>
      </c>
      <c r="H1073" s="448"/>
      <c r="I1073" s="1151">
        <f>133.3-40.2</f>
        <v>93.100000000000009</v>
      </c>
      <c r="J1073" s="907">
        <v>40.200000000000003</v>
      </c>
      <c r="K1073" s="956"/>
      <c r="L1073" s="957"/>
      <c r="M1073" s="192" t="s">
        <v>2221</v>
      </c>
      <c r="N1073" s="1223"/>
      <c r="O1073" s="1224"/>
      <c r="P1073" s="1207"/>
      <c r="Q1073" s="753" t="s">
        <v>878</v>
      </c>
    </row>
    <row r="1074" spans="1:17" x14ac:dyDescent="0.2">
      <c r="A1074" s="418">
        <v>6</v>
      </c>
      <c r="B1074" s="433"/>
      <c r="C1074" s="477" t="s">
        <v>1584</v>
      </c>
      <c r="D1074" s="82" t="s">
        <v>1585</v>
      </c>
      <c r="E1074" s="442">
        <v>26</v>
      </c>
      <c r="F1074" s="436" t="s">
        <v>330</v>
      </c>
      <c r="G1074" s="504" t="s">
        <v>9</v>
      </c>
      <c r="H1074" s="448"/>
      <c r="I1074" s="1151">
        <v>10</v>
      </c>
      <c r="J1074" s="907">
        <v>10</v>
      </c>
      <c r="K1074" s="956">
        <v>10</v>
      </c>
      <c r="L1074" s="957">
        <v>10</v>
      </c>
      <c r="M1074" s="467" t="s">
        <v>870</v>
      </c>
      <c r="N1074" s="1223" t="s">
        <v>1586</v>
      </c>
      <c r="O1074" s="1224"/>
      <c r="P1074" s="1207"/>
      <c r="Q1074" s="753" t="s">
        <v>878</v>
      </c>
    </row>
    <row r="1075" spans="1:17" ht="22.5" x14ac:dyDescent="0.2">
      <c r="A1075" s="418">
        <v>6</v>
      </c>
      <c r="B1075" s="433"/>
      <c r="C1075" s="477" t="s">
        <v>1587</v>
      </c>
      <c r="D1075" s="760" t="s">
        <v>1588</v>
      </c>
      <c r="E1075" s="442">
        <v>29</v>
      </c>
      <c r="F1075" s="436" t="s">
        <v>330</v>
      </c>
      <c r="G1075" s="504" t="s">
        <v>9</v>
      </c>
      <c r="H1075" s="448"/>
      <c r="I1075" s="1151"/>
      <c r="J1075" s="907">
        <v>200</v>
      </c>
      <c r="K1075" s="956"/>
      <c r="L1075" s="957"/>
      <c r="M1075" s="467" t="s">
        <v>787</v>
      </c>
      <c r="N1075" s="1202" t="s">
        <v>2355</v>
      </c>
      <c r="O1075" s="1224" t="s">
        <v>1532</v>
      </c>
      <c r="P1075" s="1225">
        <v>100</v>
      </c>
      <c r="Q1075" s="753" t="s">
        <v>886</v>
      </c>
    </row>
    <row r="1076" spans="1:17" ht="56.25" x14ac:dyDescent="0.2">
      <c r="A1076" s="418">
        <v>6</v>
      </c>
      <c r="B1076" s="433"/>
      <c r="C1076" s="534" t="s">
        <v>1589</v>
      </c>
      <c r="D1076" s="761" t="s">
        <v>1590</v>
      </c>
      <c r="E1076" s="418">
        <v>9</v>
      </c>
      <c r="F1076" s="411" t="s">
        <v>324</v>
      </c>
      <c r="G1076" s="465" t="s">
        <v>9</v>
      </c>
      <c r="H1076" s="443">
        <v>150</v>
      </c>
      <c r="I1076" s="445">
        <f>SUM(I1079:I1083)+160.8</f>
        <v>160.80000000000001</v>
      </c>
      <c r="J1076" s="444">
        <f>SUM(J1079:J1083)</f>
        <v>25.8</v>
      </c>
      <c r="K1076" s="959">
        <f>SUM(K1079:K1083)</f>
        <v>763</v>
      </c>
      <c r="L1076" s="1023">
        <f>SUM(L1079:L1083)</f>
        <v>0</v>
      </c>
      <c r="M1076" s="467" t="s">
        <v>796</v>
      </c>
      <c r="N1076" s="1216" t="s">
        <v>1591</v>
      </c>
      <c r="O1076" s="1227"/>
      <c r="P1076" s="1204"/>
      <c r="Q1076" s="1203"/>
    </row>
    <row r="1077" spans="1:17" x14ac:dyDescent="0.2">
      <c r="A1077" s="418">
        <v>6</v>
      </c>
      <c r="B1077" s="433"/>
      <c r="C1077" s="433"/>
      <c r="D1077" s="505"/>
      <c r="E1077" s="418">
        <v>9</v>
      </c>
      <c r="F1077" s="446" t="s">
        <v>324</v>
      </c>
      <c r="G1077" s="465" t="s">
        <v>99</v>
      </c>
      <c r="H1077" s="446">
        <v>150</v>
      </c>
      <c r="I1077" s="445">
        <v>160.80000000000001</v>
      </c>
      <c r="J1077" s="444">
        <v>25.8</v>
      </c>
      <c r="K1077" s="959"/>
      <c r="L1077" s="1023"/>
      <c r="M1077" s="467"/>
      <c r="N1077" s="1216"/>
      <c r="O1077" s="1227"/>
      <c r="P1077" s="1204"/>
      <c r="Q1077" s="1203"/>
    </row>
    <row r="1078" spans="1:17" x14ac:dyDescent="0.2">
      <c r="A1078" s="418">
        <v>6</v>
      </c>
      <c r="B1078" s="433"/>
      <c r="C1078" s="433"/>
      <c r="D1078" s="505"/>
      <c r="E1078" s="442"/>
      <c r="F1078" s="446" t="s">
        <v>324</v>
      </c>
      <c r="G1078" s="447" t="s">
        <v>608</v>
      </c>
      <c r="H1078" s="506">
        <f>SUM(H1076:H1077)</f>
        <v>300</v>
      </c>
      <c r="I1078" s="448">
        <f>SUM(I1076:I1077)</f>
        <v>321.60000000000002</v>
      </c>
      <c r="J1078" s="448">
        <f>SUM(J1076:J1077)</f>
        <v>51.6</v>
      </c>
      <c r="K1078" s="937">
        <f>SUM(K1076:K1077)</f>
        <v>763</v>
      </c>
      <c r="L1078" s="1010">
        <f>SUM(L1076:L1077)</f>
        <v>0</v>
      </c>
      <c r="M1078" s="467"/>
      <c r="N1078" s="1223"/>
      <c r="O1078" s="1224"/>
      <c r="P1078" s="1207"/>
      <c r="Q1078" s="1206"/>
    </row>
    <row r="1079" spans="1:17" x14ac:dyDescent="0.2">
      <c r="A1079" s="418">
        <v>6</v>
      </c>
      <c r="B1079" s="433"/>
      <c r="C1079" s="433"/>
      <c r="D1079" s="507" t="s">
        <v>1592</v>
      </c>
      <c r="E1079" s="418">
        <v>9</v>
      </c>
      <c r="F1079" s="446" t="s">
        <v>324</v>
      </c>
      <c r="G1079" s="417" t="s">
        <v>9</v>
      </c>
      <c r="H1079" s="465"/>
      <c r="I1079" s="1153"/>
      <c r="J1079" s="470"/>
      <c r="K1079" s="960">
        <v>65</v>
      </c>
      <c r="L1079" s="945"/>
      <c r="M1079" s="467" t="s">
        <v>870</v>
      </c>
      <c r="N1079" s="1216" t="s">
        <v>1591</v>
      </c>
      <c r="O1079" s="1224"/>
      <c r="P1079" s="1207"/>
      <c r="Q1079" s="1206" t="s">
        <v>875</v>
      </c>
    </row>
    <row r="1080" spans="1:17" x14ac:dyDescent="0.2">
      <c r="A1080" s="418">
        <v>6</v>
      </c>
      <c r="B1080" s="433"/>
      <c r="C1080" s="433"/>
      <c r="D1080" s="507" t="s">
        <v>1593</v>
      </c>
      <c r="E1080" s="418">
        <v>9</v>
      </c>
      <c r="F1080" s="446" t="s">
        <v>324</v>
      </c>
      <c r="G1080" s="417" t="s">
        <v>9</v>
      </c>
      <c r="H1080" s="465"/>
      <c r="I1080" s="1153"/>
      <c r="J1080" s="470"/>
      <c r="K1080" s="960">
        <v>170</v>
      </c>
      <c r="L1080" s="945"/>
      <c r="M1080" s="467" t="s">
        <v>870</v>
      </c>
      <c r="N1080" s="1216" t="s">
        <v>1591</v>
      </c>
      <c r="O1080" s="1224"/>
      <c r="P1080" s="1207"/>
      <c r="Q1080" s="1206" t="s">
        <v>912</v>
      </c>
    </row>
    <row r="1081" spans="1:17" x14ac:dyDescent="0.2">
      <c r="A1081" s="418">
        <v>6</v>
      </c>
      <c r="B1081" s="471"/>
      <c r="C1081" s="433"/>
      <c r="D1081" s="508" t="s">
        <v>1594</v>
      </c>
      <c r="E1081" s="472">
        <v>9</v>
      </c>
      <c r="F1081" s="483" t="s">
        <v>324</v>
      </c>
      <c r="G1081" s="484" t="s">
        <v>9</v>
      </c>
      <c r="H1081" s="473"/>
      <c r="I1081" s="1160"/>
      <c r="J1081" s="1120">
        <f>25.8</f>
        <v>25.8</v>
      </c>
      <c r="K1081" s="961">
        <f>25.8-25.8</f>
        <v>0</v>
      </c>
      <c r="L1081" s="1014"/>
      <c r="M1081" s="467" t="s">
        <v>870</v>
      </c>
      <c r="N1081" s="1246" t="s">
        <v>1591</v>
      </c>
      <c r="O1081" s="1224"/>
      <c r="P1081" s="1207"/>
      <c r="Q1081" s="1206" t="s">
        <v>889</v>
      </c>
    </row>
    <row r="1082" spans="1:17" ht="22.5" x14ac:dyDescent="0.2">
      <c r="A1082" s="418">
        <v>6</v>
      </c>
      <c r="B1082" s="477"/>
      <c r="C1082" s="433"/>
      <c r="D1082" s="509" t="s">
        <v>1595</v>
      </c>
      <c r="E1082" s="478">
        <v>9</v>
      </c>
      <c r="F1082" s="481" t="s">
        <v>324</v>
      </c>
      <c r="G1082" s="486" t="s">
        <v>9</v>
      </c>
      <c r="H1082" s="479"/>
      <c r="I1082" s="1157"/>
      <c r="J1082" s="495"/>
      <c r="K1082" s="962">
        <v>28</v>
      </c>
      <c r="L1082" s="1015"/>
      <c r="M1082" s="467" t="s">
        <v>870</v>
      </c>
      <c r="N1082" s="1247" t="s">
        <v>1591</v>
      </c>
      <c r="O1082" s="1241"/>
      <c r="P1082" s="1207"/>
      <c r="Q1082" s="1206" t="s">
        <v>799</v>
      </c>
    </row>
    <row r="1083" spans="1:17" x14ac:dyDescent="0.2">
      <c r="A1083" s="418">
        <v>6</v>
      </c>
      <c r="B1083" s="477"/>
      <c r="C1083" s="433"/>
      <c r="D1083" s="509" t="s">
        <v>1596</v>
      </c>
      <c r="E1083" s="478">
        <v>9</v>
      </c>
      <c r="F1083" s="481" t="s">
        <v>324</v>
      </c>
      <c r="G1083" s="486" t="s">
        <v>9</v>
      </c>
      <c r="H1083" s="479"/>
      <c r="I1083" s="1157"/>
      <c r="J1083" s="495"/>
      <c r="K1083" s="963">
        <v>500</v>
      </c>
      <c r="L1083" s="1015"/>
      <c r="M1083" s="467" t="s">
        <v>787</v>
      </c>
      <c r="N1083" s="1248" t="s">
        <v>1591</v>
      </c>
      <c r="O1083" s="1249"/>
      <c r="P1083" s="1250"/>
      <c r="Q1083" s="1210" t="s">
        <v>878</v>
      </c>
    </row>
    <row r="1084" spans="1:17" ht="22.5" x14ac:dyDescent="0.2">
      <c r="A1084" s="418">
        <v>6</v>
      </c>
      <c r="B1084" s="433"/>
      <c r="C1084" s="485" t="s">
        <v>1597</v>
      </c>
      <c r="D1084" s="761" t="s">
        <v>1598</v>
      </c>
      <c r="E1084" s="503">
        <v>9</v>
      </c>
      <c r="F1084" s="446" t="s">
        <v>326</v>
      </c>
      <c r="G1084" s="81" t="s">
        <v>9</v>
      </c>
      <c r="H1084" s="465"/>
      <c r="I1084" s="1161"/>
      <c r="J1084" s="854">
        <v>600</v>
      </c>
      <c r="K1084" s="947">
        <f>600-277.8</f>
        <v>322.2</v>
      </c>
      <c r="L1084" s="1016">
        <f>600+3536.4-282.6</f>
        <v>3853.7999999999997</v>
      </c>
      <c r="M1084" s="192" t="s">
        <v>870</v>
      </c>
      <c r="N1084" s="1247" t="s">
        <v>1049</v>
      </c>
      <c r="O1084" s="1251" t="s">
        <v>2368</v>
      </c>
      <c r="P1084" s="1252" t="s">
        <v>2369</v>
      </c>
      <c r="Q1084" s="1253"/>
    </row>
    <row r="1085" spans="1:17" ht="22.5" x14ac:dyDescent="0.2">
      <c r="A1085" s="418">
        <v>6</v>
      </c>
      <c r="B1085" s="433"/>
      <c r="C1085" s="485" t="s">
        <v>1599</v>
      </c>
      <c r="D1085" s="888" t="s">
        <v>321</v>
      </c>
      <c r="E1085" s="503">
        <v>9</v>
      </c>
      <c r="F1085" s="446" t="s">
        <v>322</v>
      </c>
      <c r="G1085" s="889" t="s">
        <v>9</v>
      </c>
      <c r="H1085" s="853"/>
      <c r="I1085" s="1157">
        <v>631.6</v>
      </c>
      <c r="J1085" s="495">
        <v>15.6</v>
      </c>
      <c r="K1085" s="947"/>
      <c r="L1085" s="1016"/>
      <c r="M1085" s="192"/>
      <c r="N1085" s="1247"/>
      <c r="O1085" s="1234" t="s">
        <v>2421</v>
      </c>
      <c r="P1085" s="1254"/>
      <c r="Q1085" s="1253" t="s">
        <v>799</v>
      </c>
    </row>
    <row r="1086" spans="1:17" ht="22.5" x14ac:dyDescent="0.2">
      <c r="A1086" s="418">
        <v>6</v>
      </c>
      <c r="B1086" s="433"/>
      <c r="C1086" s="485" t="s">
        <v>1600</v>
      </c>
      <c r="D1086" s="888" t="s">
        <v>319</v>
      </c>
      <c r="E1086" s="503">
        <v>9</v>
      </c>
      <c r="F1086" s="446" t="s">
        <v>320</v>
      </c>
      <c r="G1086" s="889" t="s">
        <v>9</v>
      </c>
      <c r="H1086" s="853"/>
      <c r="I1086" s="1157">
        <v>70.599999999999994</v>
      </c>
      <c r="J1086" s="495">
        <v>2.2999999999999998</v>
      </c>
      <c r="K1086" s="947"/>
      <c r="L1086" s="1016"/>
      <c r="M1086" s="192"/>
      <c r="N1086" s="1247"/>
      <c r="O1086" s="1234" t="s">
        <v>2421</v>
      </c>
      <c r="P1086" s="1254"/>
      <c r="Q1086" s="1253" t="s">
        <v>861</v>
      </c>
    </row>
    <row r="1087" spans="1:17" ht="33.75" x14ac:dyDescent="0.2">
      <c r="A1087" s="418">
        <v>6</v>
      </c>
      <c r="B1087" s="433"/>
      <c r="C1087" s="485" t="s">
        <v>1601</v>
      </c>
      <c r="D1087" s="888" t="s">
        <v>1602</v>
      </c>
      <c r="E1087" s="503">
        <v>9</v>
      </c>
      <c r="F1087" s="446" t="s">
        <v>1603</v>
      </c>
      <c r="G1087" s="889" t="s">
        <v>12</v>
      </c>
      <c r="H1087" s="853"/>
      <c r="I1087" s="1157"/>
      <c r="J1087" s="495">
        <v>48.9</v>
      </c>
      <c r="K1087" s="947"/>
      <c r="L1087" s="1016">
        <v>610</v>
      </c>
      <c r="M1087" s="192"/>
      <c r="N1087" s="1247"/>
      <c r="O1087" s="1234" t="s">
        <v>2421</v>
      </c>
      <c r="P1087" s="1254"/>
      <c r="Q1087" s="1253"/>
    </row>
    <row r="1088" spans="1:17" ht="45" x14ac:dyDescent="0.2">
      <c r="A1088" s="418">
        <v>6</v>
      </c>
      <c r="B1088" s="460" t="s">
        <v>1604</v>
      </c>
      <c r="C1088" s="460" t="s">
        <v>1604</v>
      </c>
      <c r="D1088" s="429" t="s">
        <v>1605</v>
      </c>
      <c r="E1088" s="430"/>
      <c r="F1088" s="430"/>
      <c r="G1088" s="430"/>
      <c r="H1088" s="430"/>
      <c r="I1088" s="852"/>
      <c r="J1088" s="852"/>
      <c r="K1088" s="887"/>
      <c r="L1088" s="1005"/>
      <c r="M1088" s="467"/>
      <c r="N1088" s="1255"/>
      <c r="O1088" s="1256"/>
      <c r="P1088" s="1257"/>
      <c r="Q1088" s="764"/>
    </row>
    <row r="1089" spans="1:17" x14ac:dyDescent="0.2">
      <c r="A1089" s="418">
        <v>6</v>
      </c>
      <c r="B1089" s="813"/>
      <c r="C1089" s="813"/>
      <c r="D1089" s="814"/>
      <c r="E1089" s="815"/>
      <c r="F1089" s="612"/>
      <c r="G1089" s="511" t="s">
        <v>315</v>
      </c>
      <c r="H1089" s="510">
        <f>3100+55.7</f>
        <v>3155.7</v>
      </c>
      <c r="I1089" s="512">
        <f>I1100+I1107+I1109+I1111+I1113+I1115+I1117+I1119+I1121+I1124+I1126+I1128+I1131+I1133+I1135+I1139+I1141+I1148+I1143+I1103</f>
        <v>2818.8</v>
      </c>
      <c r="J1089" s="512">
        <f t="shared" ref="J1089:L1089" si="225">J1100+J1107+J1109+J1111+J1113+J1115+J1117+J1119+J1121+J1124+J1126+J1128+J1131+J1133+J1135+J1139+J1141+J1148+J1143+J1103</f>
        <v>3852.8999999999996</v>
      </c>
      <c r="K1089" s="964">
        <f t="shared" si="225"/>
        <v>3425.5</v>
      </c>
      <c r="L1089" s="1024">
        <f t="shared" si="225"/>
        <v>3500</v>
      </c>
      <c r="M1089" s="467"/>
      <c r="N1089" s="1258"/>
      <c r="O1089" s="1259"/>
      <c r="P1089" s="763"/>
      <c r="Q1089" s="765"/>
    </row>
    <row r="1090" spans="1:17" x14ac:dyDescent="0.2">
      <c r="A1090" s="418">
        <v>6</v>
      </c>
      <c r="B1090" s="517"/>
      <c r="C1090" s="517"/>
      <c r="D1090" s="816"/>
      <c r="E1090" s="613"/>
      <c r="F1090" s="445"/>
      <c r="G1090" s="514" t="s">
        <v>289</v>
      </c>
      <c r="H1090" s="513">
        <v>450</v>
      </c>
      <c r="I1090" s="513">
        <f>I1136+I1146</f>
        <v>0</v>
      </c>
      <c r="J1090" s="513">
        <f t="shared" ref="J1090:L1090" si="226">J1136+J1146</f>
        <v>100</v>
      </c>
      <c r="K1090" s="513">
        <f t="shared" si="226"/>
        <v>0</v>
      </c>
      <c r="L1090" s="513">
        <f t="shared" si="226"/>
        <v>0</v>
      </c>
      <c r="M1090" s="504"/>
      <c r="N1090" s="1202"/>
      <c r="O1090" s="1259"/>
      <c r="P1090" s="763"/>
      <c r="Q1090" s="765"/>
    </row>
    <row r="1091" spans="1:17" x14ac:dyDescent="0.2">
      <c r="A1091" s="418">
        <v>6</v>
      </c>
      <c r="B1091" s="517"/>
      <c r="C1091" s="517"/>
      <c r="D1091" s="816"/>
      <c r="E1091" s="613"/>
      <c r="F1091" s="445"/>
      <c r="G1091" s="514" t="s">
        <v>12</v>
      </c>
      <c r="H1091" s="513"/>
      <c r="I1091" s="513">
        <f>I1137+I1144</f>
        <v>733.9</v>
      </c>
      <c r="J1091" s="513">
        <f t="shared" ref="J1091:L1091" si="227">J1137+J1144</f>
        <v>575</v>
      </c>
      <c r="K1091" s="965">
        <f t="shared" si="227"/>
        <v>610</v>
      </c>
      <c r="L1091" s="1025">
        <f t="shared" si="227"/>
        <v>0</v>
      </c>
      <c r="M1091" s="504"/>
      <c r="N1091" s="1202"/>
      <c r="O1091" s="1259"/>
      <c r="P1091" s="763"/>
      <c r="Q1091" s="765"/>
    </row>
    <row r="1092" spans="1:17" x14ac:dyDescent="0.2">
      <c r="A1092" s="418">
        <v>6</v>
      </c>
      <c r="B1092" s="517"/>
      <c r="C1092" s="517"/>
      <c r="D1092" s="816"/>
      <c r="E1092" s="613"/>
      <c r="F1092" s="445"/>
      <c r="G1092" s="514" t="s">
        <v>58</v>
      </c>
      <c r="H1092" s="513"/>
      <c r="I1092" s="513">
        <f>SUM(I1101,I1104)</f>
        <v>0</v>
      </c>
      <c r="J1092" s="513">
        <f t="shared" ref="J1092:L1092" si="228">SUM(J1101,J1104)</f>
        <v>383.3</v>
      </c>
      <c r="K1092" s="965">
        <f t="shared" si="228"/>
        <v>764.8</v>
      </c>
      <c r="L1092" s="1025">
        <f t="shared" si="228"/>
        <v>371.7</v>
      </c>
      <c r="M1092" s="504"/>
      <c r="N1092" s="1202"/>
      <c r="O1092" s="1259"/>
      <c r="P1092" s="763"/>
      <c r="Q1092" s="765"/>
    </row>
    <row r="1093" spans="1:17" x14ac:dyDescent="0.2">
      <c r="A1093" s="418">
        <v>6</v>
      </c>
      <c r="B1093" s="517"/>
      <c r="C1093" s="517"/>
      <c r="D1093" s="816"/>
      <c r="E1093" s="613"/>
      <c r="F1093" s="445"/>
      <c r="G1093" s="514" t="s">
        <v>713</v>
      </c>
      <c r="H1093" s="513"/>
      <c r="I1093" s="513">
        <f>I1105</f>
        <v>0</v>
      </c>
      <c r="J1093" s="513">
        <f t="shared" ref="J1093:L1093" si="229">J1105</f>
        <v>0</v>
      </c>
      <c r="K1093" s="965">
        <f t="shared" si="229"/>
        <v>79.099999999999994</v>
      </c>
      <c r="L1093" s="1025">
        <f t="shared" si="229"/>
        <v>70</v>
      </c>
      <c r="M1093" s="504"/>
      <c r="N1093" s="1202"/>
      <c r="O1093" s="1259"/>
      <c r="P1093" s="763"/>
      <c r="Q1093" s="765"/>
    </row>
    <row r="1094" spans="1:17" x14ac:dyDescent="0.2">
      <c r="A1094" s="418">
        <v>6</v>
      </c>
      <c r="B1094" s="517"/>
      <c r="C1094" s="517"/>
      <c r="D1094" s="816"/>
      <c r="E1094" s="613"/>
      <c r="F1094" s="445"/>
      <c r="G1094" s="515" t="s">
        <v>266</v>
      </c>
      <c r="H1094" s="513"/>
      <c r="I1094" s="513">
        <f>SUM(I1130,I1145)</f>
        <v>736.1</v>
      </c>
      <c r="J1094" s="513">
        <f t="shared" ref="J1094:L1094" si="230">SUM(J1130,J1145)</f>
        <v>81.599999999999994</v>
      </c>
      <c r="K1094" s="965">
        <f t="shared" si="230"/>
        <v>0</v>
      </c>
      <c r="L1094" s="1025">
        <f t="shared" si="230"/>
        <v>0</v>
      </c>
      <c r="M1094" s="504"/>
      <c r="N1094" s="1202"/>
      <c r="O1094" s="1259"/>
      <c r="P1094" s="1260"/>
      <c r="Q1094" s="1260"/>
    </row>
    <row r="1095" spans="1:17" x14ac:dyDescent="0.2">
      <c r="A1095" s="418">
        <v>6</v>
      </c>
      <c r="B1095" s="517"/>
      <c r="C1095" s="517"/>
      <c r="D1095" s="816"/>
      <c r="E1095" s="613"/>
      <c r="F1095" s="445"/>
      <c r="G1095" s="514" t="s">
        <v>9</v>
      </c>
      <c r="H1095" s="513">
        <v>45.8</v>
      </c>
      <c r="I1095" s="516">
        <f>I1097+I1098+I1099+I1102+I1106+I1108+I1110+I1112+I1114+I1116+I1118+I1120+I1122+I1123+I1125+I1127+I1129+I1132+I1134+I1138+I1140+I1142+I1147+I1149+I1150</f>
        <v>227.947</v>
      </c>
      <c r="J1095" s="516">
        <f t="shared" ref="J1095:L1095" si="231">J1097+J1098+J1099+J1102+J1106+J1108+J1110+J1112+J1114+J1116+J1118+J1120+J1122+J1123+J1125+J1127+J1129+J1132+J1134+J1138+J1140+J1142+J1147+J1149+J1150</f>
        <v>453.4</v>
      </c>
      <c r="K1095" s="966">
        <f t="shared" si="231"/>
        <v>718.2</v>
      </c>
      <c r="L1095" s="1026">
        <f t="shared" si="231"/>
        <v>1782.5</v>
      </c>
      <c r="M1095" s="504"/>
      <c r="N1095" s="1202"/>
      <c r="O1095" s="1203"/>
      <c r="P1095" s="1213"/>
      <c r="Q1095" s="1203"/>
    </row>
    <row r="1096" spans="1:17" x14ac:dyDescent="0.2">
      <c r="A1096" s="418">
        <v>6</v>
      </c>
      <c r="B1096" s="517"/>
      <c r="C1096" s="517"/>
      <c r="D1096" s="816"/>
      <c r="E1096" s="613"/>
      <c r="F1096" s="445"/>
      <c r="G1096" s="447" t="s">
        <v>608</v>
      </c>
      <c r="H1096" s="514">
        <f>SUM(H1088:H1095)</f>
        <v>3651.5</v>
      </c>
      <c r="I1096" s="448">
        <f>SUM(I1088:I1095)</f>
        <v>4516.7470000000003</v>
      </c>
      <c r="J1096" s="448">
        <f>SUM(J1088:J1095)</f>
        <v>5446.2</v>
      </c>
      <c r="K1096" s="937">
        <f>SUM(K1088:K1095)</f>
        <v>5597.6</v>
      </c>
      <c r="L1096" s="1010">
        <f>SUM(L1088:L1095)</f>
        <v>5724.2</v>
      </c>
      <c r="M1096" s="467"/>
      <c r="N1096" s="1205"/>
      <c r="O1096" s="1206"/>
      <c r="P1096" s="1215"/>
      <c r="Q1096" s="1206"/>
    </row>
    <row r="1097" spans="1:17" ht="22.5" x14ac:dyDescent="0.2">
      <c r="A1097" s="418">
        <v>6</v>
      </c>
      <c r="B1097" s="517"/>
      <c r="C1097" s="518" t="s">
        <v>1606</v>
      </c>
      <c r="D1097" s="330" t="s">
        <v>1607</v>
      </c>
      <c r="E1097" s="418">
        <v>9</v>
      </c>
      <c r="F1097" s="843" t="s">
        <v>1608</v>
      </c>
      <c r="G1097" s="467" t="s">
        <v>9</v>
      </c>
      <c r="H1097" s="514"/>
      <c r="I1097" s="1151"/>
      <c r="J1097" s="907">
        <v>132.30000000000001</v>
      </c>
      <c r="K1097" s="943"/>
      <c r="L1097" s="945"/>
      <c r="M1097" s="467" t="s">
        <v>870</v>
      </c>
      <c r="N1097" s="1205" t="s">
        <v>1049</v>
      </c>
      <c r="O1097" s="1206" t="s">
        <v>1581</v>
      </c>
      <c r="P1097" s="1215">
        <v>100</v>
      </c>
      <c r="Q1097" s="1206" t="s">
        <v>861</v>
      </c>
    </row>
    <row r="1098" spans="1:17" ht="33.75" x14ac:dyDescent="0.2">
      <c r="A1098" s="418">
        <v>6</v>
      </c>
      <c r="B1098" s="519"/>
      <c r="C1098" s="518" t="s">
        <v>1609</v>
      </c>
      <c r="D1098" s="89" t="s">
        <v>1610</v>
      </c>
      <c r="E1098" s="418">
        <v>9</v>
      </c>
      <c r="F1098" s="838" t="s">
        <v>317</v>
      </c>
      <c r="G1098" s="467" t="s">
        <v>9</v>
      </c>
      <c r="H1098" s="514"/>
      <c r="I1098" s="1151">
        <v>132.64699999999999</v>
      </c>
      <c r="J1098" s="907">
        <v>11</v>
      </c>
      <c r="K1098" s="943"/>
      <c r="L1098" s="945"/>
      <c r="M1098" s="467" t="s">
        <v>787</v>
      </c>
      <c r="N1098" s="1205" t="s">
        <v>1531</v>
      </c>
      <c r="O1098" s="1355" t="s">
        <v>2422</v>
      </c>
      <c r="P1098" s="1261">
        <v>100</v>
      </c>
      <c r="Q1098" s="1206" t="s">
        <v>861</v>
      </c>
    </row>
    <row r="1099" spans="1:17" x14ac:dyDescent="0.2">
      <c r="A1099" s="418">
        <v>6</v>
      </c>
      <c r="B1099" s="519"/>
      <c r="C1099" s="845" t="s">
        <v>1611</v>
      </c>
      <c r="D1099" s="1463" t="s">
        <v>1612</v>
      </c>
      <c r="E1099" s="418">
        <v>9</v>
      </c>
      <c r="F1099" s="838" t="s">
        <v>1613</v>
      </c>
      <c r="G1099" s="467" t="s">
        <v>9</v>
      </c>
      <c r="H1099" s="514"/>
      <c r="I1099" s="1151"/>
      <c r="J1099" s="907">
        <v>1.5</v>
      </c>
      <c r="K1099" s="943">
        <v>2</v>
      </c>
      <c r="L1099" s="945">
        <v>20</v>
      </c>
      <c r="M1099" s="192" t="s">
        <v>2221</v>
      </c>
      <c r="N1099" s="1205" t="s">
        <v>1531</v>
      </c>
      <c r="O1099" s="1206" t="s">
        <v>1581</v>
      </c>
      <c r="P1099" s="1261">
        <v>10</v>
      </c>
      <c r="Q1099" s="1206" t="s">
        <v>861</v>
      </c>
    </row>
    <row r="1100" spans="1:17" x14ac:dyDescent="0.2">
      <c r="A1100" s="418">
        <v>6</v>
      </c>
      <c r="B1100" s="519"/>
      <c r="C1100" s="520"/>
      <c r="D1100" s="1464"/>
      <c r="E1100" s="418">
        <v>9</v>
      </c>
      <c r="F1100" s="838" t="s">
        <v>1613</v>
      </c>
      <c r="G1100" s="467" t="s">
        <v>315</v>
      </c>
      <c r="H1100" s="514"/>
      <c r="I1100" s="1151"/>
      <c r="J1100" s="907">
        <v>115</v>
      </c>
      <c r="K1100" s="943">
        <v>800</v>
      </c>
      <c r="L1100" s="945">
        <v>1000</v>
      </c>
      <c r="M1100" s="192" t="s">
        <v>2221</v>
      </c>
      <c r="N1100" s="1205" t="s">
        <v>1531</v>
      </c>
      <c r="O1100" s="1356" t="s">
        <v>2370</v>
      </c>
      <c r="P1100" s="1261">
        <v>1</v>
      </c>
      <c r="Q1100" s="1206" t="s">
        <v>861</v>
      </c>
    </row>
    <row r="1101" spans="1:17" x14ac:dyDescent="0.2">
      <c r="A1101" s="418">
        <v>6</v>
      </c>
      <c r="B1101" s="519"/>
      <c r="C1101" s="520"/>
      <c r="D1101" s="1465"/>
      <c r="E1101" s="418">
        <v>9</v>
      </c>
      <c r="F1101" s="838" t="s">
        <v>1613</v>
      </c>
      <c r="G1101" s="504" t="s">
        <v>58</v>
      </c>
      <c r="H1101" s="514"/>
      <c r="I1101" s="1151"/>
      <c r="J1101" s="907">
        <f>ROUND((2300/3/2), 1)</f>
        <v>383.3</v>
      </c>
      <c r="K1101" s="947">
        <f>ROUND((736.3-J1101+15.1), 1)</f>
        <v>368.1</v>
      </c>
      <c r="L1101" s="1016"/>
      <c r="M1101" s="192" t="s">
        <v>2221</v>
      </c>
      <c r="N1101" s="1205"/>
      <c r="O1101" s="1206"/>
      <c r="P1101" s="1261"/>
      <c r="Q1101" s="1206" t="s">
        <v>861</v>
      </c>
    </row>
    <row r="1102" spans="1:17" x14ac:dyDescent="0.2">
      <c r="A1102" s="418">
        <v>6</v>
      </c>
      <c r="B1102" s="519"/>
      <c r="C1102" s="845" t="s">
        <v>1614</v>
      </c>
      <c r="D1102" s="1463" t="s">
        <v>1615</v>
      </c>
      <c r="E1102" s="418">
        <v>9</v>
      </c>
      <c r="F1102" s="838" t="s">
        <v>1616</v>
      </c>
      <c r="G1102" s="504" t="s">
        <v>9</v>
      </c>
      <c r="H1102" s="514"/>
      <c r="I1102" s="1151"/>
      <c r="J1102" s="907"/>
      <c r="K1102" s="967">
        <f>ROUND((2800-(2800/3))/2-900, 1)</f>
        <v>33.299999999999997</v>
      </c>
      <c r="L1102" s="1027">
        <f>ROUND((2800-(2800/3))/2, 1)</f>
        <v>933.3</v>
      </c>
      <c r="M1102" s="192" t="s">
        <v>2221</v>
      </c>
      <c r="N1102" s="1205" t="s">
        <v>1531</v>
      </c>
      <c r="O1102" s="1206" t="s">
        <v>2370</v>
      </c>
      <c r="P1102" s="1261">
        <v>1</v>
      </c>
      <c r="Q1102" s="1206" t="s">
        <v>861</v>
      </c>
    </row>
    <row r="1103" spans="1:17" x14ac:dyDescent="0.2">
      <c r="A1103" s="418">
        <v>6</v>
      </c>
      <c r="B1103" s="519"/>
      <c r="C1103" s="845"/>
      <c r="D1103" s="1464"/>
      <c r="E1103" s="418">
        <v>9</v>
      </c>
      <c r="F1103" s="838" t="s">
        <v>1616</v>
      </c>
      <c r="G1103" s="504" t="s">
        <v>315</v>
      </c>
      <c r="H1103" s="514"/>
      <c r="I1103" s="1151"/>
      <c r="J1103" s="907"/>
      <c r="K1103" s="967">
        <v>900</v>
      </c>
      <c r="L1103" s="1027"/>
      <c r="M1103" s="192" t="s">
        <v>2221</v>
      </c>
      <c r="N1103" s="1205" t="s">
        <v>1531</v>
      </c>
      <c r="O1103" s="1206" t="s">
        <v>1542</v>
      </c>
      <c r="P1103" s="1261">
        <v>1</v>
      </c>
      <c r="Q1103" s="1206" t="s">
        <v>861</v>
      </c>
    </row>
    <row r="1104" spans="1:17" x14ac:dyDescent="0.2">
      <c r="A1104" s="418">
        <v>6</v>
      </c>
      <c r="B1104" s="519"/>
      <c r="C1104" s="520"/>
      <c r="D1104" s="1464"/>
      <c r="E1104" s="418">
        <v>9</v>
      </c>
      <c r="F1104" s="838" t="s">
        <v>1616</v>
      </c>
      <c r="G1104" s="504" t="s">
        <v>58</v>
      </c>
      <c r="H1104" s="514"/>
      <c r="I1104" s="1151"/>
      <c r="J1104" s="907"/>
      <c r="K1104" s="967">
        <f>ROUND((2800/3*0.85/2), 1)</f>
        <v>396.7</v>
      </c>
      <c r="L1104" s="1027">
        <f>744.9-K1104+23.5</f>
        <v>371.7</v>
      </c>
      <c r="M1104" s="192" t="s">
        <v>2221</v>
      </c>
      <c r="N1104" s="1205" t="s">
        <v>1531</v>
      </c>
      <c r="O1104" s="1206"/>
      <c r="P1104" s="1261"/>
      <c r="Q1104" s="1206" t="s">
        <v>861</v>
      </c>
    </row>
    <row r="1105" spans="1:17" x14ac:dyDescent="0.2">
      <c r="A1105" s="418">
        <v>6</v>
      </c>
      <c r="B1105" s="519"/>
      <c r="C1105" s="520"/>
      <c r="D1105" s="1465"/>
      <c r="E1105" s="418">
        <v>9</v>
      </c>
      <c r="F1105" s="838" t="s">
        <v>1616</v>
      </c>
      <c r="G1105" s="504" t="s">
        <v>713</v>
      </c>
      <c r="H1105" s="514"/>
      <c r="I1105" s="1151"/>
      <c r="J1105" s="907"/>
      <c r="K1105" s="947">
        <f>149.1-L1105</f>
        <v>79.099999999999994</v>
      </c>
      <c r="L1105" s="1016">
        <f>2800/3*0.15/2</f>
        <v>70</v>
      </c>
      <c r="M1105" s="192" t="s">
        <v>2221</v>
      </c>
      <c r="N1105" s="1205" t="s">
        <v>1531</v>
      </c>
      <c r="O1105" s="1206"/>
      <c r="P1105" s="1261"/>
      <c r="Q1105" s="1206" t="s">
        <v>861</v>
      </c>
    </row>
    <row r="1106" spans="1:17" x14ac:dyDescent="0.2">
      <c r="A1106" s="418">
        <v>6</v>
      </c>
      <c r="B1106" s="519"/>
      <c r="C1106" s="845" t="s">
        <v>1617</v>
      </c>
      <c r="D1106" s="1463" t="s">
        <v>1618</v>
      </c>
      <c r="E1106" s="418">
        <v>9</v>
      </c>
      <c r="F1106" s="838" t="s">
        <v>1619</v>
      </c>
      <c r="G1106" s="467" t="s">
        <v>9</v>
      </c>
      <c r="H1106" s="514"/>
      <c r="I1106" s="1151"/>
      <c r="J1106" s="907">
        <v>20</v>
      </c>
      <c r="K1106" s="943">
        <v>10</v>
      </c>
      <c r="L1106" s="945"/>
      <c r="M1106" s="467" t="s">
        <v>870</v>
      </c>
      <c r="N1106" s="1205" t="s">
        <v>1569</v>
      </c>
      <c r="O1106" s="1206" t="s">
        <v>2371</v>
      </c>
      <c r="P1106" s="1261">
        <v>50</v>
      </c>
      <c r="Q1106" s="1206" t="s">
        <v>861</v>
      </c>
    </row>
    <row r="1107" spans="1:17" x14ac:dyDescent="0.2">
      <c r="A1107" s="418">
        <v>6</v>
      </c>
      <c r="B1107" s="519"/>
      <c r="C1107" s="520"/>
      <c r="D1107" s="1465"/>
      <c r="E1107" s="418">
        <v>9</v>
      </c>
      <c r="F1107" s="838" t="s">
        <v>1619</v>
      </c>
      <c r="G1107" s="467" t="s">
        <v>315</v>
      </c>
      <c r="H1107" s="514"/>
      <c r="I1107" s="1151"/>
      <c r="J1107" s="907"/>
      <c r="K1107" s="943"/>
      <c r="L1107" s="945">
        <v>300</v>
      </c>
      <c r="M1107" s="467" t="s">
        <v>870</v>
      </c>
      <c r="N1107" s="1205" t="s">
        <v>1569</v>
      </c>
      <c r="O1107" s="1206"/>
      <c r="P1107" s="1261"/>
      <c r="Q1107" s="1206" t="s">
        <v>861</v>
      </c>
    </row>
    <row r="1108" spans="1:17" x14ac:dyDescent="0.2">
      <c r="A1108" s="418">
        <v>6</v>
      </c>
      <c r="B1108" s="519"/>
      <c r="C1108" s="845" t="s">
        <v>1620</v>
      </c>
      <c r="D1108" s="1463" t="s">
        <v>1621</v>
      </c>
      <c r="E1108" s="418">
        <v>9</v>
      </c>
      <c r="F1108" s="838" t="s">
        <v>1622</v>
      </c>
      <c r="G1108" s="467" t="s">
        <v>9</v>
      </c>
      <c r="H1108" s="514"/>
      <c r="I1108" s="1151"/>
      <c r="J1108" s="907">
        <v>30</v>
      </c>
      <c r="K1108" s="943">
        <v>25</v>
      </c>
      <c r="L1108" s="945"/>
      <c r="M1108" s="467" t="s">
        <v>870</v>
      </c>
      <c r="N1108" s="1205" t="s">
        <v>1531</v>
      </c>
      <c r="O1108" s="1206" t="s">
        <v>2371</v>
      </c>
      <c r="P1108" s="1261">
        <v>50</v>
      </c>
      <c r="Q1108" s="1206" t="s">
        <v>878</v>
      </c>
    </row>
    <row r="1109" spans="1:17" x14ac:dyDescent="0.2">
      <c r="A1109" s="418">
        <v>6</v>
      </c>
      <c r="B1109" s="519"/>
      <c r="C1109" s="520"/>
      <c r="D1109" s="1465"/>
      <c r="E1109" s="418">
        <v>9</v>
      </c>
      <c r="F1109" s="838" t="s">
        <v>1622</v>
      </c>
      <c r="G1109" s="467" t="s">
        <v>315</v>
      </c>
      <c r="H1109" s="514"/>
      <c r="I1109" s="1151"/>
      <c r="J1109" s="907"/>
      <c r="K1109" s="943"/>
      <c r="L1109" s="945"/>
      <c r="M1109" s="467" t="s">
        <v>870</v>
      </c>
      <c r="N1109" s="1205" t="s">
        <v>1531</v>
      </c>
      <c r="O1109" s="1206"/>
      <c r="P1109" s="1261"/>
      <c r="Q1109" s="1206" t="s">
        <v>878</v>
      </c>
    </row>
    <row r="1110" spans="1:17" x14ac:dyDescent="0.2">
      <c r="A1110" s="418">
        <v>6</v>
      </c>
      <c r="B1110" s="519"/>
      <c r="C1110" s="845" t="s">
        <v>1623</v>
      </c>
      <c r="D1110" s="1463" t="s">
        <v>1624</v>
      </c>
      <c r="E1110" s="418">
        <v>9</v>
      </c>
      <c r="F1110" s="838" t="s">
        <v>1625</v>
      </c>
      <c r="G1110" s="467" t="s">
        <v>9</v>
      </c>
      <c r="H1110" s="514"/>
      <c r="I1110" s="1151"/>
      <c r="J1110" s="907">
        <v>10</v>
      </c>
      <c r="K1110" s="943">
        <v>8</v>
      </c>
      <c r="L1110" s="945"/>
      <c r="M1110" s="467" t="s">
        <v>870</v>
      </c>
      <c r="N1110" s="1451" t="s">
        <v>2549</v>
      </c>
      <c r="O1110" s="1206" t="s">
        <v>2371</v>
      </c>
      <c r="P1110" s="1261">
        <v>50</v>
      </c>
      <c r="Q1110" s="1206" t="s">
        <v>886</v>
      </c>
    </row>
    <row r="1111" spans="1:17" x14ac:dyDescent="0.2">
      <c r="A1111" s="418">
        <v>6</v>
      </c>
      <c r="B1111" s="519"/>
      <c r="C1111" s="520"/>
      <c r="D1111" s="1465"/>
      <c r="E1111" s="418">
        <v>9</v>
      </c>
      <c r="F1111" s="838" t="s">
        <v>1625</v>
      </c>
      <c r="G1111" s="467" t="s">
        <v>315</v>
      </c>
      <c r="H1111" s="514"/>
      <c r="I1111" s="1151"/>
      <c r="J1111" s="907"/>
      <c r="K1111" s="943"/>
      <c r="L1111" s="945"/>
      <c r="M1111" s="467" t="s">
        <v>870</v>
      </c>
      <c r="N1111" s="1451" t="s">
        <v>2549</v>
      </c>
      <c r="O1111" s="1206"/>
      <c r="P1111" s="1261"/>
      <c r="Q1111" s="1206" t="s">
        <v>886</v>
      </c>
    </row>
    <row r="1112" spans="1:17" x14ac:dyDescent="0.2">
      <c r="A1112" s="418">
        <v>6</v>
      </c>
      <c r="B1112" s="519"/>
      <c r="C1112" s="845" t="s">
        <v>1626</v>
      </c>
      <c r="D1112" s="1463" t="s">
        <v>1627</v>
      </c>
      <c r="E1112" s="418">
        <v>9</v>
      </c>
      <c r="F1112" s="838" t="s">
        <v>1628</v>
      </c>
      <c r="G1112" s="467" t="s">
        <v>9</v>
      </c>
      <c r="H1112" s="514"/>
      <c r="I1112" s="1151"/>
      <c r="J1112" s="907">
        <v>20</v>
      </c>
      <c r="K1112" s="943">
        <v>42</v>
      </c>
      <c r="L1112" s="945"/>
      <c r="M1112" s="467" t="s">
        <v>870</v>
      </c>
      <c r="N1112" s="1205" t="s">
        <v>1051</v>
      </c>
      <c r="O1112" s="1206" t="s">
        <v>2371</v>
      </c>
      <c r="P1112" s="1261">
        <v>50</v>
      </c>
      <c r="Q1112" s="1206" t="s">
        <v>886</v>
      </c>
    </row>
    <row r="1113" spans="1:17" x14ac:dyDescent="0.2">
      <c r="A1113" s="418">
        <v>6</v>
      </c>
      <c r="B1113" s="519"/>
      <c r="C1113" s="520"/>
      <c r="D1113" s="1465"/>
      <c r="E1113" s="418">
        <v>9</v>
      </c>
      <c r="F1113" s="838" t="s">
        <v>1628</v>
      </c>
      <c r="G1113" s="467" t="s">
        <v>315</v>
      </c>
      <c r="H1113" s="514"/>
      <c r="I1113" s="1151"/>
      <c r="J1113" s="907"/>
      <c r="K1113" s="943"/>
      <c r="L1113" s="945"/>
      <c r="M1113" s="467" t="s">
        <v>870</v>
      </c>
      <c r="N1113" s="1205" t="s">
        <v>1051</v>
      </c>
      <c r="O1113" s="1206"/>
      <c r="P1113" s="1261"/>
      <c r="Q1113" s="1206" t="s">
        <v>886</v>
      </c>
    </row>
    <row r="1114" spans="1:17" x14ac:dyDescent="0.2">
      <c r="A1114" s="418">
        <v>6</v>
      </c>
      <c r="B1114" s="519"/>
      <c r="C1114" s="845" t="s">
        <v>1629</v>
      </c>
      <c r="D1114" s="1463" t="s">
        <v>1630</v>
      </c>
      <c r="E1114" s="418">
        <v>9</v>
      </c>
      <c r="F1114" s="838" t="s">
        <v>1631</v>
      </c>
      <c r="G1114" s="467" t="s">
        <v>9</v>
      </c>
      <c r="H1114" s="514"/>
      <c r="I1114" s="1151"/>
      <c r="J1114" s="907">
        <v>15</v>
      </c>
      <c r="K1114" s="943">
        <v>22</v>
      </c>
      <c r="L1114" s="945"/>
      <c r="M1114" s="467" t="s">
        <v>870</v>
      </c>
      <c r="N1114" s="1205" t="s">
        <v>1569</v>
      </c>
      <c r="O1114" s="1206" t="s">
        <v>2371</v>
      </c>
      <c r="P1114" s="1261">
        <v>50</v>
      </c>
      <c r="Q1114" s="1206" t="s">
        <v>861</v>
      </c>
    </row>
    <row r="1115" spans="1:17" x14ac:dyDescent="0.2">
      <c r="A1115" s="418">
        <v>6</v>
      </c>
      <c r="B1115" s="519"/>
      <c r="C1115" s="520"/>
      <c r="D1115" s="1465"/>
      <c r="E1115" s="418">
        <v>9</v>
      </c>
      <c r="F1115" s="838" t="s">
        <v>1631</v>
      </c>
      <c r="G1115" s="467" t="s">
        <v>315</v>
      </c>
      <c r="H1115" s="514"/>
      <c r="I1115" s="1151"/>
      <c r="J1115" s="907"/>
      <c r="K1115" s="943"/>
      <c r="L1115" s="945"/>
      <c r="M1115" s="467" t="s">
        <v>870</v>
      </c>
      <c r="N1115" s="1205" t="s">
        <v>1569</v>
      </c>
      <c r="O1115" s="1206"/>
      <c r="P1115" s="1261"/>
      <c r="Q1115" s="1206" t="s">
        <v>861</v>
      </c>
    </row>
    <row r="1116" spans="1:17" x14ac:dyDescent="0.2">
      <c r="A1116" s="418">
        <v>6</v>
      </c>
      <c r="B1116" s="519"/>
      <c r="C1116" s="845" t="s">
        <v>1632</v>
      </c>
      <c r="D1116" s="1463" t="s">
        <v>1633</v>
      </c>
      <c r="E1116" s="418">
        <v>9</v>
      </c>
      <c r="F1116" s="838" t="s">
        <v>1634</v>
      </c>
      <c r="G1116" s="467" t="s">
        <v>9</v>
      </c>
      <c r="H1116" s="514"/>
      <c r="I1116" s="1151"/>
      <c r="J1116" s="907"/>
      <c r="K1116" s="943">
        <v>80</v>
      </c>
      <c r="L1116" s="945">
        <v>50</v>
      </c>
      <c r="M1116" s="467" t="s">
        <v>870</v>
      </c>
      <c r="N1116" s="1205" t="s">
        <v>1049</v>
      </c>
      <c r="O1116" s="1206"/>
      <c r="P1116" s="1261"/>
      <c r="Q1116" s="1206" t="s">
        <v>875</v>
      </c>
    </row>
    <row r="1117" spans="1:17" x14ac:dyDescent="0.2">
      <c r="A1117" s="418">
        <v>6</v>
      </c>
      <c r="B1117" s="519"/>
      <c r="C1117" s="520"/>
      <c r="D1117" s="1465"/>
      <c r="E1117" s="418">
        <v>9</v>
      </c>
      <c r="F1117" s="838" t="s">
        <v>1634</v>
      </c>
      <c r="G1117" s="467" t="s">
        <v>315</v>
      </c>
      <c r="H1117" s="514"/>
      <c r="I1117" s="1151"/>
      <c r="J1117" s="907"/>
      <c r="K1117" s="943"/>
      <c r="L1117" s="945"/>
      <c r="M1117" s="467" t="s">
        <v>870</v>
      </c>
      <c r="N1117" s="1205"/>
      <c r="O1117" s="1206"/>
      <c r="P1117" s="1261"/>
      <c r="Q1117" s="1206" t="s">
        <v>875</v>
      </c>
    </row>
    <row r="1118" spans="1:17" x14ac:dyDescent="0.2">
      <c r="A1118" s="418">
        <v>6</v>
      </c>
      <c r="B1118" s="519"/>
      <c r="C1118" s="845" t="s">
        <v>1635</v>
      </c>
      <c r="D1118" s="1463" t="s">
        <v>1636</v>
      </c>
      <c r="E1118" s="418">
        <v>9</v>
      </c>
      <c r="F1118" s="838" t="s">
        <v>1637</v>
      </c>
      <c r="G1118" s="467" t="s">
        <v>9</v>
      </c>
      <c r="H1118" s="514"/>
      <c r="I1118" s="1151"/>
      <c r="J1118" s="907"/>
      <c r="K1118" s="943">
        <v>20</v>
      </c>
      <c r="L1118" s="945">
        <v>15</v>
      </c>
      <c r="M1118" s="467" t="s">
        <v>870</v>
      </c>
      <c r="N1118" s="1205" t="s">
        <v>1049</v>
      </c>
      <c r="O1118" s="1206"/>
      <c r="P1118" s="1261"/>
      <c r="Q1118" s="1206" t="s">
        <v>889</v>
      </c>
    </row>
    <row r="1119" spans="1:17" x14ac:dyDescent="0.2">
      <c r="A1119" s="418">
        <v>6</v>
      </c>
      <c r="B1119" s="519"/>
      <c r="C1119" s="520"/>
      <c r="D1119" s="1465"/>
      <c r="E1119" s="418">
        <v>9</v>
      </c>
      <c r="F1119" s="838" t="s">
        <v>1637</v>
      </c>
      <c r="G1119" s="467" t="s">
        <v>315</v>
      </c>
      <c r="H1119" s="514"/>
      <c r="I1119" s="1151"/>
      <c r="J1119" s="907"/>
      <c r="K1119" s="943"/>
      <c r="L1119" s="945"/>
      <c r="M1119" s="467" t="s">
        <v>870</v>
      </c>
      <c r="N1119" s="1205"/>
      <c r="O1119" s="1206"/>
      <c r="P1119" s="1261"/>
      <c r="Q1119" s="1206" t="s">
        <v>889</v>
      </c>
    </row>
    <row r="1120" spans="1:17" x14ac:dyDescent="0.2">
      <c r="A1120" s="418">
        <v>6</v>
      </c>
      <c r="B1120" s="519"/>
      <c r="C1120" s="845" t="s">
        <v>1638</v>
      </c>
      <c r="D1120" s="1463" t="s">
        <v>1639</v>
      </c>
      <c r="E1120" s="418">
        <v>9</v>
      </c>
      <c r="F1120" s="838" t="s">
        <v>1640</v>
      </c>
      <c r="G1120" s="467" t="s">
        <v>9</v>
      </c>
      <c r="H1120" s="514"/>
      <c r="I1120" s="1151"/>
      <c r="J1120" s="907"/>
      <c r="K1120" s="943">
        <v>80</v>
      </c>
      <c r="L1120" s="945">
        <v>55</v>
      </c>
      <c r="M1120" s="467" t="s">
        <v>870</v>
      </c>
      <c r="N1120" s="1205" t="s">
        <v>1049</v>
      </c>
      <c r="O1120" s="1206"/>
      <c r="P1120" s="1261"/>
      <c r="Q1120" s="1206" t="s">
        <v>878</v>
      </c>
    </row>
    <row r="1121" spans="1:17" x14ac:dyDescent="0.2">
      <c r="A1121" s="418">
        <v>6</v>
      </c>
      <c r="B1121" s="519"/>
      <c r="C1121" s="520"/>
      <c r="D1121" s="1465"/>
      <c r="E1121" s="418">
        <v>9</v>
      </c>
      <c r="F1121" s="838" t="s">
        <v>1640</v>
      </c>
      <c r="G1121" s="467" t="s">
        <v>315</v>
      </c>
      <c r="H1121" s="514"/>
      <c r="I1121" s="1151"/>
      <c r="J1121" s="907"/>
      <c r="K1121" s="943"/>
      <c r="L1121" s="945"/>
      <c r="M1121" s="467" t="s">
        <v>870</v>
      </c>
      <c r="N1121" s="1205"/>
      <c r="O1121" s="1206"/>
      <c r="P1121" s="1261"/>
      <c r="Q1121" s="1206" t="s">
        <v>878</v>
      </c>
    </row>
    <row r="1122" spans="1:17" ht="22.5" x14ac:dyDescent="0.2">
      <c r="A1122" s="418">
        <v>6</v>
      </c>
      <c r="B1122" s="433"/>
      <c r="C1122" s="845" t="s">
        <v>1641</v>
      </c>
      <c r="D1122" s="753" t="s">
        <v>1642</v>
      </c>
      <c r="E1122" s="418">
        <v>9</v>
      </c>
      <c r="F1122" s="838" t="s">
        <v>318</v>
      </c>
      <c r="G1122" s="467" t="s">
        <v>9</v>
      </c>
      <c r="H1122" s="462"/>
      <c r="I1122" s="1151"/>
      <c r="J1122" s="907">
        <v>5.6</v>
      </c>
      <c r="K1122" s="943">
        <v>50</v>
      </c>
      <c r="L1122" s="945"/>
      <c r="M1122" s="504" t="s">
        <v>870</v>
      </c>
      <c r="N1122" s="1205" t="s">
        <v>1051</v>
      </c>
      <c r="O1122" s="1203" t="s">
        <v>1643</v>
      </c>
      <c r="P1122" s="1261">
        <v>1</v>
      </c>
      <c r="Q1122" s="1206" t="s">
        <v>799</v>
      </c>
    </row>
    <row r="1123" spans="1:17" x14ac:dyDescent="0.2">
      <c r="A1123" s="418">
        <v>6</v>
      </c>
      <c r="B1123" s="433"/>
      <c r="C1123" s="845" t="s">
        <v>1644</v>
      </c>
      <c r="D1123" s="1463" t="s">
        <v>1645</v>
      </c>
      <c r="E1123" s="418">
        <v>9</v>
      </c>
      <c r="F1123" s="837" t="s">
        <v>1646</v>
      </c>
      <c r="G1123" s="467" t="s">
        <v>9</v>
      </c>
      <c r="H1123" s="462"/>
      <c r="I1123" s="1151"/>
      <c r="J1123" s="907"/>
      <c r="K1123" s="956"/>
      <c r="L1123" s="957"/>
      <c r="M1123" s="504" t="s">
        <v>787</v>
      </c>
      <c r="N1123" s="1262" t="s">
        <v>1051</v>
      </c>
      <c r="O1123" s="1206" t="s">
        <v>1581</v>
      </c>
      <c r="P1123" s="1261">
        <v>100</v>
      </c>
      <c r="Q1123" s="1226" t="s">
        <v>875</v>
      </c>
    </row>
    <row r="1124" spans="1:17" x14ac:dyDescent="0.2">
      <c r="A1124" s="418">
        <v>6</v>
      </c>
      <c r="B1124" s="433"/>
      <c r="C1124" s="433"/>
      <c r="D1124" s="1462"/>
      <c r="E1124" s="418">
        <v>9</v>
      </c>
      <c r="F1124" s="837" t="s">
        <v>1646</v>
      </c>
      <c r="G1124" s="467" t="s">
        <v>315</v>
      </c>
      <c r="H1124" s="462"/>
      <c r="I1124" s="1151"/>
      <c r="J1124" s="907">
        <v>333.9</v>
      </c>
      <c r="K1124" s="956"/>
      <c r="L1124" s="957"/>
      <c r="M1124" s="504" t="s">
        <v>787</v>
      </c>
      <c r="N1124" s="1262" t="s">
        <v>1051</v>
      </c>
      <c r="O1124" s="1206"/>
      <c r="P1124" s="1215"/>
      <c r="Q1124" s="1226" t="s">
        <v>875</v>
      </c>
    </row>
    <row r="1125" spans="1:17" x14ac:dyDescent="0.2">
      <c r="A1125" s="418">
        <v>6</v>
      </c>
      <c r="B1125" s="523"/>
      <c r="C1125" s="845" t="s">
        <v>1647</v>
      </c>
      <c r="D1125" s="1473" t="s">
        <v>1648</v>
      </c>
      <c r="E1125" s="522">
        <v>9</v>
      </c>
      <c r="F1125" s="844" t="s">
        <v>1649</v>
      </c>
      <c r="G1125" s="524" t="s">
        <v>9</v>
      </c>
      <c r="H1125" s="382"/>
      <c r="I1125" s="1152">
        <v>0</v>
      </c>
      <c r="J1125" s="749">
        <v>9</v>
      </c>
      <c r="K1125" s="958"/>
      <c r="L1125" s="969">
        <v>599</v>
      </c>
      <c r="M1125" s="835" t="s">
        <v>787</v>
      </c>
      <c r="N1125" s="1263" t="s">
        <v>1531</v>
      </c>
      <c r="O1125" s="1224" t="s">
        <v>2370</v>
      </c>
      <c r="P1125" s="1261">
        <v>1</v>
      </c>
      <c r="Q1125" s="1245" t="s">
        <v>875</v>
      </c>
    </row>
    <row r="1126" spans="1:17" x14ac:dyDescent="0.2">
      <c r="A1126" s="418">
        <v>6</v>
      </c>
      <c r="B1126" s="433"/>
      <c r="C1126" s="433"/>
      <c r="D1126" s="1469"/>
      <c r="E1126" s="418">
        <v>9</v>
      </c>
      <c r="F1126" s="837" t="s">
        <v>1649</v>
      </c>
      <c r="G1126" s="467" t="s">
        <v>315</v>
      </c>
      <c r="H1126" s="462"/>
      <c r="I1126" s="1151"/>
      <c r="J1126" s="907"/>
      <c r="K1126" s="956"/>
      <c r="L1126" s="957"/>
      <c r="M1126" s="504" t="s">
        <v>787</v>
      </c>
      <c r="N1126" s="1263" t="s">
        <v>1531</v>
      </c>
      <c r="O1126" s="1206"/>
      <c r="P1126" s="1215"/>
      <c r="Q1126" s="1226" t="s">
        <v>875</v>
      </c>
    </row>
    <row r="1127" spans="1:17" x14ac:dyDescent="0.2">
      <c r="A1127" s="418">
        <v>6</v>
      </c>
      <c r="B1127" s="433"/>
      <c r="C1127" s="845" t="s">
        <v>1650</v>
      </c>
      <c r="D1127" s="1463" t="s">
        <v>1651</v>
      </c>
      <c r="E1127" s="418">
        <v>9</v>
      </c>
      <c r="F1127" s="837" t="s">
        <v>327</v>
      </c>
      <c r="G1127" s="467" t="s">
        <v>9</v>
      </c>
      <c r="H1127" s="462"/>
      <c r="I1127" s="1151">
        <v>2.5</v>
      </c>
      <c r="J1127" s="907"/>
      <c r="K1127" s="956"/>
      <c r="L1127" s="957"/>
      <c r="M1127" s="504" t="s">
        <v>787</v>
      </c>
      <c r="N1127" s="1262" t="s">
        <v>1569</v>
      </c>
      <c r="O1127" s="1206"/>
      <c r="P1127" s="1261"/>
      <c r="Q1127" s="1226" t="s">
        <v>799</v>
      </c>
    </row>
    <row r="1128" spans="1:17" x14ac:dyDescent="0.2">
      <c r="A1128" s="418">
        <v>6</v>
      </c>
      <c r="B1128" s="433"/>
      <c r="C1128" s="433"/>
      <c r="D1128" s="1462"/>
      <c r="E1128" s="418">
        <v>9</v>
      </c>
      <c r="F1128" s="837" t="s">
        <v>327</v>
      </c>
      <c r="G1128" s="467" t="s">
        <v>315</v>
      </c>
      <c r="H1128" s="462"/>
      <c r="I1128" s="1151">
        <v>541.9</v>
      </c>
      <c r="J1128" s="907"/>
      <c r="K1128" s="956"/>
      <c r="L1128" s="957"/>
      <c r="M1128" s="504" t="s">
        <v>787</v>
      </c>
      <c r="N1128" s="1262" t="s">
        <v>1569</v>
      </c>
      <c r="O1128" s="1206"/>
      <c r="P1128" s="1215"/>
      <c r="Q1128" s="1226" t="s">
        <v>799</v>
      </c>
    </row>
    <row r="1129" spans="1:17" x14ac:dyDescent="0.2">
      <c r="A1129" s="418">
        <v>6</v>
      </c>
      <c r="B1129" s="433"/>
      <c r="C1129" s="845" t="s">
        <v>1652</v>
      </c>
      <c r="D1129" s="1463" t="s">
        <v>1653</v>
      </c>
      <c r="E1129" s="418">
        <v>9</v>
      </c>
      <c r="F1129" s="837" t="s">
        <v>1654</v>
      </c>
      <c r="G1129" s="467" t="s">
        <v>9</v>
      </c>
      <c r="H1129" s="462"/>
      <c r="I1129" s="1151"/>
      <c r="J1129" s="907">
        <v>39</v>
      </c>
      <c r="K1129" s="956">
        <v>13</v>
      </c>
      <c r="L1129" s="957"/>
      <c r="M1129" s="467" t="s">
        <v>787</v>
      </c>
      <c r="N1129" s="1205" t="s">
        <v>1051</v>
      </c>
      <c r="O1129" s="1206" t="s">
        <v>1581</v>
      </c>
      <c r="P1129" s="1261">
        <v>80</v>
      </c>
      <c r="Q1129" s="1226" t="s">
        <v>912</v>
      </c>
    </row>
    <row r="1130" spans="1:17" x14ac:dyDescent="0.2">
      <c r="A1130" s="418">
        <v>6</v>
      </c>
      <c r="B1130" s="433"/>
      <c r="C1130" s="433"/>
      <c r="D1130" s="1461"/>
      <c r="E1130" s="418">
        <v>9</v>
      </c>
      <c r="F1130" s="837" t="s">
        <v>1654</v>
      </c>
      <c r="G1130" s="467" t="s">
        <v>266</v>
      </c>
      <c r="H1130" s="462"/>
      <c r="I1130" s="1151">
        <v>370</v>
      </c>
      <c r="J1130" s="907"/>
      <c r="K1130" s="956"/>
      <c r="L1130" s="957"/>
      <c r="M1130" s="467" t="s">
        <v>787</v>
      </c>
      <c r="N1130" s="1205" t="s">
        <v>1051</v>
      </c>
      <c r="O1130" s="1206"/>
      <c r="P1130" s="1215"/>
      <c r="Q1130" s="1226" t="s">
        <v>912</v>
      </c>
    </row>
    <row r="1131" spans="1:17" x14ac:dyDescent="0.2">
      <c r="A1131" s="418">
        <v>6</v>
      </c>
      <c r="B1131" s="433"/>
      <c r="C1131" s="433"/>
      <c r="D1131" s="1462"/>
      <c r="E1131" s="418">
        <v>9</v>
      </c>
      <c r="F1131" s="837" t="s">
        <v>1654</v>
      </c>
      <c r="G1131" s="467" t="s">
        <v>315</v>
      </c>
      <c r="H1131" s="462"/>
      <c r="I1131" s="1151">
        <v>276.89999999999998</v>
      </c>
      <c r="J1131" s="907">
        <v>969.4</v>
      </c>
      <c r="K1131" s="956">
        <v>299.3</v>
      </c>
      <c r="L1131" s="957"/>
      <c r="M1131" s="467" t="s">
        <v>787</v>
      </c>
      <c r="N1131" s="1205" t="s">
        <v>1051</v>
      </c>
      <c r="O1131" s="1206"/>
      <c r="P1131" s="1215"/>
      <c r="Q1131" s="1226" t="s">
        <v>912</v>
      </c>
    </row>
    <row r="1132" spans="1:17" x14ac:dyDescent="0.2">
      <c r="A1132" s="418">
        <v>6</v>
      </c>
      <c r="B1132" s="433"/>
      <c r="C1132" s="845" t="s">
        <v>1655</v>
      </c>
      <c r="D1132" s="1463" t="s">
        <v>1656</v>
      </c>
      <c r="E1132" s="418">
        <v>9</v>
      </c>
      <c r="F1132" s="837" t="s">
        <v>1657</v>
      </c>
      <c r="G1132" s="467" t="s">
        <v>9</v>
      </c>
      <c r="H1132" s="462"/>
      <c r="I1132" s="1151"/>
      <c r="J1132" s="907">
        <v>25</v>
      </c>
      <c r="K1132" s="958">
        <v>11.8</v>
      </c>
      <c r="L1132" s="970"/>
      <c r="M1132" s="504" t="s">
        <v>787</v>
      </c>
      <c r="N1132" s="1262" t="s">
        <v>1569</v>
      </c>
      <c r="O1132" s="1206" t="s">
        <v>1581</v>
      </c>
      <c r="P1132" s="1261">
        <v>80</v>
      </c>
      <c r="Q1132" s="1226" t="s">
        <v>799</v>
      </c>
    </row>
    <row r="1133" spans="1:17" x14ac:dyDescent="0.2">
      <c r="A1133" s="418">
        <v>6</v>
      </c>
      <c r="B1133" s="433"/>
      <c r="C1133" s="433"/>
      <c r="D1133" s="1462"/>
      <c r="E1133" s="418">
        <v>9</v>
      </c>
      <c r="F1133" s="837" t="s">
        <v>1657</v>
      </c>
      <c r="G1133" s="467" t="s">
        <v>315</v>
      </c>
      <c r="H1133" s="462"/>
      <c r="I1133" s="1151">
        <v>1000</v>
      </c>
      <c r="J1133" s="907">
        <f>1127.5+77.6</f>
        <v>1205.0999999999999</v>
      </c>
      <c r="K1133" s="968">
        <v>926.2</v>
      </c>
      <c r="L1133" s="970"/>
      <c r="M1133" s="504" t="s">
        <v>787</v>
      </c>
      <c r="N1133" s="1262" t="s">
        <v>1569</v>
      </c>
      <c r="O1133" s="1206"/>
      <c r="P1133" s="1215"/>
      <c r="Q1133" s="1226" t="s">
        <v>799</v>
      </c>
    </row>
    <row r="1134" spans="1:17" x14ac:dyDescent="0.2">
      <c r="A1134" s="418">
        <v>6</v>
      </c>
      <c r="B1134" s="433"/>
      <c r="C1134" s="845" t="s">
        <v>1658</v>
      </c>
      <c r="D1134" s="1463" t="s">
        <v>1659</v>
      </c>
      <c r="E1134" s="418">
        <v>9</v>
      </c>
      <c r="F1134" s="837" t="s">
        <v>1660</v>
      </c>
      <c r="G1134" s="467" t="s">
        <v>9</v>
      </c>
      <c r="H1134" s="462"/>
      <c r="I1134" s="1151"/>
      <c r="J1134" s="907">
        <f>6-5.5</f>
        <v>0.5</v>
      </c>
      <c r="K1134" s="956">
        <v>6</v>
      </c>
      <c r="L1134" s="957"/>
      <c r="M1134" s="504" t="s">
        <v>787</v>
      </c>
      <c r="N1134" s="1262" t="s">
        <v>1569</v>
      </c>
      <c r="O1134" s="1224" t="s">
        <v>1581</v>
      </c>
      <c r="P1134" s="1264">
        <v>100</v>
      </c>
      <c r="Q1134" s="1226" t="s">
        <v>861</v>
      </c>
    </row>
    <row r="1135" spans="1:17" x14ac:dyDescent="0.2">
      <c r="A1135" s="418">
        <v>6</v>
      </c>
      <c r="B1135" s="433"/>
      <c r="C1135" s="433"/>
      <c r="D1135" s="1461"/>
      <c r="E1135" s="418">
        <v>9</v>
      </c>
      <c r="F1135" s="837" t="s">
        <v>1660</v>
      </c>
      <c r="G1135" s="467" t="s">
        <v>315</v>
      </c>
      <c r="H1135" s="462"/>
      <c r="I1135" s="1151"/>
      <c r="J1135" s="907">
        <f>550+512.5</f>
        <v>1062.5</v>
      </c>
      <c r="K1135" s="956"/>
      <c r="L1135" s="957"/>
      <c r="M1135" s="504" t="s">
        <v>787</v>
      </c>
      <c r="N1135" s="1262" t="s">
        <v>1569</v>
      </c>
      <c r="O1135" s="1224"/>
      <c r="P1135" s="1264"/>
      <c r="Q1135" s="1226" t="s">
        <v>861</v>
      </c>
    </row>
    <row r="1136" spans="1:17" x14ac:dyDescent="0.2">
      <c r="A1136" s="418">
        <v>6</v>
      </c>
      <c r="B1136" s="433"/>
      <c r="C1136" s="433"/>
      <c r="D1136" s="1461"/>
      <c r="E1136" s="418">
        <v>9</v>
      </c>
      <c r="F1136" s="837" t="s">
        <v>1660</v>
      </c>
      <c r="G1136" s="467" t="s">
        <v>289</v>
      </c>
      <c r="H1136" s="462"/>
      <c r="I1136" s="1151"/>
      <c r="J1136" s="907">
        <f>100-25</f>
        <v>75</v>
      </c>
      <c r="K1136" s="956"/>
      <c r="L1136" s="957"/>
      <c r="M1136" s="504"/>
      <c r="N1136" s="1262" t="s">
        <v>1569</v>
      </c>
      <c r="O1136" s="1224"/>
      <c r="P1136" s="1264"/>
      <c r="Q1136" s="1226" t="s">
        <v>861</v>
      </c>
    </row>
    <row r="1137" spans="1:17" x14ac:dyDescent="0.2">
      <c r="A1137" s="418">
        <v>6</v>
      </c>
      <c r="B1137" s="433"/>
      <c r="C1137" s="433"/>
      <c r="D1137" s="1462"/>
      <c r="E1137" s="418">
        <v>9</v>
      </c>
      <c r="F1137" s="838" t="s">
        <v>1660</v>
      </c>
      <c r="G1137" s="850" t="s">
        <v>12</v>
      </c>
      <c r="H1137" s="851"/>
      <c r="I1137" s="1151">
        <v>600</v>
      </c>
      <c r="J1137" s="907">
        <f>1063-580-100-100-283</f>
        <v>0</v>
      </c>
      <c r="K1137" s="943">
        <v>100</v>
      </c>
      <c r="L1137" s="945"/>
      <c r="M1137" s="504" t="s">
        <v>787</v>
      </c>
      <c r="N1137" s="1262" t="s">
        <v>1569</v>
      </c>
      <c r="O1137" s="1265"/>
      <c r="P1137" s="1266"/>
      <c r="Q1137" s="1226" t="s">
        <v>861</v>
      </c>
    </row>
    <row r="1138" spans="1:17" x14ac:dyDescent="0.2">
      <c r="A1138" s="418">
        <v>6</v>
      </c>
      <c r="B1138" s="433"/>
      <c r="C1138" s="845" t="s">
        <v>1661</v>
      </c>
      <c r="D1138" s="1463" t="s">
        <v>1662</v>
      </c>
      <c r="E1138" s="418">
        <v>9</v>
      </c>
      <c r="F1138" s="837" t="s">
        <v>1663</v>
      </c>
      <c r="G1138" s="467" t="s">
        <v>9</v>
      </c>
      <c r="H1138" s="462"/>
      <c r="I1138" s="1151">
        <v>7</v>
      </c>
      <c r="J1138" s="907">
        <f>16</f>
        <v>16</v>
      </c>
      <c r="K1138" s="971"/>
      <c r="L1138" s="970"/>
      <c r="M1138" s="504" t="s">
        <v>787</v>
      </c>
      <c r="N1138" s="1262" t="s">
        <v>1569</v>
      </c>
      <c r="O1138" s="1357" t="s">
        <v>2423</v>
      </c>
      <c r="P1138" s="1225"/>
      <c r="Q1138" s="1226" t="s">
        <v>875</v>
      </c>
    </row>
    <row r="1139" spans="1:17" x14ac:dyDescent="0.2">
      <c r="A1139" s="418">
        <v>6</v>
      </c>
      <c r="B1139" s="433"/>
      <c r="C1139" s="433"/>
      <c r="D1139" s="1462"/>
      <c r="E1139" s="418">
        <v>9</v>
      </c>
      <c r="F1139" s="837" t="s">
        <v>1663</v>
      </c>
      <c r="G1139" s="467" t="s">
        <v>315</v>
      </c>
      <c r="H1139" s="462"/>
      <c r="I1139" s="1151">
        <v>1000</v>
      </c>
      <c r="J1139" s="907">
        <f>69.6-2.6</f>
        <v>67</v>
      </c>
      <c r="K1139" s="971"/>
      <c r="L1139" s="970"/>
      <c r="M1139" s="504" t="s">
        <v>787</v>
      </c>
      <c r="N1139" s="1262" t="s">
        <v>1569</v>
      </c>
      <c r="O1139" s="1206"/>
      <c r="P1139" s="1215"/>
      <c r="Q1139" s="1226" t="s">
        <v>875</v>
      </c>
    </row>
    <row r="1140" spans="1:17" x14ac:dyDescent="0.2">
      <c r="A1140" s="418">
        <v>6</v>
      </c>
      <c r="B1140" s="433"/>
      <c r="C1140" s="845" t="s">
        <v>1664</v>
      </c>
      <c r="D1140" s="1463" t="s">
        <v>1665</v>
      </c>
      <c r="E1140" s="418">
        <v>9</v>
      </c>
      <c r="F1140" s="837" t="s">
        <v>1666</v>
      </c>
      <c r="G1140" s="467" t="s">
        <v>9</v>
      </c>
      <c r="H1140" s="462"/>
      <c r="I1140" s="1151">
        <v>20</v>
      </c>
      <c r="J1140" s="907">
        <v>5</v>
      </c>
      <c r="K1140" s="956">
        <v>10</v>
      </c>
      <c r="L1140" s="957">
        <v>10</v>
      </c>
      <c r="M1140" s="504" t="s">
        <v>787</v>
      </c>
      <c r="N1140" s="1262" t="s">
        <v>1051</v>
      </c>
      <c r="O1140" s="1206"/>
      <c r="P1140" s="1261"/>
      <c r="Q1140" s="1226" t="s">
        <v>889</v>
      </c>
    </row>
    <row r="1141" spans="1:17" x14ac:dyDescent="0.2">
      <c r="A1141" s="418">
        <v>6</v>
      </c>
      <c r="B1141" s="433"/>
      <c r="C1141" s="433"/>
      <c r="D1141" s="1462"/>
      <c r="E1141" s="418">
        <v>9</v>
      </c>
      <c r="F1141" s="837" t="s">
        <v>1666</v>
      </c>
      <c r="G1141" s="467" t="s">
        <v>315</v>
      </c>
      <c r="H1141" s="462"/>
      <c r="I1141" s="1151"/>
      <c r="J1141" s="907">
        <v>100</v>
      </c>
      <c r="K1141" s="956">
        <v>500</v>
      </c>
      <c r="L1141" s="957">
        <v>1000</v>
      </c>
      <c r="M1141" s="504" t="s">
        <v>787</v>
      </c>
      <c r="N1141" s="1262" t="s">
        <v>1051</v>
      </c>
      <c r="O1141" s="1224" t="s">
        <v>1581</v>
      </c>
      <c r="P1141" s="1225">
        <v>20</v>
      </c>
      <c r="Q1141" s="1226" t="s">
        <v>889</v>
      </c>
    </row>
    <row r="1142" spans="1:17" x14ac:dyDescent="0.2">
      <c r="A1142" s="418">
        <v>6</v>
      </c>
      <c r="B1142" s="523"/>
      <c r="C1142" s="845" t="s">
        <v>1668</v>
      </c>
      <c r="D1142" s="1463" t="s">
        <v>1669</v>
      </c>
      <c r="E1142" s="522">
        <v>9</v>
      </c>
      <c r="F1142" s="844" t="s">
        <v>1670</v>
      </c>
      <c r="G1142" s="524" t="s">
        <v>9</v>
      </c>
      <c r="H1142" s="382"/>
      <c r="I1142" s="1152">
        <v>60.8</v>
      </c>
      <c r="J1142" s="749">
        <f>1096.5-500-400-180</f>
        <v>16.5</v>
      </c>
      <c r="K1142" s="968">
        <f>500-300</f>
        <v>200</v>
      </c>
      <c r="L1142" s="969"/>
      <c r="M1142" s="524" t="s">
        <v>787</v>
      </c>
      <c r="N1142" s="1263" t="s">
        <v>1569</v>
      </c>
      <c r="O1142" s="1224" t="s">
        <v>1581</v>
      </c>
      <c r="P1142" s="1225">
        <v>50</v>
      </c>
      <c r="Q1142" s="1245" t="s">
        <v>878</v>
      </c>
    </row>
    <row r="1143" spans="1:17" x14ac:dyDescent="0.2">
      <c r="A1143" s="418">
        <v>6</v>
      </c>
      <c r="B1143" s="523"/>
      <c r="C1143" s="523"/>
      <c r="D1143" s="1464"/>
      <c r="E1143" s="522">
        <v>9</v>
      </c>
      <c r="F1143" s="844" t="s">
        <v>1670</v>
      </c>
      <c r="G1143" s="524" t="s">
        <v>315</v>
      </c>
      <c r="H1143" s="382"/>
      <c r="I1143" s="1152"/>
      <c r="J1143" s="749">
        <f>400+180-580</f>
        <v>0</v>
      </c>
      <c r="K1143" s="968"/>
      <c r="L1143" s="969"/>
      <c r="M1143" s="524"/>
      <c r="N1143" s="1263" t="s">
        <v>1569</v>
      </c>
      <c r="O1143" s="1224"/>
      <c r="P1143" s="1225"/>
      <c r="Q1143" s="1245" t="s">
        <v>878</v>
      </c>
    </row>
    <row r="1144" spans="1:17" x14ac:dyDescent="0.2">
      <c r="A1144" s="418">
        <v>6</v>
      </c>
      <c r="B1144" s="433"/>
      <c r="C1144" s="433"/>
      <c r="D1144" s="1464"/>
      <c r="E1144" s="418">
        <v>9</v>
      </c>
      <c r="F1144" s="838" t="s">
        <v>1670</v>
      </c>
      <c r="G1144" s="850" t="s">
        <v>12</v>
      </c>
      <c r="H1144" s="851"/>
      <c r="I1144" s="1151">
        <f>500-I1145</f>
        <v>133.89999999999998</v>
      </c>
      <c r="J1144" s="907">
        <f>580-206.4+201.4</f>
        <v>575</v>
      </c>
      <c r="K1144" s="947">
        <f>206.4+300+3.6</f>
        <v>510</v>
      </c>
      <c r="L1144" s="945"/>
      <c r="M1144" s="504" t="s">
        <v>787</v>
      </c>
      <c r="N1144" s="1205" t="s">
        <v>1569</v>
      </c>
      <c r="O1144" s="1206"/>
      <c r="P1144" s="1266"/>
      <c r="Q1144" s="1226" t="s">
        <v>878</v>
      </c>
    </row>
    <row r="1145" spans="1:17" x14ac:dyDescent="0.2">
      <c r="A1145" s="418">
        <v>6</v>
      </c>
      <c r="B1145" s="433"/>
      <c r="C1145" s="433"/>
      <c r="D1145" s="1464"/>
      <c r="E1145" s="418">
        <v>9</v>
      </c>
      <c r="F1145" s="838" t="s">
        <v>1670</v>
      </c>
      <c r="G1145" s="467" t="s">
        <v>266</v>
      </c>
      <c r="H1145" s="462"/>
      <c r="I1145" s="1151">
        <f>866.1-500</f>
        <v>366.1</v>
      </c>
      <c r="J1145" s="907">
        <f>81.6</f>
        <v>81.599999999999994</v>
      </c>
      <c r="K1145" s="943"/>
      <c r="L1145" s="945"/>
      <c r="M1145" s="504" t="s">
        <v>787</v>
      </c>
      <c r="N1145" s="1205" t="s">
        <v>1569</v>
      </c>
      <c r="O1145" s="1206"/>
      <c r="P1145" s="1267"/>
      <c r="Q1145" s="1226" t="s">
        <v>878</v>
      </c>
    </row>
    <row r="1146" spans="1:17" x14ac:dyDescent="0.2">
      <c r="A1146" s="418">
        <v>6</v>
      </c>
      <c r="B1146" s="433"/>
      <c r="C1146" s="1368"/>
      <c r="D1146" s="1465"/>
      <c r="E1146" s="418">
        <v>9</v>
      </c>
      <c r="F1146" s="838" t="s">
        <v>1670</v>
      </c>
      <c r="G1146" s="298" t="s">
        <v>289</v>
      </c>
      <c r="H1146" s="462"/>
      <c r="I1146" s="1151"/>
      <c r="J1146" s="907">
        <f>25</f>
        <v>25</v>
      </c>
      <c r="K1146" s="943"/>
      <c r="L1146" s="945"/>
      <c r="M1146" s="504" t="s">
        <v>787</v>
      </c>
      <c r="N1146" s="1205" t="s">
        <v>1569</v>
      </c>
      <c r="O1146" s="1206"/>
      <c r="P1146" s="1267"/>
      <c r="Q1146" s="1226" t="s">
        <v>878</v>
      </c>
    </row>
    <row r="1147" spans="1:17" x14ac:dyDescent="0.2">
      <c r="A1147" s="418">
        <v>6</v>
      </c>
      <c r="B1147" s="433"/>
      <c r="C1147" s="845" t="s">
        <v>1671</v>
      </c>
      <c r="D1147" s="1463" t="s">
        <v>1672</v>
      </c>
      <c r="E1147" s="1409" t="s">
        <v>649</v>
      </c>
      <c r="F1147" s="837" t="s">
        <v>1673</v>
      </c>
      <c r="G1147" s="467" t="s">
        <v>9</v>
      </c>
      <c r="H1147" s="462"/>
      <c r="I1147" s="1151">
        <v>5</v>
      </c>
      <c r="J1147" s="907">
        <v>30</v>
      </c>
      <c r="K1147" s="958">
        <v>5</v>
      </c>
      <c r="L1147" s="957"/>
      <c r="M1147" s="504" t="s">
        <v>787</v>
      </c>
      <c r="N1147" s="1436" t="s">
        <v>2525</v>
      </c>
      <c r="O1147" s="1268" t="s">
        <v>1667</v>
      </c>
      <c r="P1147" s="1269">
        <v>1</v>
      </c>
      <c r="Q1147" s="1270" t="s">
        <v>861</v>
      </c>
    </row>
    <row r="1148" spans="1:17" x14ac:dyDescent="0.2">
      <c r="A1148" s="418">
        <v>6</v>
      </c>
      <c r="B1148" s="433"/>
      <c r="C1148" s="433"/>
      <c r="D1148" s="1462"/>
      <c r="E1148" s="1409" t="s">
        <v>649</v>
      </c>
      <c r="F1148" s="837" t="s">
        <v>1673</v>
      </c>
      <c r="G1148" s="467" t="s">
        <v>315</v>
      </c>
      <c r="H1148" s="462"/>
      <c r="I1148" s="1151"/>
      <c r="J1148" s="907"/>
      <c r="K1148" s="956"/>
      <c r="L1148" s="957">
        <f>200+1000</f>
        <v>1200</v>
      </c>
      <c r="M1148" s="504" t="s">
        <v>870</v>
      </c>
      <c r="N1148" s="1436" t="s">
        <v>2525</v>
      </c>
      <c r="O1148" s="1268"/>
      <c r="P1148" s="1269"/>
      <c r="Q1148" s="1270" t="s">
        <v>861</v>
      </c>
    </row>
    <row r="1149" spans="1:17" ht="45" x14ac:dyDescent="0.2">
      <c r="A1149" s="418">
        <v>6</v>
      </c>
      <c r="B1149" s="433"/>
      <c r="C1149" s="845" t="s">
        <v>1674</v>
      </c>
      <c r="D1149" s="89" t="s">
        <v>1675</v>
      </c>
      <c r="E1149" s="418">
        <v>9</v>
      </c>
      <c r="F1149" s="837" t="s">
        <v>1676</v>
      </c>
      <c r="G1149" s="467" t="s">
        <v>9</v>
      </c>
      <c r="H1149" s="462"/>
      <c r="I1149" s="1151">
        <v>0</v>
      </c>
      <c r="J1149" s="907">
        <v>27</v>
      </c>
      <c r="K1149" s="956"/>
      <c r="L1149" s="957"/>
      <c r="M1149" s="504" t="s">
        <v>787</v>
      </c>
      <c r="N1149" s="1271" t="s">
        <v>1569</v>
      </c>
      <c r="O1149" s="1272" t="s">
        <v>1667</v>
      </c>
      <c r="P1149" s="1273">
        <v>1</v>
      </c>
      <c r="Q1149" s="1274" t="s">
        <v>878</v>
      </c>
    </row>
    <row r="1150" spans="1:17" ht="33.75" x14ac:dyDescent="0.2">
      <c r="A1150" s="418">
        <v>6</v>
      </c>
      <c r="B1150" s="433"/>
      <c r="C1150" s="845" t="s">
        <v>1677</v>
      </c>
      <c r="D1150" s="388" t="s">
        <v>1678</v>
      </c>
      <c r="E1150" s="418">
        <v>9</v>
      </c>
      <c r="F1150" s="837" t="s">
        <v>327</v>
      </c>
      <c r="G1150" s="467" t="s">
        <v>9</v>
      </c>
      <c r="H1150" s="462"/>
      <c r="I1150" s="1151"/>
      <c r="J1150" s="907">
        <f>100-50-10</f>
        <v>40</v>
      </c>
      <c r="K1150" s="956">
        <v>100.1</v>
      </c>
      <c r="L1150" s="957">
        <v>100.2</v>
      </c>
      <c r="M1150" s="504" t="s">
        <v>796</v>
      </c>
      <c r="N1150" s="1202" t="s">
        <v>1049</v>
      </c>
      <c r="O1150" s="1203" t="s">
        <v>1520</v>
      </c>
      <c r="P1150" s="1275">
        <v>100</v>
      </c>
      <c r="Q1150" s="1226"/>
    </row>
    <row r="1151" spans="1:17" x14ac:dyDescent="0.2">
      <c r="A1151" s="418">
        <v>6</v>
      </c>
      <c r="B1151" s="460" t="s">
        <v>1679</v>
      </c>
      <c r="C1151" s="460" t="s">
        <v>1680</v>
      </c>
      <c r="D1151" s="429" t="s">
        <v>331</v>
      </c>
      <c r="E1151" s="430"/>
      <c r="F1151" s="430"/>
      <c r="G1151" s="430"/>
      <c r="H1151" s="430"/>
      <c r="I1151" s="430"/>
      <c r="J1151" s="430"/>
      <c r="K1151" s="887"/>
      <c r="L1151" s="1005"/>
      <c r="M1151" s="467"/>
      <c r="N1151" s="1205"/>
      <c r="O1151" s="1206"/>
      <c r="P1151" s="1215"/>
      <c r="Q1151" s="1206"/>
    </row>
    <row r="1152" spans="1:17" x14ac:dyDescent="0.2">
      <c r="A1152" s="418">
        <v>6</v>
      </c>
      <c r="B1152" s="538"/>
      <c r="C1152" s="538"/>
      <c r="D1152" s="539"/>
      <c r="E1152" s="613"/>
      <c r="F1152" s="445"/>
      <c r="G1152" s="516" t="s">
        <v>9</v>
      </c>
      <c r="H1152" s="516">
        <f t="shared" ref="H1152" si="232">SUM(H1156,H1159,H1154,H1153,H1157,H1158)</f>
        <v>37.1</v>
      </c>
      <c r="I1152" s="516">
        <f>SUM(I1156,I1159,I1154,I1153)</f>
        <v>48.599999999999994</v>
      </c>
      <c r="J1152" s="516">
        <f t="shared" ref="J1152:L1152" si="233">SUM(J1156,J1159,J1154,J1153)</f>
        <v>95</v>
      </c>
      <c r="K1152" s="966">
        <f t="shared" si="233"/>
        <v>240</v>
      </c>
      <c r="L1152" s="1026">
        <f t="shared" si="233"/>
        <v>65</v>
      </c>
      <c r="M1152" s="467"/>
      <c r="N1152" s="1205"/>
      <c r="O1152" s="1206"/>
      <c r="P1152" s="1215"/>
      <c r="Q1152" s="1206"/>
    </row>
    <row r="1153" spans="1:17" ht="45" x14ac:dyDescent="0.2">
      <c r="A1153" s="418">
        <v>6</v>
      </c>
      <c r="B1153" s="433"/>
      <c r="C1153" s="433" t="s">
        <v>1681</v>
      </c>
      <c r="D1153" s="435" t="s">
        <v>332</v>
      </c>
      <c r="E1153" s="442">
        <v>9</v>
      </c>
      <c r="F1153" s="526" t="s">
        <v>333</v>
      </c>
      <c r="G1153" s="465" t="s">
        <v>9</v>
      </c>
      <c r="H1153" s="443">
        <v>1</v>
      </c>
      <c r="I1153" s="445">
        <v>9.1999999999999993</v>
      </c>
      <c r="J1153" s="444">
        <v>10</v>
      </c>
      <c r="K1153" s="972">
        <v>10</v>
      </c>
      <c r="L1153" s="1028">
        <v>10</v>
      </c>
      <c r="M1153" s="467" t="s">
        <v>782</v>
      </c>
      <c r="N1153" s="1205" t="s">
        <v>1049</v>
      </c>
      <c r="O1153" s="1203" t="s">
        <v>1682</v>
      </c>
      <c r="P1153" s="1261">
        <v>100</v>
      </c>
      <c r="Q1153" s="1206"/>
    </row>
    <row r="1154" spans="1:17" x14ac:dyDescent="0.2">
      <c r="A1154" s="418">
        <v>6</v>
      </c>
      <c r="B1154" s="433"/>
      <c r="C1154" s="433"/>
      <c r="D1154" s="435"/>
      <c r="E1154" s="442">
        <v>9</v>
      </c>
      <c r="F1154" s="526" t="s">
        <v>333</v>
      </c>
      <c r="G1154" s="465" t="s">
        <v>9</v>
      </c>
      <c r="H1154" s="443"/>
      <c r="I1154" s="445"/>
      <c r="J1154" s="914">
        <v>30</v>
      </c>
      <c r="K1154" s="972"/>
      <c r="L1154" s="1028"/>
      <c r="M1154" s="467" t="s">
        <v>870</v>
      </c>
      <c r="N1154" s="1205" t="s">
        <v>1591</v>
      </c>
      <c r="O1154" s="1203" t="s">
        <v>1683</v>
      </c>
      <c r="P1154" s="1261">
        <v>1</v>
      </c>
      <c r="Q1154" s="1206"/>
    </row>
    <row r="1155" spans="1:17" x14ac:dyDescent="0.2">
      <c r="A1155" s="418">
        <v>6</v>
      </c>
      <c r="B1155" s="433"/>
      <c r="C1155" s="433"/>
      <c r="D1155" s="435"/>
      <c r="E1155" s="442"/>
      <c r="F1155" s="526" t="s">
        <v>333</v>
      </c>
      <c r="G1155" s="447" t="s">
        <v>608</v>
      </c>
      <c r="H1155" s="506">
        <f>SUM(H1153)</f>
        <v>1</v>
      </c>
      <c r="I1155" s="448">
        <f>SUM(I1153:I1154)</f>
        <v>9.1999999999999993</v>
      </c>
      <c r="J1155" s="448">
        <f t="shared" ref="J1155:L1155" si="234">SUM(J1153:J1154)</f>
        <v>40</v>
      </c>
      <c r="K1155" s="937">
        <f t="shared" si="234"/>
        <v>10</v>
      </c>
      <c r="L1155" s="1010">
        <f t="shared" si="234"/>
        <v>10</v>
      </c>
      <c r="M1155" s="467"/>
      <c r="N1155" s="1205"/>
      <c r="O1155" s="1206"/>
      <c r="P1155" s="1215"/>
      <c r="Q1155" s="1206"/>
    </row>
    <row r="1156" spans="1:17" x14ac:dyDescent="0.2">
      <c r="A1156" s="418">
        <v>6</v>
      </c>
      <c r="B1156" s="433"/>
      <c r="C1156" s="433" t="s">
        <v>1684</v>
      </c>
      <c r="D1156" s="435" t="s">
        <v>334</v>
      </c>
      <c r="E1156" s="442">
        <v>9</v>
      </c>
      <c r="F1156" s="436" t="s">
        <v>335</v>
      </c>
      <c r="G1156" s="446" t="s">
        <v>9</v>
      </c>
      <c r="H1156" s="446">
        <v>14.3</v>
      </c>
      <c r="I1156" s="1153">
        <f>SUM(I1157:I1158)</f>
        <v>14.4</v>
      </c>
      <c r="J1156" s="470">
        <f t="shared" ref="J1156:L1156" si="235">SUM(J1157:J1158)</f>
        <v>15</v>
      </c>
      <c r="K1156" s="973">
        <f t="shared" si="235"/>
        <v>190</v>
      </c>
      <c r="L1156" s="1029">
        <f t="shared" si="235"/>
        <v>15</v>
      </c>
      <c r="M1156" s="467"/>
      <c r="N1156" s="1205" t="s">
        <v>1591</v>
      </c>
      <c r="O1156" s="1206" t="s">
        <v>1685</v>
      </c>
      <c r="P1156" s="1261">
        <v>3</v>
      </c>
      <c r="Q1156" s="1206" t="s">
        <v>799</v>
      </c>
    </row>
    <row r="1157" spans="1:17" x14ac:dyDescent="0.2">
      <c r="A1157" s="418">
        <v>6</v>
      </c>
      <c r="B1157" s="433"/>
      <c r="C1157" s="433"/>
      <c r="D1157" s="527" t="s">
        <v>1686</v>
      </c>
      <c r="E1157" s="442">
        <v>9</v>
      </c>
      <c r="F1157" s="436" t="s">
        <v>335</v>
      </c>
      <c r="G1157" s="417" t="s">
        <v>9</v>
      </c>
      <c r="H1157" s="465"/>
      <c r="I1157" s="445">
        <v>14.4</v>
      </c>
      <c r="J1157" s="444">
        <v>15</v>
      </c>
      <c r="K1157" s="943">
        <v>15</v>
      </c>
      <c r="L1157" s="945">
        <v>15</v>
      </c>
      <c r="M1157" s="467" t="s">
        <v>782</v>
      </c>
      <c r="N1157" s="1205"/>
      <c r="O1157" s="1206" t="s">
        <v>1687</v>
      </c>
      <c r="P1157" s="1215"/>
      <c r="Q1157" s="1206" t="s">
        <v>799</v>
      </c>
    </row>
    <row r="1158" spans="1:17" x14ac:dyDescent="0.2">
      <c r="A1158" s="418">
        <v>6</v>
      </c>
      <c r="B1158" s="433"/>
      <c r="C1158" s="433"/>
      <c r="D1158" s="527" t="s">
        <v>1688</v>
      </c>
      <c r="E1158" s="442">
        <v>9</v>
      </c>
      <c r="F1158" s="436" t="s">
        <v>335</v>
      </c>
      <c r="G1158" s="417" t="s">
        <v>9</v>
      </c>
      <c r="H1158" s="465"/>
      <c r="I1158" s="445"/>
      <c r="J1158" s="444"/>
      <c r="K1158" s="943">
        <v>175</v>
      </c>
      <c r="L1158" s="945"/>
      <c r="M1158" s="467" t="s">
        <v>870</v>
      </c>
      <c r="N1158" s="1205" t="s">
        <v>1591</v>
      </c>
      <c r="O1158" s="1206" t="s">
        <v>2373</v>
      </c>
      <c r="P1158" s="1261">
        <v>1</v>
      </c>
      <c r="Q1158" s="1206" t="s">
        <v>799</v>
      </c>
    </row>
    <row r="1159" spans="1:17" ht="22.5" x14ac:dyDescent="0.2">
      <c r="A1159" s="418">
        <v>6</v>
      </c>
      <c r="B1159" s="433"/>
      <c r="C1159" s="433" t="s">
        <v>1689</v>
      </c>
      <c r="D1159" s="435" t="s">
        <v>336</v>
      </c>
      <c r="E1159" s="442">
        <v>13</v>
      </c>
      <c r="F1159" s="436" t="s">
        <v>337</v>
      </c>
      <c r="G1159" s="446" t="s">
        <v>9</v>
      </c>
      <c r="H1159" s="443">
        <v>21.8</v>
      </c>
      <c r="I1159" s="445">
        <v>25</v>
      </c>
      <c r="J1159" s="444">
        <v>40</v>
      </c>
      <c r="K1159" s="972">
        <v>40</v>
      </c>
      <c r="L1159" s="1028">
        <v>40</v>
      </c>
      <c r="M1159" s="467" t="s">
        <v>782</v>
      </c>
      <c r="N1159" s="1205" t="s">
        <v>1690</v>
      </c>
      <c r="O1159" s="1203" t="s">
        <v>1691</v>
      </c>
      <c r="P1159" s="1261">
        <v>100</v>
      </c>
      <c r="Q1159" s="1206"/>
    </row>
    <row r="1160" spans="1:17" x14ac:dyDescent="0.2">
      <c r="A1160" s="418">
        <v>6</v>
      </c>
      <c r="B1160" s="433"/>
      <c r="C1160" s="433"/>
      <c r="D1160" s="435"/>
      <c r="E1160" s="442"/>
      <c r="F1160" s="436" t="s">
        <v>337</v>
      </c>
      <c r="G1160" s="447" t="s">
        <v>608</v>
      </c>
      <c r="H1160" s="506">
        <f>SUM(H1159)</f>
        <v>21.8</v>
      </c>
      <c r="I1160" s="448">
        <f>SUM(I1159)</f>
        <v>25</v>
      </c>
      <c r="J1160" s="448">
        <f>SUM(J1159)</f>
        <v>40</v>
      </c>
      <c r="K1160" s="937">
        <f>SUM(K1159)</f>
        <v>40</v>
      </c>
      <c r="L1160" s="1010">
        <f>SUM(L1159)</f>
        <v>40</v>
      </c>
      <c r="M1160" s="467"/>
      <c r="N1160" s="1205"/>
      <c r="O1160" s="1206"/>
      <c r="P1160" s="1215"/>
      <c r="Q1160" s="1206"/>
    </row>
    <row r="1161" spans="1:17" ht="22.5" x14ac:dyDescent="0.2">
      <c r="A1161" s="418">
        <v>6</v>
      </c>
      <c r="B1161" s="419"/>
      <c r="C1161" s="419"/>
      <c r="D1161" s="528" t="s">
        <v>1692</v>
      </c>
      <c r="E1161" s="454"/>
      <c r="F1161" s="455"/>
      <c r="G1161" s="456"/>
      <c r="H1161" s="457"/>
      <c r="I1161" s="425"/>
      <c r="J1161" s="425"/>
      <c r="K1161" s="940"/>
      <c r="L1161" s="1012"/>
      <c r="M1161" s="1059"/>
      <c r="N1161" s="1055"/>
      <c r="O1161" s="458"/>
      <c r="P1161" s="459"/>
      <c r="Q1161" s="458"/>
    </row>
    <row r="1162" spans="1:17" ht="33.75" x14ac:dyDescent="0.2">
      <c r="A1162" s="418">
        <v>6</v>
      </c>
      <c r="B1162" s="460" t="s">
        <v>1693</v>
      </c>
      <c r="C1162" s="460" t="s">
        <v>1693</v>
      </c>
      <c r="D1162" s="1063" t="s">
        <v>2227</v>
      </c>
      <c r="E1162" s="430"/>
      <c r="F1162" s="430"/>
      <c r="G1162" s="529"/>
      <c r="H1162" s="430">
        <v>100</v>
      </c>
      <c r="I1162" s="529"/>
      <c r="J1162" s="529"/>
      <c r="K1162" s="887"/>
      <c r="L1162" s="1005"/>
      <c r="M1162" s="504"/>
      <c r="N1162" s="1202"/>
      <c r="O1162" s="1203"/>
      <c r="P1162" s="1213"/>
      <c r="Q1162" s="1203"/>
    </row>
    <row r="1163" spans="1:17" x14ac:dyDescent="0.2">
      <c r="A1163" s="418">
        <v>6</v>
      </c>
      <c r="B1163" s="538"/>
      <c r="C1163" s="538"/>
      <c r="D1163" s="539"/>
      <c r="E1163" s="540"/>
      <c r="F1163" s="541"/>
      <c r="G1163" s="530" t="s">
        <v>9</v>
      </c>
      <c r="H1163" s="531"/>
      <c r="I1163" s="532">
        <f>SUM(I1164:I1166)</f>
        <v>260</v>
      </c>
      <c r="J1163" s="532">
        <f t="shared" ref="J1163:L1163" si="236">SUM(J1164:J1166)</f>
        <v>35</v>
      </c>
      <c r="K1163" s="974">
        <f t="shared" si="236"/>
        <v>700</v>
      </c>
      <c r="L1163" s="1030">
        <f t="shared" si="236"/>
        <v>0</v>
      </c>
      <c r="M1163" s="504"/>
      <c r="N1163" s="1202"/>
      <c r="O1163" s="1203"/>
      <c r="P1163" s="1213"/>
      <c r="Q1163" s="1203"/>
    </row>
    <row r="1164" spans="1:17" ht="22.5" x14ac:dyDescent="0.2">
      <c r="A1164" s="418">
        <v>6</v>
      </c>
      <c r="B1164" s="433"/>
      <c r="C1164" s="433" t="s">
        <v>1694</v>
      </c>
      <c r="D1164" s="533" t="s">
        <v>1695</v>
      </c>
      <c r="E1164" s="442">
        <v>9</v>
      </c>
      <c r="F1164" s="436" t="s">
        <v>328</v>
      </c>
      <c r="G1164" s="446" t="s">
        <v>9</v>
      </c>
      <c r="H1164" s="466"/>
      <c r="I1164" s="1151">
        <v>240</v>
      </c>
      <c r="J1164" s="464">
        <v>35</v>
      </c>
      <c r="K1164" s="943"/>
      <c r="L1164" s="945"/>
      <c r="M1164" s="192" t="s">
        <v>787</v>
      </c>
      <c r="N1164" s="1276" t="s">
        <v>1531</v>
      </c>
      <c r="O1164" s="1357" t="s">
        <v>2423</v>
      </c>
      <c r="P1164" s="1261"/>
      <c r="Q1164" s="1206" t="s">
        <v>871</v>
      </c>
    </row>
    <row r="1165" spans="1:17" ht="33.75" x14ac:dyDescent="0.2">
      <c r="A1165" s="418">
        <v>6</v>
      </c>
      <c r="B1165" s="433"/>
      <c r="C1165" s="433" t="s">
        <v>1696</v>
      </c>
      <c r="D1165" s="533" t="s">
        <v>1697</v>
      </c>
      <c r="E1165" s="442">
        <v>9</v>
      </c>
      <c r="F1165" s="436" t="s">
        <v>328</v>
      </c>
      <c r="G1165" s="446" t="s">
        <v>9</v>
      </c>
      <c r="H1165" s="466"/>
      <c r="I1165" s="1151">
        <v>20</v>
      </c>
      <c r="J1165" s="464"/>
      <c r="K1165" s="943"/>
      <c r="L1165" s="945"/>
      <c r="M1165" s="467" t="s">
        <v>787</v>
      </c>
      <c r="N1165" s="1205"/>
      <c r="O1165" s="1206"/>
      <c r="P1165" s="1261"/>
      <c r="Q1165" s="1206" t="s">
        <v>889</v>
      </c>
    </row>
    <row r="1166" spans="1:17" ht="22.5" x14ac:dyDescent="0.2">
      <c r="A1166" s="418">
        <v>6</v>
      </c>
      <c r="B1166" s="433"/>
      <c r="C1166" s="534" t="s">
        <v>1698</v>
      </c>
      <c r="D1166" s="535" t="s">
        <v>1699</v>
      </c>
      <c r="E1166" s="442">
        <v>9</v>
      </c>
      <c r="F1166" s="436" t="s">
        <v>328</v>
      </c>
      <c r="G1166" s="446" t="s">
        <v>9</v>
      </c>
      <c r="H1166" s="466"/>
      <c r="I1166" s="1151"/>
      <c r="J1166" s="464"/>
      <c r="K1166" s="943">
        <v>700</v>
      </c>
      <c r="L1166" s="945"/>
      <c r="M1166" s="467" t="s">
        <v>870</v>
      </c>
      <c r="N1166" s="1277" t="s">
        <v>1050</v>
      </c>
      <c r="O1166" s="1206"/>
      <c r="P1166" s="1261"/>
      <c r="Q1166" s="1206" t="s">
        <v>861</v>
      </c>
    </row>
    <row r="1167" spans="1:17" x14ac:dyDescent="0.2">
      <c r="A1167" s="418">
        <v>6</v>
      </c>
      <c r="B1167" s="460" t="s">
        <v>1700</v>
      </c>
      <c r="C1167" s="460" t="s">
        <v>1700</v>
      </c>
      <c r="D1167" s="429" t="s">
        <v>1496</v>
      </c>
      <c r="E1167" s="430">
        <v>9</v>
      </c>
      <c r="F1167" s="430" t="s">
        <v>329</v>
      </c>
      <c r="G1167" s="430" t="s">
        <v>9</v>
      </c>
      <c r="H1167" s="430">
        <f>40-40</f>
        <v>0</v>
      </c>
      <c r="I1167" s="430">
        <f>I1171</f>
        <v>0</v>
      </c>
      <c r="J1167" s="430">
        <v>90</v>
      </c>
      <c r="K1167" s="887"/>
      <c r="L1167" s="1005"/>
      <c r="M1167" s="504" t="s">
        <v>787</v>
      </c>
      <c r="N1167" s="1205"/>
      <c r="O1167" s="1278"/>
      <c r="P1167" s="1215"/>
      <c r="Q1167" s="1206"/>
    </row>
    <row r="1168" spans="1:17" x14ac:dyDescent="0.2">
      <c r="A1168" s="418">
        <v>6</v>
      </c>
      <c r="B1168" s="538"/>
      <c r="C1168" s="538"/>
      <c r="D1168" s="539"/>
      <c r="E1168" s="540"/>
      <c r="F1168" s="541"/>
      <c r="G1168" s="536" t="s">
        <v>12</v>
      </c>
      <c r="H1168" s="537"/>
      <c r="I1168" s="532">
        <v>3.5</v>
      </c>
      <c r="J1168" s="532">
        <f t="shared" ref="J1168:L1168" si="237">J1170</f>
        <v>7.2</v>
      </c>
      <c r="K1168" s="974">
        <f t="shared" si="237"/>
        <v>7.2</v>
      </c>
      <c r="L1168" s="1030">
        <f t="shared" si="237"/>
        <v>7.2</v>
      </c>
      <c r="M1168" s="504"/>
      <c r="N1168" s="1205"/>
      <c r="O1168" s="1206"/>
      <c r="P1168" s="1215"/>
      <c r="Q1168" s="1206"/>
    </row>
    <row r="1169" spans="1:17" x14ac:dyDescent="0.2">
      <c r="A1169" s="418">
        <v>6</v>
      </c>
      <c r="B1169" s="538"/>
      <c r="C1169" s="538"/>
      <c r="D1169" s="539"/>
      <c r="E1169" s="540"/>
      <c r="F1169" s="541"/>
      <c r="G1169" s="542" t="s">
        <v>608</v>
      </c>
      <c r="H1169" s="543">
        <f>SUM(H1168)</f>
        <v>0</v>
      </c>
      <c r="I1169" s="544">
        <f>SUM(I1168,I1167)</f>
        <v>3.5</v>
      </c>
      <c r="J1169" s="544">
        <f>SUM(J1168,J1167)</f>
        <v>97.2</v>
      </c>
      <c r="K1169" s="975">
        <f>SUM(K1168,K1167)</f>
        <v>7.2</v>
      </c>
      <c r="L1169" s="1031">
        <f>SUM(L1168,L1167)</f>
        <v>7.2</v>
      </c>
      <c r="M1169" s="504"/>
      <c r="N1169" s="1205"/>
      <c r="O1169" s="1206"/>
      <c r="P1169" s="1215"/>
      <c r="Q1169" s="1206"/>
    </row>
    <row r="1170" spans="1:17" x14ac:dyDescent="0.2">
      <c r="A1170" s="418">
        <v>6</v>
      </c>
      <c r="B1170" s="433"/>
      <c r="C1170" s="433" t="s">
        <v>1701</v>
      </c>
      <c r="D1170" s="545" t="s">
        <v>1702</v>
      </c>
      <c r="E1170" s="442">
        <v>9</v>
      </c>
      <c r="F1170" s="436" t="s">
        <v>329</v>
      </c>
      <c r="G1170" s="445" t="s">
        <v>12</v>
      </c>
      <c r="H1170" s="546"/>
      <c r="I1170" s="1153">
        <v>3.5</v>
      </c>
      <c r="J1170" s="470">
        <v>7.2</v>
      </c>
      <c r="K1170" s="976">
        <v>7.2</v>
      </c>
      <c r="L1170" s="1032">
        <v>7.2</v>
      </c>
      <c r="M1170" s="467"/>
      <c r="N1170" s="1205" t="s">
        <v>1703</v>
      </c>
      <c r="O1170" s="1206" t="s">
        <v>2374</v>
      </c>
      <c r="P1170" s="1261">
        <v>2</v>
      </c>
      <c r="Q1170" s="1206"/>
    </row>
    <row r="1171" spans="1:17" ht="22.5" x14ac:dyDescent="0.2">
      <c r="A1171" s="418">
        <v>6</v>
      </c>
      <c r="B1171" s="433"/>
      <c r="C1171" s="433" t="s">
        <v>1704</v>
      </c>
      <c r="D1171" s="431" t="s">
        <v>1705</v>
      </c>
      <c r="E1171" s="442">
        <v>9</v>
      </c>
      <c r="F1171" s="436" t="s">
        <v>329</v>
      </c>
      <c r="G1171" s="417" t="s">
        <v>9</v>
      </c>
      <c r="H1171" s="466"/>
      <c r="I1171" s="1151">
        <v>0</v>
      </c>
      <c r="J1171" s="464">
        <v>90</v>
      </c>
      <c r="K1171" s="943"/>
      <c r="L1171" s="945"/>
      <c r="M1171" s="467" t="s">
        <v>787</v>
      </c>
      <c r="N1171" s="1205" t="s">
        <v>1703</v>
      </c>
      <c r="O1171" s="1203" t="s">
        <v>1706</v>
      </c>
      <c r="P1171" s="1261">
        <v>1</v>
      </c>
      <c r="Q1171" s="1206" t="s">
        <v>1707</v>
      </c>
    </row>
    <row r="1172" spans="1:17" ht="22.5" x14ac:dyDescent="0.2">
      <c r="A1172" s="418">
        <v>6</v>
      </c>
      <c r="B1172" s="419"/>
      <c r="C1172" s="419"/>
      <c r="D1172" s="528" t="s">
        <v>1708</v>
      </c>
      <c r="E1172" s="454"/>
      <c r="F1172" s="455"/>
      <c r="G1172" s="456"/>
      <c r="H1172" s="457"/>
      <c r="I1172" s="425"/>
      <c r="J1172" s="425"/>
      <c r="K1172" s="940"/>
      <c r="L1172" s="1012"/>
      <c r="M1172" s="1059"/>
      <c r="N1172" s="1055"/>
      <c r="O1172" s="458"/>
      <c r="P1172" s="459"/>
      <c r="Q1172" s="458"/>
    </row>
    <row r="1173" spans="1:17" ht="22.5" x14ac:dyDescent="0.2">
      <c r="A1173" s="418">
        <v>6</v>
      </c>
      <c r="B1173" s="460" t="s">
        <v>1709</v>
      </c>
      <c r="C1173" s="460" t="s">
        <v>1709</v>
      </c>
      <c r="D1173" s="429" t="s">
        <v>338</v>
      </c>
      <c r="E1173" s="430"/>
      <c r="F1173" s="430"/>
      <c r="G1173" s="430"/>
      <c r="H1173" s="430"/>
      <c r="I1173" s="430"/>
      <c r="J1173" s="430"/>
      <c r="K1173" s="887"/>
      <c r="L1173" s="1005"/>
      <c r="M1173" s="467"/>
      <c r="N1173" s="1205"/>
      <c r="O1173" s="1206"/>
      <c r="P1173" s="1215"/>
      <c r="Q1173" s="1206"/>
    </row>
    <row r="1174" spans="1:17" x14ac:dyDescent="0.2">
      <c r="A1174" s="418">
        <v>6</v>
      </c>
      <c r="B1174" s="538"/>
      <c r="C1174" s="538"/>
      <c r="D1174" s="539"/>
      <c r="E1174" s="540"/>
      <c r="F1174" s="541"/>
      <c r="G1174" s="530" t="s">
        <v>9</v>
      </c>
      <c r="H1174" s="531"/>
      <c r="I1174" s="532">
        <f>SUM(I1176,I1175)</f>
        <v>96.6</v>
      </c>
      <c r="J1174" s="532">
        <f>SUM(J1176,J1175)</f>
        <v>243.4</v>
      </c>
      <c r="K1174" s="974">
        <f>SUM(K1176,K1175)</f>
        <v>600</v>
      </c>
      <c r="L1174" s="1030">
        <f>SUM(L1176,L1175)</f>
        <v>1700</v>
      </c>
      <c r="M1174" s="467"/>
      <c r="N1174" s="1205"/>
      <c r="O1174" s="1206"/>
      <c r="P1174" s="1215"/>
      <c r="Q1174" s="1206"/>
    </row>
    <row r="1175" spans="1:17" ht="22.5" x14ac:dyDescent="0.2">
      <c r="A1175" s="418">
        <v>6</v>
      </c>
      <c r="B1175" s="451"/>
      <c r="C1175" s="451" t="s">
        <v>1710</v>
      </c>
      <c r="D1175" s="435" t="s">
        <v>339</v>
      </c>
      <c r="E1175" s="547">
        <v>9</v>
      </c>
      <c r="F1175" s="436" t="s">
        <v>340</v>
      </c>
      <c r="G1175" s="445" t="s">
        <v>9</v>
      </c>
      <c r="H1175" s="443">
        <v>39.200000000000003</v>
      </c>
      <c r="I1175" s="1153">
        <v>36.6</v>
      </c>
      <c r="J1175" s="470">
        <v>50</v>
      </c>
      <c r="K1175" s="936">
        <v>50</v>
      </c>
      <c r="L1175" s="1009">
        <v>50</v>
      </c>
      <c r="M1175" s="467" t="s">
        <v>782</v>
      </c>
      <c r="N1175" s="1202" t="s">
        <v>1703</v>
      </c>
      <c r="O1175" s="1203" t="s">
        <v>1711</v>
      </c>
      <c r="P1175" s="1279">
        <v>100</v>
      </c>
      <c r="Q1175" s="1203"/>
    </row>
    <row r="1176" spans="1:17" ht="56.25" x14ac:dyDescent="0.2">
      <c r="A1176" s="418">
        <v>6</v>
      </c>
      <c r="B1176" s="451"/>
      <c r="C1176" s="451" t="s">
        <v>1712</v>
      </c>
      <c r="D1176" s="435" t="s">
        <v>341</v>
      </c>
      <c r="E1176" s="547">
        <v>9</v>
      </c>
      <c r="F1176" s="446" t="s">
        <v>342</v>
      </c>
      <c r="G1176" s="445" t="s">
        <v>9</v>
      </c>
      <c r="H1176" s="443">
        <v>57.2</v>
      </c>
      <c r="I1176" s="1153">
        <v>60</v>
      </c>
      <c r="J1176" s="470">
        <f>100-40+120+13.4</f>
        <v>193.4</v>
      </c>
      <c r="K1176" s="977">
        <f>900-350</f>
        <v>550</v>
      </c>
      <c r="L1176" s="1033">
        <f>1300+350</f>
        <v>1650</v>
      </c>
      <c r="M1176" s="467" t="s">
        <v>787</v>
      </c>
      <c r="N1176" s="1202" t="s">
        <v>1703</v>
      </c>
      <c r="O1176" s="1203" t="s">
        <v>1713</v>
      </c>
      <c r="P1176" s="1279">
        <v>100</v>
      </c>
      <c r="Q1176" s="1203"/>
    </row>
    <row r="1177" spans="1:17" ht="22.5" x14ac:dyDescent="0.2">
      <c r="A1177" s="418">
        <v>6</v>
      </c>
      <c r="B1177" s="460" t="s">
        <v>1714</v>
      </c>
      <c r="C1177" s="460" t="s">
        <v>1714</v>
      </c>
      <c r="D1177" s="429" t="s">
        <v>343</v>
      </c>
      <c r="E1177" s="430"/>
      <c r="F1177" s="430"/>
      <c r="G1177" s="430"/>
      <c r="H1177" s="430"/>
      <c r="I1177" s="430"/>
      <c r="J1177" s="430"/>
      <c r="K1177" s="887"/>
      <c r="L1177" s="1005"/>
      <c r="M1177" s="467"/>
      <c r="N1177" s="1205"/>
      <c r="O1177" s="1206"/>
      <c r="P1177" s="1206"/>
      <c r="Q1177" s="1206"/>
    </row>
    <row r="1178" spans="1:17" x14ac:dyDescent="0.2">
      <c r="A1178" s="418">
        <v>6</v>
      </c>
      <c r="B1178" s="538"/>
      <c r="C1178" s="538"/>
      <c r="D1178" s="539"/>
      <c r="E1178" s="817"/>
      <c r="F1178" s="817"/>
      <c r="G1178" s="530" t="s">
        <v>9</v>
      </c>
      <c r="H1178" s="537"/>
      <c r="I1178" s="532">
        <f>SUM(I1179,I1180,I1181,I1182,I1183,I1184,I1185,I1186,I1187,I1188,I1189)</f>
        <v>434.5</v>
      </c>
      <c r="J1178" s="532">
        <f>SUM(J1179,J1180,J1181,J1182,J1183,J1184,J1185,J1186,J1187,J1188,J1189)</f>
        <v>362.5</v>
      </c>
      <c r="K1178" s="974">
        <f>SUM(K1179,K1180,K1181,K1182,K1183,K1184,K1185,K1186,K1187,K1188,K1189)</f>
        <v>357.5</v>
      </c>
      <c r="L1178" s="1030">
        <f>SUM(L1179,L1180,L1181,L1182,L1183,L1184,L1185,L1186,L1187,L1188,L1189)</f>
        <v>428.79999999999995</v>
      </c>
      <c r="M1178" s="467"/>
      <c r="N1178" s="1205"/>
      <c r="O1178" s="1278"/>
      <c r="P1178" s="1206"/>
      <c r="Q1178" s="1206"/>
    </row>
    <row r="1179" spans="1:17" x14ac:dyDescent="0.2">
      <c r="A1179" s="418">
        <v>6</v>
      </c>
      <c r="B1179" s="451"/>
      <c r="C1179" s="451" t="s">
        <v>1715</v>
      </c>
      <c r="D1179" s="435" t="s">
        <v>344</v>
      </c>
      <c r="E1179" s="548">
        <v>19</v>
      </c>
      <c r="F1179" s="549" t="s">
        <v>345</v>
      </c>
      <c r="G1179" s="465" t="s">
        <v>9</v>
      </c>
      <c r="H1179" s="443">
        <f>11.7-1.7-4</f>
        <v>6</v>
      </c>
      <c r="I1179" s="1153">
        <f>11.7-1.7-4</f>
        <v>6</v>
      </c>
      <c r="J1179" s="470">
        <f>11.7-1.7-4</f>
        <v>6</v>
      </c>
      <c r="K1179" s="959">
        <f>11.7-1.7-4</f>
        <v>6</v>
      </c>
      <c r="L1179" s="1009">
        <v>7.2</v>
      </c>
      <c r="M1179" s="467" t="s">
        <v>782</v>
      </c>
      <c r="N1179" s="1202" t="s">
        <v>1503</v>
      </c>
      <c r="O1179" s="1203" t="s">
        <v>1716</v>
      </c>
      <c r="P1179" s="1279">
        <v>74</v>
      </c>
      <c r="Q1179" s="1203" t="s">
        <v>894</v>
      </c>
    </row>
    <row r="1180" spans="1:17" ht="22.5" x14ac:dyDescent="0.2">
      <c r="A1180" s="418">
        <v>6</v>
      </c>
      <c r="B1180" s="451"/>
      <c r="C1180" s="451" t="s">
        <v>1717</v>
      </c>
      <c r="D1180" s="435" t="s">
        <v>346</v>
      </c>
      <c r="E1180" s="548">
        <v>20</v>
      </c>
      <c r="F1180" s="549" t="s">
        <v>347</v>
      </c>
      <c r="G1180" s="465" t="s">
        <v>9</v>
      </c>
      <c r="H1180" s="443">
        <f>27.1-3.9-8</f>
        <v>15.200000000000003</v>
      </c>
      <c r="I1180" s="1153">
        <f>27.1-3.9-8+3</f>
        <v>18.200000000000003</v>
      </c>
      <c r="J1180" s="470">
        <f>27.1-3.9-8</f>
        <v>15.200000000000003</v>
      </c>
      <c r="K1180" s="959">
        <f>27.1-3.9-8</f>
        <v>15.200000000000003</v>
      </c>
      <c r="L1180" s="1009">
        <v>18.2</v>
      </c>
      <c r="M1180" s="467" t="s">
        <v>782</v>
      </c>
      <c r="N1180" s="1202" t="s">
        <v>2347</v>
      </c>
      <c r="O1180" s="1203" t="s">
        <v>1716</v>
      </c>
      <c r="P1180" s="1279">
        <v>205</v>
      </c>
      <c r="Q1180" s="1203" t="s">
        <v>912</v>
      </c>
    </row>
    <row r="1181" spans="1:17" x14ac:dyDescent="0.2">
      <c r="A1181" s="418">
        <v>6</v>
      </c>
      <c r="B1181" s="451"/>
      <c r="C1181" s="451" t="s">
        <v>1718</v>
      </c>
      <c r="D1181" s="435" t="s">
        <v>348</v>
      </c>
      <c r="E1181" s="548">
        <v>21</v>
      </c>
      <c r="F1181" s="549" t="s">
        <v>349</v>
      </c>
      <c r="G1181" s="465" t="s">
        <v>9</v>
      </c>
      <c r="H1181" s="443">
        <v>15.8</v>
      </c>
      <c r="I1181" s="1153">
        <f>54.6-8-25+23</f>
        <v>44.6</v>
      </c>
      <c r="J1181" s="470">
        <f>54.6-8-25</f>
        <v>21.6</v>
      </c>
      <c r="K1181" s="959">
        <f>54.6-8-25</f>
        <v>21.6</v>
      </c>
      <c r="L1181" s="1009">
        <v>25.9</v>
      </c>
      <c r="M1181" s="467" t="s">
        <v>782</v>
      </c>
      <c r="N1181" s="1202" t="s">
        <v>1507</v>
      </c>
      <c r="O1181" s="1203" t="s">
        <v>1716</v>
      </c>
      <c r="P1181" s="1279">
        <v>455</v>
      </c>
      <c r="Q1181" s="1203" t="s">
        <v>875</v>
      </c>
    </row>
    <row r="1182" spans="1:17" x14ac:dyDescent="0.2">
      <c r="A1182" s="418">
        <v>6</v>
      </c>
      <c r="B1182" s="451"/>
      <c r="C1182" s="451" t="s">
        <v>1719</v>
      </c>
      <c r="D1182" s="435" t="s">
        <v>350</v>
      </c>
      <c r="E1182" s="548">
        <v>22</v>
      </c>
      <c r="F1182" s="549" t="s">
        <v>351</v>
      </c>
      <c r="G1182" s="465" t="s">
        <v>9</v>
      </c>
      <c r="H1182" s="443">
        <v>13.8</v>
      </c>
      <c r="I1182" s="1153">
        <f>17.2-2.5</f>
        <v>14.7</v>
      </c>
      <c r="J1182" s="470">
        <f>17.2-2.5</f>
        <v>14.7</v>
      </c>
      <c r="K1182" s="959">
        <f>17.2-2.5</f>
        <v>14.7</v>
      </c>
      <c r="L1182" s="1009">
        <v>17.600000000000001</v>
      </c>
      <c r="M1182" s="467" t="s">
        <v>782</v>
      </c>
      <c r="N1182" s="1202" t="s">
        <v>1726</v>
      </c>
      <c r="O1182" s="1203" t="s">
        <v>1716</v>
      </c>
      <c r="P1182" s="1279">
        <v>170</v>
      </c>
      <c r="Q1182" s="1203" t="s">
        <v>911</v>
      </c>
    </row>
    <row r="1183" spans="1:17" x14ac:dyDescent="0.2">
      <c r="A1183" s="418">
        <v>6</v>
      </c>
      <c r="B1183" s="451"/>
      <c r="C1183" s="451" t="s">
        <v>1720</v>
      </c>
      <c r="D1183" s="435" t="s">
        <v>352</v>
      </c>
      <c r="E1183" s="548">
        <v>23</v>
      </c>
      <c r="F1183" s="549" t="s">
        <v>353</v>
      </c>
      <c r="G1183" s="465" t="s">
        <v>9</v>
      </c>
      <c r="H1183" s="443">
        <f>176.6-29.9-10</f>
        <v>136.69999999999999</v>
      </c>
      <c r="I1183" s="1153">
        <f>176.6-29.9-10+45</f>
        <v>181.7</v>
      </c>
      <c r="J1183" s="470">
        <f>176.6-29.9-10</f>
        <v>136.69999999999999</v>
      </c>
      <c r="K1183" s="959">
        <f>176.6-29.9-10</f>
        <v>136.69999999999999</v>
      </c>
      <c r="L1183" s="1009">
        <v>164</v>
      </c>
      <c r="M1183" s="467" t="s">
        <v>782</v>
      </c>
      <c r="N1183" s="1202" t="s">
        <v>1510</v>
      </c>
      <c r="O1183" s="1203" t="s">
        <v>1716</v>
      </c>
      <c r="P1183" s="1279">
        <v>1171</v>
      </c>
      <c r="Q1183" s="1203" t="s">
        <v>799</v>
      </c>
    </row>
    <row r="1184" spans="1:17" x14ac:dyDescent="0.2">
      <c r="A1184" s="418">
        <v>6</v>
      </c>
      <c r="B1184" s="451"/>
      <c r="C1184" s="451" t="s">
        <v>1721</v>
      </c>
      <c r="D1184" s="435" t="s">
        <v>354</v>
      </c>
      <c r="E1184" s="548">
        <v>24</v>
      </c>
      <c r="F1184" s="549" t="s">
        <v>355</v>
      </c>
      <c r="G1184" s="465" t="s">
        <v>9</v>
      </c>
      <c r="H1184" s="443">
        <f>15.5-2.3-6</f>
        <v>7.1999999999999993</v>
      </c>
      <c r="I1184" s="1153">
        <f>15.5-2.3-6</f>
        <v>7.1999999999999993</v>
      </c>
      <c r="J1184" s="470">
        <f>15.5-2.3-6+5</f>
        <v>12.2</v>
      </c>
      <c r="K1184" s="959">
        <f>15.5-2.3-6</f>
        <v>7.1999999999999993</v>
      </c>
      <c r="L1184" s="1009">
        <v>8.6</v>
      </c>
      <c r="M1184" s="467" t="s">
        <v>782</v>
      </c>
      <c r="N1184" s="1202" t="s">
        <v>1512</v>
      </c>
      <c r="O1184" s="1203" t="s">
        <v>1716</v>
      </c>
      <c r="P1184" s="1279">
        <v>120</v>
      </c>
      <c r="Q1184" s="1203" t="s">
        <v>913</v>
      </c>
    </row>
    <row r="1185" spans="1:17" x14ac:dyDescent="0.2">
      <c r="A1185" s="418">
        <v>6</v>
      </c>
      <c r="B1185" s="451"/>
      <c r="C1185" s="451" t="s">
        <v>1722</v>
      </c>
      <c r="D1185" s="435" t="s">
        <v>356</v>
      </c>
      <c r="E1185" s="548">
        <v>25</v>
      </c>
      <c r="F1185" s="549" t="s">
        <v>357</v>
      </c>
      <c r="G1185" s="465" t="s">
        <v>9</v>
      </c>
      <c r="H1185" s="443">
        <f>56.2-8.2-16</f>
        <v>32</v>
      </c>
      <c r="I1185" s="1153">
        <f>56.2-8.2-16+6</f>
        <v>38</v>
      </c>
      <c r="J1185" s="470">
        <f>56.2-8.2-16</f>
        <v>32</v>
      </c>
      <c r="K1185" s="959">
        <f>56.2-8.2-16</f>
        <v>32</v>
      </c>
      <c r="L1185" s="1009">
        <v>38.4</v>
      </c>
      <c r="M1185" s="467" t="s">
        <v>782</v>
      </c>
      <c r="N1185" s="1202" t="s">
        <v>2016</v>
      </c>
      <c r="O1185" s="1203" t="s">
        <v>1716</v>
      </c>
      <c r="P1185" s="1279">
        <v>185</v>
      </c>
      <c r="Q1185" s="1203" t="s">
        <v>889</v>
      </c>
    </row>
    <row r="1186" spans="1:17" ht="22.5" x14ac:dyDescent="0.2">
      <c r="A1186" s="418">
        <v>6</v>
      </c>
      <c r="B1186" s="451"/>
      <c r="C1186" s="451" t="s">
        <v>1723</v>
      </c>
      <c r="D1186" s="435" t="s">
        <v>358</v>
      </c>
      <c r="E1186" s="548">
        <v>26</v>
      </c>
      <c r="F1186" s="549" t="s">
        <v>359</v>
      </c>
      <c r="G1186" s="465" t="s">
        <v>9</v>
      </c>
      <c r="H1186" s="443">
        <f>64.7-9.4-13</f>
        <v>42.300000000000004</v>
      </c>
      <c r="I1186" s="1153">
        <f>64.7-9.4-13</f>
        <v>42.300000000000004</v>
      </c>
      <c r="J1186" s="470">
        <f>64.7-9.4-13</f>
        <v>42.300000000000004</v>
      </c>
      <c r="K1186" s="959">
        <f>64.7-9.4-13</f>
        <v>42.300000000000004</v>
      </c>
      <c r="L1186" s="1009">
        <v>50.8</v>
      </c>
      <c r="M1186" s="467" t="s">
        <v>782</v>
      </c>
      <c r="N1186" s="1202" t="s">
        <v>1515</v>
      </c>
      <c r="O1186" s="1203" t="s">
        <v>1716</v>
      </c>
      <c r="P1186" s="1279">
        <v>452</v>
      </c>
      <c r="Q1186" s="1203" t="s">
        <v>878</v>
      </c>
    </row>
    <row r="1187" spans="1:17" x14ac:dyDescent="0.2">
      <c r="A1187" s="418">
        <v>6</v>
      </c>
      <c r="B1187" s="451"/>
      <c r="C1187" s="451" t="s">
        <v>1724</v>
      </c>
      <c r="D1187" s="435" t="s">
        <v>360</v>
      </c>
      <c r="E1187" s="548">
        <v>27</v>
      </c>
      <c r="F1187" s="549" t="s">
        <v>361</v>
      </c>
      <c r="G1187" s="465" t="s">
        <v>9</v>
      </c>
      <c r="H1187" s="443">
        <v>21.7</v>
      </c>
      <c r="I1187" s="1153">
        <f>42.2-6.1-10</f>
        <v>26.1</v>
      </c>
      <c r="J1187" s="470">
        <f>42.2-6.1-10</f>
        <v>26.1</v>
      </c>
      <c r="K1187" s="959">
        <f>42.2-6.1-10</f>
        <v>26.1</v>
      </c>
      <c r="L1187" s="1009">
        <v>31.3</v>
      </c>
      <c r="M1187" s="467" t="s">
        <v>782</v>
      </c>
      <c r="N1187" s="1202" t="s">
        <v>2231</v>
      </c>
      <c r="O1187" s="1203" t="s">
        <v>1716</v>
      </c>
      <c r="P1187" s="1279">
        <v>275</v>
      </c>
      <c r="Q1187" s="1203" t="s">
        <v>861</v>
      </c>
    </row>
    <row r="1188" spans="1:17" x14ac:dyDescent="0.2">
      <c r="A1188" s="418">
        <v>6</v>
      </c>
      <c r="B1188" s="451"/>
      <c r="C1188" s="451" t="s">
        <v>1725</v>
      </c>
      <c r="D1188" s="435" t="s">
        <v>362</v>
      </c>
      <c r="E1188" s="548">
        <v>28</v>
      </c>
      <c r="F1188" s="549" t="s">
        <v>363</v>
      </c>
      <c r="G1188" s="465" t="s">
        <v>9</v>
      </c>
      <c r="H1188" s="443">
        <f>42.3-6.1-10</f>
        <v>26.199999999999996</v>
      </c>
      <c r="I1188" s="1153">
        <f>42.3-6.1-10</f>
        <v>26.199999999999996</v>
      </c>
      <c r="J1188" s="470">
        <f>42.3-6.1-10</f>
        <v>26.199999999999996</v>
      </c>
      <c r="K1188" s="959">
        <f>42.3-6.1-10</f>
        <v>26.199999999999996</v>
      </c>
      <c r="L1188" s="1009">
        <v>31.4</v>
      </c>
      <c r="M1188" s="467" t="s">
        <v>782</v>
      </c>
      <c r="N1188" s="1202" t="s">
        <v>2021</v>
      </c>
      <c r="O1188" s="1203" t="s">
        <v>1716</v>
      </c>
      <c r="P1188" s="1279">
        <v>353</v>
      </c>
      <c r="Q1188" s="1203" t="s">
        <v>871</v>
      </c>
    </row>
    <row r="1189" spans="1:17" x14ac:dyDescent="0.2">
      <c r="A1189" s="418">
        <v>6</v>
      </c>
      <c r="B1189" s="451"/>
      <c r="C1189" s="451" t="s">
        <v>1727</v>
      </c>
      <c r="D1189" s="435" t="s">
        <v>364</v>
      </c>
      <c r="E1189" s="548">
        <v>29</v>
      </c>
      <c r="F1189" s="549" t="s">
        <v>365</v>
      </c>
      <c r="G1189" s="465" t="s">
        <v>9</v>
      </c>
      <c r="H1189" s="443">
        <f>41.6-6.1-6</f>
        <v>29.5</v>
      </c>
      <c r="I1189" s="1153">
        <f>41.6-6.1-6</f>
        <v>29.5</v>
      </c>
      <c r="J1189" s="470">
        <f>41.6-6.1-6</f>
        <v>29.5</v>
      </c>
      <c r="K1189" s="959">
        <f>41.6-6.1-6</f>
        <v>29.5</v>
      </c>
      <c r="L1189" s="1009">
        <v>35.4</v>
      </c>
      <c r="M1189" s="467" t="s">
        <v>782</v>
      </c>
      <c r="N1189" s="1202" t="s">
        <v>2276</v>
      </c>
      <c r="O1189" s="1203" t="s">
        <v>1716</v>
      </c>
      <c r="P1189" s="1279">
        <v>372</v>
      </c>
      <c r="Q1189" s="1203" t="s">
        <v>886</v>
      </c>
    </row>
    <row r="1190" spans="1:17" ht="22.5" x14ac:dyDescent="0.2">
      <c r="A1190" s="418">
        <v>6</v>
      </c>
      <c r="B1190" s="419"/>
      <c r="C1190" s="419"/>
      <c r="D1190" s="528" t="s">
        <v>1728</v>
      </c>
      <c r="E1190" s="454"/>
      <c r="F1190" s="455"/>
      <c r="G1190" s="456"/>
      <c r="H1190" s="457"/>
      <c r="I1190" s="425"/>
      <c r="J1190" s="425"/>
      <c r="K1190" s="940"/>
      <c r="L1190" s="1012"/>
      <c r="M1190" s="1059"/>
      <c r="N1190" s="1055"/>
      <c r="O1190" s="458"/>
      <c r="P1190" s="459"/>
      <c r="Q1190" s="458"/>
    </row>
    <row r="1191" spans="1:17" x14ac:dyDescent="0.2">
      <c r="A1191" s="418">
        <v>6</v>
      </c>
      <c r="B1191" s="460" t="s">
        <v>1729</v>
      </c>
      <c r="C1191" s="460" t="s">
        <v>1730</v>
      </c>
      <c r="D1191" s="429" t="s">
        <v>366</v>
      </c>
      <c r="E1191" s="430"/>
      <c r="F1191" s="430"/>
      <c r="G1191" s="430"/>
      <c r="H1191" s="430"/>
      <c r="I1191" s="430"/>
      <c r="J1191" s="430"/>
      <c r="K1191" s="887"/>
      <c r="L1191" s="1005"/>
      <c r="M1191" s="467"/>
      <c r="N1191" s="1205"/>
      <c r="O1191" s="1206"/>
      <c r="P1191" s="1215"/>
      <c r="Q1191" s="1206"/>
    </row>
    <row r="1192" spans="1:17" x14ac:dyDescent="0.2">
      <c r="A1192" s="418">
        <v>6</v>
      </c>
      <c r="B1192" s="538"/>
      <c r="C1192" s="538"/>
      <c r="D1192" s="539"/>
      <c r="E1192" s="540"/>
      <c r="F1192" s="541"/>
      <c r="G1192" s="530" t="s">
        <v>9</v>
      </c>
      <c r="H1192" s="531"/>
      <c r="I1192" s="532">
        <f>I1193</f>
        <v>100</v>
      </c>
      <c r="J1192" s="532">
        <f t="shared" ref="J1192:L1192" si="238">J1193</f>
        <v>120</v>
      </c>
      <c r="K1192" s="974">
        <f t="shared" si="238"/>
        <v>120</v>
      </c>
      <c r="L1192" s="1030">
        <f t="shared" si="238"/>
        <v>120</v>
      </c>
      <c r="M1192" s="467"/>
      <c r="N1192" s="1205"/>
      <c r="O1192" s="1206"/>
      <c r="P1192" s="1215"/>
      <c r="Q1192" s="1206"/>
    </row>
    <row r="1193" spans="1:17" ht="22.5" x14ac:dyDescent="0.2">
      <c r="A1193" s="418">
        <v>6</v>
      </c>
      <c r="B1193" s="451"/>
      <c r="C1193" s="451" t="s">
        <v>1731</v>
      </c>
      <c r="D1193" s="435" t="s">
        <v>367</v>
      </c>
      <c r="E1193" s="550">
        <v>18</v>
      </c>
      <c r="F1193" s="465" t="s">
        <v>368</v>
      </c>
      <c r="G1193" s="521" t="s">
        <v>9</v>
      </c>
      <c r="H1193" s="443">
        <v>100</v>
      </c>
      <c r="I1193" s="1162">
        <v>100</v>
      </c>
      <c r="J1193" s="551">
        <v>120</v>
      </c>
      <c r="K1193" s="938">
        <v>120</v>
      </c>
      <c r="L1193" s="1034">
        <v>120</v>
      </c>
      <c r="M1193" s="467" t="s">
        <v>796</v>
      </c>
      <c r="N1193" s="1202" t="s">
        <v>1732</v>
      </c>
      <c r="O1193" s="1280" t="s">
        <v>2375</v>
      </c>
      <c r="P1193" s="1279">
        <v>25</v>
      </c>
      <c r="Q1193" s="1203"/>
    </row>
    <row r="1194" spans="1:17" x14ac:dyDescent="0.2">
      <c r="A1194" s="418">
        <v>6</v>
      </c>
      <c r="B1194" s="460" t="s">
        <v>1729</v>
      </c>
      <c r="C1194" s="460" t="s">
        <v>1729</v>
      </c>
      <c r="D1194" s="429" t="s">
        <v>1497</v>
      </c>
      <c r="E1194" s="430"/>
      <c r="F1194" s="430"/>
      <c r="G1194" s="430"/>
      <c r="H1194" s="430"/>
      <c r="I1194" s="430"/>
      <c r="J1194" s="430"/>
      <c r="K1194" s="887"/>
      <c r="L1194" s="1005"/>
      <c r="M1194" s="467"/>
      <c r="N1194" s="1205"/>
      <c r="O1194" s="1206"/>
      <c r="P1194" s="1215"/>
      <c r="Q1194" s="1206"/>
    </row>
    <row r="1195" spans="1:17" x14ac:dyDescent="0.2">
      <c r="A1195" s="418">
        <v>6</v>
      </c>
      <c r="B1195" s="818"/>
      <c r="C1195" s="818"/>
      <c r="D1195" s="545"/>
      <c r="E1195" s="550"/>
      <c r="F1195" s="521"/>
      <c r="G1195" s="537" t="s">
        <v>289</v>
      </c>
      <c r="H1195" s="531"/>
      <c r="I1195" s="532">
        <f>I1198</f>
        <v>300</v>
      </c>
      <c r="J1195" s="532">
        <f t="shared" ref="J1195:L1195" si="239">J1198</f>
        <v>0</v>
      </c>
      <c r="K1195" s="978">
        <f t="shared" si="239"/>
        <v>0</v>
      </c>
      <c r="L1195" s="1035">
        <f t="shared" si="239"/>
        <v>0</v>
      </c>
      <c r="M1195" s="467"/>
      <c r="N1195" s="1205"/>
      <c r="O1195" s="1206"/>
      <c r="P1195" s="1215"/>
      <c r="Q1195" s="1206"/>
    </row>
    <row r="1196" spans="1:17" x14ac:dyDescent="0.2">
      <c r="A1196" s="418">
        <v>6</v>
      </c>
      <c r="B1196" s="818"/>
      <c r="C1196" s="818"/>
      <c r="D1196" s="545"/>
      <c r="E1196" s="550"/>
      <c r="F1196" s="521"/>
      <c r="G1196" s="537" t="s">
        <v>9</v>
      </c>
      <c r="H1196" s="531"/>
      <c r="I1196" s="532">
        <f>I1197+I1199+I1200</f>
        <v>602.9</v>
      </c>
      <c r="J1196" s="532">
        <f t="shared" ref="J1196:L1196" si="240">J1197+J1199+J1200</f>
        <v>1476</v>
      </c>
      <c r="K1196" s="974">
        <f t="shared" si="240"/>
        <v>1566</v>
      </c>
      <c r="L1196" s="1030">
        <f t="shared" si="240"/>
        <v>1566</v>
      </c>
      <c r="M1196" s="467"/>
      <c r="N1196" s="1205"/>
      <c r="O1196" s="1206"/>
      <c r="P1196" s="1215"/>
      <c r="Q1196" s="1206"/>
    </row>
    <row r="1197" spans="1:17" ht="22.5" x14ac:dyDescent="0.2">
      <c r="A1197" s="418">
        <v>6</v>
      </c>
      <c r="B1197" s="451"/>
      <c r="C1197" s="451" t="s">
        <v>1733</v>
      </c>
      <c r="D1197" s="552" t="s">
        <v>369</v>
      </c>
      <c r="E1197" s="548">
        <v>9</v>
      </c>
      <c r="F1197" s="549" t="s">
        <v>370</v>
      </c>
      <c r="G1197" s="521" t="s">
        <v>9</v>
      </c>
      <c r="H1197" s="443">
        <f>150+75+65+5</f>
        <v>295</v>
      </c>
      <c r="I1197" s="1153">
        <v>598.9</v>
      </c>
      <c r="J1197" s="470">
        <f>1200+200</f>
        <v>1400</v>
      </c>
      <c r="K1197" s="959">
        <v>1500</v>
      </c>
      <c r="L1197" s="1023">
        <v>1500</v>
      </c>
      <c r="M1197" s="467" t="s">
        <v>782</v>
      </c>
      <c r="N1197" s="1202" t="s">
        <v>804</v>
      </c>
      <c r="O1197" s="1203" t="s">
        <v>2376</v>
      </c>
      <c r="P1197" s="1279">
        <v>100</v>
      </c>
      <c r="Q1197" s="1203"/>
    </row>
    <row r="1198" spans="1:17" x14ac:dyDescent="0.2">
      <c r="A1198" s="418">
        <v>6</v>
      </c>
      <c r="B1198" s="451"/>
      <c r="C1198" s="451"/>
      <c r="D1198" s="552"/>
      <c r="E1198" s="548">
        <v>9</v>
      </c>
      <c r="F1198" s="549" t="s">
        <v>370</v>
      </c>
      <c r="G1198" s="521" t="s">
        <v>289</v>
      </c>
      <c r="H1198" s="446">
        <v>0</v>
      </c>
      <c r="I1198" s="445">
        <v>300</v>
      </c>
      <c r="J1198" s="444"/>
      <c r="K1198" s="959"/>
      <c r="L1198" s="1023"/>
      <c r="M1198" s="467" t="s">
        <v>782</v>
      </c>
      <c r="N1198" s="1202"/>
      <c r="O1198" s="1203"/>
      <c r="P1198" s="1213"/>
      <c r="Q1198" s="1203"/>
    </row>
    <row r="1199" spans="1:17" ht="22.5" x14ac:dyDescent="0.2">
      <c r="A1199" s="418">
        <v>6</v>
      </c>
      <c r="B1199" s="451"/>
      <c r="C1199" s="451" t="s">
        <v>1734</v>
      </c>
      <c r="D1199" s="552" t="s">
        <v>371</v>
      </c>
      <c r="E1199" s="548">
        <v>9</v>
      </c>
      <c r="F1199" s="549" t="s">
        <v>372</v>
      </c>
      <c r="G1199" s="521" t="s">
        <v>9</v>
      </c>
      <c r="H1199" s="443">
        <v>3.1</v>
      </c>
      <c r="I1199" s="1153">
        <v>4</v>
      </c>
      <c r="J1199" s="470">
        <v>6</v>
      </c>
      <c r="K1199" s="959">
        <v>6</v>
      </c>
      <c r="L1199" s="1023">
        <v>6</v>
      </c>
      <c r="M1199" s="467" t="s">
        <v>782</v>
      </c>
      <c r="N1199" s="1202" t="s">
        <v>804</v>
      </c>
      <c r="O1199" s="1203" t="s">
        <v>1735</v>
      </c>
      <c r="P1199" s="1279">
        <v>15</v>
      </c>
      <c r="Q1199" s="1203"/>
    </row>
    <row r="1200" spans="1:17" x14ac:dyDescent="0.2">
      <c r="A1200" s="418">
        <v>6</v>
      </c>
      <c r="B1200" s="451"/>
      <c r="C1200" s="451" t="s">
        <v>1736</v>
      </c>
      <c r="D1200" s="552" t="s">
        <v>373</v>
      </c>
      <c r="E1200" s="548">
        <v>9</v>
      </c>
      <c r="F1200" s="549" t="s">
        <v>374</v>
      </c>
      <c r="G1200" s="521" t="s">
        <v>9</v>
      </c>
      <c r="H1200" s="443">
        <v>134.4</v>
      </c>
      <c r="I1200" s="1153"/>
      <c r="J1200" s="470">
        <v>70</v>
      </c>
      <c r="K1200" s="959">
        <v>60</v>
      </c>
      <c r="L1200" s="1023">
        <v>60</v>
      </c>
      <c r="M1200" s="467" t="s">
        <v>796</v>
      </c>
      <c r="N1200" s="1202" t="s">
        <v>864</v>
      </c>
      <c r="O1200" s="1203" t="s">
        <v>2377</v>
      </c>
      <c r="P1200" s="1279">
        <v>2</v>
      </c>
      <c r="Q1200" s="1203" t="s">
        <v>799</v>
      </c>
    </row>
    <row r="1201" spans="1:17" ht="22.5" x14ac:dyDescent="0.2">
      <c r="A1201" s="418">
        <v>6</v>
      </c>
      <c r="B1201" s="460" t="s">
        <v>1737</v>
      </c>
      <c r="C1201" s="460" t="s">
        <v>1737</v>
      </c>
      <c r="D1201" s="429" t="s">
        <v>387</v>
      </c>
      <c r="E1201" s="430"/>
      <c r="F1201" s="430"/>
      <c r="G1201" s="430"/>
      <c r="H1201" s="430"/>
      <c r="I1201" s="430"/>
      <c r="J1201" s="430"/>
      <c r="K1201" s="887"/>
      <c r="L1201" s="1005"/>
      <c r="M1201" s="467"/>
      <c r="N1201" s="1205" t="s">
        <v>1703</v>
      </c>
      <c r="O1201" s="1208"/>
      <c r="P1201" s="1281"/>
      <c r="Q1201" s="1206"/>
    </row>
    <row r="1202" spans="1:17" x14ac:dyDescent="0.2">
      <c r="A1202" s="418">
        <v>6</v>
      </c>
      <c r="B1202" s="451"/>
      <c r="C1202" s="451"/>
      <c r="D1202" s="435"/>
      <c r="E1202" s="550"/>
      <c r="F1202" s="465"/>
      <c r="G1202" s="521" t="s">
        <v>9</v>
      </c>
      <c r="H1202" s="443"/>
      <c r="I1202" s="1162">
        <f>SUM(I1204,I1203,I1205,I1206,I1207,I1208,I1209,I1210,I1211)</f>
        <v>53.4</v>
      </c>
      <c r="J1202" s="551"/>
      <c r="K1202" s="938"/>
      <c r="L1202" s="1034"/>
      <c r="M1202" s="467"/>
      <c r="N1202" s="1205"/>
      <c r="O1202" s="1208"/>
      <c r="P1202" s="1281"/>
      <c r="Q1202" s="1206"/>
    </row>
    <row r="1203" spans="1:17" x14ac:dyDescent="0.2">
      <c r="A1203" s="418">
        <v>6</v>
      </c>
      <c r="B1203" s="451"/>
      <c r="C1203" s="451" t="s">
        <v>1738</v>
      </c>
      <c r="D1203" s="435" t="s">
        <v>388</v>
      </c>
      <c r="E1203" s="548" t="s">
        <v>21</v>
      </c>
      <c r="F1203" s="549" t="s">
        <v>389</v>
      </c>
      <c r="G1203" s="465" t="s">
        <v>9</v>
      </c>
      <c r="H1203" s="446">
        <v>72</v>
      </c>
      <c r="I1203" s="820">
        <v>1.8</v>
      </c>
      <c r="J1203" s="788">
        <v>0</v>
      </c>
      <c r="K1203" s="959">
        <v>0</v>
      </c>
      <c r="L1203" s="1023">
        <v>0</v>
      </c>
      <c r="M1203" s="467" t="s">
        <v>787</v>
      </c>
      <c r="N1203" s="1202"/>
      <c r="O1203" s="1206"/>
      <c r="P1203" s="1261"/>
      <c r="Q1203" s="1203"/>
    </row>
    <row r="1204" spans="1:17" x14ac:dyDescent="0.2">
      <c r="A1204" s="418">
        <v>6</v>
      </c>
      <c r="B1204" s="451"/>
      <c r="C1204" s="451"/>
      <c r="D1204" s="435"/>
      <c r="E1204" s="548" t="s">
        <v>91</v>
      </c>
      <c r="F1204" s="549" t="s">
        <v>389</v>
      </c>
      <c r="G1204" s="465" t="s">
        <v>9</v>
      </c>
      <c r="H1204" s="446">
        <v>38.200000000000003</v>
      </c>
      <c r="I1204" s="820">
        <v>1.2</v>
      </c>
      <c r="J1204" s="788">
        <v>0</v>
      </c>
      <c r="K1204" s="959">
        <v>0</v>
      </c>
      <c r="L1204" s="1023">
        <v>0</v>
      </c>
      <c r="M1204" s="467" t="s">
        <v>787</v>
      </c>
      <c r="N1204" s="1202"/>
      <c r="O1204" s="1203"/>
      <c r="P1204" s="1213"/>
      <c r="Q1204" s="1203"/>
    </row>
    <row r="1205" spans="1:17" x14ac:dyDescent="0.2">
      <c r="A1205" s="418">
        <v>6</v>
      </c>
      <c r="B1205" s="451"/>
      <c r="C1205" s="451"/>
      <c r="D1205" s="435"/>
      <c r="E1205" s="548" t="s">
        <v>6</v>
      </c>
      <c r="F1205" s="549" t="s">
        <v>389</v>
      </c>
      <c r="G1205" s="465" t="s">
        <v>9</v>
      </c>
      <c r="H1205" s="446">
        <v>176</v>
      </c>
      <c r="I1205" s="820">
        <v>3.6</v>
      </c>
      <c r="J1205" s="788">
        <v>0</v>
      </c>
      <c r="K1205" s="959">
        <v>0</v>
      </c>
      <c r="L1205" s="1023">
        <v>0</v>
      </c>
      <c r="M1205" s="467" t="s">
        <v>787</v>
      </c>
      <c r="N1205" s="1202"/>
      <c r="O1205" s="1203"/>
      <c r="P1205" s="1213"/>
      <c r="Q1205" s="1203"/>
    </row>
    <row r="1206" spans="1:17" x14ac:dyDescent="0.2">
      <c r="A1206" s="418">
        <v>6</v>
      </c>
      <c r="B1206" s="451"/>
      <c r="C1206" s="451"/>
      <c r="D1206" s="435"/>
      <c r="E1206" s="548" t="s">
        <v>13</v>
      </c>
      <c r="F1206" s="549" t="s">
        <v>389</v>
      </c>
      <c r="G1206" s="465" t="s">
        <v>9</v>
      </c>
      <c r="H1206" s="446">
        <v>85</v>
      </c>
      <c r="I1206" s="820">
        <v>2.5</v>
      </c>
      <c r="J1206" s="788">
        <v>0</v>
      </c>
      <c r="K1206" s="959">
        <v>0</v>
      </c>
      <c r="L1206" s="1023">
        <v>0</v>
      </c>
      <c r="M1206" s="467" t="s">
        <v>787</v>
      </c>
      <c r="N1206" s="1202"/>
      <c r="O1206" s="1203"/>
      <c r="P1206" s="1213"/>
      <c r="Q1206" s="1203"/>
    </row>
    <row r="1207" spans="1:17" x14ac:dyDescent="0.2">
      <c r="A1207" s="418">
        <v>6</v>
      </c>
      <c r="B1207" s="451"/>
      <c r="C1207" s="451"/>
      <c r="D1207" s="435"/>
      <c r="E1207" s="548" t="s">
        <v>90</v>
      </c>
      <c r="F1207" s="549" t="s">
        <v>389</v>
      </c>
      <c r="G1207" s="465" t="s">
        <v>9</v>
      </c>
      <c r="H1207" s="446">
        <v>56.9</v>
      </c>
      <c r="I1207" s="820">
        <v>1.8</v>
      </c>
      <c r="J1207" s="788">
        <v>0</v>
      </c>
      <c r="K1207" s="959">
        <v>0</v>
      </c>
      <c r="L1207" s="1023">
        <v>0</v>
      </c>
      <c r="M1207" s="467" t="s">
        <v>787</v>
      </c>
      <c r="N1207" s="1202"/>
      <c r="O1207" s="1203"/>
      <c r="P1207" s="1213"/>
      <c r="Q1207" s="1203"/>
    </row>
    <row r="1208" spans="1:17" x14ac:dyDescent="0.2">
      <c r="A1208" s="418">
        <v>6</v>
      </c>
      <c r="B1208" s="451"/>
      <c r="C1208" s="451"/>
      <c r="D1208" s="435"/>
      <c r="E1208" s="548" t="s">
        <v>671</v>
      </c>
      <c r="F1208" s="549" t="s">
        <v>389</v>
      </c>
      <c r="G1208" s="465" t="s">
        <v>9</v>
      </c>
      <c r="H1208" s="446">
        <v>50.9</v>
      </c>
      <c r="I1208" s="820">
        <v>1.5</v>
      </c>
      <c r="J1208" s="788">
        <v>0</v>
      </c>
      <c r="K1208" s="959">
        <v>0</v>
      </c>
      <c r="L1208" s="1023">
        <v>0</v>
      </c>
      <c r="M1208" s="467" t="s">
        <v>787</v>
      </c>
      <c r="N1208" s="1202"/>
      <c r="O1208" s="1203"/>
      <c r="P1208" s="1213"/>
      <c r="Q1208" s="1203"/>
    </row>
    <row r="1209" spans="1:17" x14ac:dyDescent="0.2">
      <c r="A1209" s="418">
        <v>6</v>
      </c>
      <c r="B1209" s="451"/>
      <c r="C1209" s="451"/>
      <c r="D1209" s="435"/>
      <c r="E1209" s="548" t="s">
        <v>34</v>
      </c>
      <c r="F1209" s="549" t="s">
        <v>389</v>
      </c>
      <c r="G1209" s="465" t="s">
        <v>9</v>
      </c>
      <c r="H1209" s="446">
        <v>37.5</v>
      </c>
      <c r="I1209" s="820">
        <v>1.1000000000000001</v>
      </c>
      <c r="J1209" s="788">
        <v>0</v>
      </c>
      <c r="K1209" s="959">
        <v>0</v>
      </c>
      <c r="L1209" s="1023">
        <v>0</v>
      </c>
      <c r="M1209" s="467" t="s">
        <v>787</v>
      </c>
      <c r="N1209" s="1202"/>
      <c r="O1209" s="1203"/>
      <c r="P1209" s="1213"/>
      <c r="Q1209" s="1203"/>
    </row>
    <row r="1210" spans="1:17" x14ac:dyDescent="0.2">
      <c r="A1210" s="418">
        <v>6</v>
      </c>
      <c r="B1210" s="451"/>
      <c r="C1210" s="451"/>
      <c r="D1210" s="435"/>
      <c r="E1210" s="548" t="s">
        <v>33</v>
      </c>
      <c r="F1210" s="549" t="s">
        <v>389</v>
      </c>
      <c r="G1210" s="465" t="s">
        <v>9</v>
      </c>
      <c r="H1210" s="446">
        <v>70.2</v>
      </c>
      <c r="I1210" s="820">
        <v>2.1</v>
      </c>
      <c r="J1210" s="788">
        <v>0</v>
      </c>
      <c r="K1210" s="959">
        <v>0</v>
      </c>
      <c r="L1210" s="1023">
        <v>0</v>
      </c>
      <c r="M1210" s="467" t="s">
        <v>787</v>
      </c>
      <c r="N1210" s="1202"/>
      <c r="O1210" s="1203"/>
      <c r="P1210" s="1213"/>
      <c r="Q1210" s="1203"/>
    </row>
    <row r="1211" spans="1:17" x14ac:dyDescent="0.2">
      <c r="A1211" s="418">
        <v>6</v>
      </c>
      <c r="B1211" s="451"/>
      <c r="C1211" s="451"/>
      <c r="D1211" s="435"/>
      <c r="E1211" s="548">
        <v>21</v>
      </c>
      <c r="F1211" s="549" t="s">
        <v>389</v>
      </c>
      <c r="G1211" s="465" t="s">
        <v>9</v>
      </c>
      <c r="H1211" s="446">
        <v>8.6</v>
      </c>
      <c r="I1211" s="820">
        <v>37.799999999999997</v>
      </c>
      <c r="J1211" s="788">
        <v>0</v>
      </c>
      <c r="K1211" s="959">
        <v>0</v>
      </c>
      <c r="L1211" s="1023">
        <v>0</v>
      </c>
      <c r="M1211" s="467" t="s">
        <v>787</v>
      </c>
      <c r="N1211" s="1202"/>
      <c r="O1211" s="103"/>
      <c r="P1211" s="1279"/>
      <c r="Q1211" s="1203"/>
    </row>
    <row r="1212" spans="1:17" x14ac:dyDescent="0.2">
      <c r="A1212" s="418">
        <v>6</v>
      </c>
      <c r="B1212" s="451"/>
      <c r="C1212" s="451"/>
      <c r="D1212" s="435"/>
      <c r="E1212" s="548" t="s">
        <v>189</v>
      </c>
      <c r="F1212" s="549" t="s">
        <v>389</v>
      </c>
      <c r="G1212" s="465" t="s">
        <v>717</v>
      </c>
      <c r="H1212" s="446"/>
      <c r="I1212" s="1153">
        <v>0.4</v>
      </c>
      <c r="J1212" s="789"/>
      <c r="K1212" s="959"/>
      <c r="L1212" s="1023"/>
      <c r="M1212" s="467" t="s">
        <v>787</v>
      </c>
      <c r="N1212" s="1202"/>
      <c r="O1212" s="1203"/>
      <c r="P1212" s="1213"/>
      <c r="Q1212" s="1203"/>
    </row>
    <row r="1213" spans="1:17" x14ac:dyDescent="0.2">
      <c r="A1213" s="418">
        <v>6</v>
      </c>
      <c r="B1213" s="451"/>
      <c r="C1213" s="451"/>
      <c r="D1213" s="435"/>
      <c r="E1213" s="1398" t="s">
        <v>220</v>
      </c>
      <c r="F1213" s="549" t="s">
        <v>389</v>
      </c>
      <c r="G1213" s="465" t="s">
        <v>717</v>
      </c>
      <c r="H1213" s="446"/>
      <c r="I1213" s="1153"/>
      <c r="J1213" s="789">
        <f>0.4</f>
        <v>0.4</v>
      </c>
      <c r="K1213" s="959"/>
      <c r="L1213" s="1023"/>
      <c r="M1213" s="467" t="s">
        <v>787</v>
      </c>
      <c r="N1213" s="1202"/>
      <c r="O1213" s="1203"/>
      <c r="P1213" s="1213"/>
      <c r="Q1213" s="1203"/>
    </row>
    <row r="1214" spans="1:17" x14ac:dyDescent="0.2">
      <c r="A1214" s="418">
        <v>6</v>
      </c>
      <c r="B1214" s="451"/>
      <c r="C1214" s="451"/>
      <c r="D1214" s="435"/>
      <c r="E1214" s="1398" t="s">
        <v>19</v>
      </c>
      <c r="F1214" s="549" t="s">
        <v>389</v>
      </c>
      <c r="G1214" s="465" t="s">
        <v>717</v>
      </c>
      <c r="H1214" s="446"/>
      <c r="I1214" s="1153"/>
      <c r="J1214" s="789">
        <v>0.4</v>
      </c>
      <c r="K1214" s="959"/>
      <c r="L1214" s="1023"/>
      <c r="M1214" s="467" t="s">
        <v>787</v>
      </c>
      <c r="N1214" s="1202"/>
      <c r="O1214" s="1203"/>
      <c r="P1214" s="1213"/>
      <c r="Q1214" s="1203"/>
    </row>
    <row r="1215" spans="1:17" x14ac:dyDescent="0.2">
      <c r="A1215" s="418">
        <v>6</v>
      </c>
      <c r="B1215" s="451"/>
      <c r="C1215" s="451"/>
      <c r="D1215" s="435"/>
      <c r="E1215" s="548"/>
      <c r="F1215" s="549" t="s">
        <v>389</v>
      </c>
      <c r="G1215" s="417" t="s">
        <v>608</v>
      </c>
      <c r="H1215" s="466">
        <f>SUM(H1203:H1211)</f>
        <v>595.30000000000007</v>
      </c>
      <c r="I1215" s="1153">
        <f>SUM(I1203:I1212)</f>
        <v>53.8</v>
      </c>
      <c r="J1215" s="789">
        <f>SUM(J1203:J1214)</f>
        <v>0.8</v>
      </c>
      <c r="K1215" s="1153">
        <f t="shared" ref="K1215:L1215" si="241">SUM(K1203:K1214)</f>
        <v>0</v>
      </c>
      <c r="L1215" s="1153">
        <f t="shared" si="241"/>
        <v>0</v>
      </c>
      <c r="M1215" s="467" t="s">
        <v>787</v>
      </c>
      <c r="N1215" s="1205"/>
      <c r="O1215" s="1206"/>
      <c r="P1215" s="1215"/>
      <c r="Q1215" s="1206"/>
    </row>
    <row r="1216" spans="1:17" x14ac:dyDescent="0.2">
      <c r="A1216" s="418">
        <v>6</v>
      </c>
      <c r="B1216" s="142" t="s">
        <v>2458</v>
      </c>
      <c r="C1216" s="142" t="s">
        <v>2458</v>
      </c>
      <c r="D1216" s="1063" t="s">
        <v>2459</v>
      </c>
      <c r="E1216" s="430"/>
      <c r="F1216" s="430"/>
      <c r="G1216" s="430"/>
      <c r="H1216" s="430"/>
      <c r="I1216" s="1387"/>
      <c r="J1216" s="1387"/>
      <c r="K1216" s="1387"/>
      <c r="L1216" s="1387"/>
      <c r="M1216" s="467"/>
      <c r="N1216" s="1370"/>
      <c r="O1216" s="1375"/>
      <c r="P1216" s="1215"/>
      <c r="Q1216" s="1374"/>
    </row>
    <row r="1217" spans="1:17" x14ac:dyDescent="0.2">
      <c r="A1217" s="418">
        <v>6</v>
      </c>
      <c r="B1217" s="1388"/>
      <c r="C1217" s="1388"/>
      <c r="D1217" s="1390"/>
      <c r="E1217" s="1373"/>
      <c r="F1217" s="1372"/>
      <c r="G1217" s="1383" t="s">
        <v>9</v>
      </c>
      <c r="H1217" s="1382"/>
      <c r="I1217" s="1381">
        <f>SUM(I1221,I1224,I1227,I1229,I1222)</f>
        <v>0</v>
      </c>
      <c r="J1217" s="1381">
        <f t="shared" ref="J1217:L1217" si="242">SUM(J1221,J1224,J1227,J1229,J1222)</f>
        <v>75</v>
      </c>
      <c r="K1217" s="1381">
        <f t="shared" si="242"/>
        <v>350.6</v>
      </c>
      <c r="L1217" s="1381">
        <f t="shared" si="242"/>
        <v>290</v>
      </c>
      <c r="M1217" s="467"/>
      <c r="N1217" s="1370"/>
      <c r="O1217" s="1375"/>
      <c r="P1217" s="1215"/>
      <c r="Q1217" s="1374"/>
    </row>
    <row r="1218" spans="1:17" x14ac:dyDescent="0.2">
      <c r="A1218" s="418">
        <v>6</v>
      </c>
      <c r="B1218" s="1388"/>
      <c r="C1218" s="1388"/>
      <c r="D1218" s="1390"/>
      <c r="E1218" s="1373"/>
      <c r="F1218" s="1372"/>
      <c r="G1218" s="1376" t="s">
        <v>58</v>
      </c>
      <c r="H1218" s="1382"/>
      <c r="I1218" s="1381">
        <f>SUM(I1225)</f>
        <v>0</v>
      </c>
      <c r="J1218" s="1381">
        <f t="shared" ref="J1218:L1218" si="243">SUM(J1225)</f>
        <v>170.3</v>
      </c>
      <c r="K1218" s="1381">
        <f t="shared" si="243"/>
        <v>813.5</v>
      </c>
      <c r="L1218" s="1381">
        <f t="shared" si="243"/>
        <v>0</v>
      </c>
      <c r="M1218" s="467"/>
      <c r="N1218" s="1370"/>
      <c r="O1218" s="1375"/>
      <c r="P1218" s="1215"/>
      <c r="Q1218" s="1374"/>
    </row>
    <row r="1219" spans="1:17" x14ac:dyDescent="0.2">
      <c r="A1219" s="418">
        <v>6</v>
      </c>
      <c r="B1219" s="1388"/>
      <c r="C1219" s="1388"/>
      <c r="D1219" s="1390"/>
      <c r="E1219" s="1373"/>
      <c r="F1219" s="1372"/>
      <c r="G1219" s="1376" t="s">
        <v>99</v>
      </c>
      <c r="H1219" s="1382"/>
      <c r="I1219" s="1381">
        <f>SUM(I1231)</f>
        <v>0</v>
      </c>
      <c r="J1219" s="1381">
        <f t="shared" ref="J1219:L1219" si="244">SUM(J1231)</f>
        <v>90</v>
      </c>
      <c r="K1219" s="1381">
        <f t="shared" si="244"/>
        <v>0</v>
      </c>
      <c r="L1219" s="1381">
        <f t="shared" si="244"/>
        <v>0</v>
      </c>
      <c r="M1219" s="467"/>
      <c r="N1219" s="1370"/>
      <c r="O1219" s="1375"/>
      <c r="P1219" s="1215"/>
      <c r="Q1219" s="1374"/>
    </row>
    <row r="1220" spans="1:17" x14ac:dyDescent="0.2">
      <c r="A1220" s="418">
        <v>6</v>
      </c>
      <c r="B1220" s="1388"/>
      <c r="C1220" s="1388"/>
      <c r="D1220" s="1390"/>
      <c r="E1220" s="1373"/>
      <c r="F1220" s="1372"/>
      <c r="G1220" s="559" t="s">
        <v>608</v>
      </c>
      <c r="H1220" s="559"/>
      <c r="I1220" s="560">
        <f>SUM(I1223,I1226,I1228,I1230)</f>
        <v>0</v>
      </c>
      <c r="J1220" s="1387">
        <f>SUM(J1223,J1226,J1228,J1230,J1232)</f>
        <v>335.3</v>
      </c>
      <c r="K1220" s="1387">
        <f t="shared" ref="K1220:L1220" si="245">SUM(K1223,K1226,K1228,K1230,K1232)</f>
        <v>1164.0999999999999</v>
      </c>
      <c r="L1220" s="1387">
        <f t="shared" si="245"/>
        <v>290</v>
      </c>
      <c r="M1220" s="467"/>
      <c r="N1220" s="1370"/>
      <c r="O1220" s="1375"/>
      <c r="P1220" s="1215"/>
      <c r="Q1220" s="1374"/>
    </row>
    <row r="1221" spans="1:17" ht="33.75" x14ac:dyDescent="0.2">
      <c r="A1221" s="418">
        <v>6</v>
      </c>
      <c r="B1221" s="451"/>
      <c r="C1221" s="1377" t="s">
        <v>2460</v>
      </c>
      <c r="D1221" s="1380" t="s">
        <v>1537</v>
      </c>
      <c r="E1221" s="418">
        <v>9</v>
      </c>
      <c r="F1221" s="836" t="s">
        <v>1538</v>
      </c>
      <c r="G1221" s="462" t="s">
        <v>9</v>
      </c>
      <c r="H1221" s="438"/>
      <c r="I1221" s="1151"/>
      <c r="J1221" s="907">
        <f>70-7.3</f>
        <v>62.7</v>
      </c>
      <c r="K1221" s="941">
        <v>37</v>
      </c>
      <c r="L1221" s="1013"/>
      <c r="M1221" s="467" t="s">
        <v>870</v>
      </c>
      <c r="N1221" s="1216" t="s">
        <v>2358</v>
      </c>
      <c r="O1221" s="1220" t="s">
        <v>2359</v>
      </c>
      <c r="P1221" s="1448">
        <v>100</v>
      </c>
      <c r="Q1221" s="1222" t="s">
        <v>1707</v>
      </c>
    </row>
    <row r="1222" spans="1:17" ht="22.5" x14ac:dyDescent="0.2">
      <c r="A1222" s="418">
        <v>6</v>
      </c>
      <c r="B1222" s="451"/>
      <c r="C1222" s="1377"/>
      <c r="D1222" s="1380"/>
      <c r="E1222" s="418">
        <v>23</v>
      </c>
      <c r="F1222" s="1447" t="s">
        <v>2544</v>
      </c>
      <c r="G1222" s="63" t="s">
        <v>9</v>
      </c>
      <c r="H1222" s="438"/>
      <c r="I1222" s="1151"/>
      <c r="J1222" s="907">
        <f>7.3</f>
        <v>7.3</v>
      </c>
      <c r="K1222" s="941"/>
      <c r="L1222" s="1013"/>
      <c r="M1222" s="192" t="s">
        <v>870</v>
      </c>
      <c r="N1222" s="1246" t="s">
        <v>698</v>
      </c>
      <c r="O1222" s="1220" t="s">
        <v>2545</v>
      </c>
      <c r="P1222" s="1209">
        <v>1</v>
      </c>
      <c r="Q1222" s="1222" t="s">
        <v>1707</v>
      </c>
    </row>
    <row r="1223" spans="1:17" x14ac:dyDescent="0.2">
      <c r="A1223" s="418">
        <v>6</v>
      </c>
      <c r="B1223" s="451"/>
      <c r="C1223" s="451"/>
      <c r="D1223" s="435"/>
      <c r="E1223" s="442"/>
      <c r="F1223" s="541"/>
      <c r="G1223" s="447" t="s">
        <v>608</v>
      </c>
      <c r="H1223" s="448">
        <f>SUM(H1216:H1221)</f>
        <v>0</v>
      </c>
      <c r="I1223" s="448">
        <f>SUM(I1221,I1222)</f>
        <v>0</v>
      </c>
      <c r="J1223" s="448">
        <f t="shared" ref="J1223:L1223" si="246">SUM(J1221,J1222)</f>
        <v>70</v>
      </c>
      <c r="K1223" s="448">
        <f t="shared" si="246"/>
        <v>37</v>
      </c>
      <c r="L1223" s="448">
        <f t="shared" si="246"/>
        <v>0</v>
      </c>
      <c r="M1223" s="467"/>
      <c r="N1223" s="1370"/>
      <c r="O1223" s="1206"/>
      <c r="P1223" s="1215"/>
      <c r="Q1223" s="1210"/>
    </row>
    <row r="1224" spans="1:17" ht="45" x14ac:dyDescent="0.2">
      <c r="A1224" s="418">
        <v>6</v>
      </c>
      <c r="B1224" s="451"/>
      <c r="C1224" s="534" t="s">
        <v>2461</v>
      </c>
      <c r="D1224" s="1466" t="s">
        <v>2451</v>
      </c>
      <c r="E1224" s="1409" t="s">
        <v>2452</v>
      </c>
      <c r="F1224" s="1371" t="s">
        <v>2457</v>
      </c>
      <c r="G1224" s="446" t="s">
        <v>9</v>
      </c>
      <c r="H1224" s="443">
        <v>5.5</v>
      </c>
      <c r="I1224" s="445"/>
      <c r="J1224" s="444"/>
      <c r="K1224" s="935">
        <v>173.6</v>
      </c>
      <c r="L1224" s="1008"/>
      <c r="M1224" s="192" t="s">
        <v>870</v>
      </c>
      <c r="N1224" s="1384" t="s">
        <v>2453</v>
      </c>
      <c r="O1224" s="1378" t="s">
        <v>2454</v>
      </c>
      <c r="P1224" s="1389">
        <v>2.6</v>
      </c>
      <c r="Q1224" s="1210"/>
    </row>
    <row r="1225" spans="1:17" ht="45" x14ac:dyDescent="0.2">
      <c r="A1225" s="418">
        <v>6</v>
      </c>
      <c r="B1225" s="451"/>
      <c r="C1225" s="534" t="s">
        <v>2461</v>
      </c>
      <c r="D1225" s="1467"/>
      <c r="E1225" s="1409" t="s">
        <v>2452</v>
      </c>
      <c r="F1225" s="1371" t="s">
        <v>2457</v>
      </c>
      <c r="G1225" s="1371" t="s">
        <v>58</v>
      </c>
      <c r="H1225" s="443">
        <v>48.1</v>
      </c>
      <c r="I1225" s="445"/>
      <c r="J1225" s="444">
        <f>170.3</f>
        <v>170.3</v>
      </c>
      <c r="K1225" s="936">
        <v>813.5</v>
      </c>
      <c r="L1225" s="1009"/>
      <c r="M1225" s="192" t="s">
        <v>870</v>
      </c>
      <c r="N1225" s="1384" t="s">
        <v>2453</v>
      </c>
      <c r="O1225" s="1378" t="s">
        <v>2455</v>
      </c>
      <c r="P1225" s="1386">
        <v>0.8</v>
      </c>
      <c r="Q1225" s="1210"/>
    </row>
    <row r="1226" spans="1:17" ht="78.75" x14ac:dyDescent="0.2">
      <c r="A1226" s="418">
        <v>6</v>
      </c>
      <c r="B1226" s="451"/>
      <c r="C1226" s="433"/>
      <c r="D1226" s="435"/>
      <c r="E1226" s="442"/>
      <c r="F1226" s="541"/>
      <c r="G1226" s="447" t="s">
        <v>608</v>
      </c>
      <c r="H1226" s="448">
        <f>SUM(H1224:H1225)</f>
        <v>53.6</v>
      </c>
      <c r="I1226" s="448">
        <f>SUM(I1224:I1225)</f>
        <v>0</v>
      </c>
      <c r="J1226" s="448">
        <f>SUM(J1224:J1225)</f>
        <v>170.3</v>
      </c>
      <c r="K1226" s="937">
        <f>SUM(K1224:K1225)</f>
        <v>987.1</v>
      </c>
      <c r="L1226" s="1010">
        <f>SUM(L1224:L1225)</f>
        <v>0</v>
      </c>
      <c r="M1226" s="467"/>
      <c r="N1226" s="1384" t="s">
        <v>2453</v>
      </c>
      <c r="O1226" s="1378" t="s">
        <v>2456</v>
      </c>
      <c r="P1226" s="1450">
        <v>1</v>
      </c>
      <c r="Q1226" s="1210"/>
    </row>
    <row r="1227" spans="1:17" ht="22.5" x14ac:dyDescent="0.2">
      <c r="A1227" s="418">
        <v>6</v>
      </c>
      <c r="B1227" s="433"/>
      <c r="C1227" s="534" t="s">
        <v>2462</v>
      </c>
      <c r="D1227" s="1280" t="s">
        <v>2449</v>
      </c>
      <c r="E1227" s="418">
        <v>9</v>
      </c>
      <c r="F1227" s="1371" t="s">
        <v>2467</v>
      </c>
      <c r="G1227" s="1371" t="s">
        <v>9</v>
      </c>
      <c r="H1227" s="443">
        <v>208.9</v>
      </c>
      <c r="I1227" s="445"/>
      <c r="J1227" s="444"/>
      <c r="K1227" s="936">
        <v>60</v>
      </c>
      <c r="L1227" s="1009">
        <v>120</v>
      </c>
      <c r="M1227" s="192" t="s">
        <v>796</v>
      </c>
      <c r="N1227" s="1379" t="s">
        <v>2358</v>
      </c>
      <c r="O1227" s="1378" t="s">
        <v>2450</v>
      </c>
      <c r="P1227" s="1215"/>
      <c r="Q1227" s="1210"/>
    </row>
    <row r="1228" spans="1:17" x14ac:dyDescent="0.2">
      <c r="A1228" s="418">
        <v>6</v>
      </c>
      <c r="B1228" s="433"/>
      <c r="C1228" s="433"/>
      <c r="D1228" s="435"/>
      <c r="E1228" s="442"/>
      <c r="F1228" s="445"/>
      <c r="G1228" s="447" t="s">
        <v>608</v>
      </c>
      <c r="H1228" s="448">
        <f>SUM(H1226:H1227)</f>
        <v>262.5</v>
      </c>
      <c r="I1228" s="448">
        <f>SUM(I1227)</f>
        <v>0</v>
      </c>
      <c r="J1228" s="448">
        <f t="shared" ref="J1228:L1228" si="247">SUM(J1227)</f>
        <v>0</v>
      </c>
      <c r="K1228" s="448">
        <f t="shared" si="247"/>
        <v>60</v>
      </c>
      <c r="L1228" s="448">
        <f t="shared" si="247"/>
        <v>120</v>
      </c>
      <c r="M1228" s="467"/>
      <c r="N1228" s="1370"/>
      <c r="O1228" s="1206"/>
      <c r="P1228" s="1215"/>
      <c r="Q1228" s="1210"/>
    </row>
    <row r="1229" spans="1:17" ht="45" x14ac:dyDescent="0.2">
      <c r="A1229" s="418">
        <v>6</v>
      </c>
      <c r="B1229" s="433"/>
      <c r="C1229" s="534" t="s">
        <v>2463</v>
      </c>
      <c r="D1229" s="1280" t="s">
        <v>2547</v>
      </c>
      <c r="E1229" s="418">
        <v>9</v>
      </c>
      <c r="F1229" s="1371" t="s">
        <v>2468</v>
      </c>
      <c r="G1229" s="1371" t="s">
        <v>9</v>
      </c>
      <c r="H1229" s="443">
        <v>208.9</v>
      </c>
      <c r="I1229" s="445"/>
      <c r="J1229" s="444">
        <v>5</v>
      </c>
      <c r="K1229" s="936">
        <v>80</v>
      </c>
      <c r="L1229" s="1009">
        <v>170</v>
      </c>
      <c r="M1229" s="192" t="s">
        <v>796</v>
      </c>
      <c r="N1229" s="1379" t="s">
        <v>1049</v>
      </c>
      <c r="O1229" s="1449" t="s">
        <v>2548</v>
      </c>
      <c r="P1229" s="1261">
        <v>1</v>
      </c>
      <c r="Q1229" s="1210"/>
    </row>
    <row r="1230" spans="1:17" x14ac:dyDescent="0.2">
      <c r="A1230" s="418">
        <v>6</v>
      </c>
      <c r="B1230" s="433"/>
      <c r="C1230" s="433"/>
      <c r="D1230" s="435"/>
      <c r="E1230" s="442"/>
      <c r="F1230" s="541"/>
      <c r="G1230" s="447" t="s">
        <v>608</v>
      </c>
      <c r="H1230" s="448">
        <f>SUM(H1228:H1229)</f>
        <v>471.4</v>
      </c>
      <c r="I1230" s="448">
        <f>SUM(I1229)</f>
        <v>0</v>
      </c>
      <c r="J1230" s="448">
        <f t="shared" ref="J1230:L1232" si="248">SUM(J1229)</f>
        <v>5</v>
      </c>
      <c r="K1230" s="448">
        <f t="shared" si="248"/>
        <v>80</v>
      </c>
      <c r="L1230" s="448">
        <f t="shared" si="248"/>
        <v>170</v>
      </c>
      <c r="M1230" s="467"/>
      <c r="N1230" s="1370"/>
      <c r="O1230" s="1206"/>
      <c r="P1230" s="1215"/>
      <c r="Q1230" s="1210"/>
    </row>
    <row r="1231" spans="1:17" ht="45" x14ac:dyDescent="0.2">
      <c r="A1231" s="418">
        <v>6</v>
      </c>
      <c r="B1231" s="433"/>
      <c r="C1231" s="534" t="s">
        <v>2472</v>
      </c>
      <c r="D1231" s="1280" t="s">
        <v>2473</v>
      </c>
      <c r="E1231" s="442">
        <v>9</v>
      </c>
      <c r="F1231" s="1385" t="s">
        <v>2475</v>
      </c>
      <c r="G1231" s="411" t="s">
        <v>99</v>
      </c>
      <c r="H1231" s="443"/>
      <c r="I1231" s="445"/>
      <c r="J1231" s="444">
        <v>90</v>
      </c>
      <c r="K1231" s="936"/>
      <c r="L1231" s="1009"/>
      <c r="M1231" s="192" t="s">
        <v>787</v>
      </c>
      <c r="N1231" s="1379" t="s">
        <v>1049</v>
      </c>
      <c r="O1231" s="1407" t="s">
        <v>2474</v>
      </c>
      <c r="P1231" s="1215">
        <v>100</v>
      </c>
      <c r="Q1231" s="1408" t="s">
        <v>889</v>
      </c>
    </row>
    <row r="1232" spans="1:17" x14ac:dyDescent="0.2">
      <c r="A1232" s="418">
        <v>6</v>
      </c>
      <c r="B1232" s="433"/>
      <c r="C1232" s="433"/>
      <c r="D1232" s="435"/>
      <c r="E1232" s="442"/>
      <c r="F1232" s="541"/>
      <c r="G1232" s="447" t="s">
        <v>608</v>
      </c>
      <c r="H1232" s="1405"/>
      <c r="I1232" s="1405">
        <f>SUM(I1231)</f>
        <v>0</v>
      </c>
      <c r="J1232" s="1405">
        <f t="shared" si="248"/>
        <v>90</v>
      </c>
      <c r="K1232" s="1405">
        <f t="shared" si="248"/>
        <v>0</v>
      </c>
      <c r="L1232" s="1406">
        <f t="shared" si="248"/>
        <v>0</v>
      </c>
      <c r="M1232" s="467"/>
      <c r="N1232" s="1370"/>
      <c r="O1232" s="1206"/>
      <c r="P1232" s="1215"/>
      <c r="Q1232" s="1210"/>
    </row>
    <row r="1233" spans="1:17" ht="33.75" x14ac:dyDescent="0.2">
      <c r="A1233" s="418">
        <v>6</v>
      </c>
      <c r="B1233" s="419"/>
      <c r="C1233" s="419"/>
      <c r="D1233" s="554" t="s">
        <v>1739</v>
      </c>
      <c r="E1233" s="454"/>
      <c r="F1233" s="455"/>
      <c r="G1233" s="555"/>
      <c r="H1233" s="556"/>
      <c r="I1233" s="557"/>
      <c r="J1233" s="557"/>
      <c r="K1233" s="979"/>
      <c r="L1233" s="1036"/>
      <c r="M1233" s="1059"/>
      <c r="N1233" s="1057"/>
      <c r="O1233" s="458"/>
      <c r="P1233" s="459"/>
      <c r="Q1233" s="864"/>
    </row>
    <row r="1234" spans="1:17" ht="22.5" x14ac:dyDescent="0.2">
      <c r="A1234" s="418">
        <v>6</v>
      </c>
      <c r="B1234" s="460" t="s">
        <v>1740</v>
      </c>
      <c r="C1234" s="460" t="s">
        <v>1740</v>
      </c>
      <c r="D1234" s="1063" t="s">
        <v>2256</v>
      </c>
      <c r="E1234" s="430"/>
      <c r="F1234" s="430"/>
      <c r="G1234" s="430"/>
      <c r="H1234" s="430"/>
      <c r="I1234" s="430"/>
      <c r="J1234" s="430"/>
      <c r="K1234" s="887"/>
      <c r="L1234" s="1005"/>
      <c r="M1234" s="563"/>
      <c r="N1234" s="1282"/>
      <c r="O1234" s="659"/>
      <c r="P1234" s="1283"/>
      <c r="Q1234" s="758"/>
    </row>
    <row r="1235" spans="1:17" x14ac:dyDescent="0.2">
      <c r="A1235" s="418">
        <v>6</v>
      </c>
      <c r="B1235" s="819"/>
      <c r="C1235" s="819"/>
      <c r="D1235" s="610"/>
      <c r="E1235" s="820"/>
      <c r="F1235" s="821"/>
      <c r="G1235" s="558" t="s">
        <v>9</v>
      </c>
      <c r="H1235" s="559"/>
      <c r="I1235" s="560">
        <f>I1248+I1250+I1251+I1253+I1254+I1255+I1256+I1246</f>
        <v>0</v>
      </c>
      <c r="J1235" s="560">
        <f>J1248+J1250+J1251+J1253+J1254+J1255+J1256+J1246</f>
        <v>54</v>
      </c>
      <c r="K1235" s="980">
        <f t="shared" ref="K1235:L1235" si="249">K1248+K1250+K1251+K1253+K1254+K1255+K1256+K1246</f>
        <v>2371.8000000000002</v>
      </c>
      <c r="L1235" s="1037">
        <f t="shared" si="249"/>
        <v>1058</v>
      </c>
      <c r="M1235" s="563"/>
      <c r="N1235" s="1282"/>
      <c r="O1235" s="1284"/>
      <c r="P1235" s="1283"/>
      <c r="Q1235" s="758"/>
    </row>
    <row r="1236" spans="1:17" x14ac:dyDescent="0.2">
      <c r="A1236" s="418">
        <v>6</v>
      </c>
      <c r="B1236" s="822"/>
      <c r="C1236" s="822"/>
      <c r="D1236" s="610"/>
      <c r="E1236" s="820"/>
      <c r="F1236" s="821"/>
      <c r="G1236" s="561" t="s">
        <v>108</v>
      </c>
      <c r="H1236" s="559"/>
      <c r="I1236" s="560">
        <f>I1241</f>
        <v>0</v>
      </c>
      <c r="J1236" s="560">
        <f>J1241</f>
        <v>390</v>
      </c>
      <c r="K1236" s="980">
        <f t="shared" ref="K1236:L1236" si="250">K1241</f>
        <v>0</v>
      </c>
      <c r="L1236" s="1037">
        <f t="shared" si="250"/>
        <v>0</v>
      </c>
      <c r="M1236" s="563"/>
      <c r="N1236" s="1282"/>
      <c r="O1236" s="659"/>
      <c r="P1236" s="1283"/>
      <c r="Q1236" s="758"/>
    </row>
    <row r="1237" spans="1:17" x14ac:dyDescent="0.2">
      <c r="A1237" s="418">
        <v>6</v>
      </c>
      <c r="B1237" s="822"/>
      <c r="C1237" s="822"/>
      <c r="D1237" s="610"/>
      <c r="E1237" s="820"/>
      <c r="F1237" s="821"/>
      <c r="G1237" s="561" t="s">
        <v>266</v>
      </c>
      <c r="H1237" s="559"/>
      <c r="I1237" s="560">
        <f>I1244</f>
        <v>0</v>
      </c>
      <c r="J1237" s="560">
        <f t="shared" ref="J1237:L1238" si="251">J1244</f>
        <v>0</v>
      </c>
      <c r="K1237" s="980">
        <f t="shared" si="251"/>
        <v>0</v>
      </c>
      <c r="L1237" s="1037">
        <f t="shared" si="251"/>
        <v>0</v>
      </c>
      <c r="M1237" s="563"/>
      <c r="N1237" s="1282"/>
      <c r="O1237" s="659"/>
      <c r="P1237" s="1283"/>
      <c r="Q1237" s="758"/>
    </row>
    <row r="1238" spans="1:17" x14ac:dyDescent="0.2">
      <c r="A1238" s="418">
        <v>6</v>
      </c>
      <c r="B1238" s="822"/>
      <c r="C1238" s="822"/>
      <c r="D1238" s="610"/>
      <c r="E1238" s="820"/>
      <c r="F1238" s="821"/>
      <c r="G1238" s="561" t="s">
        <v>12</v>
      </c>
      <c r="H1238" s="559"/>
      <c r="I1238" s="560">
        <f>I1245</f>
        <v>0</v>
      </c>
      <c r="J1238" s="560">
        <f t="shared" si="251"/>
        <v>81.599999999999994</v>
      </c>
      <c r="K1238" s="560">
        <f t="shared" si="251"/>
        <v>0</v>
      </c>
      <c r="L1238" s="560">
        <f t="shared" si="251"/>
        <v>0</v>
      </c>
      <c r="M1238" s="563"/>
      <c r="N1238" s="1282"/>
      <c r="O1238" s="659"/>
      <c r="P1238" s="1283"/>
      <c r="Q1238" s="758"/>
    </row>
    <row r="1239" spans="1:17" x14ac:dyDescent="0.2">
      <c r="A1239" s="418">
        <v>6</v>
      </c>
      <c r="B1239" s="822"/>
      <c r="C1239" s="822"/>
      <c r="D1239" s="610"/>
      <c r="E1239" s="820"/>
      <c r="F1239" s="821"/>
      <c r="G1239" s="558" t="s">
        <v>99</v>
      </c>
      <c r="H1239" s="559"/>
      <c r="I1239" s="560">
        <f>I1242+I1243+I1247+I1249+I1252+I1257</f>
        <v>33</v>
      </c>
      <c r="J1239" s="560">
        <f t="shared" ref="J1239:L1239" si="252">J1242+J1243+J1247+J1249+J1252+J1257</f>
        <v>1723</v>
      </c>
      <c r="K1239" s="980">
        <f t="shared" si="252"/>
        <v>868.6</v>
      </c>
      <c r="L1239" s="1037">
        <f t="shared" si="252"/>
        <v>242</v>
      </c>
      <c r="M1239" s="563"/>
      <c r="N1239" s="1282"/>
      <c r="O1239" s="659"/>
      <c r="P1239" s="1283"/>
      <c r="Q1239" s="758"/>
    </row>
    <row r="1240" spans="1:17" x14ac:dyDescent="0.2">
      <c r="A1240" s="418">
        <v>6</v>
      </c>
      <c r="B1240" s="822"/>
      <c r="C1240" s="822"/>
      <c r="D1240" s="610"/>
      <c r="E1240" s="820"/>
      <c r="F1240" s="821"/>
      <c r="G1240" s="559" t="s">
        <v>608</v>
      </c>
      <c r="H1240" s="559"/>
      <c r="I1240" s="560">
        <f>SUM(I1235:I1239)</f>
        <v>33</v>
      </c>
      <c r="J1240" s="560">
        <f>SUM(J1235:J1239)</f>
        <v>2248.6</v>
      </c>
      <c r="K1240" s="980">
        <f t="shared" ref="K1240:L1240" si="253">SUM(K1235:K1239)</f>
        <v>3240.4</v>
      </c>
      <c r="L1240" s="1037">
        <f t="shared" si="253"/>
        <v>1300</v>
      </c>
      <c r="M1240" s="563"/>
      <c r="N1240" s="1282"/>
      <c r="O1240" s="659"/>
      <c r="P1240" s="1283"/>
      <c r="Q1240" s="758"/>
    </row>
    <row r="1241" spans="1:17" ht="22.5" x14ac:dyDescent="0.2">
      <c r="A1241" s="418">
        <v>6</v>
      </c>
      <c r="B1241" s="562"/>
      <c r="C1241" s="562" t="s">
        <v>1741</v>
      </c>
      <c r="D1241" s="1468" t="s">
        <v>1742</v>
      </c>
      <c r="E1241" s="563" t="s">
        <v>136</v>
      </c>
      <c r="F1241" s="821" t="s">
        <v>1743</v>
      </c>
      <c r="G1241" s="563" t="s">
        <v>108</v>
      </c>
      <c r="H1241" s="563"/>
      <c r="I1241" s="1163">
        <v>0</v>
      </c>
      <c r="J1241" s="790">
        <v>390</v>
      </c>
      <c r="K1241" s="981">
        <v>0</v>
      </c>
      <c r="L1241" s="1038">
        <v>0</v>
      </c>
      <c r="M1241" s="564"/>
      <c r="N1241" s="1282" t="s">
        <v>1744</v>
      </c>
      <c r="O1241" s="660" t="s">
        <v>1532</v>
      </c>
      <c r="P1241" s="1060">
        <v>70</v>
      </c>
      <c r="Q1241" s="1285" t="s">
        <v>861</v>
      </c>
    </row>
    <row r="1242" spans="1:17" x14ac:dyDescent="0.2">
      <c r="A1242" s="418">
        <v>6</v>
      </c>
      <c r="B1242" s="562"/>
      <c r="C1242" s="562" t="s">
        <v>1741</v>
      </c>
      <c r="D1242" s="1469"/>
      <c r="E1242" s="563" t="s">
        <v>136</v>
      </c>
      <c r="F1242" s="821" t="s">
        <v>1743</v>
      </c>
      <c r="G1242" s="563" t="s">
        <v>99</v>
      </c>
      <c r="H1242" s="563"/>
      <c r="I1242" s="1163">
        <v>0</v>
      </c>
      <c r="J1242" s="790">
        <v>105</v>
      </c>
      <c r="K1242" s="981">
        <v>300</v>
      </c>
      <c r="L1242" s="1039"/>
      <c r="M1242" s="595"/>
      <c r="N1242" s="1242"/>
      <c r="O1242" s="660"/>
      <c r="P1242" s="1060"/>
      <c r="Q1242" s="1286" t="s">
        <v>861</v>
      </c>
    </row>
    <row r="1243" spans="1:17" ht="22.5" x14ac:dyDescent="0.2">
      <c r="A1243" s="418">
        <v>6</v>
      </c>
      <c r="B1243" s="562"/>
      <c r="C1243" s="562" t="s">
        <v>1745</v>
      </c>
      <c r="D1243" s="1470" t="s">
        <v>1746</v>
      </c>
      <c r="E1243" s="564" t="s">
        <v>136</v>
      </c>
      <c r="F1243" s="821" t="s">
        <v>1743</v>
      </c>
      <c r="G1243" s="565" t="s">
        <v>99</v>
      </c>
      <c r="H1243" s="563"/>
      <c r="I1243" s="1163">
        <v>0</v>
      </c>
      <c r="J1243" s="790">
        <v>1504</v>
      </c>
      <c r="K1243" s="982">
        <v>0</v>
      </c>
      <c r="L1243" s="1040">
        <v>0</v>
      </c>
      <c r="M1243" s="564"/>
      <c r="N1243" s="1287" t="s">
        <v>1744</v>
      </c>
      <c r="O1243" s="660" t="s">
        <v>1532</v>
      </c>
      <c r="P1243" s="1060">
        <v>50</v>
      </c>
      <c r="Q1243" s="1286" t="s">
        <v>947</v>
      </c>
    </row>
    <row r="1244" spans="1:17" x14ac:dyDescent="0.2">
      <c r="A1244" s="418">
        <v>6</v>
      </c>
      <c r="B1244" s="562"/>
      <c r="C1244" s="562" t="s">
        <v>1745</v>
      </c>
      <c r="D1244" s="1471"/>
      <c r="E1244" s="902">
        <v>9</v>
      </c>
      <c r="F1244" s="821" t="s">
        <v>1743</v>
      </c>
      <c r="G1244" s="565" t="s">
        <v>266</v>
      </c>
      <c r="H1244" s="563"/>
      <c r="I1244" s="1163">
        <v>0</v>
      </c>
      <c r="J1244" s="790">
        <f>174.105-174.105+137.1-55.5-81.6</f>
        <v>0</v>
      </c>
      <c r="K1244" s="981">
        <v>0</v>
      </c>
      <c r="L1244" s="1040">
        <v>0</v>
      </c>
      <c r="M1244" s="564" t="s">
        <v>870</v>
      </c>
      <c r="N1244" s="1287" t="s">
        <v>1050</v>
      </c>
      <c r="O1244" s="1288" t="s">
        <v>2378</v>
      </c>
      <c r="P1244" s="1060">
        <v>100</v>
      </c>
      <c r="Q1244" s="1286" t="s">
        <v>947</v>
      </c>
    </row>
    <row r="1245" spans="1:17" x14ac:dyDescent="0.2">
      <c r="A1245" s="418">
        <v>6</v>
      </c>
      <c r="B1245" s="566"/>
      <c r="C1245" s="562" t="s">
        <v>1745</v>
      </c>
      <c r="D1245" s="1471"/>
      <c r="E1245" s="902">
        <v>9</v>
      </c>
      <c r="F1245" s="821" t="s">
        <v>1743</v>
      </c>
      <c r="G1245" s="1399" t="s">
        <v>12</v>
      </c>
      <c r="H1245" s="563"/>
      <c r="I1245" s="1163"/>
      <c r="J1245" s="790">
        <f>81.6</f>
        <v>81.599999999999994</v>
      </c>
      <c r="K1245" s="981"/>
      <c r="L1245" s="1041"/>
      <c r="M1245" s="564" t="s">
        <v>870</v>
      </c>
      <c r="N1245" s="1287" t="s">
        <v>1050</v>
      </c>
      <c r="O1245" s="1288" t="s">
        <v>2378</v>
      </c>
      <c r="P1245" s="1060">
        <v>100</v>
      </c>
      <c r="Q1245" s="1286" t="s">
        <v>947</v>
      </c>
    </row>
    <row r="1246" spans="1:17" x14ac:dyDescent="0.2">
      <c r="A1246" s="418">
        <v>6</v>
      </c>
      <c r="B1246" s="566"/>
      <c r="C1246" s="567" t="s">
        <v>1745</v>
      </c>
      <c r="D1246" s="1472"/>
      <c r="E1246" s="903">
        <v>9</v>
      </c>
      <c r="F1246" s="821" t="s">
        <v>1743</v>
      </c>
      <c r="G1246" s="565" t="s">
        <v>9</v>
      </c>
      <c r="H1246" s="563"/>
      <c r="I1246" s="1163">
        <v>0</v>
      </c>
      <c r="J1246" s="790"/>
      <c r="K1246" s="981">
        <f>575.9+174.1-81.6</f>
        <v>668.4</v>
      </c>
      <c r="L1246" s="1041"/>
      <c r="M1246" s="1060" t="s">
        <v>870</v>
      </c>
      <c r="N1246" s="1289"/>
      <c r="O1246" s="1290"/>
      <c r="P1246" s="1291"/>
      <c r="Q1246" s="1286" t="s">
        <v>947</v>
      </c>
    </row>
    <row r="1247" spans="1:17" ht="22.5" x14ac:dyDescent="0.2">
      <c r="A1247" s="418">
        <v>6</v>
      </c>
      <c r="B1247" s="566"/>
      <c r="C1247" s="566" t="s">
        <v>1747</v>
      </c>
      <c r="D1247" s="1454" t="s">
        <v>1748</v>
      </c>
      <c r="E1247" s="568" t="s">
        <v>136</v>
      </c>
      <c r="F1247" s="821" t="s">
        <v>1743</v>
      </c>
      <c r="G1247" s="570" t="s">
        <v>99</v>
      </c>
      <c r="H1247" s="569"/>
      <c r="I1247" s="1164">
        <v>33</v>
      </c>
      <c r="J1247" s="915">
        <v>84</v>
      </c>
      <c r="K1247" s="984">
        <v>105.6</v>
      </c>
      <c r="L1247" s="1041">
        <v>0</v>
      </c>
      <c r="M1247" s="564"/>
      <c r="N1247" s="1289" t="s">
        <v>1744</v>
      </c>
      <c r="O1247" s="1290" t="s">
        <v>1532</v>
      </c>
      <c r="P1247" s="1291">
        <v>20</v>
      </c>
      <c r="Q1247" s="1292" t="s">
        <v>911</v>
      </c>
    </row>
    <row r="1248" spans="1:17" x14ac:dyDescent="0.2">
      <c r="A1248" s="418">
        <v>6</v>
      </c>
      <c r="B1248" s="571"/>
      <c r="C1248" s="572" t="s">
        <v>1747</v>
      </c>
      <c r="D1248" s="1455"/>
      <c r="E1248" s="904">
        <v>9</v>
      </c>
      <c r="F1248" s="821" t="s">
        <v>1743</v>
      </c>
      <c r="G1248" s="575" t="s">
        <v>9</v>
      </c>
      <c r="H1248" s="574"/>
      <c r="I1248" s="1165">
        <v>0</v>
      </c>
      <c r="J1248" s="916">
        <f>216-150-66</f>
        <v>0</v>
      </c>
      <c r="K1248" s="985">
        <f>271.4+150+66</f>
        <v>487.4</v>
      </c>
      <c r="L1248" s="1042">
        <v>0</v>
      </c>
      <c r="M1248" s="1060" t="s">
        <v>870</v>
      </c>
      <c r="N1248" s="1287" t="s">
        <v>1050</v>
      </c>
      <c r="O1248" s="1288" t="s">
        <v>2378</v>
      </c>
      <c r="P1248" s="1293">
        <v>100</v>
      </c>
      <c r="Q1248" s="1294" t="s">
        <v>911</v>
      </c>
    </row>
    <row r="1249" spans="1:17" ht="22.5" x14ac:dyDescent="0.2">
      <c r="A1249" s="418">
        <v>6</v>
      </c>
      <c r="B1249" s="566"/>
      <c r="C1249" s="566" t="s">
        <v>1749</v>
      </c>
      <c r="D1249" s="1456" t="s">
        <v>1750</v>
      </c>
      <c r="E1249" s="568" t="s">
        <v>136</v>
      </c>
      <c r="F1249" s="821" t="s">
        <v>1743</v>
      </c>
      <c r="G1249" s="570" t="s">
        <v>99</v>
      </c>
      <c r="H1249" s="569"/>
      <c r="I1249" s="1164">
        <v>0</v>
      </c>
      <c r="J1249" s="915">
        <v>30</v>
      </c>
      <c r="K1249" s="984">
        <v>50</v>
      </c>
      <c r="L1249" s="1041">
        <v>242</v>
      </c>
      <c r="M1249" s="564"/>
      <c r="N1249" s="1289" t="s">
        <v>1744</v>
      </c>
      <c r="O1249" s="1295" t="s">
        <v>2379</v>
      </c>
      <c r="P1249" s="1291">
        <v>1</v>
      </c>
      <c r="Q1249" s="1292" t="s">
        <v>886</v>
      </c>
    </row>
    <row r="1250" spans="1:17" x14ac:dyDescent="0.2">
      <c r="A1250" s="418">
        <v>6</v>
      </c>
      <c r="B1250" s="576"/>
      <c r="C1250" s="572" t="s">
        <v>1749</v>
      </c>
      <c r="D1250" s="1457"/>
      <c r="E1250" s="905">
        <v>9</v>
      </c>
      <c r="F1250" s="821" t="s">
        <v>1743</v>
      </c>
      <c r="G1250" s="579" t="s">
        <v>9</v>
      </c>
      <c r="H1250" s="578"/>
      <c r="I1250" s="1166">
        <v>0</v>
      </c>
      <c r="J1250" s="917">
        <v>0</v>
      </c>
      <c r="K1250" s="986">
        <v>0</v>
      </c>
      <c r="L1250" s="1043">
        <v>858</v>
      </c>
      <c r="M1250" s="1060" t="s">
        <v>870</v>
      </c>
      <c r="N1250" s="1296"/>
      <c r="O1250" s="1297"/>
      <c r="P1250" s="1298"/>
      <c r="Q1250" s="1297" t="s">
        <v>886</v>
      </c>
    </row>
    <row r="1251" spans="1:17" ht="22.5" x14ac:dyDescent="0.2">
      <c r="A1251" s="418">
        <v>6</v>
      </c>
      <c r="B1251" s="571"/>
      <c r="C1251" s="571" t="s">
        <v>1751</v>
      </c>
      <c r="D1251" s="1458" t="s">
        <v>1752</v>
      </c>
      <c r="E1251" s="574">
        <v>9</v>
      </c>
      <c r="F1251" s="821" t="s">
        <v>1743</v>
      </c>
      <c r="G1251" s="575" t="s">
        <v>9</v>
      </c>
      <c r="H1251" s="574"/>
      <c r="I1251" s="1165"/>
      <c r="J1251" s="916">
        <f>300-274</f>
        <v>26</v>
      </c>
      <c r="K1251" s="985">
        <f>762+274</f>
        <v>1036</v>
      </c>
      <c r="L1251" s="1042">
        <v>0</v>
      </c>
      <c r="M1251" s="564" t="s">
        <v>787</v>
      </c>
      <c r="N1251" s="1282" t="s">
        <v>1753</v>
      </c>
      <c r="O1251" s="759" t="s">
        <v>2380</v>
      </c>
      <c r="P1251" s="1293">
        <v>30</v>
      </c>
      <c r="Q1251" s="58" t="s">
        <v>799</v>
      </c>
    </row>
    <row r="1252" spans="1:17" x14ac:dyDescent="0.2">
      <c r="A1252" s="418">
        <v>6</v>
      </c>
      <c r="B1252" s="571"/>
      <c r="C1252" s="580" t="s">
        <v>1751</v>
      </c>
      <c r="D1252" s="1459"/>
      <c r="E1252" s="577">
        <v>9</v>
      </c>
      <c r="F1252" s="821" t="s">
        <v>1743</v>
      </c>
      <c r="G1252" s="579" t="s">
        <v>99</v>
      </c>
      <c r="H1252" s="578"/>
      <c r="I1252" s="1166">
        <v>0</v>
      </c>
      <c r="J1252" s="917">
        <v>0</v>
      </c>
      <c r="K1252" s="986">
        <v>413</v>
      </c>
      <c r="L1252" s="1043">
        <v>0</v>
      </c>
      <c r="M1252" s="564"/>
      <c r="N1252" s="1296"/>
      <c r="O1252" s="1299" t="s">
        <v>1560</v>
      </c>
      <c r="P1252" s="1298">
        <v>1</v>
      </c>
      <c r="Q1252" s="1300" t="s">
        <v>799</v>
      </c>
    </row>
    <row r="1253" spans="1:17" ht="22.5" x14ac:dyDescent="0.2">
      <c r="A1253" s="418">
        <v>6</v>
      </c>
      <c r="B1253" s="581"/>
      <c r="C1253" s="571" t="s">
        <v>1754</v>
      </c>
      <c r="D1253" s="497" t="s">
        <v>1755</v>
      </c>
      <c r="E1253" s="573">
        <v>9</v>
      </c>
      <c r="F1253" s="821" t="s">
        <v>1743</v>
      </c>
      <c r="G1253" s="575" t="s">
        <v>9</v>
      </c>
      <c r="H1253" s="574"/>
      <c r="I1253" s="1165">
        <v>0</v>
      </c>
      <c r="J1253" s="916">
        <f>70-70</f>
        <v>0</v>
      </c>
      <c r="K1253" s="985">
        <f>30+70</f>
        <v>100</v>
      </c>
      <c r="L1253" s="1042">
        <v>0</v>
      </c>
      <c r="M1253" s="1060" t="s">
        <v>787</v>
      </c>
      <c r="N1253" s="1282" t="s">
        <v>1050</v>
      </c>
      <c r="O1253" s="759" t="s">
        <v>1756</v>
      </c>
      <c r="P1253" s="1298">
        <v>1</v>
      </c>
      <c r="Q1253" s="58" t="s">
        <v>947</v>
      </c>
    </row>
    <row r="1254" spans="1:17" ht="22.5" x14ac:dyDescent="0.2">
      <c r="A1254" s="418">
        <v>6</v>
      </c>
      <c r="B1254" s="581"/>
      <c r="C1254" s="571" t="s">
        <v>1757</v>
      </c>
      <c r="D1254" s="497" t="s">
        <v>1758</v>
      </c>
      <c r="E1254" s="564">
        <v>28</v>
      </c>
      <c r="F1254" s="821" t="s">
        <v>1743</v>
      </c>
      <c r="G1254" s="564" t="s">
        <v>9</v>
      </c>
      <c r="H1254" s="563"/>
      <c r="I1254" s="1163">
        <v>0</v>
      </c>
      <c r="J1254" s="790">
        <v>10</v>
      </c>
      <c r="K1254" s="981">
        <v>0</v>
      </c>
      <c r="L1254" s="1040">
        <v>0</v>
      </c>
      <c r="M1254" s="1060" t="s">
        <v>870</v>
      </c>
      <c r="N1254" s="1301" t="s">
        <v>1759</v>
      </c>
      <c r="O1254" s="1302" t="s">
        <v>1667</v>
      </c>
      <c r="P1254" s="1060">
        <v>1</v>
      </c>
      <c r="Q1254" s="1286" t="s">
        <v>871</v>
      </c>
    </row>
    <row r="1255" spans="1:17" ht="22.5" x14ac:dyDescent="0.2">
      <c r="A1255" s="418">
        <v>6</v>
      </c>
      <c r="B1255" s="582"/>
      <c r="C1255" s="576" t="s">
        <v>1760</v>
      </c>
      <c r="D1255" s="824" t="s">
        <v>1761</v>
      </c>
      <c r="E1255" s="568">
        <v>28</v>
      </c>
      <c r="F1255" s="821" t="s">
        <v>1743</v>
      </c>
      <c r="G1255" s="568" t="s">
        <v>9</v>
      </c>
      <c r="H1255" s="569"/>
      <c r="I1255" s="1164">
        <v>0</v>
      </c>
      <c r="J1255" s="915">
        <f>23-5</f>
        <v>18</v>
      </c>
      <c r="K1255" s="984">
        <v>0</v>
      </c>
      <c r="L1255" s="1041">
        <v>0</v>
      </c>
      <c r="M1255" s="1060" t="s">
        <v>870</v>
      </c>
      <c r="N1255" s="1282" t="s">
        <v>1759</v>
      </c>
      <c r="O1255" s="1301" t="s">
        <v>2381</v>
      </c>
      <c r="P1255" s="1291">
        <v>100</v>
      </c>
      <c r="Q1255" s="1292" t="s">
        <v>871</v>
      </c>
    </row>
    <row r="1256" spans="1:17" x14ac:dyDescent="0.2">
      <c r="A1256" s="418">
        <v>6</v>
      </c>
      <c r="B1256" s="583"/>
      <c r="C1256" s="571" t="s">
        <v>1762</v>
      </c>
      <c r="D1256" s="1458" t="s">
        <v>1763</v>
      </c>
      <c r="E1256" s="584">
        <v>9</v>
      </c>
      <c r="F1256" s="821" t="s">
        <v>1743</v>
      </c>
      <c r="G1256" s="585" t="s">
        <v>9</v>
      </c>
      <c r="H1256" s="584"/>
      <c r="I1256" s="1167">
        <v>0</v>
      </c>
      <c r="J1256" s="918">
        <f>40-40</f>
        <v>0</v>
      </c>
      <c r="K1256" s="987">
        <f>40+40</f>
        <v>80</v>
      </c>
      <c r="L1256" s="1044">
        <v>200</v>
      </c>
      <c r="M1256" s="165" t="s">
        <v>870</v>
      </c>
      <c r="N1256" s="1303" t="s">
        <v>1050</v>
      </c>
      <c r="O1256" s="1294" t="s">
        <v>2382</v>
      </c>
      <c r="P1256" s="1293">
        <v>100</v>
      </c>
      <c r="Q1256" s="1242" t="s">
        <v>947</v>
      </c>
    </row>
    <row r="1257" spans="1:17" ht="22.5" x14ac:dyDescent="0.2">
      <c r="A1257" s="418">
        <v>6</v>
      </c>
      <c r="B1257" s="576"/>
      <c r="C1257" s="580" t="s">
        <v>1762</v>
      </c>
      <c r="D1257" s="1459"/>
      <c r="E1257" s="586" t="s">
        <v>136</v>
      </c>
      <c r="F1257" s="821" t="s">
        <v>1743</v>
      </c>
      <c r="G1257" s="587" t="s">
        <v>99</v>
      </c>
      <c r="H1257" s="588"/>
      <c r="I1257" s="1168">
        <v>0</v>
      </c>
      <c r="J1257" s="919">
        <v>0</v>
      </c>
      <c r="K1257" s="988">
        <v>0</v>
      </c>
      <c r="L1257" s="1045">
        <v>0</v>
      </c>
      <c r="M1257" s="595"/>
      <c r="N1257" s="1304" t="s">
        <v>1744</v>
      </c>
      <c r="O1257" s="1305"/>
      <c r="P1257" s="795"/>
      <c r="Q1257" s="1306" t="s">
        <v>947</v>
      </c>
    </row>
    <row r="1258" spans="1:17" ht="22.5" x14ac:dyDescent="0.2">
      <c r="A1258" s="418">
        <v>6</v>
      </c>
      <c r="B1258" s="589"/>
      <c r="C1258" s="589" t="s">
        <v>1764</v>
      </c>
      <c r="D1258" s="1123" t="s">
        <v>1765</v>
      </c>
      <c r="E1258" s="590"/>
      <c r="F1258" s="590"/>
      <c r="G1258" s="590"/>
      <c r="H1258" s="590"/>
      <c r="I1258" s="591"/>
      <c r="J1258" s="591"/>
      <c r="K1258" s="989"/>
      <c r="L1258" s="1046"/>
      <c r="M1258" s="595"/>
      <c r="N1258" s="660"/>
      <c r="O1258" s="1285"/>
      <c r="P1258" s="1307"/>
      <c r="Q1258" s="1286"/>
    </row>
    <row r="1259" spans="1:17" x14ac:dyDescent="0.2">
      <c r="A1259" s="418">
        <v>6</v>
      </c>
      <c r="B1259" s="589"/>
      <c r="C1259" s="589"/>
      <c r="D1259" s="592"/>
      <c r="E1259" s="590"/>
      <c r="F1259" s="590"/>
      <c r="G1259" s="593" t="s">
        <v>9</v>
      </c>
      <c r="H1259" s="590"/>
      <c r="I1259" s="591">
        <f>I1260+I1261+I1271+I1272</f>
        <v>445.3</v>
      </c>
      <c r="J1259" s="591">
        <f t="shared" ref="J1259:L1259" si="254">J1260+J1261+J1271+J1272</f>
        <v>958.6</v>
      </c>
      <c r="K1259" s="591">
        <f t="shared" si="254"/>
        <v>1907.2000000000003</v>
      </c>
      <c r="L1259" s="591">
        <f t="shared" si="254"/>
        <v>2650.4</v>
      </c>
      <c r="M1259" s="595"/>
      <c r="N1259" s="660"/>
      <c r="O1259" s="1284"/>
      <c r="P1259" s="1060"/>
      <c r="Q1259" s="1286"/>
    </row>
    <row r="1260" spans="1:17" ht="22.5" x14ac:dyDescent="0.2">
      <c r="A1260" s="418">
        <v>6</v>
      </c>
      <c r="B1260" s="594"/>
      <c r="C1260" s="594" t="s">
        <v>1766</v>
      </c>
      <c r="D1260" s="553" t="s">
        <v>137</v>
      </c>
      <c r="E1260" s="595">
        <v>2</v>
      </c>
      <c r="F1260" s="595" t="s">
        <v>138</v>
      </c>
      <c r="G1260" s="595" t="s">
        <v>9</v>
      </c>
      <c r="H1260" s="596"/>
      <c r="I1260" s="1163">
        <v>10.199999999999999</v>
      </c>
      <c r="J1260" s="790">
        <v>23.7</v>
      </c>
      <c r="K1260" s="990">
        <v>0</v>
      </c>
      <c r="L1260" s="1047">
        <v>0</v>
      </c>
      <c r="M1260" s="595" t="s">
        <v>787</v>
      </c>
      <c r="N1260" s="660" t="s">
        <v>1767</v>
      </c>
      <c r="O1260" s="1302" t="s">
        <v>1768</v>
      </c>
      <c r="P1260" s="1060">
        <v>1</v>
      </c>
      <c r="Q1260" s="1286"/>
    </row>
    <row r="1261" spans="1:17" ht="22.5" x14ac:dyDescent="0.2">
      <c r="A1261" s="418">
        <v>6</v>
      </c>
      <c r="B1261" s="597"/>
      <c r="C1261" s="597" t="s">
        <v>1769</v>
      </c>
      <c r="D1261" s="1124" t="s">
        <v>2258</v>
      </c>
      <c r="E1261" s="598">
        <v>9</v>
      </c>
      <c r="F1261" s="598" t="s">
        <v>140</v>
      </c>
      <c r="G1261" s="598" t="s">
        <v>9</v>
      </c>
      <c r="H1261" s="598" t="s">
        <v>1770</v>
      </c>
      <c r="I1261" s="790">
        <f>SUM(I1262:I1270)</f>
        <v>78.5</v>
      </c>
      <c r="J1261" s="790">
        <f>SUM(J1262:J1270)</f>
        <v>251</v>
      </c>
      <c r="K1261" s="991">
        <v>200</v>
      </c>
      <c r="L1261" s="1048">
        <v>200</v>
      </c>
      <c r="M1261" s="165"/>
      <c r="N1261" s="660"/>
      <c r="O1261" s="1284"/>
      <c r="P1261" s="1286"/>
      <c r="Q1261" s="1286"/>
    </row>
    <row r="1262" spans="1:17" ht="33.75" x14ac:dyDescent="0.2">
      <c r="A1262" s="418">
        <v>6</v>
      </c>
      <c r="B1262" s="594"/>
      <c r="C1262" s="594" t="s">
        <v>1766</v>
      </c>
      <c r="D1262" s="600" t="s">
        <v>1771</v>
      </c>
      <c r="E1262" s="595">
        <v>9</v>
      </c>
      <c r="F1262" s="595" t="s">
        <v>140</v>
      </c>
      <c r="G1262" s="595" t="s">
        <v>9</v>
      </c>
      <c r="H1262" s="601"/>
      <c r="I1262" s="1163">
        <v>47</v>
      </c>
      <c r="J1262" s="790">
        <v>48</v>
      </c>
      <c r="K1262" s="983"/>
      <c r="L1262" s="1039"/>
      <c r="M1262" s="595" t="s">
        <v>787</v>
      </c>
      <c r="N1262" s="660" t="s">
        <v>1050</v>
      </c>
      <c r="O1262" s="1302" t="s">
        <v>1772</v>
      </c>
      <c r="P1262" s="1286">
        <v>1</v>
      </c>
      <c r="Q1262" s="146" t="s">
        <v>799</v>
      </c>
    </row>
    <row r="1263" spans="1:17" ht="33.75" x14ac:dyDescent="0.2">
      <c r="A1263" s="418">
        <v>6</v>
      </c>
      <c r="B1263" s="594"/>
      <c r="C1263" s="594" t="s">
        <v>1769</v>
      </c>
      <c r="D1263" s="600" t="s">
        <v>1773</v>
      </c>
      <c r="E1263" s="595">
        <v>9</v>
      </c>
      <c r="F1263" s="595" t="s">
        <v>140</v>
      </c>
      <c r="G1263" s="595" t="s">
        <v>9</v>
      </c>
      <c r="H1263" s="601"/>
      <c r="I1263" s="1163">
        <v>4.9000000000000004</v>
      </c>
      <c r="J1263" s="790">
        <v>6</v>
      </c>
      <c r="K1263" s="983"/>
      <c r="L1263" s="1039"/>
      <c r="M1263" s="595" t="s">
        <v>787</v>
      </c>
      <c r="N1263" s="660" t="s">
        <v>1050</v>
      </c>
      <c r="O1263" s="1302" t="s">
        <v>1772</v>
      </c>
      <c r="P1263" s="1286">
        <v>1</v>
      </c>
      <c r="Q1263" s="146" t="s">
        <v>799</v>
      </c>
    </row>
    <row r="1264" spans="1:17" ht="22.5" x14ac:dyDescent="0.2">
      <c r="A1264" s="418">
        <v>6</v>
      </c>
      <c r="B1264" s="594"/>
      <c r="C1264" s="594" t="s">
        <v>1774</v>
      </c>
      <c r="D1264" s="600" t="s">
        <v>1775</v>
      </c>
      <c r="E1264" s="595">
        <v>9</v>
      </c>
      <c r="F1264" s="595" t="s">
        <v>140</v>
      </c>
      <c r="G1264" s="595" t="s">
        <v>9</v>
      </c>
      <c r="H1264" s="601"/>
      <c r="I1264" s="1163"/>
      <c r="J1264" s="790">
        <v>6</v>
      </c>
      <c r="K1264" s="983"/>
      <c r="L1264" s="1039"/>
      <c r="M1264" s="595" t="s">
        <v>787</v>
      </c>
      <c r="N1264" s="660" t="s">
        <v>1050</v>
      </c>
      <c r="O1264" s="1302" t="s">
        <v>1772</v>
      </c>
      <c r="P1264" s="1286">
        <v>1</v>
      </c>
      <c r="Q1264" s="146" t="s">
        <v>799</v>
      </c>
    </row>
    <row r="1265" spans="1:17" ht="22.5" x14ac:dyDescent="0.2">
      <c r="A1265" s="418">
        <v>6</v>
      </c>
      <c r="B1265" s="594"/>
      <c r="C1265" s="594" t="s">
        <v>1776</v>
      </c>
      <c r="D1265" s="600" t="s">
        <v>1777</v>
      </c>
      <c r="E1265" s="595">
        <v>9</v>
      </c>
      <c r="F1265" s="595" t="s">
        <v>140</v>
      </c>
      <c r="G1265" s="595" t="s">
        <v>9</v>
      </c>
      <c r="H1265" s="601"/>
      <c r="I1265" s="1163">
        <v>2.5</v>
      </c>
      <c r="J1265" s="790">
        <v>6</v>
      </c>
      <c r="K1265" s="983"/>
      <c r="L1265" s="1039"/>
      <c r="M1265" s="595" t="s">
        <v>787</v>
      </c>
      <c r="N1265" s="660" t="s">
        <v>1050</v>
      </c>
      <c r="O1265" s="1302" t="s">
        <v>1772</v>
      </c>
      <c r="P1265" s="1286">
        <v>1</v>
      </c>
      <c r="Q1265" s="146" t="s">
        <v>799</v>
      </c>
    </row>
    <row r="1266" spans="1:17" ht="22.5" x14ac:dyDescent="0.2">
      <c r="A1266" s="418">
        <v>6</v>
      </c>
      <c r="B1266" s="594"/>
      <c r="C1266" s="594" t="s">
        <v>1778</v>
      </c>
      <c r="D1266" s="600" t="s">
        <v>1779</v>
      </c>
      <c r="E1266" s="595">
        <v>9</v>
      </c>
      <c r="F1266" s="595" t="s">
        <v>140</v>
      </c>
      <c r="G1266" s="595" t="s">
        <v>9</v>
      </c>
      <c r="H1266" s="601"/>
      <c r="I1266" s="1163">
        <v>24.1</v>
      </c>
      <c r="J1266" s="790">
        <v>40</v>
      </c>
      <c r="K1266" s="983"/>
      <c r="L1266" s="1039"/>
      <c r="M1266" s="595" t="s">
        <v>787</v>
      </c>
      <c r="N1266" s="660" t="s">
        <v>1050</v>
      </c>
      <c r="O1266" s="1302" t="s">
        <v>1772</v>
      </c>
      <c r="P1266" s="1286">
        <v>1</v>
      </c>
      <c r="Q1266" s="146" t="s">
        <v>799</v>
      </c>
    </row>
    <row r="1267" spans="1:17" ht="33.75" x14ac:dyDescent="0.2">
      <c r="A1267" s="418">
        <v>6</v>
      </c>
      <c r="B1267" s="594"/>
      <c r="C1267" s="594" t="s">
        <v>1780</v>
      </c>
      <c r="D1267" s="602" t="s">
        <v>1781</v>
      </c>
      <c r="E1267" s="564">
        <v>9</v>
      </c>
      <c r="F1267" s="564" t="s">
        <v>140</v>
      </c>
      <c r="G1267" s="564" t="s">
        <v>9</v>
      </c>
      <c r="H1267" s="603"/>
      <c r="I1267" s="1163"/>
      <c r="J1267" s="790">
        <v>30</v>
      </c>
      <c r="K1267" s="983">
        <v>20</v>
      </c>
      <c r="L1267" s="1039"/>
      <c r="M1267" s="595" t="s">
        <v>870</v>
      </c>
      <c r="N1267" s="660" t="s">
        <v>1050</v>
      </c>
      <c r="O1267" s="1302" t="s">
        <v>1772</v>
      </c>
      <c r="P1267" s="1286">
        <v>1</v>
      </c>
      <c r="Q1267" s="146" t="s">
        <v>861</v>
      </c>
    </row>
    <row r="1268" spans="1:17" ht="22.5" x14ac:dyDescent="0.2">
      <c r="A1268" s="418">
        <v>6</v>
      </c>
      <c r="B1268" s="594"/>
      <c r="C1268" s="594" t="s">
        <v>1782</v>
      </c>
      <c r="D1268" s="602" t="s">
        <v>1783</v>
      </c>
      <c r="E1268" s="564">
        <v>9</v>
      </c>
      <c r="F1268" s="564" t="s">
        <v>140</v>
      </c>
      <c r="G1268" s="564" t="s">
        <v>9</v>
      </c>
      <c r="H1268" s="603"/>
      <c r="I1268" s="1163"/>
      <c r="J1268" s="790">
        <v>30</v>
      </c>
      <c r="K1268" s="983">
        <v>20</v>
      </c>
      <c r="L1268" s="1039"/>
      <c r="M1268" s="595" t="s">
        <v>870</v>
      </c>
      <c r="N1268" s="660" t="s">
        <v>1050</v>
      </c>
      <c r="O1268" s="1302" t="s">
        <v>1772</v>
      </c>
      <c r="P1268" s="1286">
        <v>1</v>
      </c>
      <c r="Q1268" s="146" t="s">
        <v>886</v>
      </c>
    </row>
    <row r="1269" spans="1:17" ht="22.5" x14ac:dyDescent="0.2">
      <c r="A1269" s="418">
        <v>6</v>
      </c>
      <c r="B1269" s="594"/>
      <c r="C1269" s="594" t="s">
        <v>1784</v>
      </c>
      <c r="D1269" s="602" t="s">
        <v>1785</v>
      </c>
      <c r="E1269" s="564">
        <v>9</v>
      </c>
      <c r="F1269" s="564" t="s">
        <v>140</v>
      </c>
      <c r="G1269" s="564" t="s">
        <v>9</v>
      </c>
      <c r="H1269" s="603"/>
      <c r="I1269" s="1163"/>
      <c r="J1269" s="790">
        <v>55</v>
      </c>
      <c r="K1269" s="983">
        <v>30</v>
      </c>
      <c r="L1269" s="1039"/>
      <c r="M1269" s="595" t="s">
        <v>870</v>
      </c>
      <c r="N1269" s="660" t="s">
        <v>1050</v>
      </c>
      <c r="O1269" s="1302" t="s">
        <v>1772</v>
      </c>
      <c r="P1269" s="1286">
        <v>1</v>
      </c>
      <c r="Q1269" s="146" t="s">
        <v>861</v>
      </c>
    </row>
    <row r="1270" spans="1:17" ht="33.75" x14ac:dyDescent="0.2">
      <c r="A1270" s="418">
        <v>6</v>
      </c>
      <c r="B1270" s="594"/>
      <c r="C1270" s="594" t="s">
        <v>1786</v>
      </c>
      <c r="D1270" s="1452" t="s">
        <v>2552</v>
      </c>
      <c r="E1270" s="564">
        <v>9</v>
      </c>
      <c r="F1270" s="564" t="s">
        <v>140</v>
      </c>
      <c r="G1270" s="564" t="s">
        <v>9</v>
      </c>
      <c r="H1270" s="603"/>
      <c r="I1270" s="1163"/>
      <c r="J1270" s="790">
        <v>30</v>
      </c>
      <c r="K1270" s="983">
        <v>20</v>
      </c>
      <c r="L1270" s="1039"/>
      <c r="M1270" s="595" t="s">
        <v>870</v>
      </c>
      <c r="N1270" s="660" t="s">
        <v>1050</v>
      </c>
      <c r="O1270" s="1302" t="s">
        <v>1772</v>
      </c>
      <c r="P1270" s="1286">
        <v>1</v>
      </c>
      <c r="Q1270" s="146" t="s">
        <v>894</v>
      </c>
    </row>
    <row r="1271" spans="1:17" ht="45" x14ac:dyDescent="0.2">
      <c r="A1271" s="418">
        <v>6</v>
      </c>
      <c r="B1271" s="594"/>
      <c r="C1271" s="594" t="s">
        <v>1787</v>
      </c>
      <c r="D1271" s="553" t="s">
        <v>141</v>
      </c>
      <c r="E1271" s="833">
        <v>9</v>
      </c>
      <c r="F1271" s="595" t="s">
        <v>142</v>
      </c>
      <c r="G1271" s="595" t="s">
        <v>9</v>
      </c>
      <c r="H1271" s="595" t="s">
        <v>1788</v>
      </c>
      <c r="I1271" s="1163">
        <v>115.1</v>
      </c>
      <c r="J1271" s="790">
        <f>115.4+25</f>
        <v>140.4</v>
      </c>
      <c r="K1271" s="983">
        <f t="shared" ref="K1271:L1271" si="255">115.4+25</f>
        <v>140.4</v>
      </c>
      <c r="L1271" s="1039">
        <f t="shared" si="255"/>
        <v>140.4</v>
      </c>
      <c r="M1271" s="595" t="s">
        <v>782</v>
      </c>
      <c r="N1271" s="660" t="s">
        <v>1050</v>
      </c>
      <c r="O1271" s="1286" t="s">
        <v>1789</v>
      </c>
      <c r="P1271" s="1286" t="s">
        <v>1790</v>
      </c>
      <c r="Q1271" s="1286"/>
    </row>
    <row r="1272" spans="1:17" ht="22.5" x14ac:dyDescent="0.2">
      <c r="A1272" s="418">
        <v>6</v>
      </c>
      <c r="B1272" s="597"/>
      <c r="C1272" s="604" t="s">
        <v>1791</v>
      </c>
      <c r="D1272" s="1124" t="s">
        <v>2257</v>
      </c>
      <c r="E1272" s="598">
        <v>9</v>
      </c>
      <c r="F1272" s="598" t="s">
        <v>143</v>
      </c>
      <c r="G1272" s="598" t="s">
        <v>9</v>
      </c>
      <c r="H1272" s="598" t="s">
        <v>1792</v>
      </c>
      <c r="I1272" s="790">
        <f>SUM(I1273:I1285)</f>
        <v>241.5</v>
      </c>
      <c r="J1272" s="790">
        <f t="shared" ref="J1272:L1272" si="256">SUM(J1273:J1285)</f>
        <v>543.5</v>
      </c>
      <c r="K1272" s="790">
        <f t="shared" si="256"/>
        <v>1566.8000000000002</v>
      </c>
      <c r="L1272" s="790">
        <f t="shared" si="256"/>
        <v>2310</v>
      </c>
      <c r="M1272" s="595"/>
      <c r="N1272" s="660"/>
      <c r="O1272" s="1284"/>
      <c r="P1272" s="1286"/>
      <c r="Q1272" s="1286"/>
    </row>
    <row r="1273" spans="1:17" ht="22.5" x14ac:dyDescent="0.2">
      <c r="A1273" s="418">
        <v>6</v>
      </c>
      <c r="B1273" s="594"/>
      <c r="C1273" s="605" t="s">
        <v>1793</v>
      </c>
      <c r="D1273" s="600" t="s">
        <v>1794</v>
      </c>
      <c r="E1273" s="606">
        <v>9</v>
      </c>
      <c r="F1273" s="595" t="s">
        <v>143</v>
      </c>
      <c r="G1273" s="595" t="s">
        <v>9</v>
      </c>
      <c r="H1273" s="601"/>
      <c r="I1273" s="1163"/>
      <c r="J1273" s="790">
        <v>35</v>
      </c>
      <c r="K1273" s="983"/>
      <c r="L1273" s="1039"/>
      <c r="M1273" s="595" t="s">
        <v>787</v>
      </c>
      <c r="N1273" s="660" t="s">
        <v>1050</v>
      </c>
      <c r="O1273" s="1308" t="s">
        <v>2372</v>
      </c>
      <c r="P1273" s="1286"/>
      <c r="Q1273" s="146" t="s">
        <v>861</v>
      </c>
    </row>
    <row r="1274" spans="1:17" ht="22.5" x14ac:dyDescent="0.2">
      <c r="A1274" s="418">
        <v>6</v>
      </c>
      <c r="B1274" s="594"/>
      <c r="C1274" s="605" t="s">
        <v>1796</v>
      </c>
      <c r="D1274" s="600" t="s">
        <v>1797</v>
      </c>
      <c r="E1274" s="606">
        <v>9</v>
      </c>
      <c r="F1274" s="595" t="s">
        <v>143</v>
      </c>
      <c r="G1274" s="595" t="s">
        <v>9</v>
      </c>
      <c r="H1274" s="601"/>
      <c r="I1274" s="1163">
        <v>148.69999999999999</v>
      </c>
      <c r="J1274" s="790">
        <v>389.5</v>
      </c>
      <c r="K1274" s="983">
        <v>6.7</v>
      </c>
      <c r="L1274" s="1039"/>
      <c r="M1274" s="595" t="s">
        <v>787</v>
      </c>
      <c r="N1274" s="660" t="s">
        <v>1050</v>
      </c>
      <c r="O1274" s="1286" t="s">
        <v>1795</v>
      </c>
      <c r="P1274" s="1286">
        <v>100</v>
      </c>
      <c r="Q1274" s="146" t="s">
        <v>875</v>
      </c>
    </row>
    <row r="1275" spans="1:17" ht="45" x14ac:dyDescent="0.2">
      <c r="A1275" s="418">
        <v>6</v>
      </c>
      <c r="B1275" s="594"/>
      <c r="C1275" s="605" t="s">
        <v>1798</v>
      </c>
      <c r="D1275" s="600" t="s">
        <v>1799</v>
      </c>
      <c r="E1275" s="595">
        <v>26</v>
      </c>
      <c r="F1275" s="595" t="s">
        <v>143</v>
      </c>
      <c r="G1275" s="595" t="s">
        <v>9</v>
      </c>
      <c r="H1275" s="601"/>
      <c r="I1275" s="1169">
        <v>54.9</v>
      </c>
      <c r="J1275" s="920">
        <v>2</v>
      </c>
      <c r="K1275" s="983"/>
      <c r="L1275" s="1039"/>
      <c r="M1275" s="595" t="s">
        <v>787</v>
      </c>
      <c r="N1275" s="660" t="s">
        <v>701</v>
      </c>
      <c r="O1275" s="1286" t="s">
        <v>1795</v>
      </c>
      <c r="P1275" s="1286">
        <v>100</v>
      </c>
      <c r="Q1275" s="146" t="s">
        <v>878</v>
      </c>
    </row>
    <row r="1276" spans="1:17" ht="22.5" x14ac:dyDescent="0.2">
      <c r="A1276" s="418">
        <v>6</v>
      </c>
      <c r="B1276" s="594"/>
      <c r="C1276" s="605" t="s">
        <v>1800</v>
      </c>
      <c r="D1276" s="607" t="s">
        <v>1801</v>
      </c>
      <c r="E1276" s="833" t="s">
        <v>649</v>
      </c>
      <c r="F1276" s="595" t="s">
        <v>143</v>
      </c>
      <c r="G1276" s="595" t="s">
        <v>9</v>
      </c>
      <c r="H1276" s="601"/>
      <c r="I1276" s="1169">
        <v>37.9</v>
      </c>
      <c r="J1276" s="920">
        <v>7</v>
      </c>
      <c r="K1276" s="983"/>
      <c r="L1276" s="1039"/>
      <c r="M1276" s="595" t="s">
        <v>787</v>
      </c>
      <c r="N1276" s="660" t="s">
        <v>1802</v>
      </c>
      <c r="O1276" s="1286" t="s">
        <v>1795</v>
      </c>
      <c r="P1276" s="1286">
        <v>100</v>
      </c>
      <c r="Q1276" s="146" t="s">
        <v>799</v>
      </c>
    </row>
    <row r="1277" spans="1:17" ht="33.75" x14ac:dyDescent="0.2">
      <c r="A1277" s="418">
        <v>6</v>
      </c>
      <c r="B1277" s="594"/>
      <c r="C1277" s="605" t="s">
        <v>1803</v>
      </c>
      <c r="D1277" s="600" t="s">
        <v>1804</v>
      </c>
      <c r="E1277" s="595">
        <v>9</v>
      </c>
      <c r="F1277" s="595" t="s">
        <v>143</v>
      </c>
      <c r="G1277" s="595" t="s">
        <v>9</v>
      </c>
      <c r="H1277" s="601"/>
      <c r="I1277" s="1169"/>
      <c r="J1277" s="920">
        <f>100-100</f>
        <v>0</v>
      </c>
      <c r="K1277" s="981">
        <f>100+100</f>
        <v>200</v>
      </c>
      <c r="L1277" s="1039"/>
      <c r="M1277" s="595" t="s">
        <v>870</v>
      </c>
      <c r="N1277" s="660" t="s">
        <v>1050</v>
      </c>
      <c r="O1277" s="1286"/>
      <c r="P1277" s="1286"/>
      <c r="Q1277" s="146" t="s">
        <v>799</v>
      </c>
    </row>
    <row r="1278" spans="1:17" ht="22.5" x14ac:dyDescent="0.2">
      <c r="A1278" s="418">
        <v>6</v>
      </c>
      <c r="B1278" s="594"/>
      <c r="C1278" s="605" t="s">
        <v>1805</v>
      </c>
      <c r="D1278" s="600" t="s">
        <v>1806</v>
      </c>
      <c r="E1278" s="595">
        <v>9</v>
      </c>
      <c r="F1278" s="595" t="s">
        <v>143</v>
      </c>
      <c r="G1278" s="595" t="s">
        <v>9</v>
      </c>
      <c r="H1278" s="601"/>
      <c r="I1278" s="1169"/>
      <c r="J1278" s="920">
        <f>50-50</f>
        <v>0</v>
      </c>
      <c r="K1278" s="981">
        <f>430+50</f>
        <v>480</v>
      </c>
      <c r="L1278" s="1040">
        <v>1000</v>
      </c>
      <c r="M1278" s="595" t="s">
        <v>870</v>
      </c>
      <c r="N1278" s="660" t="s">
        <v>1050</v>
      </c>
      <c r="O1278" s="1302" t="s">
        <v>1772</v>
      </c>
      <c r="P1278" s="1286">
        <v>1</v>
      </c>
      <c r="Q1278" s="146" t="s">
        <v>799</v>
      </c>
    </row>
    <row r="1279" spans="1:17" ht="22.5" x14ac:dyDescent="0.2">
      <c r="A1279" s="418">
        <v>6</v>
      </c>
      <c r="B1279" s="594"/>
      <c r="C1279" s="605" t="s">
        <v>1807</v>
      </c>
      <c r="D1279" s="600" t="s">
        <v>1808</v>
      </c>
      <c r="E1279" s="606">
        <v>9</v>
      </c>
      <c r="F1279" s="595" t="s">
        <v>143</v>
      </c>
      <c r="G1279" s="595" t="s">
        <v>9</v>
      </c>
      <c r="H1279" s="601"/>
      <c r="I1279" s="1169"/>
      <c r="J1279" s="920"/>
      <c r="K1279" s="981">
        <v>695.1</v>
      </c>
      <c r="L1279" s="1040">
        <v>1000</v>
      </c>
      <c r="M1279" s="595" t="s">
        <v>870</v>
      </c>
      <c r="N1279" s="660" t="s">
        <v>1050</v>
      </c>
      <c r="O1279" s="1286"/>
      <c r="P1279" s="1286"/>
      <c r="Q1279" s="146" t="s">
        <v>799</v>
      </c>
    </row>
    <row r="1280" spans="1:17" ht="22.5" x14ac:dyDescent="0.2">
      <c r="A1280" s="418">
        <v>6</v>
      </c>
      <c r="B1280" s="594"/>
      <c r="C1280" s="1061" t="s">
        <v>2223</v>
      </c>
      <c r="D1280" s="600" t="s">
        <v>1810</v>
      </c>
      <c r="E1280" s="606">
        <v>9</v>
      </c>
      <c r="F1280" s="595" t="s">
        <v>143</v>
      </c>
      <c r="G1280" s="595" t="s">
        <v>9</v>
      </c>
      <c r="H1280" s="601"/>
      <c r="I1280" s="1169"/>
      <c r="J1280" s="920"/>
      <c r="K1280" s="981"/>
      <c r="L1280" s="1040">
        <v>125</v>
      </c>
      <c r="M1280" s="595" t="s">
        <v>870</v>
      </c>
      <c r="N1280" s="660" t="s">
        <v>1050</v>
      </c>
      <c r="O1280" s="1286"/>
      <c r="P1280" s="1286"/>
      <c r="Q1280" s="146" t="s">
        <v>799</v>
      </c>
    </row>
    <row r="1281" spans="1:17" ht="22.5" x14ac:dyDescent="0.2">
      <c r="A1281" s="418">
        <v>6</v>
      </c>
      <c r="B1281" s="594"/>
      <c r="C1281" s="1061" t="s">
        <v>1809</v>
      </c>
      <c r="D1281" s="600" t="s">
        <v>1812</v>
      </c>
      <c r="E1281" s="595">
        <v>9</v>
      </c>
      <c r="F1281" s="595" t="s">
        <v>143</v>
      </c>
      <c r="G1281" s="595" t="s">
        <v>9</v>
      </c>
      <c r="H1281" s="601"/>
      <c r="I1281" s="1169"/>
      <c r="J1281" s="920"/>
      <c r="K1281" s="981">
        <v>75</v>
      </c>
      <c r="L1281" s="1040">
        <v>75</v>
      </c>
      <c r="M1281" s="595" t="s">
        <v>870</v>
      </c>
      <c r="N1281" s="660" t="s">
        <v>1050</v>
      </c>
      <c r="O1281" s="1286"/>
      <c r="P1281" s="1286"/>
      <c r="Q1281" s="146" t="s">
        <v>799</v>
      </c>
    </row>
    <row r="1282" spans="1:17" ht="45" x14ac:dyDescent="0.2">
      <c r="A1282" s="418">
        <v>6</v>
      </c>
      <c r="B1282" s="594"/>
      <c r="C1282" s="1061" t="s">
        <v>2224</v>
      </c>
      <c r="D1282" s="600" t="s">
        <v>310</v>
      </c>
      <c r="E1282" s="608">
        <v>9</v>
      </c>
      <c r="F1282" s="595" t="s">
        <v>143</v>
      </c>
      <c r="G1282" s="608" t="s">
        <v>9</v>
      </c>
      <c r="H1282" s="609" t="s">
        <v>1813</v>
      </c>
      <c r="I1282" s="1169"/>
      <c r="J1282" s="920">
        <v>50</v>
      </c>
      <c r="K1282" s="983">
        <v>50</v>
      </c>
      <c r="L1282" s="1039">
        <v>50</v>
      </c>
      <c r="M1282" s="595" t="s">
        <v>796</v>
      </c>
      <c r="N1282" s="660" t="s">
        <v>1050</v>
      </c>
      <c r="O1282" s="1302" t="s">
        <v>1520</v>
      </c>
      <c r="P1282" s="210">
        <v>100</v>
      </c>
      <c r="Q1282" s="1302"/>
    </row>
    <row r="1283" spans="1:17" ht="33.75" x14ac:dyDescent="0.2">
      <c r="A1283" s="418">
        <v>6</v>
      </c>
      <c r="B1283" s="451"/>
      <c r="C1283" s="1062" t="s">
        <v>1811</v>
      </c>
      <c r="D1283" s="1460" t="s">
        <v>1814</v>
      </c>
      <c r="E1283" s="608" t="s">
        <v>1815</v>
      </c>
      <c r="F1283" s="595" t="s">
        <v>143</v>
      </c>
      <c r="G1283" s="436" t="s">
        <v>9</v>
      </c>
      <c r="H1283" s="446"/>
      <c r="I1283" s="1169">
        <v>0</v>
      </c>
      <c r="J1283" s="920">
        <f>60-9.8-1.2</f>
        <v>49</v>
      </c>
      <c r="K1283" s="959">
        <v>60</v>
      </c>
      <c r="L1283" s="1023">
        <v>60</v>
      </c>
      <c r="M1283" s="467" t="s">
        <v>796</v>
      </c>
      <c r="N1283" s="1211" t="s">
        <v>1816</v>
      </c>
      <c r="O1283" s="1203" t="s">
        <v>1817</v>
      </c>
      <c r="P1283" s="1279">
        <v>20</v>
      </c>
      <c r="Q1283" s="1286"/>
    </row>
    <row r="1284" spans="1:17" x14ac:dyDescent="0.2">
      <c r="A1284" s="418">
        <v>6</v>
      </c>
      <c r="B1284" s="451"/>
      <c r="C1284" s="1062" t="s">
        <v>1811</v>
      </c>
      <c r="D1284" s="1461"/>
      <c r="E1284" s="820">
        <v>23</v>
      </c>
      <c r="F1284" s="165" t="s">
        <v>2546</v>
      </c>
      <c r="G1284" s="608" t="s">
        <v>9</v>
      </c>
      <c r="H1284" s="446"/>
      <c r="I1284" s="1169"/>
      <c r="J1284" s="920">
        <f>9.1+1.2</f>
        <v>10.299999999999999</v>
      </c>
      <c r="K1284" s="959"/>
      <c r="L1284" s="1023"/>
      <c r="M1284" s="595" t="s">
        <v>796</v>
      </c>
      <c r="N1284" s="1211" t="s">
        <v>698</v>
      </c>
      <c r="O1284" s="1431" t="s">
        <v>2466</v>
      </c>
      <c r="P1284" s="1279">
        <v>2</v>
      </c>
      <c r="Q1284" s="1286" t="s">
        <v>799</v>
      </c>
    </row>
    <row r="1285" spans="1:17" x14ac:dyDescent="0.2">
      <c r="A1285" s="418">
        <v>6</v>
      </c>
      <c r="B1285" s="451"/>
      <c r="C1285" s="1062" t="s">
        <v>1811</v>
      </c>
      <c r="D1285" s="1462"/>
      <c r="E1285" s="820">
        <v>26</v>
      </c>
      <c r="F1285" s="595" t="s">
        <v>143</v>
      </c>
      <c r="G1285" s="436" t="s">
        <v>9</v>
      </c>
      <c r="H1285" s="446"/>
      <c r="I1285" s="1169"/>
      <c r="J1285" s="920">
        <v>0.7</v>
      </c>
      <c r="K1285" s="959"/>
      <c r="L1285" s="1023"/>
      <c r="M1285" s="467" t="s">
        <v>796</v>
      </c>
      <c r="N1285" s="1211" t="s">
        <v>701</v>
      </c>
      <c r="O1285" s="1431" t="s">
        <v>2466</v>
      </c>
      <c r="P1285" s="1279">
        <v>1</v>
      </c>
      <c r="Q1285" s="1286" t="s">
        <v>878</v>
      </c>
    </row>
    <row r="1286" spans="1:17" ht="33.75" x14ac:dyDescent="0.2">
      <c r="A1286" s="418">
        <v>6</v>
      </c>
      <c r="B1286" s="460" t="s">
        <v>1818</v>
      </c>
      <c r="C1286" s="460" t="s">
        <v>1818</v>
      </c>
      <c r="D1286" s="429" t="s">
        <v>1498</v>
      </c>
      <c r="E1286" s="430"/>
      <c r="F1286" s="430"/>
      <c r="G1286" s="430"/>
      <c r="H1286" s="430"/>
      <c r="I1286" s="887">
        <f>SUM(I1287,I1288)</f>
        <v>50</v>
      </c>
      <c r="J1286" s="887">
        <f>SUM(J1287,J1288)</f>
        <v>200</v>
      </c>
      <c r="K1286" s="887">
        <f>SUM(K1287,K1288)</f>
        <v>200</v>
      </c>
      <c r="L1286" s="1005">
        <f>SUM(L1287,L1288)</f>
        <v>200</v>
      </c>
      <c r="M1286" s="467"/>
      <c r="N1286" s="1202" t="s">
        <v>1802</v>
      </c>
      <c r="O1286" s="1203"/>
      <c r="P1286" s="1213"/>
      <c r="Q1286" s="1203"/>
    </row>
    <row r="1287" spans="1:17" x14ac:dyDescent="0.2">
      <c r="A1287" s="418">
        <v>6</v>
      </c>
      <c r="B1287" s="517"/>
      <c r="C1287" s="517"/>
      <c r="D1287" s="610" t="s">
        <v>1819</v>
      </c>
      <c r="E1287" s="595" t="s">
        <v>649</v>
      </c>
      <c r="F1287" s="611" t="s">
        <v>1820</v>
      </c>
      <c r="G1287" s="445" t="s">
        <v>12</v>
      </c>
      <c r="H1287" s="612"/>
      <c r="I1287" s="1169"/>
      <c r="J1287" s="599">
        <v>144.5</v>
      </c>
      <c r="K1287" s="992">
        <v>200</v>
      </c>
      <c r="L1287" s="1049">
        <v>200</v>
      </c>
      <c r="M1287" s="467"/>
      <c r="N1287" s="1202" t="s">
        <v>1802</v>
      </c>
      <c r="O1287" s="1309" t="s">
        <v>2383</v>
      </c>
      <c r="P1287" s="1213">
        <v>50</v>
      </c>
      <c r="Q1287" s="1203"/>
    </row>
    <row r="1288" spans="1:17" x14ac:dyDescent="0.2">
      <c r="A1288" s="418">
        <v>6</v>
      </c>
      <c r="B1288" s="517"/>
      <c r="C1288" s="517"/>
      <c r="D1288" s="610" t="s">
        <v>1821</v>
      </c>
      <c r="E1288" s="595" t="s">
        <v>649</v>
      </c>
      <c r="F1288" s="611" t="s">
        <v>1820</v>
      </c>
      <c r="G1288" s="445" t="s">
        <v>266</v>
      </c>
      <c r="H1288" s="612"/>
      <c r="I1288" s="1169">
        <v>50</v>
      </c>
      <c r="J1288" s="599">
        <v>55.5</v>
      </c>
      <c r="K1288" s="993"/>
      <c r="L1288" s="1050"/>
      <c r="M1288" s="467"/>
      <c r="N1288" s="1202" t="s">
        <v>1802</v>
      </c>
      <c r="O1288" s="1309" t="s">
        <v>2383</v>
      </c>
      <c r="P1288" s="1213">
        <v>100</v>
      </c>
      <c r="Q1288" s="1203"/>
    </row>
    <row r="1289" spans="1:17" ht="33.75" x14ac:dyDescent="0.2">
      <c r="A1289" s="418">
        <v>6</v>
      </c>
      <c r="B1289" s="460" t="s">
        <v>2259</v>
      </c>
      <c r="C1289" s="460" t="s">
        <v>2259</v>
      </c>
      <c r="D1289" s="1063" t="s">
        <v>2261</v>
      </c>
      <c r="E1289" s="430">
        <v>9</v>
      </c>
      <c r="F1289" s="430" t="s">
        <v>2260</v>
      </c>
      <c r="G1289" s="430" t="s">
        <v>9</v>
      </c>
      <c r="H1289" s="430"/>
      <c r="I1289" s="887"/>
      <c r="J1289" s="887">
        <f>23</f>
        <v>23</v>
      </c>
      <c r="K1289" s="887"/>
      <c r="L1289" s="1005"/>
      <c r="M1289" s="467"/>
      <c r="N1289" s="1202" t="s">
        <v>2384</v>
      </c>
      <c r="O1289" s="1309" t="s">
        <v>2383</v>
      </c>
      <c r="P1289" s="1213">
        <v>100</v>
      </c>
      <c r="Q1289" s="440"/>
    </row>
    <row r="1290" spans="1:17" x14ac:dyDescent="0.2">
      <c r="A1290" s="418">
        <v>6</v>
      </c>
      <c r="B1290" s="614"/>
      <c r="C1290" s="615"/>
      <c r="D1290" s="431"/>
      <c r="E1290" s="616"/>
      <c r="F1290" s="617"/>
      <c r="G1290" s="618" t="s">
        <v>608</v>
      </c>
      <c r="H1290" s="619"/>
      <c r="I1290" s="618">
        <f>SUM(I1287:I1288,I1259,I1235:I1239,I1202,I1195:I1196,I1192,I1178,I1174,I1169,I1163,I1152,I1089:I1095,I1042:I1049,I998:I999,I1212:I1214,I1289,I1216)</f>
        <v>12024.527</v>
      </c>
      <c r="J1290" s="618">
        <f>SUM(J1287:J1288,J1259,J1235:J1239,J1202,J1195:J1196,J1192,J1178,J1174,J1169,J1163,J1152,J1089:J1095,J1042:J1049,J998:J999,J1212:J1214,J1289,J1220)</f>
        <v>19785.599999999999</v>
      </c>
      <c r="K1290" s="618">
        <f>SUM(K1287:K1288,K1259,K1235:K1239,K1202,K1195:K1196,K1192,K1178,K1174,K1169,K1163,K1152,K1089:K1095,K1042:K1049,K998:K999,K1212:K1214,K1289,K1220)</f>
        <v>24113.1</v>
      </c>
      <c r="L1290" s="618">
        <f>SUM(L1287:L1288,L1259,L1235:L1239,L1202,L1195:L1196,L1192,L1178,L1174,L1169,L1163,L1152,L1089:L1095,L1042:L1049,L998:L999,L1212:L1214,L1289,L1220)</f>
        <v>22775.4</v>
      </c>
      <c r="M1290" s="467"/>
      <c r="N1290" s="1058"/>
      <c r="O1290" s="620"/>
      <c r="P1290" s="621"/>
      <c r="Q1290" s="469"/>
    </row>
    <row r="1291" spans="1:17" x14ac:dyDescent="0.2">
      <c r="A1291" s="418">
        <v>6</v>
      </c>
      <c r="B1291" s="614"/>
      <c r="C1291" s="615"/>
      <c r="D1291" s="431"/>
      <c r="E1291" s="616"/>
      <c r="F1291" s="617"/>
      <c r="G1291" s="417" t="s">
        <v>9</v>
      </c>
      <c r="H1291" s="466"/>
      <c r="I1291" s="466">
        <f>SUM(I1259,I1235,I1202,I1196,I1192,I1178,I1174,I1163,I1152,I1095,I1042,I998,I1171,I1289,I1217)</f>
        <v>4677.8269999999993</v>
      </c>
      <c r="J1291" s="466">
        <f>SUM(J1259,J1235,J1202,J1196,J1192,J1178,J1174,J1163,J1152,J1095,J1042,J998,J1171,J1289,J1217)</f>
        <v>8408.3000000000011</v>
      </c>
      <c r="K1291" s="466">
        <f>SUM(K1259,K1235,K1202,K1196,K1192,K1178,K1174,K1163,K1152,K1095,K1042,K998,K1171,K1289,K1217)</f>
        <v>12501.500000000002</v>
      </c>
      <c r="L1291" s="466">
        <f>SUM(L1259,L1235,L1202,L1196,L1192,L1178,L1174,L1163,L1152,L1095,L1042,L998,L1171,L1289,L1217)</f>
        <v>14774.5</v>
      </c>
      <c r="M1291" s="467"/>
      <c r="N1291" s="1058"/>
      <c r="O1291" s="620"/>
      <c r="P1291" s="621"/>
      <c r="Q1291" s="469"/>
    </row>
    <row r="1292" spans="1:17" x14ac:dyDescent="0.2">
      <c r="A1292" s="418">
        <v>6</v>
      </c>
      <c r="B1292" s="614"/>
      <c r="C1292" s="615"/>
      <c r="D1292" s="431"/>
      <c r="E1292" s="616"/>
      <c r="F1292" s="617"/>
      <c r="G1292" s="417" t="s">
        <v>315</v>
      </c>
      <c r="H1292" s="466"/>
      <c r="I1292" s="466">
        <f>SUM(I1089)</f>
        <v>2818.8</v>
      </c>
      <c r="J1292" s="943">
        <f>SUM(J1089)</f>
        <v>3852.8999999999996</v>
      </c>
      <c r="K1292" s="943">
        <f t="shared" ref="K1292:L1292" si="257">SUM(K1089)</f>
        <v>3425.5</v>
      </c>
      <c r="L1292" s="945">
        <f t="shared" si="257"/>
        <v>3500</v>
      </c>
      <c r="M1292" s="467"/>
      <c r="N1292" s="1058"/>
      <c r="O1292" s="620"/>
      <c r="P1292" s="621"/>
      <c r="Q1292" s="469"/>
    </row>
    <row r="1293" spans="1:17" x14ac:dyDescent="0.2">
      <c r="A1293" s="418">
        <v>6</v>
      </c>
      <c r="B1293" s="614"/>
      <c r="C1293" s="615"/>
      <c r="D1293" s="431"/>
      <c r="E1293" s="616"/>
      <c r="F1293" s="617"/>
      <c r="G1293" s="417" t="s">
        <v>289</v>
      </c>
      <c r="H1293" s="466"/>
      <c r="I1293" s="466">
        <f>SUM(I1195,I1090,I999)</f>
        <v>2050.1000000000004</v>
      </c>
      <c r="J1293" s="943">
        <f>SUM(J1195,J1090,J999)</f>
        <v>2161.6999999999998</v>
      </c>
      <c r="K1293" s="943">
        <f>SUM(K1195,K1090,K999)</f>
        <v>1999.9999999999998</v>
      </c>
      <c r="L1293" s="945">
        <f>SUM(L1195,L1090,L999)</f>
        <v>1999.9999999999998</v>
      </c>
      <c r="M1293" s="467"/>
      <c r="N1293" s="1058"/>
      <c r="O1293" s="620"/>
      <c r="P1293" s="621"/>
      <c r="Q1293" s="469"/>
    </row>
    <row r="1294" spans="1:17" x14ac:dyDescent="0.2">
      <c r="A1294" s="418">
        <v>6</v>
      </c>
      <c r="B1294" s="614"/>
      <c r="C1294" s="615"/>
      <c r="D1294" s="431"/>
      <c r="E1294" s="616"/>
      <c r="F1294" s="617"/>
      <c r="G1294" s="417" t="s">
        <v>58</v>
      </c>
      <c r="H1294" s="466"/>
      <c r="I1294" s="466">
        <f>SUM(I1047,I1092,I1218)</f>
        <v>0</v>
      </c>
      <c r="J1294" s="466">
        <f>SUM(J1047,J1092,J1218)</f>
        <v>953.59999999999991</v>
      </c>
      <c r="K1294" s="466">
        <f>SUM(K1047,K1092,K1218)</f>
        <v>2224</v>
      </c>
      <c r="L1294" s="466">
        <f>SUM(L1047,L1092,L1218)</f>
        <v>371.7</v>
      </c>
      <c r="M1294" s="467"/>
      <c r="N1294" s="1058"/>
      <c r="O1294" s="620"/>
      <c r="P1294" s="621"/>
      <c r="Q1294" s="469"/>
    </row>
    <row r="1295" spans="1:17" x14ac:dyDescent="0.2">
      <c r="A1295" s="418">
        <v>6</v>
      </c>
      <c r="B1295" s="614"/>
      <c r="C1295" s="615"/>
      <c r="D1295" s="431"/>
      <c r="E1295" s="616"/>
      <c r="F1295" s="617"/>
      <c r="G1295" s="484" t="s">
        <v>99</v>
      </c>
      <c r="H1295" s="466"/>
      <c r="I1295" s="466">
        <f>I1257+I1252+I1249+I1247+I1243+I1242+I1077+I1231</f>
        <v>193.8</v>
      </c>
      <c r="J1295" s="466">
        <f t="shared" ref="J1295:L1295" si="258">J1257+J1252+J1249+J1247+J1243+J1242+J1077+J1231</f>
        <v>1838.8</v>
      </c>
      <c r="K1295" s="466">
        <f t="shared" si="258"/>
        <v>868.6</v>
      </c>
      <c r="L1295" s="466">
        <f t="shared" si="258"/>
        <v>242</v>
      </c>
      <c r="M1295" s="467"/>
      <c r="N1295" s="1058"/>
      <c r="O1295" s="620"/>
      <c r="P1295" s="621"/>
      <c r="Q1295" s="469"/>
    </row>
    <row r="1296" spans="1:17" x14ac:dyDescent="0.2">
      <c r="A1296" s="418">
        <v>6</v>
      </c>
      <c r="B1296" s="614"/>
      <c r="C1296" s="615"/>
      <c r="D1296" s="431"/>
      <c r="E1296" s="616"/>
      <c r="F1296" s="622"/>
      <c r="G1296" s="486" t="s">
        <v>713</v>
      </c>
      <c r="H1296" s="623"/>
      <c r="I1296" s="466">
        <f>I1105+I1066</f>
        <v>0</v>
      </c>
      <c r="J1296" s="943">
        <f>J1105+J1066</f>
        <v>85</v>
      </c>
      <c r="K1296" s="943">
        <f>K1105+K1066</f>
        <v>176.29999999999998</v>
      </c>
      <c r="L1296" s="945">
        <f>L1105+L1066</f>
        <v>70</v>
      </c>
      <c r="M1296" s="467"/>
      <c r="N1296" s="1058"/>
      <c r="O1296" s="620"/>
      <c r="P1296" s="621"/>
      <c r="Q1296" s="469"/>
    </row>
    <row r="1297" spans="1:17" x14ac:dyDescent="0.2">
      <c r="A1297" s="418">
        <v>6</v>
      </c>
      <c r="B1297" s="614"/>
      <c r="C1297" s="615"/>
      <c r="D1297" s="431"/>
      <c r="E1297" s="616"/>
      <c r="F1297" s="622"/>
      <c r="G1297" s="480" t="s">
        <v>12</v>
      </c>
      <c r="H1297" s="623"/>
      <c r="I1297" s="466">
        <f>I1287+I1168+I1144+I1137+I1065+I1063+I1054+I1087+I1238</f>
        <v>1252.4000000000001</v>
      </c>
      <c r="J1297" s="466">
        <f t="shared" ref="J1297:L1297" si="259">J1287+J1168+J1144+J1137+J1065+J1063+J1054+J1087+J1238</f>
        <v>857.2</v>
      </c>
      <c r="K1297" s="466">
        <f t="shared" si="259"/>
        <v>817.2</v>
      </c>
      <c r="L1297" s="466">
        <f t="shared" si="259"/>
        <v>817.2</v>
      </c>
      <c r="M1297" s="467"/>
      <c r="N1297" s="1058"/>
      <c r="O1297" s="620"/>
      <c r="P1297" s="621"/>
      <c r="Q1297" s="469"/>
    </row>
    <row r="1298" spans="1:17" x14ac:dyDescent="0.2">
      <c r="A1298" s="418">
        <v>6</v>
      </c>
      <c r="B1298" s="614"/>
      <c r="C1298" s="615"/>
      <c r="D1298" s="431"/>
      <c r="E1298" s="616"/>
      <c r="F1298" s="617"/>
      <c r="G1298" s="624" t="s">
        <v>266</v>
      </c>
      <c r="H1298" s="466"/>
      <c r="I1298" s="466">
        <f>SUM(I1044,I1237,I1288,I1094)</f>
        <v>786.1</v>
      </c>
      <c r="J1298" s="943">
        <f>SUM(J1044,J1237,J1288,J1094)</f>
        <v>137.1</v>
      </c>
      <c r="K1298" s="943">
        <f>SUM(K1044,K1237,K1288,K1094)</f>
        <v>0</v>
      </c>
      <c r="L1298" s="945">
        <f>SUM(L1044,L1237,L1288,L1094)</f>
        <v>0</v>
      </c>
      <c r="M1298" s="467"/>
      <c r="N1298" s="1058"/>
      <c r="O1298" s="620"/>
      <c r="P1298" s="621"/>
      <c r="Q1298" s="469"/>
    </row>
    <row r="1299" spans="1:17" x14ac:dyDescent="0.2">
      <c r="A1299" s="418">
        <v>6</v>
      </c>
      <c r="B1299" s="614"/>
      <c r="C1299" s="615"/>
      <c r="D1299" s="431"/>
      <c r="E1299" s="616"/>
      <c r="F1299" s="617"/>
      <c r="G1299" s="417" t="s">
        <v>11</v>
      </c>
      <c r="H1299" s="466"/>
      <c r="I1299" s="466">
        <f>SUM(I1045)</f>
        <v>152</v>
      </c>
      <c r="J1299" s="943">
        <f>SUM(J1045)</f>
        <v>1060</v>
      </c>
      <c r="K1299" s="943">
        <f>SUM(K1045)</f>
        <v>2100</v>
      </c>
      <c r="L1299" s="945">
        <f>SUM(L1045)</f>
        <v>1000</v>
      </c>
      <c r="M1299" s="467"/>
      <c r="N1299" s="1058"/>
      <c r="O1299" s="620"/>
      <c r="P1299" s="621"/>
      <c r="Q1299" s="469"/>
    </row>
    <row r="1300" spans="1:17" x14ac:dyDescent="0.2">
      <c r="A1300" s="418">
        <v>6</v>
      </c>
      <c r="B1300" s="614"/>
      <c r="C1300" s="615"/>
      <c r="D1300" s="431"/>
      <c r="E1300" s="616"/>
      <c r="F1300" s="617"/>
      <c r="G1300" s="417" t="s">
        <v>1151</v>
      </c>
      <c r="H1300" s="466"/>
      <c r="I1300" s="466">
        <f>I1241</f>
        <v>0</v>
      </c>
      <c r="J1300" s="943">
        <f t="shared" ref="J1300:L1300" si="260">J1241</f>
        <v>390</v>
      </c>
      <c r="K1300" s="943">
        <f t="shared" si="260"/>
        <v>0</v>
      </c>
      <c r="L1300" s="945">
        <f t="shared" si="260"/>
        <v>0</v>
      </c>
      <c r="M1300" s="467"/>
      <c r="N1300" s="1058"/>
      <c r="O1300" s="620"/>
      <c r="P1300" s="621"/>
      <c r="Q1300" s="469"/>
    </row>
    <row r="1301" spans="1:17" x14ac:dyDescent="0.2">
      <c r="A1301" s="418">
        <v>6</v>
      </c>
      <c r="B1301" s="614"/>
      <c r="C1301" s="615"/>
      <c r="D1301" s="431"/>
      <c r="E1301" s="616"/>
      <c r="F1301" s="617"/>
      <c r="G1301" s="417" t="s">
        <v>718</v>
      </c>
      <c r="H1301" s="466"/>
      <c r="I1301" s="466">
        <f>I1073</f>
        <v>93.100000000000009</v>
      </c>
      <c r="J1301" s="943">
        <f t="shared" ref="J1301:L1301" si="261">J1073</f>
        <v>40.200000000000003</v>
      </c>
      <c r="K1301" s="943">
        <f t="shared" si="261"/>
        <v>0</v>
      </c>
      <c r="L1301" s="945">
        <f t="shared" si="261"/>
        <v>0</v>
      </c>
      <c r="M1301" s="467"/>
      <c r="N1301" s="1058"/>
      <c r="O1301" s="620"/>
      <c r="P1301" s="621"/>
      <c r="Q1301" s="469"/>
    </row>
    <row r="1302" spans="1:17" x14ac:dyDescent="0.2">
      <c r="A1302" s="418">
        <v>6</v>
      </c>
      <c r="B1302" s="614"/>
      <c r="C1302" s="615"/>
      <c r="D1302" s="431"/>
      <c r="E1302" s="616"/>
      <c r="F1302" s="617"/>
      <c r="G1302" s="417" t="s">
        <v>717</v>
      </c>
      <c r="H1302" s="466"/>
      <c r="I1302" s="466">
        <f>I1212+I1213+I1214</f>
        <v>0.4</v>
      </c>
      <c r="J1302" s="466">
        <f t="shared" ref="J1302:L1302" si="262">J1212+J1213+J1214</f>
        <v>0.8</v>
      </c>
      <c r="K1302" s="466">
        <f t="shared" si="262"/>
        <v>0</v>
      </c>
      <c r="L1302" s="466">
        <f t="shared" si="262"/>
        <v>0</v>
      </c>
      <c r="M1302" s="467"/>
      <c r="N1302" s="1058"/>
      <c r="O1302" s="620"/>
      <c r="P1302" s="621"/>
      <c r="Q1302" s="469"/>
    </row>
    <row r="1303" spans="1:17" x14ac:dyDescent="0.2">
      <c r="A1303" s="418">
        <v>6</v>
      </c>
      <c r="B1303" s="614"/>
      <c r="C1303" s="615"/>
      <c r="D1303" s="431"/>
      <c r="E1303" s="616"/>
      <c r="F1303" s="617"/>
      <c r="G1303" s="618" t="s">
        <v>608</v>
      </c>
      <c r="H1303" s="619"/>
      <c r="I1303" s="618">
        <f>SUM(I1291:I1302)</f>
        <v>12024.526999999998</v>
      </c>
      <c r="J1303" s="994">
        <f>SUM(J1291:J1302)</f>
        <v>19785.600000000002</v>
      </c>
      <c r="K1303" s="994">
        <f>SUM(K1291:K1302)</f>
        <v>24113.1</v>
      </c>
      <c r="L1303" s="1051">
        <f t="shared" ref="L1303" si="263">SUM(L1291:L1302)</f>
        <v>22775.4</v>
      </c>
      <c r="M1303" s="467"/>
      <c r="N1303" s="1058"/>
      <c r="O1303" s="620"/>
      <c r="P1303" s="621"/>
      <c r="Q1303" s="469"/>
    </row>
    <row r="1304" spans="1:17" x14ac:dyDescent="0.2">
      <c r="A1304" s="418">
        <v>6</v>
      </c>
      <c r="B1304" s="614"/>
      <c r="C1304" s="615"/>
      <c r="D1304" s="431"/>
      <c r="E1304" s="616"/>
      <c r="F1304" s="617"/>
      <c r="G1304" s="625"/>
      <c r="H1304" s="466"/>
      <c r="I1304" s="625">
        <f>I1290-I1303</f>
        <v>0</v>
      </c>
      <c r="J1304" s="995">
        <f>J1290-J1303</f>
        <v>0</v>
      </c>
      <c r="K1304" s="995">
        <f>K1290-K1303</f>
        <v>0</v>
      </c>
      <c r="L1304" s="1052">
        <f>L1290-L1303</f>
        <v>0</v>
      </c>
      <c r="M1304" s="467"/>
      <c r="N1304" s="1058"/>
      <c r="O1304" s="620"/>
      <c r="P1304" s="621"/>
      <c r="Q1304" s="469"/>
    </row>
    <row r="1305" spans="1:17" ht="22.5" x14ac:dyDescent="0.2">
      <c r="A1305" s="50">
        <v>7</v>
      </c>
      <c r="B1305" s="107"/>
      <c r="C1305" s="107"/>
      <c r="D1305" s="108" t="s">
        <v>1823</v>
      </c>
      <c r="E1305" s="626"/>
      <c r="F1305" s="107"/>
      <c r="G1305" s="110"/>
      <c r="H1305" s="109"/>
      <c r="I1305" s="109"/>
      <c r="J1305" s="109"/>
      <c r="K1305" s="627"/>
      <c r="L1305" s="627"/>
      <c r="N1305" s="89"/>
      <c r="O1305" s="89"/>
      <c r="P1305" s="81"/>
      <c r="Q1305" s="81"/>
    </row>
    <row r="1306" spans="1:17" ht="22.5" x14ac:dyDescent="0.2">
      <c r="A1306" s="50">
        <v>7</v>
      </c>
      <c r="B1306" s="142" t="s">
        <v>1824</v>
      </c>
      <c r="C1306" s="142" t="s">
        <v>1824</v>
      </c>
      <c r="D1306" s="191" t="s">
        <v>391</v>
      </c>
      <c r="E1306" s="102"/>
      <c r="F1306" s="628"/>
      <c r="G1306" s="628"/>
      <c r="H1306" s="28"/>
      <c r="I1306" s="144">
        <f>SUM(I1309,I1312,I1315,I1318,I1321,I1324,I1327,I1331,I1334,I1336)</f>
        <v>5426.4</v>
      </c>
      <c r="J1306" s="144">
        <f>SUM(J1309,J1312,J1315,J1318,J1321,J1324,J1327,J1331,J1334,J1336)</f>
        <v>6145.2999999999993</v>
      </c>
      <c r="K1306" s="144">
        <f>SUM(K1309,K1312,K1315,K1318,K1321,K1324,K1327,K1331,K1334,K1336)</f>
        <v>6338.3</v>
      </c>
      <c r="L1306" s="144">
        <f>SUM(L1309,L1312,L1315,L1318,L1321,L1324,L1327,L1331,L1334,L1336)</f>
        <v>6441.9</v>
      </c>
      <c r="N1306" s="89"/>
      <c r="O1306" s="89"/>
      <c r="P1306" s="81"/>
      <c r="Q1306" s="81"/>
    </row>
    <row r="1307" spans="1:17" ht="27.75" customHeight="1" x14ac:dyDescent="0.2">
      <c r="A1307" s="50">
        <v>7</v>
      </c>
      <c r="B1307" s="51"/>
      <c r="C1307" s="51" t="s">
        <v>1825</v>
      </c>
      <c r="D1307" s="629" t="s">
        <v>392</v>
      </c>
      <c r="E1307" s="51" t="s">
        <v>638</v>
      </c>
      <c r="F1307" s="50" t="s">
        <v>394</v>
      </c>
      <c r="G1307" s="50" t="s">
        <v>9</v>
      </c>
      <c r="H1307" s="28">
        <v>843.7</v>
      </c>
      <c r="I1307" s="16">
        <v>943.5</v>
      </c>
      <c r="J1307" s="116">
        <v>1002.9</v>
      </c>
      <c r="K1307" s="28">
        <v>1048.5</v>
      </c>
      <c r="L1307" s="28">
        <v>1065.7</v>
      </c>
      <c r="M1307" s="38" t="s">
        <v>739</v>
      </c>
      <c r="N1307" s="79" t="s">
        <v>1826</v>
      </c>
      <c r="O1307" s="79"/>
      <c r="P1307" s="80"/>
      <c r="Q1307" s="630"/>
    </row>
    <row r="1308" spans="1:17" x14ac:dyDescent="0.2">
      <c r="A1308" s="50">
        <v>7</v>
      </c>
      <c r="B1308" s="51"/>
      <c r="C1308" s="51"/>
      <c r="D1308" s="629"/>
      <c r="E1308" s="51" t="s">
        <v>638</v>
      </c>
      <c r="F1308" s="50" t="s">
        <v>394</v>
      </c>
      <c r="G1308" s="50" t="s">
        <v>12</v>
      </c>
      <c r="H1308" s="28">
        <v>8</v>
      </c>
      <c r="I1308" s="16">
        <v>10</v>
      </c>
      <c r="J1308" s="116">
        <f>14+10</f>
        <v>24</v>
      </c>
      <c r="K1308" s="28">
        <v>14</v>
      </c>
      <c r="L1308" s="28">
        <v>14</v>
      </c>
      <c r="N1308" s="79"/>
      <c r="O1308" s="79"/>
      <c r="P1308" s="80"/>
      <c r="Q1308" s="630"/>
    </row>
    <row r="1309" spans="1:17" x14ac:dyDescent="0.2">
      <c r="A1309" s="50">
        <v>7</v>
      </c>
      <c r="B1309" s="51"/>
      <c r="C1309" s="51"/>
      <c r="D1309" s="629"/>
      <c r="E1309" s="51"/>
      <c r="F1309" s="50" t="s">
        <v>394</v>
      </c>
      <c r="G1309" s="121" t="s">
        <v>608</v>
      </c>
      <c r="H1309" s="123">
        <f>SUM(H1307:H1308)</f>
        <v>851.7</v>
      </c>
      <c r="I1309" s="123">
        <f>SUM(I1307:I1308)</f>
        <v>953.5</v>
      </c>
      <c r="J1309" s="123">
        <f>SUM(J1307:J1308)</f>
        <v>1026.9000000000001</v>
      </c>
      <c r="K1309" s="123">
        <f>SUM(K1307:K1308)</f>
        <v>1062.5</v>
      </c>
      <c r="L1309" s="123">
        <f>SUM(L1307:L1308)</f>
        <v>1079.7</v>
      </c>
      <c r="N1309" s="79"/>
      <c r="O1309" s="79"/>
      <c r="P1309" s="80"/>
      <c r="Q1309" s="630"/>
    </row>
    <row r="1310" spans="1:17" ht="22.5" x14ac:dyDescent="0.2">
      <c r="A1310" s="50">
        <v>7</v>
      </c>
      <c r="B1310" s="51"/>
      <c r="C1310" s="51" t="s">
        <v>1827</v>
      </c>
      <c r="D1310" s="629" t="s">
        <v>395</v>
      </c>
      <c r="E1310" s="51" t="s">
        <v>638</v>
      </c>
      <c r="F1310" s="50" t="s">
        <v>396</v>
      </c>
      <c r="G1310" s="50" t="s">
        <v>12</v>
      </c>
      <c r="H1310" s="28">
        <v>326.5</v>
      </c>
      <c r="I1310" s="16">
        <v>206.7</v>
      </c>
      <c r="J1310" s="116">
        <v>339.8</v>
      </c>
      <c r="K1310" s="28">
        <v>353.8</v>
      </c>
      <c r="L1310" s="28">
        <v>353.8</v>
      </c>
      <c r="N1310" s="79"/>
      <c r="O1310" s="79"/>
      <c r="P1310" s="80"/>
      <c r="Q1310" s="630"/>
    </row>
    <row r="1311" spans="1:17" x14ac:dyDescent="0.2">
      <c r="A1311" s="50">
        <v>7</v>
      </c>
      <c r="B1311" s="51"/>
      <c r="C1311" s="51"/>
      <c r="D1311" s="629"/>
      <c r="E1311" s="51" t="s">
        <v>638</v>
      </c>
      <c r="F1311" s="50" t="s">
        <v>396</v>
      </c>
      <c r="G1311" s="50" t="s">
        <v>9</v>
      </c>
      <c r="H1311" s="28"/>
      <c r="I1311" s="16">
        <v>41.4</v>
      </c>
      <c r="J1311" s="116"/>
      <c r="K1311" s="28"/>
      <c r="L1311" s="28"/>
      <c r="M1311" s="38" t="s">
        <v>739</v>
      </c>
      <c r="N1311" s="79" t="s">
        <v>2385</v>
      </c>
      <c r="O1311" s="79"/>
      <c r="P1311" s="80"/>
      <c r="Q1311" s="630"/>
    </row>
    <row r="1312" spans="1:17" x14ac:dyDescent="0.2">
      <c r="A1312" s="50">
        <v>7</v>
      </c>
      <c r="B1312" s="51"/>
      <c r="C1312" s="51"/>
      <c r="D1312" s="629"/>
      <c r="E1312" s="51"/>
      <c r="F1312" s="50" t="s">
        <v>396</v>
      </c>
      <c r="G1312" s="121" t="s">
        <v>608</v>
      </c>
      <c r="H1312" s="123">
        <f>SUM(H1310:H1311)</f>
        <v>326.5</v>
      </c>
      <c r="I1312" s="123">
        <f>SUM(I1310:I1311)</f>
        <v>248.1</v>
      </c>
      <c r="J1312" s="123">
        <f>SUM(J1310:J1311)</f>
        <v>339.8</v>
      </c>
      <c r="K1312" s="123">
        <f>SUM(K1310:K1311)</f>
        <v>353.8</v>
      </c>
      <c r="L1312" s="123">
        <f>SUM(L1310:L1311)</f>
        <v>353.8</v>
      </c>
      <c r="N1312" s="79"/>
      <c r="O1312" s="79"/>
      <c r="P1312" s="80"/>
      <c r="Q1312" s="630"/>
    </row>
    <row r="1313" spans="1:17" ht="22.5" x14ac:dyDescent="0.2">
      <c r="A1313" s="50">
        <v>7</v>
      </c>
      <c r="B1313" s="51"/>
      <c r="C1313" s="51" t="s">
        <v>1828</v>
      </c>
      <c r="D1313" s="629" t="s">
        <v>397</v>
      </c>
      <c r="E1313" s="51" t="s">
        <v>640</v>
      </c>
      <c r="F1313" s="50" t="s">
        <v>399</v>
      </c>
      <c r="G1313" s="50" t="s">
        <v>9</v>
      </c>
      <c r="H1313" s="28">
        <v>335.3</v>
      </c>
      <c r="I1313" s="16">
        <v>342.6</v>
      </c>
      <c r="J1313" s="116">
        <f>383.3+11</f>
        <v>394.3</v>
      </c>
      <c r="K1313" s="28">
        <f>388.5</f>
        <v>388.5</v>
      </c>
      <c r="L1313" s="28">
        <v>394.6</v>
      </c>
      <c r="M1313" s="38" t="s">
        <v>739</v>
      </c>
      <c r="N1313" s="79" t="s">
        <v>1829</v>
      </c>
      <c r="O1313" s="79"/>
      <c r="P1313" s="80"/>
      <c r="Q1313" s="630"/>
    </row>
    <row r="1314" spans="1:17" x14ac:dyDescent="0.2">
      <c r="A1314" s="50">
        <v>7</v>
      </c>
      <c r="B1314" s="51"/>
      <c r="C1314" s="51"/>
      <c r="D1314" s="629"/>
      <c r="E1314" s="51" t="s">
        <v>640</v>
      </c>
      <c r="F1314" s="50" t="s">
        <v>399</v>
      </c>
      <c r="G1314" s="631" t="s">
        <v>12</v>
      </c>
      <c r="H1314" s="28">
        <f>2+4</f>
        <v>6</v>
      </c>
      <c r="I1314" s="16">
        <v>8.8000000000000007</v>
      </c>
      <c r="J1314" s="116">
        <v>7</v>
      </c>
      <c r="K1314" s="28">
        <v>7</v>
      </c>
      <c r="L1314" s="28">
        <v>7</v>
      </c>
      <c r="N1314" s="79"/>
      <c r="O1314" s="79"/>
      <c r="P1314" s="80"/>
      <c r="Q1314" s="630"/>
    </row>
    <row r="1315" spans="1:17" x14ac:dyDescent="0.2">
      <c r="A1315" s="50">
        <v>7</v>
      </c>
      <c r="B1315" s="51"/>
      <c r="C1315" s="51"/>
      <c r="D1315" s="629"/>
      <c r="E1315" s="51"/>
      <c r="F1315" s="50" t="s">
        <v>399</v>
      </c>
      <c r="G1315" s="121" t="s">
        <v>608</v>
      </c>
      <c r="H1315" s="123">
        <f>SUM(H1313:H1314)</f>
        <v>341.3</v>
      </c>
      <c r="I1315" s="123">
        <f>SUM(I1313:I1314)</f>
        <v>351.40000000000003</v>
      </c>
      <c r="J1315" s="123">
        <f>SUM(J1313:J1314)</f>
        <v>401.3</v>
      </c>
      <c r="K1315" s="123">
        <f>SUM(K1313:K1314)</f>
        <v>395.5</v>
      </c>
      <c r="L1315" s="123">
        <f>SUM(L1313:L1314)</f>
        <v>401.6</v>
      </c>
      <c r="N1315" s="79"/>
      <c r="O1315" s="79"/>
      <c r="P1315" s="80"/>
      <c r="Q1315" s="630"/>
    </row>
    <row r="1316" spans="1:17" ht="22.5" x14ac:dyDescent="0.2">
      <c r="A1316" s="50">
        <v>7</v>
      </c>
      <c r="B1316" s="51"/>
      <c r="C1316" s="51" t="s">
        <v>1830</v>
      </c>
      <c r="D1316" s="629" t="s">
        <v>1831</v>
      </c>
      <c r="E1316" s="51" t="s">
        <v>642</v>
      </c>
      <c r="F1316" s="50" t="s">
        <v>401</v>
      </c>
      <c r="G1316" s="50" t="s">
        <v>9</v>
      </c>
      <c r="H1316" s="28">
        <v>392.3</v>
      </c>
      <c r="I1316" s="16">
        <v>438.1</v>
      </c>
      <c r="J1316" s="116">
        <f>484.3+5</f>
        <v>489.3</v>
      </c>
      <c r="K1316" s="28">
        <v>492.7</v>
      </c>
      <c r="L1316" s="28">
        <v>500.1</v>
      </c>
      <c r="M1316" s="38" t="s">
        <v>739</v>
      </c>
      <c r="N1316" s="79" t="s">
        <v>1832</v>
      </c>
      <c r="O1316" s="79"/>
      <c r="P1316" s="80"/>
      <c r="Q1316" s="630"/>
    </row>
    <row r="1317" spans="1:17" x14ac:dyDescent="0.2">
      <c r="A1317" s="50">
        <v>7</v>
      </c>
      <c r="B1317" s="51"/>
      <c r="C1317" s="51"/>
      <c r="D1317" s="629"/>
      <c r="E1317" s="51" t="s">
        <v>642</v>
      </c>
      <c r="F1317" s="50" t="s">
        <v>401</v>
      </c>
      <c r="G1317" s="631" t="s">
        <v>12</v>
      </c>
      <c r="H1317" s="28">
        <f>6.5+4.5</f>
        <v>11</v>
      </c>
      <c r="I1317" s="16">
        <v>14</v>
      </c>
      <c r="J1317" s="116">
        <f>16+8.2</f>
        <v>24.2</v>
      </c>
      <c r="K1317" s="28">
        <v>16</v>
      </c>
      <c r="L1317" s="28">
        <v>16</v>
      </c>
      <c r="N1317" s="79"/>
      <c r="O1317" s="79"/>
      <c r="P1317" s="80"/>
      <c r="Q1317" s="630"/>
    </row>
    <row r="1318" spans="1:17" x14ac:dyDescent="0.2">
      <c r="A1318" s="50">
        <v>7</v>
      </c>
      <c r="B1318" s="51"/>
      <c r="C1318" s="51"/>
      <c r="D1318" s="629"/>
      <c r="E1318" s="51"/>
      <c r="F1318" s="50" t="s">
        <v>401</v>
      </c>
      <c r="G1318" s="121" t="s">
        <v>608</v>
      </c>
      <c r="H1318" s="123">
        <f>SUM(H1316:H1317)</f>
        <v>403.3</v>
      </c>
      <c r="I1318" s="123">
        <f>SUM(I1316:I1317)</f>
        <v>452.1</v>
      </c>
      <c r="J1318" s="123">
        <f>SUM(J1316:J1317)</f>
        <v>513.5</v>
      </c>
      <c r="K1318" s="123">
        <f>SUM(K1316:K1317)</f>
        <v>508.7</v>
      </c>
      <c r="L1318" s="123">
        <f>SUM(L1316:L1317)</f>
        <v>516.1</v>
      </c>
      <c r="N1318" s="79"/>
      <c r="O1318" s="79"/>
      <c r="P1318" s="80"/>
      <c r="Q1318" s="630"/>
    </row>
    <row r="1319" spans="1:17" ht="26.25" customHeight="1" x14ac:dyDescent="0.2">
      <c r="A1319" s="50">
        <v>7</v>
      </c>
      <c r="B1319" s="51"/>
      <c r="C1319" s="51" t="s">
        <v>1833</v>
      </c>
      <c r="D1319" s="629" t="s">
        <v>402</v>
      </c>
      <c r="E1319" s="51" t="s">
        <v>644</v>
      </c>
      <c r="F1319" s="50" t="s">
        <v>404</v>
      </c>
      <c r="G1319" s="50" t="s">
        <v>9</v>
      </c>
      <c r="H1319" s="28">
        <v>475.9</v>
      </c>
      <c r="I1319" s="16">
        <v>510.4</v>
      </c>
      <c r="J1319" s="116">
        <v>566.70000000000005</v>
      </c>
      <c r="K1319" s="28">
        <v>580.4</v>
      </c>
      <c r="L1319" s="28">
        <v>598</v>
      </c>
      <c r="M1319" s="38" t="s">
        <v>739</v>
      </c>
      <c r="N1319" s="79" t="s">
        <v>1834</v>
      </c>
      <c r="O1319" s="79"/>
      <c r="P1319" s="80"/>
      <c r="Q1319" s="630"/>
    </row>
    <row r="1320" spans="1:17" x14ac:dyDescent="0.2">
      <c r="A1320" s="50">
        <v>7</v>
      </c>
      <c r="B1320" s="51"/>
      <c r="C1320" s="51"/>
      <c r="D1320" s="629"/>
      <c r="E1320" s="51" t="s">
        <v>644</v>
      </c>
      <c r="F1320" s="50" t="s">
        <v>404</v>
      </c>
      <c r="G1320" s="50" t="s">
        <v>12</v>
      </c>
      <c r="H1320" s="28">
        <v>15</v>
      </c>
      <c r="I1320" s="16">
        <v>6.3</v>
      </c>
      <c r="J1320" s="116">
        <v>8</v>
      </c>
      <c r="K1320" s="28">
        <v>8</v>
      </c>
      <c r="L1320" s="28">
        <v>8</v>
      </c>
      <c r="N1320" s="79"/>
      <c r="O1320" s="79"/>
      <c r="P1320" s="80"/>
      <c r="Q1320" s="630"/>
    </row>
    <row r="1321" spans="1:17" x14ac:dyDescent="0.2">
      <c r="A1321" s="50">
        <v>7</v>
      </c>
      <c r="B1321" s="51"/>
      <c r="C1321" s="51"/>
      <c r="D1321" s="629"/>
      <c r="E1321" s="51"/>
      <c r="F1321" s="50" t="s">
        <v>404</v>
      </c>
      <c r="G1321" s="121" t="s">
        <v>608</v>
      </c>
      <c r="H1321" s="123">
        <f>SUM(H1319:H1320)</f>
        <v>490.9</v>
      </c>
      <c r="I1321" s="123">
        <f>SUM(I1319:I1320)</f>
        <v>516.69999999999993</v>
      </c>
      <c r="J1321" s="123">
        <f>SUM(J1319:J1320)</f>
        <v>574.70000000000005</v>
      </c>
      <c r="K1321" s="123">
        <f>SUM(K1319:K1320)</f>
        <v>588.4</v>
      </c>
      <c r="L1321" s="123">
        <f>SUM(L1319:L1320)</f>
        <v>606</v>
      </c>
      <c r="N1321" s="79"/>
      <c r="O1321" s="79"/>
      <c r="P1321" s="80"/>
      <c r="Q1321" s="630"/>
    </row>
    <row r="1322" spans="1:17" x14ac:dyDescent="0.2">
      <c r="A1322" s="50">
        <v>7</v>
      </c>
      <c r="B1322" s="51"/>
      <c r="C1322" s="51" t="s">
        <v>1835</v>
      </c>
      <c r="D1322" s="629" t="s">
        <v>405</v>
      </c>
      <c r="E1322" s="51" t="s">
        <v>646</v>
      </c>
      <c r="F1322" s="50" t="s">
        <v>407</v>
      </c>
      <c r="G1322" s="50" t="s">
        <v>9</v>
      </c>
      <c r="H1322" s="28">
        <v>342.2</v>
      </c>
      <c r="I1322" s="16">
        <v>363.6</v>
      </c>
      <c r="J1322" s="116">
        <v>421.2</v>
      </c>
      <c r="K1322" s="28">
        <v>437.3</v>
      </c>
      <c r="L1322" s="28">
        <v>444</v>
      </c>
      <c r="M1322" s="38" t="s">
        <v>739</v>
      </c>
      <c r="N1322" s="79" t="s">
        <v>1836</v>
      </c>
      <c r="O1322" s="632"/>
      <c r="P1322" s="80"/>
      <c r="Q1322" s="630"/>
    </row>
    <row r="1323" spans="1:17" x14ac:dyDescent="0.2">
      <c r="A1323" s="50">
        <v>7</v>
      </c>
      <c r="B1323" s="51"/>
      <c r="C1323" s="51"/>
      <c r="D1323" s="629"/>
      <c r="E1323" s="51" t="s">
        <v>646</v>
      </c>
      <c r="F1323" s="50" t="s">
        <v>407</v>
      </c>
      <c r="G1323" s="631" t="s">
        <v>12</v>
      </c>
      <c r="H1323" s="28">
        <f>5+0.4+0.4</f>
        <v>5.8000000000000007</v>
      </c>
      <c r="I1323" s="16">
        <v>8.4</v>
      </c>
      <c r="J1323" s="116">
        <f>9.7+8.8</f>
        <v>18.5</v>
      </c>
      <c r="K1323" s="28">
        <v>9.6999999999999993</v>
      </c>
      <c r="L1323" s="28">
        <v>9.6999999999999993</v>
      </c>
      <c r="N1323" s="79"/>
      <c r="O1323" s="79"/>
      <c r="P1323" s="80"/>
      <c r="Q1323" s="630"/>
    </row>
    <row r="1324" spans="1:17" x14ac:dyDescent="0.2">
      <c r="A1324" s="50">
        <v>7</v>
      </c>
      <c r="B1324" s="51"/>
      <c r="C1324" s="51"/>
      <c r="D1324" s="629"/>
      <c r="E1324" s="51"/>
      <c r="F1324" s="50" t="s">
        <v>407</v>
      </c>
      <c r="G1324" s="121" t="s">
        <v>608</v>
      </c>
      <c r="H1324" s="123">
        <f>SUM(H1322:H1323)</f>
        <v>348</v>
      </c>
      <c r="I1324" s="123">
        <f>SUM(I1322:I1323)</f>
        <v>372</v>
      </c>
      <c r="J1324" s="123">
        <f>SUM(J1322:J1323)</f>
        <v>439.7</v>
      </c>
      <c r="K1324" s="123">
        <f>SUM(K1322:K1323)</f>
        <v>447</v>
      </c>
      <c r="L1324" s="123">
        <f>SUM(L1322:L1323)</f>
        <v>453.7</v>
      </c>
      <c r="N1324" s="79"/>
      <c r="O1324" s="79"/>
      <c r="P1324" s="80"/>
      <c r="Q1324" s="630"/>
    </row>
    <row r="1325" spans="1:17" ht="33.75" x14ac:dyDescent="0.2">
      <c r="A1325" s="50">
        <v>7</v>
      </c>
      <c r="B1325" s="51"/>
      <c r="C1325" s="51" t="s">
        <v>1837</v>
      </c>
      <c r="D1325" s="629" t="s">
        <v>1838</v>
      </c>
      <c r="E1325" s="51" t="s">
        <v>634</v>
      </c>
      <c r="F1325" s="50" t="s">
        <v>409</v>
      </c>
      <c r="G1325" s="50" t="s">
        <v>9</v>
      </c>
      <c r="H1325" s="28">
        <v>285.7</v>
      </c>
      <c r="I1325" s="16">
        <v>351.1</v>
      </c>
      <c r="J1325" s="116">
        <v>384.8</v>
      </c>
      <c r="K1325" s="28">
        <v>400.7</v>
      </c>
      <c r="L1325" s="28">
        <v>407.1</v>
      </c>
      <c r="M1325" s="38" t="s">
        <v>739</v>
      </c>
      <c r="N1325" s="79" t="s">
        <v>633</v>
      </c>
      <c r="O1325" s="79"/>
      <c r="P1325" s="80"/>
      <c r="Q1325" s="630"/>
    </row>
    <row r="1326" spans="1:17" x14ac:dyDescent="0.2">
      <c r="A1326" s="50">
        <v>7</v>
      </c>
      <c r="B1326" s="51"/>
      <c r="C1326" s="51"/>
      <c r="D1326" s="629"/>
      <c r="E1326" s="51" t="s">
        <v>634</v>
      </c>
      <c r="F1326" s="50" t="s">
        <v>409</v>
      </c>
      <c r="G1326" s="631" t="s">
        <v>12</v>
      </c>
      <c r="H1326" s="28">
        <v>2</v>
      </c>
      <c r="I1326" s="16">
        <v>2.1</v>
      </c>
      <c r="J1326" s="116">
        <f>3.2+0.5</f>
        <v>3.7</v>
      </c>
      <c r="K1326" s="28">
        <v>3.2</v>
      </c>
      <c r="L1326" s="28">
        <v>3.2</v>
      </c>
      <c r="N1326" s="79"/>
      <c r="O1326" s="79"/>
      <c r="P1326" s="80"/>
      <c r="Q1326" s="630"/>
    </row>
    <row r="1327" spans="1:17" x14ac:dyDescent="0.2">
      <c r="A1327" s="50">
        <v>7</v>
      </c>
      <c r="B1327" s="51"/>
      <c r="C1327" s="51"/>
      <c r="D1327" s="629"/>
      <c r="E1327" s="51"/>
      <c r="F1327" s="50" t="s">
        <v>409</v>
      </c>
      <c r="G1327" s="121" t="s">
        <v>608</v>
      </c>
      <c r="H1327" s="123">
        <f>SUM(H1325:H1326)</f>
        <v>287.7</v>
      </c>
      <c r="I1327" s="123">
        <f>SUM(I1325:I1326)</f>
        <v>353.20000000000005</v>
      </c>
      <c r="J1327" s="123">
        <f>SUM(J1325:J1326)</f>
        <v>388.5</v>
      </c>
      <c r="K1327" s="123">
        <f>SUM(K1325:K1326)</f>
        <v>403.9</v>
      </c>
      <c r="L1327" s="123">
        <f>SUM(L1325:L1326)</f>
        <v>410.3</v>
      </c>
      <c r="N1327" s="79"/>
      <c r="O1327" s="79"/>
      <c r="P1327" s="80"/>
      <c r="Q1327" s="630"/>
    </row>
    <row r="1328" spans="1:17" ht="22.5" x14ac:dyDescent="0.2">
      <c r="A1328" s="50">
        <v>7</v>
      </c>
      <c r="B1328" s="51"/>
      <c r="C1328" s="51" t="s">
        <v>1839</v>
      </c>
      <c r="D1328" s="633" t="s">
        <v>410</v>
      </c>
      <c r="E1328" s="51" t="s">
        <v>632</v>
      </c>
      <c r="F1328" s="50" t="s">
        <v>412</v>
      </c>
      <c r="G1328" s="50" t="s">
        <v>9</v>
      </c>
      <c r="H1328" s="28">
        <v>1287.5999999999999</v>
      </c>
      <c r="I1328" s="16">
        <v>1471.6</v>
      </c>
      <c r="J1328" s="116">
        <v>1637.2</v>
      </c>
      <c r="K1328" s="28">
        <v>1709.9</v>
      </c>
      <c r="L1328" s="28">
        <v>1739.1</v>
      </c>
      <c r="M1328" s="38" t="s">
        <v>739</v>
      </c>
      <c r="N1328" s="79" t="s">
        <v>1840</v>
      </c>
      <c r="O1328" s="79"/>
      <c r="P1328" s="80"/>
      <c r="Q1328" s="630"/>
    </row>
    <row r="1329" spans="1:17" x14ac:dyDescent="0.2">
      <c r="A1329" s="50">
        <v>7</v>
      </c>
      <c r="B1329" s="51"/>
      <c r="C1329" s="51"/>
      <c r="D1329" s="633"/>
      <c r="E1329" s="51" t="s">
        <v>632</v>
      </c>
      <c r="F1329" s="50" t="s">
        <v>412</v>
      </c>
      <c r="G1329" s="50" t="s">
        <v>12</v>
      </c>
      <c r="H1329" s="28">
        <f>4.5+4.5</f>
        <v>9</v>
      </c>
      <c r="I1329" s="16">
        <v>14.2</v>
      </c>
      <c r="J1329" s="116">
        <v>15</v>
      </c>
      <c r="K1329" s="28">
        <v>15</v>
      </c>
      <c r="L1329" s="28">
        <v>15</v>
      </c>
      <c r="N1329" s="79"/>
      <c r="O1329" s="79"/>
      <c r="P1329" s="80"/>
      <c r="Q1329" s="630"/>
    </row>
    <row r="1330" spans="1:17" x14ac:dyDescent="0.2">
      <c r="A1330" s="50">
        <v>7</v>
      </c>
      <c r="B1330" s="51"/>
      <c r="C1330" s="51"/>
      <c r="D1330" s="633"/>
      <c r="E1330" s="51" t="s">
        <v>632</v>
      </c>
      <c r="F1330" s="50" t="s">
        <v>412</v>
      </c>
      <c r="G1330" s="50" t="s">
        <v>11</v>
      </c>
      <c r="H1330" s="28">
        <v>70.7</v>
      </c>
      <c r="I1330" s="16">
        <v>83</v>
      </c>
      <c r="J1330" s="116">
        <v>86.8</v>
      </c>
      <c r="K1330" s="28">
        <v>86.8</v>
      </c>
      <c r="L1330" s="28">
        <v>86.8</v>
      </c>
      <c r="N1330" s="79"/>
      <c r="O1330" s="79"/>
      <c r="P1330" s="80"/>
      <c r="Q1330" s="630"/>
    </row>
    <row r="1331" spans="1:17" x14ac:dyDescent="0.2">
      <c r="A1331" s="50">
        <v>7</v>
      </c>
      <c r="B1331" s="51"/>
      <c r="C1331" s="51"/>
      <c r="D1331" s="633"/>
      <c r="E1331" s="51"/>
      <c r="F1331" s="50" t="s">
        <v>412</v>
      </c>
      <c r="G1331" s="121" t="s">
        <v>608</v>
      </c>
      <c r="H1331" s="123">
        <f>SUM(H1328:H1330)</f>
        <v>1367.3</v>
      </c>
      <c r="I1331" s="123">
        <f>SUM(I1328:I1330)</f>
        <v>1568.8</v>
      </c>
      <c r="J1331" s="123">
        <f>SUM(J1328:J1330)</f>
        <v>1739</v>
      </c>
      <c r="K1331" s="123">
        <f>SUM(K1328:K1330)</f>
        <v>1811.7</v>
      </c>
      <c r="L1331" s="123">
        <f>SUM(L1328:L1330)</f>
        <v>1840.8999999999999</v>
      </c>
      <c r="N1331" s="79"/>
      <c r="O1331" s="79"/>
      <c r="P1331" s="80"/>
      <c r="Q1331" s="630"/>
    </row>
    <row r="1332" spans="1:17" ht="22.5" x14ac:dyDescent="0.2">
      <c r="A1332" s="50">
        <v>7</v>
      </c>
      <c r="B1332" s="51"/>
      <c r="C1332" s="51" t="s">
        <v>1841</v>
      </c>
      <c r="D1332" s="629" t="s">
        <v>432</v>
      </c>
      <c r="E1332" s="51" t="s">
        <v>636</v>
      </c>
      <c r="F1332" s="50" t="s">
        <v>433</v>
      </c>
      <c r="G1332" s="81" t="s">
        <v>9</v>
      </c>
      <c r="H1332" s="37">
        <v>394.1</v>
      </c>
      <c r="I1332" s="16">
        <v>445.9</v>
      </c>
      <c r="J1332" s="116">
        <v>521.9</v>
      </c>
      <c r="K1332" s="37">
        <v>543.6</v>
      </c>
      <c r="L1332" s="37">
        <v>553</v>
      </c>
      <c r="M1332" s="38" t="s">
        <v>739</v>
      </c>
      <c r="N1332" s="79" t="s">
        <v>635</v>
      </c>
      <c r="O1332" s="79"/>
      <c r="P1332" s="80"/>
      <c r="Q1332" s="630"/>
    </row>
    <row r="1333" spans="1:17" x14ac:dyDescent="0.2">
      <c r="A1333" s="50">
        <v>7</v>
      </c>
      <c r="B1333" s="51"/>
      <c r="C1333" s="51"/>
      <c r="D1333" s="633"/>
      <c r="E1333" s="51" t="s">
        <v>636</v>
      </c>
      <c r="F1333" s="50" t="s">
        <v>433</v>
      </c>
      <c r="G1333" s="81" t="s">
        <v>12</v>
      </c>
      <c r="H1333" s="37">
        <v>20</v>
      </c>
      <c r="I1333" s="16">
        <v>12</v>
      </c>
      <c r="J1333" s="116">
        <v>15</v>
      </c>
      <c r="K1333" s="37">
        <v>15</v>
      </c>
      <c r="L1333" s="37">
        <v>15</v>
      </c>
      <c r="N1333" s="79"/>
      <c r="O1333" s="79"/>
      <c r="P1333" s="80"/>
      <c r="Q1333" s="630"/>
    </row>
    <row r="1334" spans="1:17" x14ac:dyDescent="0.2">
      <c r="A1334" s="50">
        <v>7</v>
      </c>
      <c r="B1334" s="51"/>
      <c r="C1334" s="51"/>
      <c r="D1334" s="633"/>
      <c r="E1334" s="51"/>
      <c r="F1334" s="50" t="s">
        <v>433</v>
      </c>
      <c r="G1334" s="121" t="s">
        <v>608</v>
      </c>
      <c r="H1334" s="123"/>
      <c r="I1334" s="123">
        <f>SUM(I1332:I1333)</f>
        <v>457.9</v>
      </c>
      <c r="J1334" s="123">
        <f>SUM(J1332:J1333)</f>
        <v>536.9</v>
      </c>
      <c r="K1334" s="123">
        <f>SUM(K1332:K1333)</f>
        <v>558.6</v>
      </c>
      <c r="L1334" s="123">
        <f>SUM(L1332:L1333)</f>
        <v>568</v>
      </c>
      <c r="N1334" s="79"/>
      <c r="O1334" s="79"/>
      <c r="P1334" s="80"/>
      <c r="Q1334" s="630"/>
    </row>
    <row r="1335" spans="1:17" ht="22.5" x14ac:dyDescent="0.2">
      <c r="A1335" s="50">
        <v>7</v>
      </c>
      <c r="B1335" s="51"/>
      <c r="C1335" s="51" t="s">
        <v>1842</v>
      </c>
      <c r="D1335" s="634" t="s">
        <v>1843</v>
      </c>
      <c r="E1335" s="51" t="s">
        <v>144</v>
      </c>
      <c r="F1335" s="50" t="s">
        <v>413</v>
      </c>
      <c r="G1335" s="50" t="s">
        <v>9</v>
      </c>
      <c r="H1335" s="28">
        <f>150-11</f>
        <v>139</v>
      </c>
      <c r="I1335" s="16">
        <v>152.69999999999999</v>
      </c>
      <c r="J1335" s="116">
        <v>185</v>
      </c>
      <c r="K1335" s="28">
        <v>208.2</v>
      </c>
      <c r="L1335" s="28">
        <v>211.8</v>
      </c>
      <c r="M1335" s="38" t="s">
        <v>782</v>
      </c>
      <c r="N1335" s="79" t="s">
        <v>2386</v>
      </c>
      <c r="O1335" s="79" t="s">
        <v>1004</v>
      </c>
      <c r="P1335" s="80">
        <v>100</v>
      </c>
      <c r="Q1335" s="630"/>
    </row>
    <row r="1336" spans="1:17" x14ac:dyDescent="0.2">
      <c r="A1336" s="50">
        <v>7</v>
      </c>
      <c r="B1336" s="51"/>
      <c r="C1336" s="51"/>
      <c r="D1336" s="629"/>
      <c r="E1336" s="51"/>
      <c r="F1336" s="50" t="s">
        <v>413</v>
      </c>
      <c r="G1336" s="121" t="s">
        <v>608</v>
      </c>
      <c r="H1336" s="123">
        <f>SUM(H1335)</f>
        <v>139</v>
      </c>
      <c r="I1336" s="123">
        <f>SUM(I1335)</f>
        <v>152.69999999999999</v>
      </c>
      <c r="J1336" s="123">
        <f>SUM(J1335)</f>
        <v>185</v>
      </c>
      <c r="K1336" s="123">
        <f>SUM(K1335)</f>
        <v>208.2</v>
      </c>
      <c r="L1336" s="123">
        <f>SUM(L1335)</f>
        <v>211.8</v>
      </c>
      <c r="N1336" s="79"/>
      <c r="O1336" s="79"/>
      <c r="P1336" s="80"/>
      <c r="Q1336" s="630"/>
    </row>
    <row r="1337" spans="1:17" ht="22.5" x14ac:dyDescent="0.2">
      <c r="A1337" s="50">
        <v>7</v>
      </c>
      <c r="B1337" s="142" t="s">
        <v>1844</v>
      </c>
      <c r="C1337" s="142" t="s">
        <v>1844</v>
      </c>
      <c r="D1337" s="191" t="s">
        <v>417</v>
      </c>
      <c r="E1337" s="51"/>
      <c r="F1337" s="50"/>
      <c r="G1337" s="81"/>
      <c r="H1337" s="37"/>
      <c r="I1337" s="144">
        <f>SUM(I1339,I1345)</f>
        <v>48.7</v>
      </c>
      <c r="J1337" s="144">
        <f>SUM(J1339,J1345)</f>
        <v>131.19999999999999</v>
      </c>
      <c r="K1337" s="144">
        <f>SUM(K1339,K1345)</f>
        <v>100</v>
      </c>
      <c r="L1337" s="144">
        <f>SUM(L1339,L1345)</f>
        <v>100</v>
      </c>
      <c r="N1337" s="79"/>
      <c r="O1337" s="79"/>
      <c r="P1337" s="80"/>
      <c r="Q1337" s="630"/>
    </row>
    <row r="1338" spans="1:17" ht="45" x14ac:dyDescent="0.2">
      <c r="A1338" s="50">
        <v>7</v>
      </c>
      <c r="B1338" s="51"/>
      <c r="C1338" s="51" t="s">
        <v>2425</v>
      </c>
      <c r="D1338" s="35" t="s">
        <v>418</v>
      </c>
      <c r="E1338" s="51" t="s">
        <v>1470</v>
      </c>
      <c r="F1338" s="50" t="s">
        <v>419</v>
      </c>
      <c r="G1338" s="50" t="s">
        <v>9</v>
      </c>
      <c r="H1338" s="635">
        <v>25</v>
      </c>
      <c r="I1338" s="16">
        <f>50-22.4</f>
        <v>27.6</v>
      </c>
      <c r="J1338" s="116">
        <f>50+20+8.5</f>
        <v>78.5</v>
      </c>
      <c r="K1338" s="635">
        <v>50</v>
      </c>
      <c r="L1338" s="635">
        <v>50</v>
      </c>
      <c r="M1338" s="38" t="s">
        <v>796</v>
      </c>
      <c r="N1338" s="79" t="s">
        <v>1845</v>
      </c>
      <c r="O1338" s="79" t="s">
        <v>1846</v>
      </c>
      <c r="P1338" s="80">
        <v>2</v>
      </c>
      <c r="Q1338" s="630"/>
    </row>
    <row r="1339" spans="1:17" ht="22.5" x14ac:dyDescent="0.2">
      <c r="A1339" s="50">
        <v>7</v>
      </c>
      <c r="B1339" s="51"/>
      <c r="C1339" s="51"/>
      <c r="D1339" s="629"/>
      <c r="E1339" s="51" t="s">
        <v>1470</v>
      </c>
      <c r="F1339" s="50" t="s">
        <v>419</v>
      </c>
      <c r="G1339" s="121" t="s">
        <v>608</v>
      </c>
      <c r="H1339" s="123">
        <f>SUM(H1338)</f>
        <v>25</v>
      </c>
      <c r="I1339" s="123">
        <f>SUM(I1338)</f>
        <v>27.6</v>
      </c>
      <c r="J1339" s="123">
        <f>SUM(J1338)</f>
        <v>78.5</v>
      </c>
      <c r="K1339" s="123">
        <f>SUM(K1338)</f>
        <v>50</v>
      </c>
      <c r="L1339" s="123">
        <f>SUM(L1338)</f>
        <v>50</v>
      </c>
      <c r="N1339" s="79"/>
      <c r="O1339" s="79" t="s">
        <v>1847</v>
      </c>
      <c r="P1339" s="80">
        <v>5</v>
      </c>
      <c r="Q1339" s="630"/>
    </row>
    <row r="1340" spans="1:17" ht="22.5" x14ac:dyDescent="0.2">
      <c r="A1340" s="50">
        <v>7</v>
      </c>
      <c r="B1340" s="51"/>
      <c r="C1340" s="51" t="s">
        <v>2426</v>
      </c>
      <c r="D1340" s="35" t="s">
        <v>420</v>
      </c>
      <c r="E1340" s="51" t="s">
        <v>1470</v>
      </c>
      <c r="F1340" s="50" t="s">
        <v>421</v>
      </c>
      <c r="G1340" s="50" t="s">
        <v>9</v>
      </c>
      <c r="H1340" s="636">
        <v>100</v>
      </c>
      <c r="I1340" s="16">
        <f>20-20</f>
        <v>0</v>
      </c>
      <c r="J1340" s="116">
        <f>50+20-20-50</f>
        <v>0</v>
      </c>
      <c r="K1340" s="637">
        <v>50</v>
      </c>
      <c r="L1340" s="637">
        <v>50</v>
      </c>
      <c r="M1340" s="38" t="s">
        <v>796</v>
      </c>
      <c r="N1340" s="79" t="s">
        <v>1848</v>
      </c>
      <c r="O1340" s="79" t="s">
        <v>1849</v>
      </c>
      <c r="P1340" s="80">
        <v>1</v>
      </c>
      <c r="Q1340" s="630"/>
    </row>
    <row r="1341" spans="1:17" x14ac:dyDescent="0.2">
      <c r="A1341" s="50">
        <v>7</v>
      </c>
      <c r="B1341" s="51"/>
      <c r="C1341" s="51"/>
      <c r="D1341" s="629"/>
      <c r="E1341" s="51" t="s">
        <v>636</v>
      </c>
      <c r="F1341" s="50" t="s">
        <v>421</v>
      </c>
      <c r="G1341" s="50" t="s">
        <v>9</v>
      </c>
      <c r="H1341" s="636"/>
      <c r="I1341" s="16">
        <v>20</v>
      </c>
      <c r="J1341" s="116">
        <f>22</f>
        <v>22</v>
      </c>
      <c r="K1341" s="637"/>
      <c r="L1341" s="637"/>
      <c r="M1341" s="38" t="s">
        <v>796</v>
      </c>
      <c r="N1341" s="79"/>
      <c r="O1341" s="79"/>
      <c r="P1341" s="80"/>
      <c r="Q1341" s="630"/>
    </row>
    <row r="1342" spans="1:17" x14ac:dyDescent="0.2">
      <c r="A1342" s="50">
        <v>7</v>
      </c>
      <c r="B1342" s="51"/>
      <c r="C1342" s="51"/>
      <c r="D1342" s="629"/>
      <c r="E1342" s="51" t="s">
        <v>638</v>
      </c>
      <c r="F1342" s="50" t="s">
        <v>421</v>
      </c>
      <c r="G1342" s="50" t="s">
        <v>9</v>
      </c>
      <c r="H1342" s="636"/>
      <c r="I1342" s="16">
        <v>1.1000000000000001</v>
      </c>
      <c r="J1342" s="116"/>
      <c r="K1342" s="637"/>
      <c r="L1342" s="637"/>
      <c r="M1342" s="38" t="s">
        <v>796</v>
      </c>
      <c r="N1342" s="79"/>
      <c r="O1342" s="79"/>
      <c r="P1342" s="80"/>
      <c r="Q1342" s="630"/>
    </row>
    <row r="1343" spans="1:17" x14ac:dyDescent="0.2">
      <c r="A1343" s="50">
        <v>7</v>
      </c>
      <c r="B1343" s="51"/>
      <c r="C1343" s="51"/>
      <c r="D1343" s="629"/>
      <c r="E1343" s="51" t="s">
        <v>585</v>
      </c>
      <c r="F1343" s="50" t="s">
        <v>421</v>
      </c>
      <c r="G1343" s="50" t="s">
        <v>9</v>
      </c>
      <c r="H1343" s="636"/>
      <c r="I1343" s="16"/>
      <c r="J1343" s="116">
        <f>28</f>
        <v>28</v>
      </c>
      <c r="K1343" s="637"/>
      <c r="L1343" s="637"/>
      <c r="M1343" s="38" t="s">
        <v>796</v>
      </c>
      <c r="N1343" s="79" t="s">
        <v>698</v>
      </c>
      <c r="O1343" s="632" t="s">
        <v>2513</v>
      </c>
      <c r="P1343" s="80">
        <v>1</v>
      </c>
      <c r="Q1343" s="630"/>
    </row>
    <row r="1344" spans="1:17" ht="22.5" x14ac:dyDescent="0.2">
      <c r="A1344" s="50">
        <v>7</v>
      </c>
      <c r="B1344" s="51"/>
      <c r="C1344" s="51"/>
      <c r="D1344" s="629"/>
      <c r="E1344" s="1394" t="s">
        <v>1218</v>
      </c>
      <c r="F1344" s="31" t="s">
        <v>421</v>
      </c>
      <c r="G1344" s="31" t="s">
        <v>9</v>
      </c>
      <c r="H1344" s="636"/>
      <c r="I1344" s="16"/>
      <c r="J1344" s="116">
        <v>2.7</v>
      </c>
      <c r="K1344" s="637"/>
      <c r="L1344" s="637"/>
      <c r="M1344" s="38" t="s">
        <v>796</v>
      </c>
      <c r="N1344" s="79" t="s">
        <v>1586</v>
      </c>
      <c r="O1344" s="79" t="s">
        <v>2431</v>
      </c>
      <c r="P1344" s="80">
        <v>1</v>
      </c>
      <c r="Q1344" s="630"/>
    </row>
    <row r="1345" spans="1:17" x14ac:dyDescent="0.2">
      <c r="A1345" s="50">
        <v>7</v>
      </c>
      <c r="B1345" s="51"/>
      <c r="C1345" s="51"/>
      <c r="D1345" s="629"/>
      <c r="E1345" s="51"/>
      <c r="F1345" s="50" t="s">
        <v>421</v>
      </c>
      <c r="G1345" s="121" t="s">
        <v>608</v>
      </c>
      <c r="H1345" s="123">
        <f>SUM(H1340:H1340)</f>
        <v>100</v>
      </c>
      <c r="I1345" s="123">
        <f>SUM(I1340:I1344)</f>
        <v>21.1</v>
      </c>
      <c r="J1345" s="123">
        <f t="shared" ref="J1345:L1345" si="264">SUM(J1340:J1344)</f>
        <v>52.7</v>
      </c>
      <c r="K1345" s="123">
        <f t="shared" si="264"/>
        <v>50</v>
      </c>
      <c r="L1345" s="123">
        <f t="shared" si="264"/>
        <v>50</v>
      </c>
      <c r="N1345" s="79"/>
      <c r="O1345" s="79"/>
      <c r="P1345" s="80"/>
      <c r="Q1345" s="630"/>
    </row>
    <row r="1346" spans="1:17" ht="22.5" x14ac:dyDescent="0.2">
      <c r="A1346" s="50">
        <v>7</v>
      </c>
      <c r="B1346" s="107"/>
      <c r="C1346" s="107"/>
      <c r="D1346" s="108" t="s">
        <v>1850</v>
      </c>
      <c r="E1346" s="626"/>
      <c r="F1346" s="107"/>
      <c r="G1346" s="110"/>
      <c r="H1346" s="109"/>
      <c r="I1346" s="109"/>
      <c r="J1346" s="109"/>
      <c r="K1346" s="627"/>
      <c r="L1346" s="627"/>
      <c r="N1346" s="79"/>
      <c r="O1346" s="79"/>
      <c r="P1346" s="80"/>
      <c r="Q1346" s="630"/>
    </row>
    <row r="1347" spans="1:17" ht="22.5" x14ac:dyDescent="0.2">
      <c r="A1347" s="50">
        <v>7</v>
      </c>
      <c r="B1347" s="142" t="s">
        <v>1851</v>
      </c>
      <c r="C1347" s="142" t="s">
        <v>1851</v>
      </c>
      <c r="D1347" s="191" t="s">
        <v>1822</v>
      </c>
      <c r="E1347" s="102"/>
      <c r="F1347" s="628"/>
      <c r="G1347" s="628"/>
      <c r="H1347" s="28"/>
      <c r="I1347" s="144">
        <f>I1362+I1366+I1371+I1374+I1377+I1379+I1381+I1384</f>
        <v>2385.0000000000005</v>
      </c>
      <c r="J1347" s="144">
        <f t="shared" ref="J1347:L1347" si="265">J1362+J1366+J1371+J1374+J1377+J1379+J1381+J1384</f>
        <v>3215.9</v>
      </c>
      <c r="K1347" s="144">
        <f t="shared" si="265"/>
        <v>3220</v>
      </c>
      <c r="L1347" s="144">
        <f t="shared" si="265"/>
        <v>2900</v>
      </c>
      <c r="N1347" s="641"/>
      <c r="O1347" s="79"/>
      <c r="P1347" s="80"/>
      <c r="Q1347" s="642"/>
    </row>
    <row r="1348" spans="1:17" x14ac:dyDescent="0.2">
      <c r="A1348" s="50">
        <v>7</v>
      </c>
      <c r="B1348" s="674"/>
      <c r="C1348" s="674"/>
      <c r="D1348" s="91"/>
      <c r="E1348" s="638"/>
      <c r="F1348" s="50"/>
      <c r="G1348" s="639" t="s">
        <v>9</v>
      </c>
      <c r="H1348" s="640">
        <v>1482.6000000000001</v>
      </c>
      <c r="I1348" s="640">
        <f>SUM(I1353:I1361,I1363,I1367,I1372,I1375,I1368,I1378,I1380)</f>
        <v>1507.5</v>
      </c>
      <c r="J1348" s="640">
        <f>SUM(J1353:J1361,J1363,J1367,J1372,J1375,J1368,J1378,J1380)</f>
        <v>3215.9</v>
      </c>
      <c r="K1348" s="640">
        <f>SUM(K1353:K1361,K1363,K1367,K1372,K1375,K1368,K1378,K1380)</f>
        <v>2220</v>
      </c>
      <c r="L1348" s="640">
        <f>SUM(L1353:L1361,L1363,L1367,L1372,L1375,L1368,L1378,L1380)</f>
        <v>300</v>
      </c>
      <c r="N1348" s="641"/>
      <c r="O1348" s="79"/>
      <c r="P1348" s="80"/>
      <c r="Q1348" s="642"/>
    </row>
    <row r="1349" spans="1:17" x14ac:dyDescent="0.2">
      <c r="A1349" s="50">
        <v>7</v>
      </c>
      <c r="B1349" s="51"/>
      <c r="C1349" s="51"/>
      <c r="D1349" s="379"/>
      <c r="E1349" s="638"/>
      <c r="F1349" s="50"/>
      <c r="G1349" s="639" t="s">
        <v>59</v>
      </c>
      <c r="H1349" s="640">
        <v>0</v>
      </c>
      <c r="I1349" s="640">
        <f t="shared" ref="I1349:L1350" si="266">I1364</f>
        <v>6.3000000000000007</v>
      </c>
      <c r="J1349" s="640">
        <f t="shared" si="266"/>
        <v>0</v>
      </c>
      <c r="K1349" s="640">
        <f t="shared" si="266"/>
        <v>0</v>
      </c>
      <c r="L1349" s="640">
        <f t="shared" si="266"/>
        <v>0</v>
      </c>
      <c r="N1349" s="641"/>
      <c r="O1349" s="1312"/>
      <c r="P1349" s="80"/>
      <c r="Q1349" s="642"/>
    </row>
    <row r="1350" spans="1:17" x14ac:dyDescent="0.2">
      <c r="A1350" s="50">
        <v>7</v>
      </c>
      <c r="B1350" s="51"/>
      <c r="C1350" s="51"/>
      <c r="D1350" s="379"/>
      <c r="E1350" s="638"/>
      <c r="F1350" s="50"/>
      <c r="G1350" s="639" t="s">
        <v>58</v>
      </c>
      <c r="H1350" s="640">
        <v>0</v>
      </c>
      <c r="I1350" s="640">
        <f t="shared" si="266"/>
        <v>35.6</v>
      </c>
      <c r="J1350" s="640">
        <f t="shared" si="266"/>
        <v>0</v>
      </c>
      <c r="K1350" s="640">
        <f t="shared" si="266"/>
        <v>0</v>
      </c>
      <c r="L1350" s="640">
        <f t="shared" si="266"/>
        <v>0</v>
      </c>
      <c r="N1350" s="641"/>
      <c r="O1350" s="1312"/>
      <c r="P1350" s="80"/>
      <c r="Q1350" s="642"/>
    </row>
    <row r="1351" spans="1:17" x14ac:dyDescent="0.2">
      <c r="A1351" s="50">
        <v>7</v>
      </c>
      <c r="B1351" s="51"/>
      <c r="C1351" s="51"/>
      <c r="D1351" s="379"/>
      <c r="E1351" s="638"/>
      <c r="F1351" s="50"/>
      <c r="G1351" s="639" t="s">
        <v>10</v>
      </c>
      <c r="H1351" s="640"/>
      <c r="I1351" s="640">
        <f t="shared" ref="I1351:L1352" si="267">I1369</f>
        <v>468.70000000000005</v>
      </c>
      <c r="J1351" s="640">
        <f t="shared" si="267"/>
        <v>0</v>
      </c>
      <c r="K1351" s="640">
        <f t="shared" si="267"/>
        <v>0</v>
      </c>
      <c r="L1351" s="640">
        <f t="shared" si="267"/>
        <v>0</v>
      </c>
      <c r="N1351" s="632"/>
      <c r="O1351" s="1313"/>
      <c r="P1351" s="643"/>
      <c r="Q1351" s="630"/>
    </row>
    <row r="1352" spans="1:17" ht="22.5" x14ac:dyDescent="0.2">
      <c r="A1352" s="50">
        <v>7</v>
      </c>
      <c r="B1352" s="51"/>
      <c r="C1352" s="51"/>
      <c r="D1352" s="811"/>
      <c r="E1352" s="638"/>
      <c r="F1352" s="50"/>
      <c r="G1352" s="639" t="s">
        <v>97</v>
      </c>
      <c r="H1352" s="640">
        <v>513</v>
      </c>
      <c r="I1352" s="640">
        <f t="shared" si="267"/>
        <v>366.9</v>
      </c>
      <c r="J1352" s="640">
        <f t="shared" si="267"/>
        <v>0</v>
      </c>
      <c r="K1352" s="640">
        <f t="shared" si="267"/>
        <v>0</v>
      </c>
      <c r="L1352" s="640">
        <f t="shared" si="267"/>
        <v>0</v>
      </c>
      <c r="N1352" s="632"/>
      <c r="O1352" s="1313"/>
      <c r="P1352" s="643"/>
      <c r="Q1352" s="630"/>
    </row>
    <row r="1353" spans="1:17" ht="33.75" x14ac:dyDescent="0.2">
      <c r="A1353" s="50">
        <v>7</v>
      </c>
      <c r="B1353" s="51"/>
      <c r="C1353" s="804" t="s">
        <v>1852</v>
      </c>
      <c r="D1353" s="35" t="s">
        <v>414</v>
      </c>
      <c r="E1353" s="810">
        <v>8</v>
      </c>
      <c r="F1353" s="50" t="s">
        <v>415</v>
      </c>
      <c r="G1353" s="192" t="s">
        <v>9</v>
      </c>
      <c r="H1353" s="7">
        <v>402</v>
      </c>
      <c r="I1353" s="63">
        <v>6</v>
      </c>
      <c r="J1353" s="176"/>
      <c r="K1353" s="7">
        <v>300</v>
      </c>
      <c r="L1353" s="7">
        <v>300</v>
      </c>
      <c r="N1353" s="79" t="s">
        <v>1848</v>
      </c>
      <c r="O1353" s="1312" t="s">
        <v>2399</v>
      </c>
      <c r="P1353" s="80">
        <v>100</v>
      </c>
      <c r="Q1353" s="630"/>
    </row>
    <row r="1354" spans="1:17" x14ac:dyDescent="0.2">
      <c r="A1354" s="50">
        <v>7</v>
      </c>
      <c r="B1354" s="51"/>
      <c r="C1354" s="804"/>
      <c r="D1354" s="812"/>
      <c r="E1354" s="810" t="s">
        <v>632</v>
      </c>
      <c r="F1354" s="50" t="s">
        <v>415</v>
      </c>
      <c r="G1354" s="192" t="s">
        <v>9</v>
      </c>
      <c r="H1354" s="7"/>
      <c r="I1354" s="63">
        <v>28.4</v>
      </c>
      <c r="J1354" s="176">
        <v>60</v>
      </c>
      <c r="K1354" s="7"/>
      <c r="L1354" s="7"/>
      <c r="N1354" s="644" t="s">
        <v>1840</v>
      </c>
      <c r="O1354" s="1313"/>
      <c r="P1354" s="80"/>
      <c r="Q1354" s="630"/>
    </row>
    <row r="1355" spans="1:17" ht="17.25" x14ac:dyDescent="0.2">
      <c r="A1355" s="50">
        <v>7</v>
      </c>
      <c r="B1355" s="51"/>
      <c r="C1355" s="804"/>
      <c r="D1355" s="812"/>
      <c r="E1355" s="810" t="s">
        <v>634</v>
      </c>
      <c r="F1355" s="50" t="s">
        <v>415</v>
      </c>
      <c r="G1355" s="192" t="s">
        <v>9</v>
      </c>
      <c r="H1355" s="7"/>
      <c r="I1355" s="63">
        <v>48.4</v>
      </c>
      <c r="J1355" s="176">
        <v>10</v>
      </c>
      <c r="K1355" s="7"/>
      <c r="L1355" s="7"/>
      <c r="N1355" s="645" t="s">
        <v>633</v>
      </c>
      <c r="O1355" s="1312"/>
      <c r="P1355" s="80"/>
      <c r="Q1355" s="630"/>
    </row>
    <row r="1356" spans="1:17" x14ac:dyDescent="0.2">
      <c r="A1356" s="50">
        <v>7</v>
      </c>
      <c r="B1356" s="51"/>
      <c r="C1356" s="804"/>
      <c r="D1356" s="812"/>
      <c r="E1356" s="810" t="s">
        <v>636</v>
      </c>
      <c r="F1356" s="50" t="s">
        <v>415</v>
      </c>
      <c r="G1356" s="192" t="s">
        <v>9</v>
      </c>
      <c r="H1356" s="7"/>
      <c r="I1356" s="63">
        <v>4.4000000000000004</v>
      </c>
      <c r="J1356" s="176">
        <v>69.599999999999994</v>
      </c>
      <c r="K1356" s="7"/>
      <c r="L1356" s="7"/>
      <c r="N1356" s="644" t="s">
        <v>635</v>
      </c>
      <c r="O1356" s="1312"/>
      <c r="P1356" s="80"/>
      <c r="Q1356" s="630"/>
    </row>
    <row r="1357" spans="1:17" x14ac:dyDescent="0.2">
      <c r="A1357" s="50">
        <v>7</v>
      </c>
      <c r="B1357" s="51"/>
      <c r="C1357" s="804"/>
      <c r="D1357" s="812"/>
      <c r="E1357" s="810" t="s">
        <v>638</v>
      </c>
      <c r="F1357" s="50" t="s">
        <v>415</v>
      </c>
      <c r="G1357" s="192" t="s">
        <v>9</v>
      </c>
      <c r="H1357" s="7"/>
      <c r="I1357" s="63">
        <v>121.7</v>
      </c>
      <c r="J1357" s="176">
        <v>17</v>
      </c>
      <c r="K1357" s="7"/>
      <c r="L1357" s="7"/>
      <c r="N1357" s="644" t="s">
        <v>637</v>
      </c>
      <c r="O1357" s="1312"/>
      <c r="P1357" s="80"/>
      <c r="Q1357" s="630"/>
    </row>
    <row r="1358" spans="1:17" x14ac:dyDescent="0.2">
      <c r="A1358" s="50">
        <v>7</v>
      </c>
      <c r="B1358" s="51"/>
      <c r="C1358" s="804"/>
      <c r="D1358" s="812"/>
      <c r="E1358" s="810" t="s">
        <v>640</v>
      </c>
      <c r="F1358" s="50" t="s">
        <v>415</v>
      </c>
      <c r="G1358" s="192" t="s">
        <v>9</v>
      </c>
      <c r="H1358" s="7"/>
      <c r="I1358" s="63">
        <v>8.8000000000000007</v>
      </c>
      <c r="J1358" s="176">
        <v>30.5</v>
      </c>
      <c r="K1358" s="7"/>
      <c r="L1358" s="7"/>
      <c r="N1358" s="644" t="s">
        <v>639</v>
      </c>
      <c r="O1358" s="1312"/>
      <c r="P1358" s="80"/>
      <c r="Q1358" s="630"/>
    </row>
    <row r="1359" spans="1:17" ht="16.5" x14ac:dyDescent="0.2">
      <c r="A1359" s="50">
        <v>7</v>
      </c>
      <c r="B1359" s="51"/>
      <c r="C1359" s="804"/>
      <c r="D1359" s="812"/>
      <c r="E1359" s="810" t="s">
        <v>642</v>
      </c>
      <c r="F1359" s="50" t="s">
        <v>415</v>
      </c>
      <c r="G1359" s="192" t="s">
        <v>9</v>
      </c>
      <c r="H1359" s="7"/>
      <c r="I1359" s="63">
        <v>24.3</v>
      </c>
      <c r="J1359" s="176">
        <v>59</v>
      </c>
      <c r="K1359" s="7"/>
      <c r="L1359" s="7"/>
      <c r="N1359" s="644" t="s">
        <v>641</v>
      </c>
      <c r="O1359" s="1312"/>
      <c r="P1359" s="80"/>
      <c r="Q1359" s="630"/>
    </row>
    <row r="1360" spans="1:17" x14ac:dyDescent="0.2">
      <c r="A1360" s="50">
        <v>7</v>
      </c>
      <c r="B1360" s="51"/>
      <c r="C1360" s="804"/>
      <c r="D1360" s="812"/>
      <c r="E1360" s="810" t="s">
        <v>644</v>
      </c>
      <c r="F1360" s="50" t="s">
        <v>415</v>
      </c>
      <c r="G1360" s="192" t="s">
        <v>9</v>
      </c>
      <c r="H1360" s="7"/>
      <c r="I1360" s="63">
        <v>48.4</v>
      </c>
      <c r="J1360" s="176">
        <v>35</v>
      </c>
      <c r="K1360" s="7"/>
      <c r="L1360" s="7"/>
      <c r="N1360" s="644" t="s">
        <v>643</v>
      </c>
      <c r="O1360" s="1312"/>
      <c r="P1360" s="80"/>
      <c r="Q1360" s="630"/>
    </row>
    <row r="1361" spans="1:17" x14ac:dyDescent="0.2">
      <c r="A1361" s="50">
        <v>7</v>
      </c>
      <c r="B1361" s="51"/>
      <c r="C1361" s="804"/>
      <c r="D1361" s="812"/>
      <c r="E1361" s="810" t="s">
        <v>646</v>
      </c>
      <c r="F1361" s="50" t="s">
        <v>415</v>
      </c>
      <c r="G1361" s="192" t="s">
        <v>9</v>
      </c>
      <c r="H1361" s="7"/>
      <c r="I1361" s="63">
        <v>9.6</v>
      </c>
      <c r="J1361" s="176">
        <v>18.899999999999999</v>
      </c>
      <c r="K1361" s="7"/>
      <c r="L1361" s="7"/>
      <c r="N1361" s="644" t="s">
        <v>645</v>
      </c>
      <c r="O1361" s="1312"/>
      <c r="P1361" s="80"/>
      <c r="Q1361" s="630"/>
    </row>
    <row r="1362" spans="1:17" x14ac:dyDescent="0.2">
      <c r="A1362" s="50">
        <v>7</v>
      </c>
      <c r="B1362" s="51"/>
      <c r="C1362" s="804"/>
      <c r="D1362" s="812"/>
      <c r="E1362" s="810"/>
      <c r="F1362" s="50" t="s">
        <v>415</v>
      </c>
      <c r="G1362" s="121" t="s">
        <v>608</v>
      </c>
      <c r="H1362" s="123"/>
      <c r="I1362" s="123">
        <f>SUM(I1353:I1361)</f>
        <v>300.00000000000006</v>
      </c>
      <c r="J1362" s="123">
        <f t="shared" ref="J1362:L1362" si="268">SUM(J1353:J1361)</f>
        <v>300</v>
      </c>
      <c r="K1362" s="123">
        <f t="shared" si="268"/>
        <v>300</v>
      </c>
      <c r="L1362" s="123">
        <f t="shared" si="268"/>
        <v>300</v>
      </c>
      <c r="M1362" s="38" t="s">
        <v>796</v>
      </c>
      <c r="N1362" s="79"/>
      <c r="O1362" s="1312"/>
      <c r="P1362" s="80"/>
      <c r="Q1362" s="630"/>
    </row>
    <row r="1363" spans="1:17" ht="33.75" x14ac:dyDescent="0.2">
      <c r="A1363" s="50">
        <v>7</v>
      </c>
      <c r="B1363" s="51"/>
      <c r="C1363" s="51" t="s">
        <v>1853</v>
      </c>
      <c r="D1363" s="1170" t="s">
        <v>422</v>
      </c>
      <c r="E1363" s="192">
        <v>9</v>
      </c>
      <c r="F1363" s="50" t="s">
        <v>423</v>
      </c>
      <c r="G1363" s="50" t="s">
        <v>9</v>
      </c>
      <c r="H1363" s="646">
        <v>783</v>
      </c>
      <c r="I1363" s="16">
        <v>48.4</v>
      </c>
      <c r="J1363" s="116"/>
      <c r="K1363" s="7"/>
      <c r="L1363" s="7"/>
      <c r="M1363" s="38" t="s">
        <v>787</v>
      </c>
      <c r="N1363" s="79"/>
      <c r="O1363" s="1312"/>
      <c r="P1363" s="80"/>
      <c r="Q1363" s="630" t="s">
        <v>911</v>
      </c>
    </row>
    <row r="1364" spans="1:17" x14ac:dyDescent="0.2">
      <c r="A1364" s="50">
        <v>7</v>
      </c>
      <c r="B1364" s="51"/>
      <c r="C1364" s="51"/>
      <c r="D1364" s="92"/>
      <c r="E1364" s="192">
        <v>9</v>
      </c>
      <c r="F1364" s="50" t="s">
        <v>423</v>
      </c>
      <c r="G1364" s="31" t="s">
        <v>59</v>
      </c>
      <c r="H1364" s="646"/>
      <c r="I1364" s="16">
        <f>8.3-2</f>
        <v>6.3000000000000007</v>
      </c>
      <c r="J1364" s="116"/>
      <c r="K1364" s="7"/>
      <c r="L1364" s="7"/>
      <c r="N1364" s="79"/>
      <c r="O1364" s="1312"/>
      <c r="P1364" s="80"/>
      <c r="Q1364" s="630" t="s">
        <v>911</v>
      </c>
    </row>
    <row r="1365" spans="1:17" x14ac:dyDescent="0.2">
      <c r="A1365" s="50">
        <v>7</v>
      </c>
      <c r="B1365" s="51"/>
      <c r="C1365" s="51"/>
      <c r="D1365" s="92"/>
      <c r="E1365" s="192">
        <v>9</v>
      </c>
      <c r="F1365" s="50" t="s">
        <v>423</v>
      </c>
      <c r="G1365" s="31" t="s">
        <v>58</v>
      </c>
      <c r="H1365" s="646"/>
      <c r="I1365" s="16">
        <v>35.6</v>
      </c>
      <c r="J1365" s="116"/>
      <c r="K1365" s="7"/>
      <c r="L1365" s="7"/>
      <c r="N1365" s="79"/>
      <c r="O1365" s="1312"/>
      <c r="P1365" s="80"/>
      <c r="Q1365" s="630" t="s">
        <v>911</v>
      </c>
    </row>
    <row r="1366" spans="1:17" x14ac:dyDescent="0.2">
      <c r="A1366" s="50">
        <v>7</v>
      </c>
      <c r="B1366" s="51"/>
      <c r="C1366" s="51"/>
      <c r="D1366" s="92"/>
      <c r="E1366" s="192"/>
      <c r="F1366" s="50" t="s">
        <v>423</v>
      </c>
      <c r="G1366" s="121" t="s">
        <v>608</v>
      </c>
      <c r="H1366" s="123"/>
      <c r="I1366" s="123">
        <f>SUM(I1363:I1365)</f>
        <v>90.300000000000011</v>
      </c>
      <c r="J1366" s="123">
        <f>SUM(J1363:J1365)</f>
        <v>0</v>
      </c>
      <c r="K1366" s="123">
        <f>SUM(K1363:K1365)</f>
        <v>0</v>
      </c>
      <c r="L1366" s="123">
        <f>SUM(L1363:L1365)</f>
        <v>0</v>
      </c>
      <c r="N1366" s="79"/>
      <c r="O1366" s="1312"/>
      <c r="P1366" s="80"/>
      <c r="Q1366" s="630"/>
    </row>
    <row r="1367" spans="1:17" x14ac:dyDescent="0.2">
      <c r="A1367" s="50">
        <v>7</v>
      </c>
      <c r="B1367" s="51"/>
      <c r="C1367" s="51" t="s">
        <v>1854</v>
      </c>
      <c r="D1367" s="1170" t="s">
        <v>424</v>
      </c>
      <c r="E1367" s="192">
        <v>9</v>
      </c>
      <c r="F1367" s="192" t="s">
        <v>425</v>
      </c>
      <c r="G1367" s="192" t="s">
        <v>9</v>
      </c>
      <c r="H1367" s="7">
        <v>278.39999999999998</v>
      </c>
      <c r="I1367" s="16">
        <f>902.3+160</f>
        <v>1062.3</v>
      </c>
      <c r="J1367" s="116">
        <f>2000+320.9+200-40</f>
        <v>2480.9</v>
      </c>
      <c r="K1367" s="7"/>
      <c r="L1367" s="7"/>
      <c r="M1367" s="38" t="s">
        <v>2221</v>
      </c>
      <c r="N1367" s="79" t="s">
        <v>867</v>
      </c>
      <c r="O1367" s="1312" t="s">
        <v>1855</v>
      </c>
      <c r="P1367" s="80">
        <v>1</v>
      </c>
      <c r="Q1367" s="630" t="s">
        <v>799</v>
      </c>
    </row>
    <row r="1368" spans="1:17" x14ac:dyDescent="0.2">
      <c r="A1368" s="50">
        <v>7</v>
      </c>
      <c r="B1368" s="51"/>
      <c r="C1368" s="51"/>
      <c r="D1368" s="92"/>
      <c r="E1368" s="192" t="s">
        <v>638</v>
      </c>
      <c r="F1368" s="192" t="s">
        <v>425</v>
      </c>
      <c r="G1368" s="192" t="s">
        <v>9</v>
      </c>
      <c r="H1368" s="7"/>
      <c r="I1368" s="16">
        <f>310-260</f>
        <v>50</v>
      </c>
      <c r="J1368" s="116">
        <f>310-200</f>
        <v>110</v>
      </c>
      <c r="K1368" s="7"/>
      <c r="L1368" s="7"/>
      <c r="M1368" s="38" t="s">
        <v>2221</v>
      </c>
      <c r="N1368" s="79" t="s">
        <v>1826</v>
      </c>
      <c r="O1368" s="1172" t="s">
        <v>1856</v>
      </c>
      <c r="P1368" s="80">
        <v>1</v>
      </c>
      <c r="Q1368" s="630" t="s">
        <v>799</v>
      </c>
    </row>
    <row r="1369" spans="1:17" x14ac:dyDescent="0.2">
      <c r="A1369" s="50">
        <v>7</v>
      </c>
      <c r="B1369" s="51"/>
      <c r="C1369" s="51"/>
      <c r="D1369" s="92"/>
      <c r="E1369" s="192">
        <v>9</v>
      </c>
      <c r="F1369" s="192" t="s">
        <v>425</v>
      </c>
      <c r="G1369" s="192" t="s">
        <v>10</v>
      </c>
      <c r="H1369" s="7"/>
      <c r="I1369" s="16">
        <f>1968.7-1500</f>
        <v>468.70000000000005</v>
      </c>
      <c r="J1369" s="116"/>
      <c r="K1369" s="7"/>
      <c r="L1369" s="7"/>
      <c r="M1369" s="38" t="s">
        <v>2221</v>
      </c>
      <c r="N1369" s="79"/>
      <c r="O1369" s="1312"/>
      <c r="P1369" s="80"/>
      <c r="Q1369" s="630" t="s">
        <v>799</v>
      </c>
    </row>
    <row r="1370" spans="1:17" x14ac:dyDescent="0.2">
      <c r="A1370" s="50">
        <v>7</v>
      </c>
      <c r="B1370" s="51"/>
      <c r="C1370" s="51"/>
      <c r="D1370" s="92"/>
      <c r="E1370" s="192">
        <v>9</v>
      </c>
      <c r="F1370" s="192" t="s">
        <v>425</v>
      </c>
      <c r="G1370" s="192" t="s">
        <v>97</v>
      </c>
      <c r="H1370" s="7">
        <v>513</v>
      </c>
      <c r="I1370" s="63">
        <v>366.9</v>
      </c>
      <c r="J1370" s="176"/>
      <c r="K1370" s="7"/>
      <c r="L1370" s="7"/>
      <c r="M1370" s="38" t="s">
        <v>2221</v>
      </c>
      <c r="N1370" s="79"/>
      <c r="O1370" s="1312"/>
      <c r="P1370" s="80"/>
      <c r="Q1370" s="630" t="s">
        <v>799</v>
      </c>
    </row>
    <row r="1371" spans="1:17" x14ac:dyDescent="0.2">
      <c r="A1371" s="50">
        <v>7</v>
      </c>
      <c r="B1371" s="51"/>
      <c r="C1371" s="51"/>
      <c r="D1371" s="92"/>
      <c r="E1371" s="192"/>
      <c r="F1371" s="192" t="s">
        <v>425</v>
      </c>
      <c r="G1371" s="121" t="s">
        <v>608</v>
      </c>
      <c r="H1371" s="123"/>
      <c r="I1371" s="123">
        <f>SUM(I1367:I1370)</f>
        <v>1947.9</v>
      </c>
      <c r="J1371" s="123">
        <f>SUM(J1367:J1370)</f>
        <v>2590.9</v>
      </c>
      <c r="K1371" s="123">
        <f>SUM(K1367:K1370)</f>
        <v>0</v>
      </c>
      <c r="L1371" s="123">
        <f>SUM(L1367:L1370)</f>
        <v>0</v>
      </c>
      <c r="M1371" s="38" t="s">
        <v>2221</v>
      </c>
      <c r="N1371" s="79"/>
      <c r="O1371" s="1312"/>
      <c r="P1371" s="80"/>
      <c r="Q1371" s="630"/>
    </row>
    <row r="1372" spans="1:17" x14ac:dyDescent="0.2">
      <c r="A1372" s="50">
        <v>7</v>
      </c>
      <c r="B1372" s="51"/>
      <c r="C1372" s="51" t="s">
        <v>1857</v>
      </c>
      <c r="D1372" s="1170" t="s">
        <v>426</v>
      </c>
      <c r="E1372" s="192">
        <v>9</v>
      </c>
      <c r="F1372" s="50" t="s">
        <v>427</v>
      </c>
      <c r="G1372" s="192" t="s">
        <v>9</v>
      </c>
      <c r="H1372" s="7">
        <v>19.2</v>
      </c>
      <c r="I1372" s="63">
        <v>46.8</v>
      </c>
      <c r="J1372" s="176">
        <f>1000-500-200</f>
        <v>300</v>
      </c>
      <c r="K1372" s="63">
        <f>1500+600+200-1000</f>
        <v>1300</v>
      </c>
      <c r="L1372" s="7"/>
      <c r="M1372" s="38" t="s">
        <v>2221</v>
      </c>
      <c r="N1372" s="79" t="s">
        <v>859</v>
      </c>
      <c r="O1372" s="1312" t="s">
        <v>1858</v>
      </c>
      <c r="P1372" s="80">
        <v>1</v>
      </c>
      <c r="Q1372" s="630" t="s">
        <v>871</v>
      </c>
    </row>
    <row r="1373" spans="1:17" x14ac:dyDescent="0.2">
      <c r="A1373" s="50">
        <v>7</v>
      </c>
      <c r="B1373" s="51"/>
      <c r="C1373" s="51"/>
      <c r="D1373" s="35"/>
      <c r="E1373" s="192">
        <v>9</v>
      </c>
      <c r="F1373" s="50" t="s">
        <v>427</v>
      </c>
      <c r="G1373" s="192" t="s">
        <v>61</v>
      </c>
      <c r="H1373" s="7"/>
      <c r="I1373" s="63"/>
      <c r="J1373" s="176"/>
      <c r="K1373" s="63">
        <v>1000</v>
      </c>
      <c r="L1373" s="7"/>
      <c r="M1373" s="38" t="s">
        <v>2221</v>
      </c>
      <c r="N1373" s="79" t="s">
        <v>859</v>
      </c>
      <c r="O1373" s="1312"/>
      <c r="P1373" s="80"/>
      <c r="Q1373" s="630" t="s">
        <v>871</v>
      </c>
    </row>
    <row r="1374" spans="1:17" x14ac:dyDescent="0.2">
      <c r="A1374" s="50">
        <v>7</v>
      </c>
      <c r="B1374" s="51"/>
      <c r="C1374" s="51"/>
      <c r="D1374" s="92"/>
      <c r="E1374" s="192"/>
      <c r="F1374" s="50" t="s">
        <v>427</v>
      </c>
      <c r="G1374" s="121" t="s">
        <v>608</v>
      </c>
      <c r="H1374" s="123"/>
      <c r="I1374" s="123">
        <f>SUM(I1372:I1373)</f>
        <v>46.8</v>
      </c>
      <c r="J1374" s="123">
        <f t="shared" ref="J1374:L1374" si="269">SUM(J1372:J1373)</f>
        <v>300</v>
      </c>
      <c r="K1374" s="123">
        <f t="shared" si="269"/>
        <v>2300</v>
      </c>
      <c r="L1374" s="123">
        <f t="shared" si="269"/>
        <v>0</v>
      </c>
      <c r="M1374" s="38" t="s">
        <v>2221</v>
      </c>
      <c r="N1374" s="79"/>
      <c r="P1374" s="80">
        <v>1</v>
      </c>
      <c r="Q1374" s="630"/>
    </row>
    <row r="1375" spans="1:17" ht="22.5" x14ac:dyDescent="0.2">
      <c r="A1375" s="50">
        <v>7</v>
      </c>
      <c r="B1375" s="51"/>
      <c r="C1375" s="51" t="s">
        <v>1859</v>
      </c>
      <c r="D1375" s="1170" t="s">
        <v>1860</v>
      </c>
      <c r="E1375" s="192">
        <v>9</v>
      </c>
      <c r="F1375" s="50" t="s">
        <v>1861</v>
      </c>
      <c r="G1375" s="192" t="s">
        <v>9</v>
      </c>
      <c r="H1375" s="7"/>
      <c r="I1375" s="63">
        <f>18-18</f>
        <v>0</v>
      </c>
      <c r="J1375" s="176">
        <f>150-100-40</f>
        <v>10</v>
      </c>
      <c r="K1375" s="7">
        <f>300+100+40</f>
        <v>440</v>
      </c>
      <c r="L1375" s="63"/>
      <c r="M1375" s="38" t="s">
        <v>870</v>
      </c>
      <c r="N1375" s="632" t="s">
        <v>867</v>
      </c>
      <c r="O1375" s="1312" t="s">
        <v>1862</v>
      </c>
      <c r="P1375" s="80">
        <v>1</v>
      </c>
      <c r="Q1375" s="630" t="s">
        <v>799</v>
      </c>
    </row>
    <row r="1376" spans="1:17" x14ac:dyDescent="0.2">
      <c r="A1376" s="50">
        <v>7</v>
      </c>
      <c r="B1376" s="51"/>
      <c r="C1376" s="51"/>
      <c r="D1376" s="1170"/>
      <c r="E1376" s="192">
        <v>9</v>
      </c>
      <c r="F1376" s="50" t="s">
        <v>1861</v>
      </c>
      <c r="G1376" s="192" t="s">
        <v>61</v>
      </c>
      <c r="H1376" s="7"/>
      <c r="I1376" s="63"/>
      <c r="J1376" s="176"/>
      <c r="K1376" s="7"/>
      <c r="L1376" s="63">
        <v>1000</v>
      </c>
      <c r="N1376" s="79"/>
      <c r="O1376" s="1312"/>
      <c r="P1376" s="80"/>
      <c r="Q1376" s="630" t="s">
        <v>799</v>
      </c>
    </row>
    <row r="1377" spans="1:17" x14ac:dyDescent="0.2">
      <c r="A1377" s="50">
        <v>7</v>
      </c>
      <c r="B1377" s="51"/>
      <c r="C1377" s="51"/>
      <c r="D1377" s="1171"/>
      <c r="E1377" s="647"/>
      <c r="F1377" s="50" t="s">
        <v>1861</v>
      </c>
      <c r="G1377" s="121" t="s">
        <v>608</v>
      </c>
      <c r="H1377" s="123"/>
      <c r="I1377" s="123">
        <f>SUM(I1375:I1376)</f>
        <v>0</v>
      </c>
      <c r="J1377" s="123">
        <f t="shared" ref="J1377:L1377" si="270">SUM(J1375:J1376)</f>
        <v>10</v>
      </c>
      <c r="K1377" s="123">
        <f t="shared" si="270"/>
        <v>440</v>
      </c>
      <c r="L1377" s="123">
        <f t="shared" si="270"/>
        <v>1000</v>
      </c>
      <c r="N1377" s="79"/>
      <c r="O1377" s="1312"/>
      <c r="P1377" s="80"/>
      <c r="Q1377" s="630"/>
    </row>
    <row r="1378" spans="1:17" ht="22.5" x14ac:dyDescent="0.2">
      <c r="A1378" s="50">
        <v>7</v>
      </c>
      <c r="B1378" s="51"/>
      <c r="C1378" s="51" t="s">
        <v>1863</v>
      </c>
      <c r="D1378" s="1170" t="s">
        <v>1864</v>
      </c>
      <c r="E1378" s="192">
        <v>9</v>
      </c>
      <c r="F1378" s="50" t="s">
        <v>1865</v>
      </c>
      <c r="G1378" s="192" t="s">
        <v>9</v>
      </c>
      <c r="H1378" s="7"/>
      <c r="I1378" s="63"/>
      <c r="J1378" s="176">
        <f>145-130</f>
        <v>15</v>
      </c>
      <c r="K1378" s="7">
        <f>130</f>
        <v>130</v>
      </c>
      <c r="L1378" s="7"/>
      <c r="M1378" s="38" t="s">
        <v>870</v>
      </c>
      <c r="N1378" s="632" t="s">
        <v>1049</v>
      </c>
      <c r="O1378" s="1312" t="s">
        <v>1858</v>
      </c>
      <c r="P1378" s="80">
        <v>1</v>
      </c>
      <c r="Q1378" s="630" t="s">
        <v>889</v>
      </c>
    </row>
    <row r="1379" spans="1:17" x14ac:dyDescent="0.2">
      <c r="A1379" s="50">
        <v>7</v>
      </c>
      <c r="B1379" s="51"/>
      <c r="C1379" s="51"/>
      <c r="D1379" s="1171"/>
      <c r="E1379" s="638"/>
      <c r="F1379" s="50"/>
      <c r="G1379" s="121" t="s">
        <v>608</v>
      </c>
      <c r="H1379" s="123"/>
      <c r="I1379" s="123">
        <f>SUM(I1378)</f>
        <v>0</v>
      </c>
      <c r="J1379" s="123">
        <f>SUM(J1378)</f>
        <v>15</v>
      </c>
      <c r="K1379" s="123">
        <f>SUM(K1378)</f>
        <v>130</v>
      </c>
      <c r="L1379" s="123">
        <f>SUM(L1378)</f>
        <v>0</v>
      </c>
      <c r="N1379" s="79"/>
      <c r="O1379" s="1312"/>
      <c r="P1379" s="80"/>
      <c r="Q1379" s="630"/>
    </row>
    <row r="1380" spans="1:17" ht="20.25" customHeight="1" x14ac:dyDescent="0.2">
      <c r="A1380" s="50">
        <v>7</v>
      </c>
      <c r="B1380" s="51"/>
      <c r="C1380" s="51" t="s">
        <v>1866</v>
      </c>
      <c r="D1380" s="1170" t="s">
        <v>1867</v>
      </c>
      <c r="E1380" s="192">
        <v>9</v>
      </c>
      <c r="F1380" s="50" t="s">
        <v>1868</v>
      </c>
      <c r="G1380" s="192" t="s">
        <v>612</v>
      </c>
      <c r="H1380" s="7"/>
      <c r="I1380" s="63"/>
      <c r="J1380" s="176"/>
      <c r="K1380" s="7">
        <v>50</v>
      </c>
      <c r="L1380" s="7"/>
      <c r="M1380" s="38" t="s">
        <v>870</v>
      </c>
      <c r="N1380" s="79"/>
      <c r="O1380" s="1312"/>
      <c r="P1380" s="80"/>
      <c r="Q1380" s="630" t="s">
        <v>886</v>
      </c>
    </row>
    <row r="1381" spans="1:17" x14ac:dyDescent="0.2">
      <c r="A1381" s="50">
        <v>7</v>
      </c>
      <c r="B1381" s="51"/>
      <c r="C1381" s="51"/>
      <c r="D1381" s="1171"/>
      <c r="E1381" s="638"/>
      <c r="F1381" s="50"/>
      <c r="G1381" s="121" t="s">
        <v>608</v>
      </c>
      <c r="H1381" s="123"/>
      <c r="I1381" s="123"/>
      <c r="J1381" s="123">
        <f>J1380</f>
        <v>0</v>
      </c>
      <c r="K1381" s="123">
        <f>K1380</f>
        <v>50</v>
      </c>
      <c r="L1381" s="123">
        <f t="shared" ref="L1381" si="271">L1380</f>
        <v>0</v>
      </c>
      <c r="N1381" s="79"/>
      <c r="O1381" s="1312"/>
      <c r="P1381" s="80"/>
      <c r="Q1381" s="630"/>
    </row>
    <row r="1382" spans="1:17" x14ac:dyDescent="0.2">
      <c r="A1382" s="50">
        <v>7</v>
      </c>
      <c r="B1382" s="51"/>
      <c r="C1382" s="51" t="s">
        <v>1869</v>
      </c>
      <c r="D1382" s="1170" t="s">
        <v>1870</v>
      </c>
      <c r="E1382" s="298">
        <v>9</v>
      </c>
      <c r="F1382" s="31"/>
      <c r="G1382" s="298" t="s">
        <v>10</v>
      </c>
      <c r="H1382" s="7"/>
      <c r="I1382" s="63"/>
      <c r="J1382" s="176"/>
      <c r="K1382" s="7"/>
      <c r="L1382" s="7">
        <v>1500</v>
      </c>
      <c r="N1382" s="79"/>
      <c r="O1382" s="1312"/>
      <c r="P1382" s="80"/>
      <c r="Q1382" s="630" t="s">
        <v>878</v>
      </c>
    </row>
    <row r="1383" spans="1:17" x14ac:dyDescent="0.2">
      <c r="A1383" s="50">
        <v>7</v>
      </c>
      <c r="B1383" s="51"/>
      <c r="C1383" s="51"/>
      <c r="D1383" s="327"/>
      <c r="E1383" s="298">
        <v>9</v>
      </c>
      <c r="F1383" s="31"/>
      <c r="G1383" s="298" t="s">
        <v>9</v>
      </c>
      <c r="H1383" s="7"/>
      <c r="I1383" s="63"/>
      <c r="J1383" s="176"/>
      <c r="K1383" s="7"/>
      <c r="L1383" s="7">
        <v>100</v>
      </c>
      <c r="N1383" s="79"/>
      <c r="O1383" s="1312"/>
      <c r="P1383" s="80"/>
      <c r="Q1383" s="630" t="s">
        <v>878</v>
      </c>
    </row>
    <row r="1384" spans="1:17" x14ac:dyDescent="0.2">
      <c r="A1384" s="50">
        <v>7</v>
      </c>
      <c r="B1384" s="51"/>
      <c r="C1384" s="51"/>
      <c r="D1384" s="35"/>
      <c r="E1384" s="638"/>
      <c r="F1384" s="50"/>
      <c r="G1384" s="121" t="s">
        <v>608</v>
      </c>
      <c r="H1384" s="123"/>
      <c r="I1384" s="123">
        <f>SUM(I1382,I1383)</f>
        <v>0</v>
      </c>
      <c r="J1384" s="123">
        <f t="shared" ref="J1384:L1384" si="272">SUM(J1382,J1383)</f>
        <v>0</v>
      </c>
      <c r="K1384" s="123">
        <f t="shared" si="272"/>
        <v>0</v>
      </c>
      <c r="L1384" s="123">
        <f t="shared" si="272"/>
        <v>1600</v>
      </c>
      <c r="N1384" s="79"/>
      <c r="O1384" s="1312"/>
      <c r="P1384" s="80"/>
      <c r="Q1384" s="630"/>
    </row>
    <row r="1385" spans="1:17" ht="33.75" x14ac:dyDescent="0.2">
      <c r="A1385" s="50">
        <v>7</v>
      </c>
      <c r="B1385" s="107"/>
      <c r="C1385" s="107"/>
      <c r="D1385" s="108" t="s">
        <v>1871</v>
      </c>
      <c r="E1385" s="626"/>
      <c r="F1385" s="107"/>
      <c r="G1385" s="110"/>
      <c r="H1385" s="109"/>
      <c r="I1385" s="109"/>
      <c r="J1385" s="109"/>
      <c r="K1385" s="627">
        <f>SUM(K1377)</f>
        <v>440</v>
      </c>
      <c r="L1385" s="627">
        <f>SUM(L1377)</f>
        <v>1000</v>
      </c>
      <c r="N1385" s="79"/>
      <c r="O1385" s="1312"/>
      <c r="P1385" s="80"/>
      <c r="Q1385" s="630"/>
    </row>
    <row r="1386" spans="1:17" x14ac:dyDescent="0.2">
      <c r="A1386" s="50">
        <v>7</v>
      </c>
      <c r="B1386" s="142" t="s">
        <v>1872</v>
      </c>
      <c r="C1386" s="142" t="s">
        <v>1872</v>
      </c>
      <c r="D1386" s="191" t="s">
        <v>428</v>
      </c>
      <c r="E1386" s="50">
        <v>8</v>
      </c>
      <c r="F1386" s="50" t="s">
        <v>429</v>
      </c>
      <c r="G1386" s="50" t="s">
        <v>9</v>
      </c>
      <c r="H1386" s="28">
        <v>42</v>
      </c>
      <c r="I1386" s="16">
        <v>56.5</v>
      </c>
      <c r="J1386" s="116">
        <v>67</v>
      </c>
      <c r="K1386" s="28">
        <v>65</v>
      </c>
      <c r="L1386" s="28">
        <v>76</v>
      </c>
      <c r="M1386" s="38" t="s">
        <v>796</v>
      </c>
      <c r="N1386" s="79" t="s">
        <v>1873</v>
      </c>
      <c r="O1386" s="1312" t="s">
        <v>1874</v>
      </c>
      <c r="P1386" s="80">
        <v>17</v>
      </c>
      <c r="Q1386" s="630"/>
    </row>
    <row r="1387" spans="1:17" x14ac:dyDescent="0.2">
      <c r="A1387" s="50">
        <v>7</v>
      </c>
      <c r="B1387" s="51"/>
      <c r="C1387" s="51"/>
      <c r="D1387" s="629"/>
      <c r="E1387" s="50"/>
      <c r="F1387" s="50" t="s">
        <v>429</v>
      </c>
      <c r="G1387" s="121" t="s">
        <v>608</v>
      </c>
      <c r="H1387" s="123">
        <f>SUM(H1386)</f>
        <v>42</v>
      </c>
      <c r="I1387" s="123">
        <f>SUM(I1386)</f>
        <v>56.5</v>
      </c>
      <c r="J1387" s="123">
        <f>SUM(J1386)</f>
        <v>67</v>
      </c>
      <c r="K1387" s="123">
        <f>SUM(K1386)</f>
        <v>65</v>
      </c>
      <c r="L1387" s="123">
        <f>SUM(L1386)</f>
        <v>76</v>
      </c>
      <c r="N1387" s="79"/>
      <c r="O1387" s="1312"/>
      <c r="P1387" s="80"/>
      <c r="Q1387" s="630"/>
    </row>
    <row r="1388" spans="1:17" ht="22.5" x14ac:dyDescent="0.2">
      <c r="A1388" s="50">
        <v>7</v>
      </c>
      <c r="B1388" s="142" t="s">
        <v>1875</v>
      </c>
      <c r="C1388" s="142" t="s">
        <v>1875</v>
      </c>
      <c r="D1388" s="191" t="s">
        <v>430</v>
      </c>
      <c r="E1388" s="50">
        <v>8</v>
      </c>
      <c r="F1388" s="50" t="s">
        <v>431</v>
      </c>
      <c r="G1388" s="50" t="s">
        <v>9</v>
      </c>
      <c r="H1388" s="28">
        <v>4.5</v>
      </c>
      <c r="I1388" s="16">
        <v>4.5</v>
      </c>
      <c r="J1388" s="116">
        <v>4.5</v>
      </c>
      <c r="K1388" s="28">
        <v>4.5</v>
      </c>
      <c r="L1388" s="28">
        <v>4.5</v>
      </c>
      <c r="M1388" s="38" t="s">
        <v>796</v>
      </c>
      <c r="N1388" s="79" t="s">
        <v>1876</v>
      </c>
      <c r="O1388" s="1312" t="s">
        <v>1877</v>
      </c>
      <c r="P1388" s="80">
        <v>5</v>
      </c>
      <c r="Q1388" s="630"/>
    </row>
    <row r="1389" spans="1:17" x14ac:dyDescent="0.2">
      <c r="A1389" s="50">
        <v>7</v>
      </c>
      <c r="B1389" s="160"/>
      <c r="C1389" s="160"/>
      <c r="D1389" s="89"/>
      <c r="E1389" s="50"/>
      <c r="F1389" s="50" t="s">
        <v>431</v>
      </c>
      <c r="G1389" s="121" t="s">
        <v>608</v>
      </c>
      <c r="H1389" s="123"/>
      <c r="I1389" s="123">
        <f>I1388</f>
        <v>4.5</v>
      </c>
      <c r="J1389" s="123">
        <f>J1388</f>
        <v>4.5</v>
      </c>
      <c r="K1389" s="123">
        <f>K1388</f>
        <v>4.5</v>
      </c>
      <c r="L1389" s="123">
        <f>L1388</f>
        <v>4.5</v>
      </c>
      <c r="N1389" s="79"/>
      <c r="O1389" s="1312"/>
      <c r="P1389" s="80"/>
      <c r="Q1389" s="630"/>
    </row>
    <row r="1390" spans="1:17" ht="22.5" x14ac:dyDescent="0.2">
      <c r="A1390" s="50">
        <v>7</v>
      </c>
      <c r="B1390" s="107"/>
      <c r="C1390" s="107"/>
      <c r="D1390" s="108" t="s">
        <v>1878</v>
      </c>
      <c r="E1390" s="626"/>
      <c r="F1390" s="107"/>
      <c r="G1390" s="110"/>
      <c r="H1390" s="109"/>
      <c r="I1390" s="109"/>
      <c r="J1390" s="109"/>
      <c r="K1390" s="627">
        <f>SUM(K1388)</f>
        <v>4.5</v>
      </c>
      <c r="L1390" s="627">
        <f>SUM(L1388)</f>
        <v>4.5</v>
      </c>
      <c r="N1390" s="79"/>
      <c r="O1390" s="1312"/>
      <c r="P1390" s="80"/>
      <c r="Q1390" s="807"/>
    </row>
    <row r="1391" spans="1:17" ht="22.5" x14ac:dyDescent="0.2">
      <c r="A1391" s="50">
        <v>7</v>
      </c>
      <c r="B1391" s="142" t="s">
        <v>1879</v>
      </c>
      <c r="C1391" s="142" t="s">
        <v>1879</v>
      </c>
      <c r="D1391" s="648" t="s">
        <v>434</v>
      </c>
      <c r="E1391" s="50"/>
      <c r="F1391" s="50"/>
      <c r="G1391" s="81"/>
      <c r="H1391" s="37"/>
      <c r="I1391" s="144">
        <f>SUM(I1395,I1406,I1408,I1412,I1414,I1419,I1429)</f>
        <v>491.5</v>
      </c>
      <c r="J1391" s="144">
        <f>SUM(J1395,J1406,J1408,J1412,J1414,J1419,J1429)</f>
        <v>400.70000000000005</v>
      </c>
      <c r="K1391" s="144">
        <f>SUM(K1395,K1406,K1408,K1412,K1414,K1419,K1429)</f>
        <v>765</v>
      </c>
      <c r="L1391" s="144">
        <f>SUM(L1395,L1406,L1408,L1412,L1414,L1419,L1429)</f>
        <v>2689</v>
      </c>
      <c r="N1391" s="79"/>
      <c r="O1391" s="1323"/>
      <c r="P1391" s="806"/>
      <c r="Q1391" s="805"/>
    </row>
    <row r="1392" spans="1:17" x14ac:dyDescent="0.2">
      <c r="A1392" s="50">
        <v>7</v>
      </c>
      <c r="B1392" s="51"/>
      <c r="C1392" s="51" t="s">
        <v>1880</v>
      </c>
      <c r="D1392" s="1130" t="s">
        <v>435</v>
      </c>
      <c r="E1392" s="50">
        <v>2</v>
      </c>
      <c r="F1392" s="50" t="s">
        <v>436</v>
      </c>
      <c r="G1392" s="31"/>
      <c r="H1392" s="29"/>
      <c r="I1392" s="16"/>
      <c r="J1392" s="640"/>
      <c r="K1392" s="29"/>
      <c r="L1392" s="29"/>
      <c r="M1392" s="38" t="s">
        <v>796</v>
      </c>
      <c r="N1392" s="146"/>
      <c r="O1392" s="1324"/>
      <c r="P1392" s="1314"/>
      <c r="Q1392" s="795"/>
    </row>
    <row r="1393" spans="1:17" ht="22.5" x14ac:dyDescent="0.25">
      <c r="A1393" s="50">
        <v>7</v>
      </c>
      <c r="B1393" s="51"/>
      <c r="C1393" s="650" t="s">
        <v>1882</v>
      </c>
      <c r="D1393" s="651" t="s">
        <v>1883</v>
      </c>
      <c r="E1393" s="50">
        <v>2</v>
      </c>
      <c r="F1393" s="50" t="s">
        <v>436</v>
      </c>
      <c r="G1393" s="50" t="s">
        <v>9</v>
      </c>
      <c r="H1393" s="28"/>
      <c r="I1393" s="16">
        <v>48.3</v>
      </c>
      <c r="J1393" s="116">
        <v>50</v>
      </c>
      <c r="K1393" s="652">
        <v>57</v>
      </c>
      <c r="L1393" s="652">
        <v>57</v>
      </c>
      <c r="N1393" s="649" t="s">
        <v>2387</v>
      </c>
      <c r="O1393" s="1315" t="s">
        <v>1881</v>
      </c>
      <c r="P1393" s="806">
        <v>14</v>
      </c>
      <c r="Q1393" s="1316"/>
    </row>
    <row r="1394" spans="1:17" ht="22.5" x14ac:dyDescent="0.25">
      <c r="A1394" s="50">
        <v>7</v>
      </c>
      <c r="B1394" s="51"/>
      <c r="C1394" s="650" t="s">
        <v>1884</v>
      </c>
      <c r="D1394" s="651" t="s">
        <v>1885</v>
      </c>
      <c r="E1394" s="50">
        <v>2</v>
      </c>
      <c r="F1394" s="50" t="s">
        <v>436</v>
      </c>
      <c r="G1394" s="50" t="s">
        <v>612</v>
      </c>
      <c r="H1394" s="28"/>
      <c r="I1394" s="16">
        <v>18.399999999999999</v>
      </c>
      <c r="J1394" s="116">
        <v>17.100000000000001</v>
      </c>
      <c r="K1394" s="652">
        <v>5</v>
      </c>
      <c r="L1394" s="652">
        <v>5</v>
      </c>
      <c r="N1394" s="649" t="s">
        <v>2387</v>
      </c>
      <c r="O1394" s="1317" t="s">
        <v>1886</v>
      </c>
      <c r="P1394" s="806">
        <v>38</v>
      </c>
      <c r="Q1394" s="1316"/>
    </row>
    <row r="1395" spans="1:17" ht="15" x14ac:dyDescent="0.25">
      <c r="A1395" s="50">
        <v>7</v>
      </c>
      <c r="B1395" s="51"/>
      <c r="C1395" s="51"/>
      <c r="D1395" s="654"/>
      <c r="E1395" s="50"/>
      <c r="F1395" s="50" t="s">
        <v>436</v>
      </c>
      <c r="G1395" s="121" t="s">
        <v>608</v>
      </c>
      <c r="H1395" s="123">
        <f>SUM(H1392)</f>
        <v>0</v>
      </c>
      <c r="I1395" s="123">
        <f>SUM(I1393,I1394)</f>
        <v>66.699999999999989</v>
      </c>
      <c r="J1395" s="123">
        <f t="shared" ref="J1395:L1395" si="273">SUM(J1393,J1394)</f>
        <v>67.099999999999994</v>
      </c>
      <c r="K1395" s="123">
        <f t="shared" si="273"/>
        <v>62</v>
      </c>
      <c r="L1395" s="123">
        <f t="shared" si="273"/>
        <v>62</v>
      </c>
      <c r="N1395" s="146"/>
      <c r="O1395" s="1317"/>
      <c r="P1395" s="806"/>
      <c r="Q1395" s="1316"/>
    </row>
    <row r="1396" spans="1:17" ht="22.5" x14ac:dyDescent="0.25">
      <c r="A1396" s="50">
        <v>7</v>
      </c>
      <c r="B1396" s="51"/>
      <c r="C1396" s="51" t="s">
        <v>1887</v>
      </c>
      <c r="D1396" s="1130" t="s">
        <v>437</v>
      </c>
      <c r="E1396" s="50">
        <v>2</v>
      </c>
      <c r="F1396" s="50" t="s">
        <v>438</v>
      </c>
      <c r="G1396" s="31" t="s">
        <v>9</v>
      </c>
      <c r="H1396" s="640">
        <v>78.7</v>
      </c>
      <c r="I1396" s="29">
        <f>SUM(I1398,I1401,I1400,I1402,I1403,I1404,I1405)</f>
        <v>151.9</v>
      </c>
      <c r="J1396" s="640">
        <f t="shared" ref="J1396:L1396" si="274">SUM(J1398,J1401,J1400,J1402,J1403,J1404,J1405)</f>
        <v>51.5</v>
      </c>
      <c r="K1396" s="640">
        <f t="shared" si="274"/>
        <v>220</v>
      </c>
      <c r="L1396" s="640">
        <f t="shared" si="274"/>
        <v>2226</v>
      </c>
      <c r="N1396" s="649"/>
      <c r="O1396" s="1317"/>
      <c r="P1396" s="655"/>
      <c r="Q1396" s="1318"/>
    </row>
    <row r="1397" spans="1:17" ht="15" x14ac:dyDescent="0.25">
      <c r="A1397" s="50">
        <v>7</v>
      </c>
      <c r="B1397" s="51"/>
      <c r="C1397" s="51"/>
      <c r="D1397" s="89"/>
      <c r="E1397" s="50"/>
      <c r="F1397" s="50" t="s">
        <v>438</v>
      </c>
      <c r="G1397" s="50" t="s">
        <v>718</v>
      </c>
      <c r="H1397" s="640"/>
      <c r="I1397" s="29">
        <f>I1399</f>
        <v>47.3</v>
      </c>
      <c r="J1397" s="640"/>
      <c r="K1397" s="640"/>
      <c r="L1397" s="640"/>
      <c r="N1397" s="649"/>
      <c r="O1397" s="1317"/>
      <c r="P1397" s="655"/>
      <c r="Q1397" s="653"/>
    </row>
    <row r="1398" spans="1:17" ht="33.75" x14ac:dyDescent="0.25">
      <c r="A1398" s="50">
        <v>7</v>
      </c>
      <c r="B1398" s="51"/>
      <c r="C1398" s="51" t="s">
        <v>1888</v>
      </c>
      <c r="D1398" s="265" t="s">
        <v>1889</v>
      </c>
      <c r="E1398" s="50">
        <v>2</v>
      </c>
      <c r="F1398" s="50" t="s">
        <v>438</v>
      </c>
      <c r="G1398" s="50" t="s">
        <v>9</v>
      </c>
      <c r="H1398" s="653"/>
      <c r="I1398" s="29">
        <v>11.8</v>
      </c>
      <c r="J1398" s="640">
        <v>0</v>
      </c>
      <c r="K1398" s="28">
        <v>0</v>
      </c>
      <c r="L1398" s="28">
        <v>2216</v>
      </c>
      <c r="M1398" s="38" t="s">
        <v>2221</v>
      </c>
      <c r="N1398" s="649" t="s">
        <v>2387</v>
      </c>
      <c r="O1398" s="1317" t="s">
        <v>2388</v>
      </c>
      <c r="P1398" s="655">
        <v>0</v>
      </c>
      <c r="Q1398" s="656" t="s">
        <v>878</v>
      </c>
    </row>
    <row r="1399" spans="1:17" ht="15" x14ac:dyDescent="0.25">
      <c r="A1399" s="50">
        <v>7</v>
      </c>
      <c r="B1399" s="51"/>
      <c r="C1399" s="51" t="s">
        <v>1888</v>
      </c>
      <c r="D1399" s="653"/>
      <c r="E1399" s="50">
        <v>2</v>
      </c>
      <c r="F1399" s="50" t="s">
        <v>438</v>
      </c>
      <c r="G1399" s="50" t="s">
        <v>718</v>
      </c>
      <c r="H1399" s="28">
        <v>24.3</v>
      </c>
      <c r="I1399" s="29">
        <v>47.3</v>
      </c>
      <c r="J1399" s="640"/>
      <c r="K1399" s="37"/>
      <c r="L1399" s="37"/>
      <c r="M1399" s="38" t="s">
        <v>2221</v>
      </c>
      <c r="N1399" s="649"/>
      <c r="O1399" s="1317"/>
      <c r="P1399" s="655"/>
      <c r="Q1399" s="656" t="s">
        <v>878</v>
      </c>
    </row>
    <row r="1400" spans="1:17" ht="22.5" x14ac:dyDescent="0.2">
      <c r="A1400" s="50">
        <v>7</v>
      </c>
      <c r="B1400" s="51"/>
      <c r="C1400" s="51" t="s">
        <v>1890</v>
      </c>
      <c r="D1400" s="265" t="s">
        <v>1891</v>
      </c>
      <c r="E1400" s="50">
        <v>2</v>
      </c>
      <c r="F1400" s="50" t="s">
        <v>438</v>
      </c>
      <c r="G1400" s="81" t="s">
        <v>9</v>
      </c>
      <c r="H1400" s="37"/>
      <c r="I1400" s="16">
        <v>140.1</v>
      </c>
      <c r="J1400" s="116">
        <f>100-99.5</f>
        <v>0.5</v>
      </c>
      <c r="K1400" s="37">
        <f>190</f>
        <v>190</v>
      </c>
      <c r="L1400" s="37">
        <v>0</v>
      </c>
      <c r="M1400" s="38" t="s">
        <v>787</v>
      </c>
      <c r="N1400" s="649" t="s">
        <v>2387</v>
      </c>
      <c r="O1400" s="1317" t="s">
        <v>2389</v>
      </c>
      <c r="P1400" s="655">
        <v>1</v>
      </c>
      <c r="Q1400" s="656" t="s">
        <v>886</v>
      </c>
    </row>
    <row r="1401" spans="1:17" ht="22.5" x14ac:dyDescent="0.2">
      <c r="A1401" s="50">
        <v>7</v>
      </c>
      <c r="B1401" s="51"/>
      <c r="C1401" s="51" t="s">
        <v>1892</v>
      </c>
      <c r="D1401" s="330" t="s">
        <v>1893</v>
      </c>
      <c r="E1401" s="50">
        <v>29</v>
      </c>
      <c r="F1401" s="50" t="s">
        <v>1894</v>
      </c>
      <c r="G1401" s="50" t="s">
        <v>9</v>
      </c>
      <c r="H1401" s="28"/>
      <c r="I1401" s="29"/>
      <c r="J1401" s="640">
        <v>12</v>
      </c>
      <c r="K1401" s="28">
        <v>0</v>
      </c>
      <c r="L1401" s="28">
        <v>0</v>
      </c>
      <c r="M1401" s="38" t="s">
        <v>787</v>
      </c>
      <c r="N1401" s="649" t="s">
        <v>2390</v>
      </c>
      <c r="O1401" s="1317" t="s">
        <v>1560</v>
      </c>
      <c r="P1401" s="655">
        <v>1</v>
      </c>
      <c r="Q1401" s="656" t="s">
        <v>886</v>
      </c>
    </row>
    <row r="1402" spans="1:17" ht="22.5" x14ac:dyDescent="0.2">
      <c r="A1402" s="50">
        <v>7</v>
      </c>
      <c r="B1402" s="51"/>
      <c r="C1402" s="51" t="s">
        <v>1895</v>
      </c>
      <c r="D1402" s="330" t="s">
        <v>1896</v>
      </c>
      <c r="E1402" s="50">
        <v>26</v>
      </c>
      <c r="F1402" s="50" t="s">
        <v>439</v>
      </c>
      <c r="G1402" s="81" t="s">
        <v>9</v>
      </c>
      <c r="H1402" s="37"/>
      <c r="I1402" s="16"/>
      <c r="J1402" s="116">
        <v>30</v>
      </c>
      <c r="K1402" s="37"/>
      <c r="L1402" s="37"/>
      <c r="M1402" s="38" t="s">
        <v>870</v>
      </c>
      <c r="N1402" s="649" t="s">
        <v>1586</v>
      </c>
      <c r="O1402" s="1317" t="s">
        <v>1897</v>
      </c>
      <c r="P1402" s="657">
        <v>1</v>
      </c>
      <c r="Q1402" s="656" t="s">
        <v>878</v>
      </c>
    </row>
    <row r="1403" spans="1:17" ht="22.5" x14ac:dyDescent="0.2">
      <c r="A1403" s="50">
        <v>7</v>
      </c>
      <c r="B1403" s="51"/>
      <c r="C1403" s="51" t="s">
        <v>1898</v>
      </c>
      <c r="D1403" s="89" t="s">
        <v>1899</v>
      </c>
      <c r="E1403" s="50">
        <v>2</v>
      </c>
      <c r="F1403" s="50" t="s">
        <v>438</v>
      </c>
      <c r="G1403" s="81" t="s">
        <v>9</v>
      </c>
      <c r="H1403" s="37"/>
      <c r="I1403" s="16"/>
      <c r="J1403" s="116">
        <f>5-3.3</f>
        <v>1.7000000000000002</v>
      </c>
      <c r="K1403" s="290">
        <v>20</v>
      </c>
      <c r="L1403" s="16"/>
      <c r="M1403" s="38" t="s">
        <v>870</v>
      </c>
      <c r="N1403" s="649" t="s">
        <v>2387</v>
      </c>
      <c r="O1403" s="1317" t="s">
        <v>2391</v>
      </c>
      <c r="P1403" s="655">
        <v>1</v>
      </c>
      <c r="Q1403" s="656" t="s">
        <v>799</v>
      </c>
    </row>
    <row r="1404" spans="1:17" ht="22.5" x14ac:dyDescent="0.2">
      <c r="A1404" s="50">
        <v>7</v>
      </c>
      <c r="B1404" s="51"/>
      <c r="C1404" s="181" t="s">
        <v>1900</v>
      </c>
      <c r="D1404" s="658" t="s">
        <v>1901</v>
      </c>
      <c r="E1404" s="50" t="s">
        <v>646</v>
      </c>
      <c r="F1404" s="50" t="s">
        <v>438</v>
      </c>
      <c r="G1404" s="81" t="s">
        <v>9</v>
      </c>
      <c r="H1404" s="37" t="s">
        <v>193</v>
      </c>
      <c r="I1404" s="16"/>
      <c r="J1404" s="116">
        <v>5.9</v>
      </c>
      <c r="K1404" s="50"/>
      <c r="L1404" s="659" t="s">
        <v>193</v>
      </c>
      <c r="M1404" s="38" t="s">
        <v>870</v>
      </c>
      <c r="N1404" s="1302" t="s">
        <v>1836</v>
      </c>
      <c r="O1404" s="1317" t="s">
        <v>1560</v>
      </c>
      <c r="P1404" s="655">
        <v>1</v>
      </c>
      <c r="Q1404" s="660" t="s">
        <v>886</v>
      </c>
    </row>
    <row r="1405" spans="1:17" x14ac:dyDescent="0.2">
      <c r="A1405" s="50">
        <v>7</v>
      </c>
      <c r="B1405" s="650"/>
      <c r="C1405" s="210" t="s">
        <v>1902</v>
      </c>
      <c r="D1405" s="661" t="s">
        <v>1903</v>
      </c>
      <c r="E1405" s="50">
        <v>2</v>
      </c>
      <c r="G1405" s="81" t="s">
        <v>9</v>
      </c>
      <c r="H1405" s="37"/>
      <c r="I1405" s="16"/>
      <c r="J1405" s="116">
        <f>5-3.6</f>
        <v>1.4</v>
      </c>
      <c r="K1405" s="636">
        <v>10</v>
      </c>
      <c r="L1405" s="662">
        <v>10</v>
      </c>
      <c r="N1405" s="1302" t="s">
        <v>2387</v>
      </c>
      <c r="O1405" s="1325" t="s">
        <v>2392</v>
      </c>
      <c r="P1405" s="655">
        <v>1</v>
      </c>
      <c r="Q1405" s="660" t="s">
        <v>875</v>
      </c>
    </row>
    <row r="1406" spans="1:17" ht="15" x14ac:dyDescent="0.25">
      <c r="A1406" s="50">
        <v>7</v>
      </c>
      <c r="B1406" s="51"/>
      <c r="C1406" s="51"/>
      <c r="D1406" s="330"/>
      <c r="E1406" s="50"/>
      <c r="F1406" s="50" t="s">
        <v>438</v>
      </c>
      <c r="G1406" s="121" t="s">
        <v>608</v>
      </c>
      <c r="H1406" s="123" t="e">
        <f>SUM(#REF!)</f>
        <v>#REF!</v>
      </c>
      <c r="I1406" s="123">
        <f>SUM(I1398:I1405)</f>
        <v>199.2</v>
      </c>
      <c r="J1406" s="123">
        <f t="shared" ref="J1406:L1406" si="275">SUM(J1398:J1405)</f>
        <v>51.5</v>
      </c>
      <c r="K1406" s="123">
        <f t="shared" si="275"/>
        <v>220</v>
      </c>
      <c r="L1406" s="123">
        <f t="shared" si="275"/>
        <v>2226</v>
      </c>
      <c r="N1406" s="649"/>
      <c r="O1406" s="1317"/>
      <c r="P1406" s="655"/>
      <c r="Q1406" s="653"/>
    </row>
    <row r="1407" spans="1:17" ht="22.5" x14ac:dyDescent="0.2">
      <c r="A1407" s="50">
        <v>7</v>
      </c>
      <c r="B1407" s="51"/>
      <c r="C1407" s="51" t="s">
        <v>1904</v>
      </c>
      <c r="D1407" s="1130" t="s">
        <v>440</v>
      </c>
      <c r="E1407" s="50">
        <v>2</v>
      </c>
      <c r="F1407" s="663" t="s">
        <v>441</v>
      </c>
      <c r="G1407" s="50" t="s">
        <v>9</v>
      </c>
      <c r="H1407" s="28">
        <f>40-40</f>
        <v>0</v>
      </c>
      <c r="I1407" s="16">
        <v>0</v>
      </c>
      <c r="J1407" s="116">
        <f>45-8.5</f>
        <v>36.5</v>
      </c>
      <c r="K1407" s="28">
        <v>0</v>
      </c>
      <c r="L1407" s="28">
        <v>0</v>
      </c>
      <c r="M1407" s="38" t="s">
        <v>796</v>
      </c>
      <c r="N1407" s="649" t="s">
        <v>2387</v>
      </c>
      <c r="O1407" s="659" t="s">
        <v>2393</v>
      </c>
      <c r="P1407" s="655">
        <v>1</v>
      </c>
      <c r="Q1407" s="1319" t="s">
        <v>871</v>
      </c>
    </row>
    <row r="1408" spans="1:17" ht="15" x14ac:dyDescent="0.25">
      <c r="A1408" s="50">
        <v>7</v>
      </c>
      <c r="B1408" s="51"/>
      <c r="C1408" s="51"/>
      <c r="D1408" s="379"/>
      <c r="E1408" s="663"/>
      <c r="F1408" s="663" t="s">
        <v>441</v>
      </c>
      <c r="G1408" s="121" t="s">
        <v>608</v>
      </c>
      <c r="H1408" s="123">
        <f>SUM(H1407)</f>
        <v>0</v>
      </c>
      <c r="I1408" s="123">
        <f>SUM(I1407)</f>
        <v>0</v>
      </c>
      <c r="J1408" s="123">
        <f>SUM(J1407)</f>
        <v>36.5</v>
      </c>
      <c r="K1408" s="123">
        <f>SUM(K1407)</f>
        <v>0</v>
      </c>
      <c r="L1408" s="123">
        <f>SUM(L1407)</f>
        <v>0</v>
      </c>
      <c r="N1408" s="649"/>
      <c r="O1408" s="1317"/>
      <c r="P1408" s="655"/>
      <c r="Q1408" s="653"/>
    </row>
    <row r="1409" spans="1:17" ht="33.75" x14ac:dyDescent="0.2">
      <c r="A1409" s="50">
        <v>7</v>
      </c>
      <c r="B1409" s="51"/>
      <c r="C1409" s="51" t="s">
        <v>1905</v>
      </c>
      <c r="D1409" s="1130" t="s">
        <v>442</v>
      </c>
      <c r="E1409" s="30" t="s">
        <v>636</v>
      </c>
      <c r="F1409" s="50" t="s">
        <v>443</v>
      </c>
      <c r="G1409" s="31" t="s">
        <v>9</v>
      </c>
      <c r="H1409" s="29">
        <f>144.5+16.1</f>
        <v>160.6</v>
      </c>
      <c r="I1409" s="16">
        <v>0</v>
      </c>
      <c r="J1409" s="116">
        <v>0</v>
      </c>
      <c r="K1409" s="28">
        <v>0</v>
      </c>
      <c r="L1409" s="28">
        <v>0</v>
      </c>
      <c r="N1409" s="664"/>
      <c r="O1409" s="1320"/>
      <c r="P1409" s="665"/>
      <c r="Q1409" s="666" t="s">
        <v>894</v>
      </c>
    </row>
    <row r="1410" spans="1:17" x14ac:dyDescent="0.2">
      <c r="A1410" s="50">
        <v>7</v>
      </c>
      <c r="B1410" s="51"/>
      <c r="C1410" s="51"/>
      <c r="D1410" s="629"/>
      <c r="E1410" s="30" t="s">
        <v>636</v>
      </c>
      <c r="F1410" s="50" t="s">
        <v>443</v>
      </c>
      <c r="G1410" s="31" t="s">
        <v>715</v>
      </c>
      <c r="H1410" s="29">
        <f>28+1.3</f>
        <v>29.3</v>
      </c>
      <c r="I1410" s="16"/>
      <c r="J1410" s="116"/>
      <c r="K1410" s="28"/>
      <c r="L1410" s="28"/>
      <c r="N1410" s="664"/>
      <c r="O1410" s="1320"/>
      <c r="P1410" s="665"/>
      <c r="Q1410" s="666" t="s">
        <v>894</v>
      </c>
    </row>
    <row r="1411" spans="1:17" x14ac:dyDescent="0.2">
      <c r="A1411" s="50">
        <v>7</v>
      </c>
      <c r="B1411" s="51"/>
      <c r="C1411" s="51"/>
      <c r="D1411" s="629"/>
      <c r="E1411" s="30" t="s">
        <v>636</v>
      </c>
      <c r="F1411" s="50" t="s">
        <v>443</v>
      </c>
      <c r="G1411" s="31" t="s">
        <v>58</v>
      </c>
      <c r="H1411" s="29">
        <f>127-12.5</f>
        <v>114.5</v>
      </c>
      <c r="I1411" s="16">
        <f>87.4+1.9</f>
        <v>89.300000000000011</v>
      </c>
      <c r="J1411" s="116"/>
      <c r="K1411" s="28"/>
      <c r="L1411" s="28"/>
      <c r="N1411" s="664"/>
      <c r="O1411" s="1320"/>
      <c r="P1411" s="665"/>
      <c r="Q1411" s="666" t="s">
        <v>894</v>
      </c>
    </row>
    <row r="1412" spans="1:17" x14ac:dyDescent="0.2">
      <c r="A1412" s="50">
        <v>7</v>
      </c>
      <c r="B1412" s="51"/>
      <c r="C1412" s="51"/>
      <c r="D1412" s="629"/>
      <c r="E1412" s="50"/>
      <c r="F1412" s="50" t="s">
        <v>443</v>
      </c>
      <c r="G1412" s="121" t="s">
        <v>608</v>
      </c>
      <c r="H1412" s="123">
        <f>SUM(H1409:H1411)</f>
        <v>304.39999999999998</v>
      </c>
      <c r="I1412" s="123">
        <f>SUM(I1409:I1411)</f>
        <v>89.300000000000011</v>
      </c>
      <c r="J1412" s="123">
        <f>SUM(J1409:J1411)</f>
        <v>0</v>
      </c>
      <c r="K1412" s="123">
        <f>SUM(K1409:K1411)</f>
        <v>0</v>
      </c>
      <c r="L1412" s="123">
        <f>SUM(L1409:L1411)</f>
        <v>0</v>
      </c>
      <c r="N1412" s="79"/>
      <c r="O1412" s="1312"/>
      <c r="P1412" s="80"/>
      <c r="Q1412" s="630"/>
    </row>
    <row r="1413" spans="1:17" ht="22.5" x14ac:dyDescent="0.2">
      <c r="A1413" s="50">
        <v>7</v>
      </c>
      <c r="B1413" s="51"/>
      <c r="C1413" s="51" t="s">
        <v>1906</v>
      </c>
      <c r="D1413" s="1130" t="s">
        <v>2430</v>
      </c>
      <c r="E1413" s="30">
        <v>2</v>
      </c>
      <c r="F1413" s="50" t="s">
        <v>444</v>
      </c>
      <c r="G1413" s="50" t="s">
        <v>9</v>
      </c>
      <c r="H1413" s="28">
        <f>100+19</f>
        <v>119</v>
      </c>
      <c r="I1413" s="16">
        <v>106.8</v>
      </c>
      <c r="J1413" s="116">
        <v>150</v>
      </c>
      <c r="K1413" s="28">
        <v>150</v>
      </c>
      <c r="L1413" s="28">
        <v>150</v>
      </c>
      <c r="M1413" s="38" t="s">
        <v>796</v>
      </c>
      <c r="N1413" s="79" t="s">
        <v>1907</v>
      </c>
      <c r="O1413" s="1312" t="s">
        <v>1908</v>
      </c>
      <c r="P1413" s="80">
        <v>6</v>
      </c>
      <c r="Q1413" s="630"/>
    </row>
    <row r="1414" spans="1:17" x14ac:dyDescent="0.2">
      <c r="A1414" s="50">
        <v>7</v>
      </c>
      <c r="B1414" s="51"/>
      <c r="C1414" s="51"/>
      <c r="D1414" s="629"/>
      <c r="E1414" s="50"/>
      <c r="F1414" s="50" t="s">
        <v>444</v>
      </c>
      <c r="G1414" s="121" t="s">
        <v>608</v>
      </c>
      <c r="H1414" s="123">
        <f>SUM(H1413)</f>
        <v>119</v>
      </c>
      <c r="I1414" s="123">
        <f>SUM(I1413)</f>
        <v>106.8</v>
      </c>
      <c r="J1414" s="123">
        <f>SUM(J1413)</f>
        <v>150</v>
      </c>
      <c r="K1414" s="123">
        <f>SUM(K1413)</f>
        <v>150</v>
      </c>
      <c r="L1414" s="123">
        <f>SUM(L1413)</f>
        <v>150</v>
      </c>
      <c r="N1414" s="79"/>
      <c r="O1414" s="1312"/>
      <c r="P1414" s="80"/>
      <c r="Q1414" s="807"/>
    </row>
    <row r="1415" spans="1:17" ht="22.5" x14ac:dyDescent="0.2">
      <c r="A1415" s="50">
        <v>7</v>
      </c>
      <c r="B1415" s="51"/>
      <c r="C1415" s="51" t="s">
        <v>1909</v>
      </c>
      <c r="D1415" s="1130" t="s">
        <v>445</v>
      </c>
      <c r="E1415" s="30">
        <v>2</v>
      </c>
      <c r="F1415" s="50" t="s">
        <v>446</v>
      </c>
      <c r="G1415" s="31"/>
      <c r="H1415" s="29"/>
      <c r="I1415" s="16"/>
      <c r="J1415" s="740"/>
      <c r="K1415" s="652"/>
      <c r="L1415" s="652"/>
      <c r="N1415" s="649" t="s">
        <v>2394</v>
      </c>
      <c r="P1415" s="806"/>
      <c r="Q1415" s="795"/>
    </row>
    <row r="1416" spans="1:17" x14ac:dyDescent="0.2">
      <c r="A1416" s="50">
        <v>7</v>
      </c>
      <c r="B1416" s="51"/>
      <c r="C1416" s="650" t="s">
        <v>1910</v>
      </c>
      <c r="D1416" s="651" t="s">
        <v>1911</v>
      </c>
      <c r="E1416" s="667">
        <v>2</v>
      </c>
      <c r="F1416" s="668" t="s">
        <v>446</v>
      </c>
      <c r="G1416" s="668" t="s">
        <v>9</v>
      </c>
      <c r="H1416" s="652"/>
      <c r="I1416" s="171"/>
      <c r="J1416" s="133">
        <f>63-5.4</f>
        <v>57.6</v>
      </c>
      <c r="K1416" s="652">
        <v>160</v>
      </c>
      <c r="L1416" s="652">
        <v>58</v>
      </c>
      <c r="M1416" s="38" t="s">
        <v>870</v>
      </c>
      <c r="N1416" s="649"/>
      <c r="O1416" s="1326" t="s">
        <v>2395</v>
      </c>
      <c r="P1416" s="806">
        <v>30</v>
      </c>
      <c r="Q1416" s="1319" t="s">
        <v>871</v>
      </c>
    </row>
    <row r="1417" spans="1:17" x14ac:dyDescent="0.2">
      <c r="A1417" s="50">
        <v>7</v>
      </c>
      <c r="B1417" s="51"/>
      <c r="C1417" s="650" t="s">
        <v>1910</v>
      </c>
      <c r="D1417" s="651"/>
      <c r="E1417" s="667">
        <v>28</v>
      </c>
      <c r="F1417" s="668" t="s">
        <v>446</v>
      </c>
      <c r="G1417" s="668" t="s">
        <v>9</v>
      </c>
      <c r="H1417" s="652"/>
      <c r="I1417" s="171"/>
      <c r="J1417" s="133">
        <f>5.4-5.4</f>
        <v>0</v>
      </c>
      <c r="K1417" s="652"/>
      <c r="L1417" s="652"/>
      <c r="N1417" s="649" t="s">
        <v>1759</v>
      </c>
      <c r="O1417" s="1327" t="s">
        <v>2396</v>
      </c>
      <c r="P1417" s="806">
        <v>1</v>
      </c>
      <c r="Q1417" s="1319" t="s">
        <v>871</v>
      </c>
    </row>
    <row r="1418" spans="1:17" ht="22.5" x14ac:dyDescent="0.2">
      <c r="A1418" s="50">
        <v>7</v>
      </c>
      <c r="B1418" s="51"/>
      <c r="C1418" s="650" t="s">
        <v>1912</v>
      </c>
      <c r="D1418" s="651" t="s">
        <v>1913</v>
      </c>
      <c r="E1418" s="667">
        <v>2</v>
      </c>
      <c r="F1418" s="668" t="s">
        <v>446</v>
      </c>
      <c r="G1418" s="668" t="s">
        <v>9</v>
      </c>
      <c r="H1418" s="652"/>
      <c r="I1418" s="171"/>
      <c r="J1418" s="133">
        <v>15</v>
      </c>
      <c r="K1418" s="652">
        <v>150</v>
      </c>
      <c r="L1418" s="652">
        <v>150</v>
      </c>
      <c r="M1418" s="38" t="s">
        <v>870</v>
      </c>
      <c r="N1418" s="649" t="s">
        <v>2387</v>
      </c>
      <c r="O1418" s="1312" t="s">
        <v>2397</v>
      </c>
      <c r="P1418" s="806">
        <v>1</v>
      </c>
      <c r="Q1418" s="805" t="s">
        <v>861</v>
      </c>
    </row>
    <row r="1419" spans="1:17" x14ac:dyDescent="0.2">
      <c r="A1419" s="50">
        <v>7</v>
      </c>
      <c r="B1419" s="51"/>
      <c r="C1419" s="51"/>
      <c r="D1419" s="379"/>
      <c r="E1419" s="30"/>
      <c r="F1419" s="50" t="s">
        <v>446</v>
      </c>
      <c r="G1419" s="121" t="s">
        <v>608</v>
      </c>
      <c r="H1419" s="123">
        <f>SUM(H1415)</f>
        <v>0</v>
      </c>
      <c r="I1419" s="123">
        <f>SUM(I1416,I1418)</f>
        <v>0</v>
      </c>
      <c r="J1419" s="123">
        <f>SUM(J1416:J1417,J1418)</f>
        <v>72.599999999999994</v>
      </c>
      <c r="K1419" s="123">
        <f t="shared" ref="K1419:L1419" si="276">SUM(K1416:K1417,K1418)</f>
        <v>310</v>
      </c>
      <c r="L1419" s="123">
        <f t="shared" si="276"/>
        <v>208</v>
      </c>
      <c r="N1419" s="79"/>
      <c r="P1419" s="808"/>
      <c r="Q1419" s="1321"/>
    </row>
    <row r="1420" spans="1:17" ht="33.75" x14ac:dyDescent="0.25">
      <c r="A1420" s="50">
        <v>7</v>
      </c>
      <c r="B1420" s="669"/>
      <c r="C1420" s="669" t="s">
        <v>1914</v>
      </c>
      <c r="D1420" s="1130" t="s">
        <v>447</v>
      </c>
      <c r="E1420" s="80">
        <v>2</v>
      </c>
      <c r="F1420" s="80" t="s">
        <v>448</v>
      </c>
      <c r="G1420" s="80" t="s">
        <v>9</v>
      </c>
      <c r="H1420" s="29"/>
      <c r="I1420" s="16"/>
      <c r="J1420" s="740"/>
      <c r="K1420" s="29"/>
      <c r="L1420" s="29"/>
      <c r="N1420" s="649"/>
      <c r="O1420" s="1317"/>
      <c r="P1420" s="809"/>
      <c r="Q1420" s="1316"/>
    </row>
    <row r="1421" spans="1:17" ht="22.5" x14ac:dyDescent="0.25">
      <c r="A1421" s="50">
        <v>7</v>
      </c>
      <c r="B1421" s="669"/>
      <c r="C1421" s="669" t="s">
        <v>1915</v>
      </c>
      <c r="D1421" s="651" t="s">
        <v>1916</v>
      </c>
      <c r="E1421" s="80">
        <v>2</v>
      </c>
      <c r="F1421" s="80" t="s">
        <v>448</v>
      </c>
      <c r="G1421" s="80" t="s">
        <v>9</v>
      </c>
      <c r="H1421" s="28">
        <v>14.299999999999999</v>
      </c>
      <c r="I1421" s="16">
        <v>9.8000000000000007</v>
      </c>
      <c r="J1421" s="116">
        <v>10</v>
      </c>
      <c r="K1421" s="28">
        <v>10</v>
      </c>
      <c r="L1421" s="28">
        <v>10</v>
      </c>
      <c r="M1421" s="38" t="s">
        <v>782</v>
      </c>
      <c r="N1421" s="649" t="s">
        <v>2387</v>
      </c>
      <c r="O1421" s="1317" t="s">
        <v>1917</v>
      </c>
      <c r="P1421" s="809">
        <v>10</v>
      </c>
      <c r="Q1421" s="1322"/>
    </row>
    <row r="1422" spans="1:17" ht="22.5" x14ac:dyDescent="0.25">
      <c r="A1422" s="50">
        <v>7</v>
      </c>
      <c r="B1422" s="669"/>
      <c r="C1422" s="669" t="s">
        <v>1918</v>
      </c>
      <c r="D1422" s="651" t="s">
        <v>1919</v>
      </c>
      <c r="E1422" s="80">
        <v>2</v>
      </c>
      <c r="F1422" s="80" t="s">
        <v>448</v>
      </c>
      <c r="G1422" s="80" t="s">
        <v>9</v>
      </c>
      <c r="H1422" s="28"/>
      <c r="I1422" s="16">
        <v>2.2000000000000002</v>
      </c>
      <c r="J1422" s="116">
        <v>4.7</v>
      </c>
      <c r="K1422" s="28">
        <v>4.7</v>
      </c>
      <c r="L1422" s="28">
        <v>4.7</v>
      </c>
      <c r="M1422" s="38" t="s">
        <v>782</v>
      </c>
      <c r="N1422" s="649" t="s">
        <v>2387</v>
      </c>
      <c r="O1422" s="1317" t="s">
        <v>2398</v>
      </c>
      <c r="P1422" s="809">
        <v>6</v>
      </c>
      <c r="Q1422" s="1322"/>
    </row>
    <row r="1423" spans="1:17" ht="22.5" x14ac:dyDescent="0.25">
      <c r="A1423" s="50">
        <v>7</v>
      </c>
      <c r="B1423" s="669"/>
      <c r="C1423" s="669" t="s">
        <v>1920</v>
      </c>
      <c r="D1423" s="651" t="s">
        <v>1921</v>
      </c>
      <c r="E1423" s="80">
        <v>2</v>
      </c>
      <c r="F1423" s="80" t="s">
        <v>448</v>
      </c>
      <c r="G1423" s="80" t="s">
        <v>9</v>
      </c>
      <c r="H1423" s="28"/>
      <c r="I1423" s="16">
        <v>3</v>
      </c>
      <c r="J1423" s="116">
        <v>3</v>
      </c>
      <c r="K1423" s="28">
        <v>3</v>
      </c>
      <c r="L1423" s="28">
        <v>3</v>
      </c>
      <c r="M1423" s="38" t="s">
        <v>782</v>
      </c>
      <c r="N1423" s="649" t="s">
        <v>2387</v>
      </c>
      <c r="O1423" s="1326" t="s">
        <v>1922</v>
      </c>
      <c r="P1423" s="809">
        <v>2</v>
      </c>
      <c r="Q1423" s="1322"/>
    </row>
    <row r="1424" spans="1:17" ht="33.75" x14ac:dyDescent="0.2">
      <c r="A1424" s="50">
        <v>7</v>
      </c>
      <c r="B1424" s="669"/>
      <c r="C1424" s="669" t="s">
        <v>1923</v>
      </c>
      <c r="D1424" s="651" t="s">
        <v>1924</v>
      </c>
      <c r="E1424" s="80">
        <v>2</v>
      </c>
      <c r="F1424" s="80" t="s">
        <v>448</v>
      </c>
      <c r="G1424" s="80" t="s">
        <v>9</v>
      </c>
      <c r="H1424" s="28"/>
      <c r="I1424" s="16">
        <v>9.6999999999999993</v>
      </c>
      <c r="J1424" s="116"/>
      <c r="K1424" s="28"/>
      <c r="L1424" s="28"/>
      <c r="M1424" s="38" t="s">
        <v>787</v>
      </c>
      <c r="N1424" s="649"/>
      <c r="O1424" s="1317"/>
      <c r="P1424" s="809"/>
      <c r="Q1424" s="630" t="s">
        <v>889</v>
      </c>
    </row>
    <row r="1425" spans="1:17" x14ac:dyDescent="0.2">
      <c r="A1425" s="50">
        <v>7</v>
      </c>
      <c r="B1425" s="669"/>
      <c r="C1425" s="669" t="s">
        <v>1925</v>
      </c>
      <c r="D1425" s="651" t="s">
        <v>1926</v>
      </c>
      <c r="E1425" s="80">
        <v>2</v>
      </c>
      <c r="F1425" s="80" t="s">
        <v>448</v>
      </c>
      <c r="G1425" s="80" t="s">
        <v>9</v>
      </c>
      <c r="H1425" s="28"/>
      <c r="I1425" s="16">
        <v>4.5999999999999996</v>
      </c>
      <c r="J1425" s="116"/>
      <c r="K1425" s="28"/>
      <c r="L1425" s="28"/>
      <c r="M1425" s="38" t="s">
        <v>787</v>
      </c>
      <c r="N1425" s="649"/>
      <c r="O1425" s="1317"/>
      <c r="P1425" s="809"/>
      <c r="Q1425" s="630" t="s">
        <v>889</v>
      </c>
    </row>
    <row r="1426" spans="1:17" ht="33.75" x14ac:dyDescent="0.2">
      <c r="A1426" s="50">
        <v>7</v>
      </c>
      <c r="B1426" s="669"/>
      <c r="C1426" s="669" t="s">
        <v>1927</v>
      </c>
      <c r="D1426" s="651" t="s">
        <v>1928</v>
      </c>
      <c r="E1426" s="80">
        <v>2</v>
      </c>
      <c r="F1426" s="80" t="s">
        <v>448</v>
      </c>
      <c r="G1426" s="80" t="s">
        <v>9</v>
      </c>
      <c r="H1426" s="28"/>
      <c r="I1426" s="16">
        <v>0.2</v>
      </c>
      <c r="J1426" s="116">
        <f>2-2</f>
        <v>0</v>
      </c>
      <c r="K1426" s="28">
        <f>7-7</f>
        <v>0</v>
      </c>
      <c r="L1426" s="28">
        <f>7-5</f>
        <v>2</v>
      </c>
      <c r="M1426" s="38" t="s">
        <v>870</v>
      </c>
      <c r="N1426" s="649"/>
      <c r="O1426" s="1328"/>
      <c r="P1426" s="809"/>
      <c r="Q1426" s="630" t="s">
        <v>861</v>
      </c>
    </row>
    <row r="1427" spans="1:17" ht="15" x14ac:dyDescent="0.25">
      <c r="A1427" s="50">
        <v>7</v>
      </c>
      <c r="B1427" s="669"/>
      <c r="C1427" s="669" t="s">
        <v>1927</v>
      </c>
      <c r="D1427" s="651"/>
      <c r="E1427" s="80">
        <v>2</v>
      </c>
      <c r="F1427" s="80" t="s">
        <v>448</v>
      </c>
      <c r="G1427" s="643" t="s">
        <v>718</v>
      </c>
      <c r="H1427" s="28"/>
      <c r="I1427" s="16"/>
      <c r="J1427" s="116"/>
      <c r="K1427" s="28"/>
      <c r="L1427" s="28">
        <v>18</v>
      </c>
      <c r="N1427" s="649"/>
      <c r="O1427" s="1317"/>
      <c r="P1427" s="809"/>
      <c r="Q1427" s="1322"/>
    </row>
    <row r="1428" spans="1:17" ht="15" x14ac:dyDescent="0.25">
      <c r="A1428" s="50">
        <v>7</v>
      </c>
      <c r="B1428" s="669"/>
      <c r="C1428" s="669" t="s">
        <v>1929</v>
      </c>
      <c r="D1428" s="207" t="s">
        <v>1930</v>
      </c>
      <c r="E1428" s="80">
        <v>2</v>
      </c>
      <c r="F1428" s="80" t="s">
        <v>448</v>
      </c>
      <c r="G1428" s="80" t="s">
        <v>9</v>
      </c>
      <c r="H1428" s="28"/>
      <c r="I1428" s="16">
        <v>0</v>
      </c>
      <c r="J1428" s="116">
        <v>5.3</v>
      </c>
      <c r="K1428" s="28">
        <v>5.3</v>
      </c>
      <c r="L1428" s="28">
        <v>5.3</v>
      </c>
      <c r="M1428" s="38" t="s">
        <v>782</v>
      </c>
      <c r="N1428" s="649" t="s">
        <v>2387</v>
      </c>
      <c r="P1428" s="655"/>
      <c r="Q1428" s="1318"/>
    </row>
    <row r="1429" spans="1:17" ht="15" x14ac:dyDescent="0.25">
      <c r="A1429" s="50">
        <v>7</v>
      </c>
      <c r="B1429" s="669"/>
      <c r="C1429" s="669"/>
      <c r="D1429" s="379"/>
      <c r="E1429" s="80"/>
      <c r="F1429" s="80" t="s">
        <v>448</v>
      </c>
      <c r="G1429" s="121" t="s">
        <v>608</v>
      </c>
      <c r="H1429" s="123">
        <f>SUM(H1420)</f>
        <v>0</v>
      </c>
      <c r="I1429" s="123">
        <f>I1421+I1422+I1423+I1424+I1425+I1426+I1428+I1427</f>
        <v>29.499999999999996</v>
      </c>
      <c r="J1429" s="123">
        <f t="shared" ref="J1429:L1429" si="277">J1421+J1422+J1423+J1424+J1425+J1426+J1428+J1427</f>
        <v>23</v>
      </c>
      <c r="K1429" s="123">
        <f t="shared" si="277"/>
        <v>23</v>
      </c>
      <c r="L1429" s="123">
        <f t="shared" si="277"/>
        <v>43</v>
      </c>
      <c r="N1429" s="649"/>
      <c r="O1429" s="1317"/>
      <c r="P1429" s="655"/>
      <c r="Q1429" s="653"/>
    </row>
    <row r="1430" spans="1:17" ht="22.5" x14ac:dyDescent="0.25">
      <c r="A1430" s="50">
        <v>7</v>
      </c>
      <c r="B1430" s="142" t="s">
        <v>1931</v>
      </c>
      <c r="C1430" s="142" t="s">
        <v>1931</v>
      </c>
      <c r="D1430" s="191" t="s">
        <v>449</v>
      </c>
      <c r="E1430" s="80"/>
      <c r="F1430" s="50"/>
      <c r="G1430" s="81"/>
      <c r="H1430" s="37"/>
      <c r="I1430" s="302">
        <f>I1436</f>
        <v>13.2</v>
      </c>
      <c r="J1430" s="144">
        <f>J1436</f>
        <v>40</v>
      </c>
      <c r="K1430" s="21">
        <f>K1436</f>
        <v>10</v>
      </c>
      <c r="L1430" s="21">
        <f>L1436</f>
        <v>10</v>
      </c>
      <c r="N1430" s="649"/>
      <c r="O1430" s="1317"/>
      <c r="P1430" s="655"/>
      <c r="Q1430" s="653"/>
    </row>
    <row r="1431" spans="1:17" ht="33.75" x14ac:dyDescent="0.2">
      <c r="A1431" s="50">
        <v>7</v>
      </c>
      <c r="B1431" s="51"/>
      <c r="C1431" s="51" t="s">
        <v>1932</v>
      </c>
      <c r="D1431" s="1130" t="s">
        <v>450</v>
      </c>
      <c r="E1431" s="31">
        <v>2</v>
      </c>
      <c r="F1431" s="50" t="s">
        <v>451</v>
      </c>
      <c r="G1431" s="16"/>
      <c r="H1431" s="670"/>
      <c r="I1431" s="16"/>
      <c r="J1431" s="116"/>
      <c r="K1431" s="16"/>
      <c r="L1431" s="16"/>
      <c r="N1431" s="649"/>
      <c r="O1431" s="649"/>
      <c r="P1431" s="655"/>
      <c r="Q1431" s="379"/>
    </row>
    <row r="1432" spans="1:17" ht="22.5" x14ac:dyDescent="0.2">
      <c r="A1432" s="50">
        <v>7</v>
      </c>
      <c r="B1432" s="51"/>
      <c r="C1432" s="51" t="s">
        <v>1933</v>
      </c>
      <c r="D1432" s="89" t="s">
        <v>1934</v>
      </c>
      <c r="E1432" s="31">
        <v>2</v>
      </c>
      <c r="F1432" s="50" t="s">
        <v>451</v>
      </c>
      <c r="G1432" s="31" t="s">
        <v>9</v>
      </c>
      <c r="H1432" s="29"/>
      <c r="I1432" s="16">
        <v>6.4</v>
      </c>
      <c r="J1432" s="116"/>
      <c r="K1432" s="29"/>
      <c r="L1432" s="29"/>
      <c r="M1432" s="38" t="s">
        <v>787</v>
      </c>
      <c r="N1432" s="649"/>
      <c r="O1432" s="677"/>
      <c r="P1432" s="379"/>
      <c r="Q1432" s="630" t="s">
        <v>871</v>
      </c>
    </row>
    <row r="1433" spans="1:17" ht="22.5" x14ac:dyDescent="0.2">
      <c r="A1433" s="50">
        <v>7</v>
      </c>
      <c r="B1433" s="51"/>
      <c r="C1433" s="51" t="s">
        <v>1935</v>
      </c>
      <c r="D1433" s="89" t="s">
        <v>1936</v>
      </c>
      <c r="E1433" s="31">
        <v>2</v>
      </c>
      <c r="F1433" s="50" t="s">
        <v>451</v>
      </c>
      <c r="G1433" s="31" t="s">
        <v>9</v>
      </c>
      <c r="H1433" s="29"/>
      <c r="I1433" s="16"/>
      <c r="J1433" s="116">
        <v>30</v>
      </c>
      <c r="K1433" s="29"/>
      <c r="L1433" s="29"/>
      <c r="M1433" s="38" t="s">
        <v>870</v>
      </c>
      <c r="N1433" s="649" t="s">
        <v>2387</v>
      </c>
      <c r="O1433" s="1203" t="s">
        <v>2395</v>
      </c>
      <c r="P1433" s="655">
        <v>100</v>
      </c>
      <c r="Q1433" s="630" t="s">
        <v>871</v>
      </c>
    </row>
    <row r="1434" spans="1:17" x14ac:dyDescent="0.2">
      <c r="A1434" s="50">
        <v>7</v>
      </c>
      <c r="B1434" s="51"/>
      <c r="C1434" s="51" t="s">
        <v>1937</v>
      </c>
      <c r="D1434" s="89" t="s">
        <v>1938</v>
      </c>
      <c r="E1434" s="31">
        <v>2</v>
      </c>
      <c r="F1434" s="50" t="s">
        <v>451</v>
      </c>
      <c r="G1434" s="31" t="s">
        <v>9</v>
      </c>
      <c r="H1434" s="29"/>
      <c r="I1434" s="16">
        <v>0.8</v>
      </c>
      <c r="J1434" s="116">
        <v>5</v>
      </c>
      <c r="K1434" s="29">
        <v>5</v>
      </c>
      <c r="L1434" s="29">
        <v>5</v>
      </c>
      <c r="M1434" s="38" t="s">
        <v>787</v>
      </c>
      <c r="N1434" s="649" t="s">
        <v>2387</v>
      </c>
      <c r="O1434" s="649" t="s">
        <v>1939</v>
      </c>
      <c r="P1434" s="655">
        <v>1</v>
      </c>
      <c r="Q1434" s="630"/>
    </row>
    <row r="1435" spans="1:17" x14ac:dyDescent="0.2">
      <c r="A1435" s="50">
        <v>7</v>
      </c>
      <c r="B1435" s="51"/>
      <c r="C1435" s="51" t="s">
        <v>1940</v>
      </c>
      <c r="D1435" s="89" t="s">
        <v>1930</v>
      </c>
      <c r="E1435" s="31">
        <v>2</v>
      </c>
      <c r="F1435" s="50" t="s">
        <v>451</v>
      </c>
      <c r="G1435" s="31" t="s">
        <v>9</v>
      </c>
      <c r="H1435" s="29"/>
      <c r="I1435" s="16">
        <v>6</v>
      </c>
      <c r="J1435" s="116">
        <v>5</v>
      </c>
      <c r="K1435" s="29">
        <v>5</v>
      </c>
      <c r="L1435" s="29">
        <v>5</v>
      </c>
      <c r="M1435" s="38" t="s">
        <v>796</v>
      </c>
      <c r="N1435" s="649" t="s">
        <v>2387</v>
      </c>
      <c r="O1435" s="649"/>
      <c r="P1435" s="655"/>
      <c r="Q1435" s="630"/>
    </row>
    <row r="1436" spans="1:17" x14ac:dyDescent="0.2">
      <c r="A1436" s="50">
        <v>7</v>
      </c>
      <c r="B1436" s="51"/>
      <c r="C1436" s="51"/>
      <c r="D1436" s="89"/>
      <c r="E1436" s="31"/>
      <c r="F1436" s="50"/>
      <c r="G1436" s="121" t="s">
        <v>608</v>
      </c>
      <c r="H1436" s="123">
        <f>SUM(H1431:H1431)</f>
        <v>0</v>
      </c>
      <c r="I1436" s="123">
        <f>SUM(I1432:I1435)</f>
        <v>13.2</v>
      </c>
      <c r="J1436" s="123">
        <f t="shared" ref="J1436:L1436" si="278">SUM(J1432:J1435)</f>
        <v>40</v>
      </c>
      <c r="K1436" s="123">
        <f t="shared" si="278"/>
        <v>10</v>
      </c>
      <c r="L1436" s="123">
        <f t="shared" si="278"/>
        <v>10</v>
      </c>
      <c r="N1436" s="649"/>
      <c r="O1436" s="649"/>
      <c r="P1436" s="655"/>
      <c r="Q1436" s="630"/>
    </row>
    <row r="1437" spans="1:17" x14ac:dyDescent="0.2">
      <c r="A1437" s="50">
        <v>7</v>
      </c>
      <c r="B1437" s="51"/>
      <c r="C1437" s="51"/>
      <c r="D1437" s="89"/>
      <c r="E1437" s="31"/>
      <c r="F1437" s="50"/>
      <c r="G1437" s="185" t="s">
        <v>608</v>
      </c>
      <c r="H1437" s="164"/>
      <c r="I1437" s="185">
        <f>SUM(I1309,I1312,I1315,I1318,I1321,I1324,I1327,I1331,I1334,I1336,I1339,I1345,I1362,I1366,I1371,I1374,I1377,I1387,I1389,I1395,I1406,I1408,I1412,I1414,I1419,I1429,I1436,I1381,I1379,I1384)</f>
        <v>8425.8000000000011</v>
      </c>
      <c r="J1437" s="185">
        <f t="shared" ref="J1437:L1437" si="279">SUM(J1309,J1312,J1315,J1318,J1321,J1324,J1327,J1331,J1334,J1336,J1339,J1345,J1362,J1366,J1371,J1374,J1377,J1387,J1389,J1395,J1406,J1408,J1412,J1414,J1419,J1429,J1436,J1381,J1379,J1384)</f>
        <v>10004.6</v>
      </c>
      <c r="K1437" s="185">
        <f t="shared" si="279"/>
        <v>10502.8</v>
      </c>
      <c r="L1437" s="185">
        <f t="shared" si="279"/>
        <v>12221.4</v>
      </c>
      <c r="N1437" s="649"/>
      <c r="O1437" s="1317"/>
      <c r="P1437" s="655"/>
      <c r="Q1437" s="656"/>
    </row>
    <row r="1438" spans="1:17" x14ac:dyDescent="0.2">
      <c r="A1438" s="50">
        <v>7</v>
      </c>
      <c r="B1438" s="51"/>
      <c r="C1438" s="51"/>
      <c r="D1438" s="89"/>
      <c r="E1438" s="31"/>
      <c r="F1438" s="50"/>
      <c r="G1438" s="81" t="s">
        <v>9</v>
      </c>
      <c r="H1438" s="37"/>
      <c r="I1438" s="37">
        <f>SUM(I1307,I1311,I1313,I1316,I1319,I1322,I1325,I1328,I1332,I1335,I1338,I1340,I1341,I1353,I1354,I1355,I1356,I1357,I1358,I1359,I1360,I1361,I1363,I1367,I1368,I1372,I1375,I1386,I1388,I1393:I1394,I1398,I1400,I1401,I1402,I1403,I1407,I1409,I1413,I1416:I1418,I1421:I1426,I1432:I1435,I1342,I1404,I1405,I1378,I1380,I1383,I1428,I1344,I1343)</f>
        <v>7046.1999999999989</v>
      </c>
      <c r="J1438" s="37">
        <f t="shared" ref="J1438:L1438" si="280">SUM(J1307,J1311,J1313,J1316,J1319,J1322,J1325,J1328,J1332,J1335,J1338,J1340,J1341,J1353,J1354,J1355,J1356,J1357,J1358,J1359,J1360,J1361,J1363,J1367,J1368,J1372,J1375,J1386,J1388,J1393:J1394,J1398,J1400,J1401,J1402,J1403,J1407,J1409,J1413,J1416:J1418,J1421:J1426,J1432:J1435,J1342,J1404,J1405,J1378,J1380,J1383,J1428,J1344,J1343)</f>
        <v>9462.6</v>
      </c>
      <c r="K1438" s="37">
        <f t="shared" si="280"/>
        <v>8974.2999999999993</v>
      </c>
      <c r="L1438" s="37">
        <f t="shared" si="280"/>
        <v>9174.9000000000015</v>
      </c>
      <c r="N1438" s="649"/>
      <c r="O1438" s="1317"/>
      <c r="P1438" s="655"/>
      <c r="Q1438" s="656"/>
    </row>
    <row r="1439" spans="1:17" x14ac:dyDescent="0.2">
      <c r="A1439" s="50">
        <v>7</v>
      </c>
      <c r="B1439" s="51"/>
      <c r="C1439" s="51"/>
      <c r="D1439" s="89"/>
      <c r="E1439" s="31"/>
      <c r="F1439" s="50"/>
      <c r="G1439" s="81" t="s">
        <v>12</v>
      </c>
      <c r="H1439" s="37"/>
      <c r="I1439" s="37">
        <f>SUM(I1308,I1310,I1314,I1317,I1320,I1323,I1326,I1329,I1333)</f>
        <v>282.5</v>
      </c>
      <c r="J1439" s="37">
        <f t="shared" ref="J1439:L1439" si="281">SUM(J1308,J1310,J1314,J1317,J1320,J1323,J1326,J1329,J1333)</f>
        <v>455.2</v>
      </c>
      <c r="K1439" s="37">
        <f t="shared" si="281"/>
        <v>441.7</v>
      </c>
      <c r="L1439" s="37">
        <f t="shared" si="281"/>
        <v>441.7</v>
      </c>
      <c r="N1439" s="649"/>
      <c r="O1439" s="1317"/>
      <c r="P1439" s="655"/>
      <c r="Q1439" s="656"/>
    </row>
    <row r="1440" spans="1:17" x14ac:dyDescent="0.2">
      <c r="A1440" s="50">
        <v>7</v>
      </c>
      <c r="B1440" s="51"/>
      <c r="C1440" s="51"/>
      <c r="D1440" s="89"/>
      <c r="E1440" s="31"/>
      <c r="F1440" s="50"/>
      <c r="G1440" s="81" t="s">
        <v>58</v>
      </c>
      <c r="H1440" s="37"/>
      <c r="I1440" s="37">
        <f>SUM(I1365,I1411,)</f>
        <v>124.9</v>
      </c>
      <c r="J1440" s="37">
        <f>SUM(J1365,J1411,)</f>
        <v>0</v>
      </c>
      <c r="K1440" s="37">
        <f>SUM(K1365,K1411,)</f>
        <v>0</v>
      </c>
      <c r="L1440" s="37">
        <f>SUM(L1365,L1411,)</f>
        <v>0</v>
      </c>
      <c r="N1440" s="649"/>
      <c r="O1440" s="1317"/>
      <c r="P1440" s="655"/>
      <c r="Q1440" s="656"/>
    </row>
    <row r="1441" spans="1:17" x14ac:dyDescent="0.2">
      <c r="A1441" s="50">
        <v>7</v>
      </c>
      <c r="B1441" s="51"/>
      <c r="C1441" s="51"/>
      <c r="D1441" s="89"/>
      <c r="E1441" s="31"/>
      <c r="F1441" s="50"/>
      <c r="G1441" s="81" t="s">
        <v>61</v>
      </c>
      <c r="H1441" s="37"/>
      <c r="I1441" s="37">
        <f>I1373+I1376</f>
        <v>0</v>
      </c>
      <c r="J1441" s="37">
        <f t="shared" ref="J1441:L1441" si="282">J1373+J1376</f>
        <v>0</v>
      </c>
      <c r="K1441" s="37">
        <f t="shared" si="282"/>
        <v>1000</v>
      </c>
      <c r="L1441" s="37">
        <f t="shared" si="282"/>
        <v>1000</v>
      </c>
      <c r="N1441" s="649"/>
      <c r="O1441" s="1317"/>
      <c r="P1441" s="655"/>
      <c r="Q1441" s="656"/>
    </row>
    <row r="1442" spans="1:17" x14ac:dyDescent="0.2">
      <c r="A1442" s="50">
        <v>7</v>
      </c>
      <c r="B1442" s="51"/>
      <c r="C1442" s="51"/>
      <c r="D1442" s="89"/>
      <c r="E1442" s="31"/>
      <c r="F1442" s="50"/>
      <c r="G1442" s="81" t="s">
        <v>59</v>
      </c>
      <c r="H1442" s="37"/>
      <c r="I1442" s="37">
        <f>SUM(I1364)</f>
        <v>6.3000000000000007</v>
      </c>
      <c r="J1442" s="37">
        <f t="shared" ref="J1442:L1442" si="283">SUM(J1364)</f>
        <v>0</v>
      </c>
      <c r="K1442" s="37">
        <f t="shared" si="283"/>
        <v>0</v>
      </c>
      <c r="L1442" s="37">
        <f t="shared" si="283"/>
        <v>0</v>
      </c>
      <c r="N1442" s="649"/>
      <c r="O1442" s="1317"/>
      <c r="P1442" s="655"/>
      <c r="Q1442" s="656"/>
    </row>
    <row r="1443" spans="1:17" x14ac:dyDescent="0.2">
      <c r="A1443" s="50">
        <v>7</v>
      </c>
      <c r="B1443" s="51"/>
      <c r="C1443" s="51"/>
      <c r="D1443" s="89"/>
      <c r="E1443" s="31"/>
      <c r="F1443" s="50"/>
      <c r="G1443" s="81" t="s">
        <v>11</v>
      </c>
      <c r="H1443" s="37"/>
      <c r="I1443" s="37">
        <f>SUM(I1330,)</f>
        <v>83</v>
      </c>
      <c r="J1443" s="37">
        <f t="shared" ref="J1443:L1443" si="284">SUM(J1330,)</f>
        <v>86.8</v>
      </c>
      <c r="K1443" s="37">
        <f t="shared" si="284"/>
        <v>86.8</v>
      </c>
      <c r="L1443" s="37">
        <f t="shared" si="284"/>
        <v>86.8</v>
      </c>
      <c r="N1443" s="649"/>
      <c r="O1443" s="1317"/>
      <c r="P1443" s="655"/>
      <c r="Q1443" s="656"/>
    </row>
    <row r="1444" spans="1:17" ht="22.5" x14ac:dyDescent="0.2">
      <c r="A1444" s="50">
        <v>7</v>
      </c>
      <c r="B1444" s="51"/>
      <c r="C1444" s="51"/>
      <c r="D1444" s="89"/>
      <c r="E1444" s="31"/>
      <c r="F1444" s="50"/>
      <c r="G1444" s="81" t="s">
        <v>1941</v>
      </c>
      <c r="H1444" s="37"/>
      <c r="I1444" s="37">
        <f>SUM(I1370)</f>
        <v>366.9</v>
      </c>
      <c r="J1444" s="37">
        <f t="shared" ref="J1444:L1444" si="285">SUM(J1370)</f>
        <v>0</v>
      </c>
      <c r="K1444" s="37">
        <f t="shared" si="285"/>
        <v>0</v>
      </c>
      <c r="L1444" s="37">
        <f t="shared" si="285"/>
        <v>0</v>
      </c>
      <c r="N1444" s="649"/>
      <c r="O1444" s="1317"/>
      <c r="P1444" s="655"/>
      <c r="Q1444" s="656"/>
    </row>
    <row r="1445" spans="1:17" x14ac:dyDescent="0.2">
      <c r="A1445" s="50">
        <v>7</v>
      </c>
      <c r="B1445" s="51"/>
      <c r="C1445" s="51"/>
      <c r="D1445" s="89"/>
      <c r="E1445" s="31"/>
      <c r="F1445" s="50"/>
      <c r="G1445" s="81" t="s">
        <v>715</v>
      </c>
      <c r="H1445" s="37"/>
      <c r="I1445" s="37"/>
      <c r="J1445" s="37"/>
      <c r="K1445" s="37"/>
      <c r="L1445" s="37"/>
      <c r="N1445" s="649"/>
      <c r="O1445" s="1317"/>
      <c r="P1445" s="655"/>
      <c r="Q1445" s="656"/>
    </row>
    <row r="1446" spans="1:17" x14ac:dyDescent="0.2">
      <c r="A1446" s="50">
        <v>7</v>
      </c>
      <c r="B1446" s="51"/>
      <c r="C1446" s="51"/>
      <c r="D1446" s="89"/>
      <c r="E1446" s="31"/>
      <c r="F1446" s="50"/>
      <c r="G1446" s="81" t="s">
        <v>10</v>
      </c>
      <c r="H1446" s="37"/>
      <c r="I1446" s="37">
        <f>SUM(I1369,I1382)</f>
        <v>468.70000000000005</v>
      </c>
      <c r="J1446" s="37">
        <f t="shared" ref="J1446:L1446" si="286">SUM(J1369,J1382)</f>
        <v>0</v>
      </c>
      <c r="K1446" s="37">
        <f t="shared" si="286"/>
        <v>0</v>
      </c>
      <c r="L1446" s="37">
        <f t="shared" si="286"/>
        <v>1500</v>
      </c>
      <c r="N1446" s="649"/>
      <c r="O1446" s="1317"/>
      <c r="P1446" s="655"/>
      <c r="Q1446" s="656"/>
    </row>
    <row r="1447" spans="1:17" x14ac:dyDescent="0.2">
      <c r="A1447" s="50">
        <v>7</v>
      </c>
      <c r="B1447" s="51"/>
      <c r="C1447" s="51"/>
      <c r="D1447" s="89"/>
      <c r="E1447" s="31"/>
      <c r="F1447" s="50"/>
      <c r="G1447" s="81" t="s">
        <v>718</v>
      </c>
      <c r="H1447" s="37"/>
      <c r="I1447" s="37">
        <f>SUM(I1399,I1427)</f>
        <v>47.3</v>
      </c>
      <c r="J1447" s="37">
        <f t="shared" ref="J1447:L1447" si="287">SUM(J1399,J1427)</f>
        <v>0</v>
      </c>
      <c r="K1447" s="37">
        <f t="shared" si="287"/>
        <v>0</v>
      </c>
      <c r="L1447" s="37">
        <f t="shared" si="287"/>
        <v>18</v>
      </c>
      <c r="N1447" s="649"/>
      <c r="O1447" s="1317"/>
      <c r="P1447" s="655"/>
      <c r="Q1447" s="656"/>
    </row>
    <row r="1448" spans="1:17" x14ac:dyDescent="0.2">
      <c r="A1448" s="50">
        <v>7</v>
      </c>
      <c r="B1448" s="51"/>
      <c r="C1448" s="51"/>
      <c r="D1448" s="89"/>
      <c r="E1448" s="31"/>
      <c r="F1448" s="50"/>
      <c r="G1448" s="185" t="s">
        <v>608</v>
      </c>
      <c r="H1448" s="164"/>
      <c r="I1448" s="185">
        <f>SUM(I1438:I1447)</f>
        <v>8425.7999999999975</v>
      </c>
      <c r="J1448" s="185">
        <f>SUM(J1438:J1447)</f>
        <v>10004.6</v>
      </c>
      <c r="K1448" s="185">
        <f>SUM(K1438:K1447)</f>
        <v>10502.8</v>
      </c>
      <c r="L1448" s="185">
        <f>SUM(L1438:L1447)</f>
        <v>12221.400000000001</v>
      </c>
      <c r="N1448" s="649"/>
      <c r="O1448" s="1317"/>
      <c r="P1448" s="655"/>
      <c r="Q1448" s="656"/>
    </row>
    <row r="1449" spans="1:17" x14ac:dyDescent="0.2">
      <c r="A1449" s="50">
        <v>7</v>
      </c>
      <c r="B1449" s="51"/>
      <c r="C1449" s="51"/>
      <c r="D1449" s="89"/>
      <c r="E1449" s="31"/>
      <c r="F1449" s="50"/>
      <c r="G1449" s="31"/>
      <c r="H1449" s="29"/>
      <c r="I1449" s="37">
        <f>I1437-I1448</f>
        <v>0</v>
      </c>
      <c r="J1449" s="37">
        <f t="shared" ref="J1449:L1449" si="288">J1437-J1448</f>
        <v>0</v>
      </c>
      <c r="K1449" s="37">
        <f t="shared" si="288"/>
        <v>0</v>
      </c>
      <c r="L1449" s="37">
        <f t="shared" si="288"/>
        <v>0</v>
      </c>
      <c r="N1449" s="649"/>
      <c r="O1449" s="1317"/>
      <c r="P1449" s="655"/>
      <c r="Q1449" s="656"/>
    </row>
    <row r="1450" spans="1:17" ht="22.5" x14ac:dyDescent="0.2">
      <c r="A1450" s="671">
        <v>8</v>
      </c>
      <c r="B1450" s="107"/>
      <c r="C1450" s="107"/>
      <c r="D1450" s="108" t="s">
        <v>1945</v>
      </c>
      <c r="E1450" s="626"/>
      <c r="F1450" s="107"/>
      <c r="G1450" s="110"/>
      <c r="H1450" s="109"/>
      <c r="I1450" s="109"/>
      <c r="J1450" s="109"/>
      <c r="K1450" s="627"/>
      <c r="L1450" s="627"/>
      <c r="N1450" s="82"/>
      <c r="O1450" s="89"/>
      <c r="P1450" s="85"/>
      <c r="Q1450" s="81"/>
    </row>
    <row r="1451" spans="1:17" ht="22.5" x14ac:dyDescent="0.2">
      <c r="A1451" s="671">
        <v>8</v>
      </c>
      <c r="B1451" s="142" t="s">
        <v>1946</v>
      </c>
      <c r="C1451" s="142" t="s">
        <v>1946</v>
      </c>
      <c r="D1451" s="191" t="s">
        <v>453</v>
      </c>
      <c r="E1451" s="115" t="s">
        <v>91</v>
      </c>
      <c r="F1451" s="81" t="s">
        <v>454</v>
      </c>
      <c r="G1451" s="192" t="s">
        <v>9</v>
      </c>
      <c r="H1451" s="7">
        <v>1121.4000000000001</v>
      </c>
      <c r="I1451" s="37">
        <v>1079.7</v>
      </c>
      <c r="J1451" s="116">
        <f>1105+173.1</f>
        <v>1278.0999999999999</v>
      </c>
      <c r="K1451" s="7">
        <v>1126.5999999999999</v>
      </c>
      <c r="L1451" s="7">
        <v>1143.9000000000001</v>
      </c>
      <c r="M1451" s="38" t="s">
        <v>739</v>
      </c>
      <c r="N1451" s="1332" t="s">
        <v>1947</v>
      </c>
      <c r="O1451" s="118"/>
      <c r="P1451" s="672"/>
      <c r="Q1451" s="120"/>
    </row>
    <row r="1452" spans="1:17" x14ac:dyDescent="0.2">
      <c r="A1452" s="81">
        <v>8</v>
      </c>
      <c r="B1452" s="160"/>
      <c r="C1452" s="160"/>
      <c r="D1452" s="82"/>
      <c r="E1452" s="115" t="s">
        <v>91</v>
      </c>
      <c r="F1452" s="81" t="s">
        <v>454</v>
      </c>
      <c r="G1452" s="192" t="s">
        <v>12</v>
      </c>
      <c r="H1452" s="7">
        <f>85+15+25</f>
        <v>125</v>
      </c>
      <c r="I1452" s="37">
        <v>138.19999999999999</v>
      </c>
      <c r="J1452" s="116">
        <f>160+15</f>
        <v>175</v>
      </c>
      <c r="K1452" s="63">
        <v>1360</v>
      </c>
      <c r="L1452" s="63">
        <v>1560</v>
      </c>
      <c r="N1452" s="1333" t="s">
        <v>1947</v>
      </c>
      <c r="O1452" s="118"/>
      <c r="P1452" s="672"/>
      <c r="Q1452" s="120"/>
    </row>
    <row r="1453" spans="1:17" x14ac:dyDescent="0.2">
      <c r="A1453" s="81">
        <v>8</v>
      </c>
      <c r="B1453" s="160"/>
      <c r="C1453" s="160"/>
      <c r="D1453" s="82"/>
      <c r="E1453" s="115" t="s">
        <v>91</v>
      </c>
      <c r="F1453" s="81" t="s">
        <v>454</v>
      </c>
      <c r="G1453" s="121" t="s">
        <v>608</v>
      </c>
      <c r="H1453" s="123">
        <f>SUM(H1451:H1452)</f>
        <v>1246.4000000000001</v>
      </c>
      <c r="I1453" s="123">
        <f>SUM(I1451:I1452)</f>
        <v>1217.9000000000001</v>
      </c>
      <c r="J1453" s="123">
        <f>SUM(J1451:J1452)</f>
        <v>1453.1</v>
      </c>
      <c r="K1453" s="123">
        <f>SUM(K1451:K1452)</f>
        <v>2486.6</v>
      </c>
      <c r="L1453" s="123">
        <f>SUM(L1451:L1452)</f>
        <v>2703.9</v>
      </c>
      <c r="N1453" s="1333" t="s">
        <v>1947</v>
      </c>
      <c r="O1453" s="118"/>
      <c r="P1453" s="672"/>
      <c r="Q1453" s="120"/>
    </row>
    <row r="1454" spans="1:17" ht="33.75" x14ac:dyDescent="0.2">
      <c r="A1454" s="671">
        <v>8</v>
      </c>
      <c r="B1454" s="142" t="s">
        <v>1948</v>
      </c>
      <c r="C1454" s="142" t="s">
        <v>1948</v>
      </c>
      <c r="D1454" s="191" t="s">
        <v>455</v>
      </c>
      <c r="E1454" s="115" t="s">
        <v>54</v>
      </c>
      <c r="F1454" s="192" t="s">
        <v>456</v>
      </c>
      <c r="G1454" s="192" t="s">
        <v>9</v>
      </c>
      <c r="H1454" s="7">
        <v>825</v>
      </c>
      <c r="I1454" s="37">
        <v>542.9</v>
      </c>
      <c r="J1454" s="116">
        <f>700-100+80</f>
        <v>680</v>
      </c>
      <c r="K1454" s="7">
        <v>700</v>
      </c>
      <c r="L1454" s="7">
        <v>700</v>
      </c>
      <c r="M1454" s="38" t="s">
        <v>782</v>
      </c>
      <c r="N1454" s="120" t="s">
        <v>1949</v>
      </c>
      <c r="O1454" s="118" t="s">
        <v>1950</v>
      </c>
      <c r="P1454" s="672" t="s">
        <v>2400</v>
      </c>
      <c r="Q1454" s="120"/>
    </row>
    <row r="1455" spans="1:17" ht="22.5" x14ac:dyDescent="0.2">
      <c r="A1455" s="81">
        <v>8</v>
      </c>
      <c r="B1455" s="674"/>
      <c r="C1455" s="674"/>
      <c r="D1455" s="82"/>
      <c r="E1455" s="115" t="s">
        <v>54</v>
      </c>
      <c r="F1455" s="192" t="s">
        <v>456</v>
      </c>
      <c r="G1455" s="81" t="s">
        <v>99</v>
      </c>
      <c r="H1455" s="3">
        <v>323.39999999999998</v>
      </c>
      <c r="I1455" s="37">
        <v>519.70000000000005</v>
      </c>
      <c r="J1455" s="116">
        <v>530</v>
      </c>
      <c r="K1455" s="3">
        <v>560</v>
      </c>
      <c r="L1455" s="3">
        <v>560</v>
      </c>
      <c r="N1455" s="120" t="s">
        <v>1949</v>
      </c>
      <c r="O1455" s="118"/>
      <c r="P1455" s="672"/>
      <c r="Q1455" s="120"/>
    </row>
    <row r="1456" spans="1:17" ht="22.5" x14ac:dyDescent="0.2">
      <c r="A1456" s="83">
        <v>8</v>
      </c>
      <c r="B1456" s="674"/>
      <c r="C1456" s="674"/>
      <c r="D1456" s="82"/>
      <c r="E1456" s="115" t="s">
        <v>54</v>
      </c>
      <c r="F1456" s="192" t="s">
        <v>456</v>
      </c>
      <c r="G1456" s="121" t="s">
        <v>608</v>
      </c>
      <c r="H1456" s="123">
        <f>SUM(H1454:H1455)</f>
        <v>1148.4000000000001</v>
      </c>
      <c r="I1456" s="123">
        <f>SUM(I1454:I1455)</f>
        <v>1062.5999999999999</v>
      </c>
      <c r="J1456" s="123">
        <f>SUM(J1454:J1455)</f>
        <v>1210</v>
      </c>
      <c r="K1456" s="123">
        <f>SUM(K1454:K1455)</f>
        <v>1260</v>
      </c>
      <c r="L1456" s="123">
        <f>SUM(L1454:L1455)</f>
        <v>1260</v>
      </c>
      <c r="N1456" s="120" t="s">
        <v>1949</v>
      </c>
      <c r="O1456" s="118"/>
      <c r="P1456" s="672"/>
      <c r="Q1456" s="120"/>
    </row>
    <row r="1457" spans="1:17" ht="22.5" x14ac:dyDescent="0.2">
      <c r="A1457" s="671">
        <v>8</v>
      </c>
      <c r="B1457" s="142" t="s">
        <v>1951</v>
      </c>
      <c r="C1457" s="142" t="s">
        <v>1951</v>
      </c>
      <c r="D1457" s="191" t="s">
        <v>457</v>
      </c>
      <c r="E1457" s="115" t="s">
        <v>92</v>
      </c>
      <c r="F1457" s="81" t="s">
        <v>458</v>
      </c>
      <c r="G1457" s="81" t="s">
        <v>9</v>
      </c>
      <c r="H1457" s="3">
        <v>352</v>
      </c>
      <c r="I1457" s="37">
        <f>380+16</f>
        <v>396</v>
      </c>
      <c r="J1457" s="116">
        <v>460</v>
      </c>
      <c r="K1457" s="3">
        <v>494</v>
      </c>
      <c r="L1457" s="3">
        <v>531</v>
      </c>
      <c r="M1457" s="38" t="s">
        <v>782</v>
      </c>
      <c r="N1457" s="192" t="s">
        <v>681</v>
      </c>
      <c r="O1457" s="118"/>
      <c r="P1457" s="672"/>
      <c r="Q1457" s="120"/>
    </row>
    <row r="1458" spans="1:17" x14ac:dyDescent="0.2">
      <c r="A1458" s="671">
        <v>8</v>
      </c>
      <c r="B1458" s="160"/>
      <c r="C1458" s="160"/>
      <c r="D1458" s="82"/>
      <c r="E1458" s="115" t="s">
        <v>92</v>
      </c>
      <c r="F1458" s="81" t="s">
        <v>458</v>
      </c>
      <c r="G1458" s="81" t="s">
        <v>99</v>
      </c>
      <c r="H1458" s="3">
        <v>17</v>
      </c>
      <c r="I1458" s="37">
        <v>30</v>
      </c>
      <c r="J1458" s="116">
        <v>30</v>
      </c>
      <c r="K1458" s="3">
        <v>30</v>
      </c>
      <c r="L1458" s="3">
        <v>30</v>
      </c>
      <c r="N1458" s="192" t="s">
        <v>681</v>
      </c>
      <c r="O1458" s="118"/>
      <c r="P1458" s="672"/>
      <c r="Q1458" s="120"/>
    </row>
    <row r="1459" spans="1:17" x14ac:dyDescent="0.2">
      <c r="A1459" s="81">
        <v>8</v>
      </c>
      <c r="B1459" s="160"/>
      <c r="C1459" s="160"/>
      <c r="D1459" s="82"/>
      <c r="E1459" s="115" t="s">
        <v>92</v>
      </c>
      <c r="F1459" s="81" t="s">
        <v>458</v>
      </c>
      <c r="G1459" s="121" t="s">
        <v>608</v>
      </c>
      <c r="H1459" s="123">
        <f>SUM(H1457:H1458)</f>
        <v>369</v>
      </c>
      <c r="I1459" s="123">
        <f>SUM(I1457:I1458)</f>
        <v>426</v>
      </c>
      <c r="J1459" s="123">
        <f>SUM(J1457:J1458)</f>
        <v>490</v>
      </c>
      <c r="K1459" s="123">
        <f>SUM(K1457:K1458)</f>
        <v>524</v>
      </c>
      <c r="L1459" s="123">
        <f>SUM(L1457:L1458)</f>
        <v>561</v>
      </c>
      <c r="N1459" s="192" t="s">
        <v>681</v>
      </c>
      <c r="O1459" s="118"/>
      <c r="P1459" s="672"/>
      <c r="Q1459" s="120"/>
    </row>
    <row r="1460" spans="1:17" ht="22.5" x14ac:dyDescent="0.2">
      <c r="A1460" s="81">
        <v>8</v>
      </c>
      <c r="B1460" s="142" t="s">
        <v>1952</v>
      </c>
      <c r="C1460" s="142" t="s">
        <v>1952</v>
      </c>
      <c r="D1460" s="191" t="s">
        <v>459</v>
      </c>
      <c r="E1460" s="115" t="s">
        <v>46</v>
      </c>
      <c r="F1460" s="81" t="s">
        <v>460</v>
      </c>
      <c r="G1460" s="81" t="s">
        <v>9</v>
      </c>
      <c r="H1460" s="3">
        <v>17</v>
      </c>
      <c r="I1460" s="37">
        <v>34</v>
      </c>
      <c r="J1460" s="116">
        <v>44</v>
      </c>
      <c r="K1460" s="3">
        <v>44</v>
      </c>
      <c r="L1460" s="3">
        <v>46</v>
      </c>
      <c r="M1460" s="38" t="s">
        <v>782</v>
      </c>
      <c r="N1460" s="81" t="s">
        <v>1953</v>
      </c>
      <c r="O1460" s="118"/>
      <c r="P1460" s="672"/>
      <c r="Q1460" s="120"/>
    </row>
    <row r="1461" spans="1:17" ht="22.5" x14ac:dyDescent="0.2">
      <c r="A1461" s="671">
        <v>8</v>
      </c>
      <c r="B1461" s="160"/>
      <c r="C1461" s="160"/>
      <c r="D1461" s="82"/>
      <c r="E1461" s="115" t="s">
        <v>46</v>
      </c>
      <c r="F1461" s="81" t="s">
        <v>460</v>
      </c>
      <c r="G1461" s="81" t="s">
        <v>99</v>
      </c>
      <c r="H1461" s="3">
        <v>115</v>
      </c>
      <c r="I1461" s="37">
        <v>115</v>
      </c>
      <c r="J1461" s="116">
        <v>350</v>
      </c>
      <c r="K1461" s="3">
        <v>350</v>
      </c>
      <c r="L1461" s="3">
        <v>350</v>
      </c>
      <c r="N1461" s="81" t="s">
        <v>1953</v>
      </c>
      <c r="O1461" s="118"/>
      <c r="P1461" s="672"/>
      <c r="Q1461" s="120"/>
    </row>
    <row r="1462" spans="1:17" ht="22.5" x14ac:dyDescent="0.2">
      <c r="A1462" s="81">
        <v>8</v>
      </c>
      <c r="B1462" s="160"/>
      <c r="C1462" s="160"/>
      <c r="D1462" s="82"/>
      <c r="E1462" s="115" t="s">
        <v>46</v>
      </c>
      <c r="F1462" s="81" t="s">
        <v>460</v>
      </c>
      <c r="G1462" s="121" t="s">
        <v>608</v>
      </c>
      <c r="H1462" s="123">
        <f>SUM(H1460:H1461)</f>
        <v>132</v>
      </c>
      <c r="I1462" s="123">
        <f>SUM(I1460:I1461)</f>
        <v>149</v>
      </c>
      <c r="J1462" s="123">
        <f>SUM(J1460:J1461)</f>
        <v>394</v>
      </c>
      <c r="K1462" s="123">
        <f>SUM(K1460:K1461)</f>
        <v>394</v>
      </c>
      <c r="L1462" s="123">
        <f>SUM(L1460:L1461)</f>
        <v>396</v>
      </c>
      <c r="N1462" s="81" t="s">
        <v>1953</v>
      </c>
      <c r="O1462" s="118"/>
      <c r="P1462" s="672"/>
      <c r="Q1462" s="120"/>
    </row>
    <row r="1463" spans="1:17" ht="22.5" x14ac:dyDescent="0.2">
      <c r="A1463" s="83">
        <v>8</v>
      </c>
      <c r="B1463" s="142" t="s">
        <v>1954</v>
      </c>
      <c r="C1463" s="142" t="s">
        <v>1954</v>
      </c>
      <c r="D1463" s="191" t="s">
        <v>461</v>
      </c>
      <c r="E1463" s="115" t="s">
        <v>91</v>
      </c>
      <c r="F1463" s="81" t="s">
        <v>462</v>
      </c>
      <c r="G1463" s="81" t="s">
        <v>9</v>
      </c>
      <c r="H1463" s="3">
        <v>40</v>
      </c>
      <c r="I1463" s="37">
        <f>40+23.8</f>
        <v>63.8</v>
      </c>
      <c r="J1463" s="116">
        <v>40</v>
      </c>
      <c r="K1463" s="3">
        <v>40</v>
      </c>
      <c r="L1463" s="3">
        <v>40</v>
      </c>
      <c r="M1463" s="38" t="s">
        <v>796</v>
      </c>
      <c r="N1463" s="1333" t="s">
        <v>1947</v>
      </c>
      <c r="O1463" s="686"/>
      <c r="P1463" s="1329"/>
      <c r="Q1463" s="120"/>
    </row>
    <row r="1464" spans="1:17" x14ac:dyDescent="0.2">
      <c r="A1464" s="671">
        <v>8</v>
      </c>
      <c r="B1464" s="160" t="s">
        <v>1954</v>
      </c>
      <c r="C1464" s="160" t="s">
        <v>1954</v>
      </c>
      <c r="D1464" s="82"/>
      <c r="E1464" s="115" t="s">
        <v>91</v>
      </c>
      <c r="F1464" s="81" t="s">
        <v>462</v>
      </c>
      <c r="G1464" s="121" t="s">
        <v>608</v>
      </c>
      <c r="H1464" s="123">
        <f>SUM(H1463)</f>
        <v>40</v>
      </c>
      <c r="I1464" s="123">
        <f>SUM(I1463)</f>
        <v>63.8</v>
      </c>
      <c r="J1464" s="123">
        <f>SUM(J1463)</f>
        <v>40</v>
      </c>
      <c r="K1464" s="123">
        <f>SUM(K1463)</f>
        <v>40</v>
      </c>
      <c r="L1464" s="123">
        <f>SUM(L1463)</f>
        <v>40</v>
      </c>
      <c r="N1464" s="1333" t="s">
        <v>1947</v>
      </c>
      <c r="O1464" s="118"/>
      <c r="P1464" s="672"/>
      <c r="Q1464" s="120"/>
    </row>
    <row r="1465" spans="1:17" ht="22.5" x14ac:dyDescent="0.2">
      <c r="A1465" s="671">
        <v>8</v>
      </c>
      <c r="B1465" s="142" t="s">
        <v>1955</v>
      </c>
      <c r="C1465" s="142" t="s">
        <v>1955</v>
      </c>
      <c r="D1465" s="191" t="s">
        <v>1942</v>
      </c>
      <c r="E1465" s="675">
        <v>11</v>
      </c>
      <c r="F1465" s="81" t="s">
        <v>1956</v>
      </c>
      <c r="G1465" s="81" t="s">
        <v>9</v>
      </c>
      <c r="H1465" s="3"/>
      <c r="I1465" s="37"/>
      <c r="J1465" s="116">
        <f>20</f>
        <v>20</v>
      </c>
      <c r="K1465" s="3">
        <v>20</v>
      </c>
      <c r="L1465" s="3">
        <v>20</v>
      </c>
      <c r="M1465" s="38" t="s">
        <v>796</v>
      </c>
      <c r="N1465" s="120" t="s">
        <v>1949</v>
      </c>
      <c r="O1465" s="118" t="s">
        <v>2424</v>
      </c>
      <c r="P1465" s="1329" t="s">
        <v>508</v>
      </c>
      <c r="Q1465" s="120"/>
    </row>
    <row r="1466" spans="1:17" ht="22.5" x14ac:dyDescent="0.2">
      <c r="A1466" s="81">
        <v>8</v>
      </c>
      <c r="B1466" s="160" t="s">
        <v>1955</v>
      </c>
      <c r="C1466" s="160" t="s">
        <v>1955</v>
      </c>
      <c r="D1466" s="676"/>
      <c r="E1466" s="675">
        <v>11</v>
      </c>
      <c r="F1466" s="81" t="s">
        <v>1956</v>
      </c>
      <c r="G1466" s="121" t="s">
        <v>608</v>
      </c>
      <c r="H1466" s="123">
        <f>SUM(H1465)</f>
        <v>0</v>
      </c>
      <c r="I1466" s="123">
        <f>SUM(I1465)</f>
        <v>0</v>
      </c>
      <c r="J1466" s="123">
        <f>SUM(J1465)</f>
        <v>20</v>
      </c>
      <c r="K1466" s="123">
        <f>SUM(K1465)</f>
        <v>20</v>
      </c>
      <c r="L1466" s="123">
        <f>SUM(L1465)</f>
        <v>20</v>
      </c>
      <c r="N1466" s="120" t="s">
        <v>1949</v>
      </c>
      <c r="O1466" s="118"/>
      <c r="P1466" s="672"/>
      <c r="Q1466" s="120"/>
    </row>
    <row r="1467" spans="1:17" ht="45" x14ac:dyDescent="0.2">
      <c r="A1467" s="81">
        <v>8</v>
      </c>
      <c r="B1467" s="142" t="s">
        <v>2539</v>
      </c>
      <c r="C1467" s="142" t="s">
        <v>2539</v>
      </c>
      <c r="D1467" s="191" t="s">
        <v>2542</v>
      </c>
      <c r="E1467" s="675">
        <v>11</v>
      </c>
      <c r="F1467" s="81" t="s">
        <v>2540</v>
      </c>
      <c r="G1467" s="88" t="s">
        <v>9</v>
      </c>
      <c r="H1467" s="3"/>
      <c r="I1467" s="37"/>
      <c r="J1467" s="116">
        <v>250</v>
      </c>
      <c r="K1467" s="3"/>
      <c r="L1467" s="3"/>
      <c r="N1467" s="118" t="s">
        <v>2541</v>
      </c>
      <c r="O1467" s="118" t="s">
        <v>2543</v>
      </c>
      <c r="P1467" s="672" t="s">
        <v>314</v>
      </c>
      <c r="Q1467" s="120"/>
    </row>
    <row r="1468" spans="1:17" x14ac:dyDescent="0.2">
      <c r="A1468" s="81">
        <v>8</v>
      </c>
      <c r="B1468" s="160"/>
      <c r="C1468" s="160"/>
      <c r="D1468" s="676"/>
      <c r="E1468" s="675">
        <v>11</v>
      </c>
      <c r="F1468" s="81"/>
      <c r="G1468" s="121" t="s">
        <v>608</v>
      </c>
      <c r="H1468" s="123">
        <f>SUM(H1467)</f>
        <v>0</v>
      </c>
      <c r="I1468" s="123">
        <f>SUM(I1467)</f>
        <v>0</v>
      </c>
      <c r="J1468" s="123">
        <f>SUM(J1467)</f>
        <v>250</v>
      </c>
      <c r="K1468" s="123">
        <f>SUM(K1467)</f>
        <v>0</v>
      </c>
      <c r="L1468" s="123">
        <f>SUM(L1467)</f>
        <v>0</v>
      </c>
      <c r="N1468" s="120"/>
      <c r="O1468" s="118"/>
      <c r="P1468" s="672"/>
      <c r="Q1468" s="120"/>
    </row>
    <row r="1469" spans="1:17" ht="22.5" x14ac:dyDescent="0.2">
      <c r="A1469" s="81">
        <v>8</v>
      </c>
      <c r="B1469" s="107"/>
      <c r="C1469" s="107"/>
      <c r="D1469" s="108" t="s">
        <v>1957</v>
      </c>
      <c r="E1469" s="626"/>
      <c r="F1469" s="107"/>
      <c r="G1469" s="110"/>
      <c r="H1469" s="109"/>
      <c r="I1469" s="109"/>
      <c r="J1469" s="109"/>
      <c r="K1469" s="627"/>
      <c r="L1469" s="627"/>
      <c r="N1469" s="120"/>
      <c r="O1469" s="118"/>
      <c r="P1469" s="672"/>
      <c r="Q1469" s="120"/>
    </row>
    <row r="1470" spans="1:17" ht="22.5" x14ac:dyDescent="0.2">
      <c r="A1470" s="671">
        <v>8</v>
      </c>
      <c r="B1470" s="142" t="s">
        <v>1958</v>
      </c>
      <c r="C1470" s="142" t="s">
        <v>1958</v>
      </c>
      <c r="D1470" s="191" t="s">
        <v>1943</v>
      </c>
      <c r="E1470" s="115" t="s">
        <v>1959</v>
      </c>
      <c r="F1470" s="81"/>
      <c r="G1470" s="160"/>
      <c r="H1470" s="160"/>
      <c r="I1470" s="892">
        <f>I1475+I1479</f>
        <v>272.60000000000002</v>
      </c>
      <c r="J1470" s="144">
        <f>J1475+J1479</f>
        <v>361</v>
      </c>
      <c r="K1470" s="892">
        <f>K1475+K1479</f>
        <v>762.2</v>
      </c>
      <c r="L1470" s="892">
        <f>L1475+L1479</f>
        <v>200</v>
      </c>
      <c r="N1470" s="120"/>
      <c r="O1470" s="677"/>
      <c r="P1470" s="379"/>
      <c r="Q1470" s="120"/>
    </row>
    <row r="1471" spans="1:17" ht="45" x14ac:dyDescent="0.2">
      <c r="A1471" s="81">
        <v>8</v>
      </c>
      <c r="B1471" s="160" t="s">
        <v>1958</v>
      </c>
      <c r="C1471" s="160" t="s">
        <v>1960</v>
      </c>
      <c r="D1471" s="197" t="s">
        <v>463</v>
      </c>
      <c r="E1471" s="115" t="s">
        <v>91</v>
      </c>
      <c r="F1471" s="678" t="s">
        <v>464</v>
      </c>
      <c r="G1471" s="673" t="s">
        <v>9</v>
      </c>
      <c r="H1471" s="679">
        <v>592</v>
      </c>
      <c r="I1471" s="37">
        <v>232.6</v>
      </c>
      <c r="J1471" s="116">
        <f>230+20</f>
        <v>250</v>
      </c>
      <c r="K1471" s="680">
        <f>200+100</f>
        <v>300</v>
      </c>
      <c r="L1471" s="680">
        <v>200</v>
      </c>
      <c r="M1471" s="38" t="s">
        <v>796</v>
      </c>
      <c r="N1471" s="1333" t="s">
        <v>1947</v>
      </c>
      <c r="O1471" s="1330" t="s">
        <v>2401</v>
      </c>
      <c r="P1471" s="1331"/>
      <c r="Q1471" s="120"/>
    </row>
    <row r="1472" spans="1:17" x14ac:dyDescent="0.2">
      <c r="A1472" s="83">
        <v>8</v>
      </c>
      <c r="B1472" s="160"/>
      <c r="C1472" s="160"/>
      <c r="D1472" s="197"/>
      <c r="E1472" s="115" t="s">
        <v>91</v>
      </c>
      <c r="F1472" s="678" t="s">
        <v>464</v>
      </c>
      <c r="G1472" s="673" t="s">
        <v>9</v>
      </c>
      <c r="H1472" s="679"/>
      <c r="I1472" s="37">
        <v>40</v>
      </c>
      <c r="J1472" s="116">
        <v>40</v>
      </c>
      <c r="K1472" s="681"/>
      <c r="L1472" s="681"/>
      <c r="M1472" s="38" t="s">
        <v>796</v>
      </c>
      <c r="N1472" s="1333" t="s">
        <v>1947</v>
      </c>
      <c r="O1472" s="1330" t="s">
        <v>1961</v>
      </c>
      <c r="P1472" s="379"/>
      <c r="Q1472" s="192" t="s">
        <v>799</v>
      </c>
    </row>
    <row r="1473" spans="1:17" ht="22.5" x14ac:dyDescent="0.2">
      <c r="A1473" s="671">
        <v>8</v>
      </c>
      <c r="B1473" s="160"/>
      <c r="C1473" s="160"/>
      <c r="D1473" s="197"/>
      <c r="E1473" s="115" t="s">
        <v>91</v>
      </c>
      <c r="F1473" s="678" t="s">
        <v>464</v>
      </c>
      <c r="G1473" s="673" t="s">
        <v>9</v>
      </c>
      <c r="H1473" s="679"/>
      <c r="I1473" s="37"/>
      <c r="J1473" s="116">
        <v>70</v>
      </c>
      <c r="K1473" s="681"/>
      <c r="L1473" s="681"/>
      <c r="N1473" s="1333" t="s">
        <v>1947</v>
      </c>
      <c r="O1473" s="1330" t="s">
        <v>1962</v>
      </c>
      <c r="P1473" s="379"/>
      <c r="Q1473" s="192" t="s">
        <v>799</v>
      </c>
    </row>
    <row r="1474" spans="1:17" ht="22.5" x14ac:dyDescent="0.2">
      <c r="A1474" s="671">
        <v>8</v>
      </c>
      <c r="B1474" s="160"/>
      <c r="C1474" s="160"/>
      <c r="D1474" s="682"/>
      <c r="E1474" s="115" t="s">
        <v>92</v>
      </c>
      <c r="F1474" s="678" t="s">
        <v>464</v>
      </c>
      <c r="G1474" s="192" t="s">
        <v>9</v>
      </c>
      <c r="H1474" s="7">
        <v>105</v>
      </c>
      <c r="I1474" s="37"/>
      <c r="J1474" s="116"/>
      <c r="K1474" s="7">
        <v>75</v>
      </c>
      <c r="L1474" s="7"/>
      <c r="M1474" s="38" t="s">
        <v>796</v>
      </c>
      <c r="N1474" s="192" t="s">
        <v>681</v>
      </c>
      <c r="O1474" s="89" t="s">
        <v>1963</v>
      </c>
      <c r="P1474" s="683" t="s">
        <v>314</v>
      </c>
      <c r="Q1474" s="192" t="s">
        <v>799</v>
      </c>
    </row>
    <row r="1475" spans="1:17" ht="22.5" x14ac:dyDescent="0.2">
      <c r="A1475" s="81">
        <v>8</v>
      </c>
      <c r="B1475" s="160"/>
      <c r="C1475" s="160"/>
      <c r="D1475" s="682"/>
      <c r="E1475" s="115" t="s">
        <v>1959</v>
      </c>
      <c r="F1475" s="678" t="s">
        <v>464</v>
      </c>
      <c r="G1475" s="121" t="s">
        <v>608</v>
      </c>
      <c r="H1475" s="123">
        <f>SUM(H1471:H1474)</f>
        <v>697</v>
      </c>
      <c r="I1475" s="123">
        <f>SUM(I1471:I1474)</f>
        <v>272.60000000000002</v>
      </c>
      <c r="J1475" s="123">
        <f t="shared" ref="J1475:L1475" si="289">SUM(J1471:J1474)</f>
        <v>360</v>
      </c>
      <c r="K1475" s="123">
        <f t="shared" si="289"/>
        <v>375</v>
      </c>
      <c r="L1475" s="123">
        <f t="shared" si="289"/>
        <v>200</v>
      </c>
      <c r="N1475" s="120"/>
      <c r="O1475" s="118"/>
      <c r="P1475" s="672"/>
      <c r="Q1475" s="120"/>
    </row>
    <row r="1476" spans="1:17" ht="45" x14ac:dyDescent="0.2">
      <c r="A1476" s="81">
        <v>8</v>
      </c>
      <c r="B1476" s="160" t="s">
        <v>1958</v>
      </c>
      <c r="C1476" s="160" t="s">
        <v>1964</v>
      </c>
      <c r="D1476" s="197" t="s">
        <v>465</v>
      </c>
      <c r="E1476" s="1358" t="s">
        <v>92</v>
      </c>
      <c r="F1476" s="192" t="s">
        <v>466</v>
      </c>
      <c r="G1476" s="192" t="s">
        <v>9</v>
      </c>
      <c r="H1476" s="7"/>
      <c r="I1476" s="16"/>
      <c r="J1476" s="116">
        <f>242-70-172</f>
        <v>0</v>
      </c>
      <c r="K1476" s="7">
        <f>70+317.2</f>
        <v>387.2</v>
      </c>
      <c r="L1476" s="7"/>
      <c r="M1476" s="38" t="s">
        <v>870</v>
      </c>
      <c r="N1476" s="753" t="s">
        <v>1591</v>
      </c>
      <c r="O1476" s="145" t="s">
        <v>2402</v>
      </c>
      <c r="P1476" s="85" t="s">
        <v>314</v>
      </c>
      <c r="Q1476" s="120" t="s">
        <v>875</v>
      </c>
    </row>
    <row r="1477" spans="1:17" ht="33.75" x14ac:dyDescent="0.2">
      <c r="A1477" s="671">
        <v>8</v>
      </c>
      <c r="B1477" s="160"/>
      <c r="C1477" s="160"/>
      <c r="D1477" s="197"/>
      <c r="E1477" s="115" t="s">
        <v>92</v>
      </c>
      <c r="F1477" s="192" t="s">
        <v>466</v>
      </c>
      <c r="G1477" s="192" t="s">
        <v>9</v>
      </c>
      <c r="H1477" s="7"/>
      <c r="I1477" s="16"/>
      <c r="J1477" s="116">
        <v>1</v>
      </c>
      <c r="K1477" s="7"/>
      <c r="L1477" s="7"/>
      <c r="M1477" s="38" t="s">
        <v>870</v>
      </c>
      <c r="N1477" s="299"/>
      <c r="O1477" s="686" t="s">
        <v>1965</v>
      </c>
      <c r="P1477" s="85" t="s">
        <v>314</v>
      </c>
      <c r="Q1477" s="120" t="s">
        <v>875</v>
      </c>
    </row>
    <row r="1478" spans="1:17" x14ac:dyDescent="0.2">
      <c r="A1478" s="81">
        <v>8</v>
      </c>
      <c r="B1478" s="160"/>
      <c r="C1478" s="160"/>
      <c r="D1478" s="197"/>
      <c r="E1478" s="115" t="s">
        <v>92</v>
      </c>
      <c r="F1478" s="192" t="s">
        <v>466</v>
      </c>
      <c r="G1478" s="298" t="s">
        <v>99</v>
      </c>
      <c r="H1478" s="7"/>
      <c r="I1478" s="16"/>
      <c r="J1478" s="116">
        <f>200-200</f>
        <v>0</v>
      </c>
      <c r="K1478" s="63">
        <v>200</v>
      </c>
      <c r="L1478" s="7"/>
      <c r="N1478" s="118"/>
      <c r="O1478" s="145"/>
      <c r="P1478" s="85"/>
      <c r="Q1478" s="120"/>
    </row>
    <row r="1479" spans="1:17" x14ac:dyDescent="0.2">
      <c r="A1479" s="83">
        <v>8</v>
      </c>
      <c r="B1479" s="160"/>
      <c r="C1479" s="160"/>
      <c r="D1479" s="684"/>
      <c r="E1479" s="675">
        <v>9</v>
      </c>
      <c r="F1479" s="192" t="s">
        <v>466</v>
      </c>
      <c r="G1479" s="121" t="s">
        <v>608</v>
      </c>
      <c r="H1479" s="123"/>
      <c r="I1479" s="123">
        <f>SUM(I1476)</f>
        <v>0</v>
      </c>
      <c r="J1479" s="123">
        <f>SUM(J1476:J1477)</f>
        <v>1</v>
      </c>
      <c r="K1479" s="123">
        <f t="shared" ref="K1479:L1479" si="290">SUM(K1476:K1477)</f>
        <v>387.2</v>
      </c>
      <c r="L1479" s="123">
        <f t="shared" si="290"/>
        <v>0</v>
      </c>
      <c r="N1479" s="120"/>
      <c r="O1479" s="118"/>
      <c r="P1479" s="672"/>
      <c r="Q1479" s="120"/>
    </row>
    <row r="1480" spans="1:17" ht="22.5" x14ac:dyDescent="0.2">
      <c r="A1480" s="671">
        <v>8</v>
      </c>
      <c r="B1480" s="142" t="s">
        <v>1966</v>
      </c>
      <c r="C1480" s="142" t="s">
        <v>1966</v>
      </c>
      <c r="D1480" s="191" t="s">
        <v>1944</v>
      </c>
      <c r="E1480" s="115" t="s">
        <v>60</v>
      </c>
      <c r="F1480" s="678" t="s">
        <v>467</v>
      </c>
      <c r="G1480" s="192" t="s">
        <v>9</v>
      </c>
      <c r="H1480" s="3">
        <v>5076.1000000000004</v>
      </c>
      <c r="I1480" s="37">
        <v>4732.8</v>
      </c>
      <c r="J1480" s="116">
        <f>1900-569+203.6+840</f>
        <v>2374.6</v>
      </c>
      <c r="K1480" s="301">
        <f>5100-100-400-2000-1500-1000</f>
        <v>100</v>
      </c>
      <c r="L1480" s="3"/>
      <c r="M1480" s="38" t="s">
        <v>2221</v>
      </c>
      <c r="N1480" s="118" t="s">
        <v>867</v>
      </c>
      <c r="O1480" s="145" t="s">
        <v>1967</v>
      </c>
      <c r="P1480" s="85" t="s">
        <v>2403</v>
      </c>
      <c r="Q1480" s="192" t="s">
        <v>799</v>
      </c>
    </row>
    <row r="1481" spans="1:17" x14ac:dyDescent="0.2">
      <c r="A1481" s="671">
        <v>8</v>
      </c>
      <c r="B1481" s="160"/>
      <c r="C1481" s="160"/>
      <c r="D1481" s="685"/>
      <c r="E1481" s="115" t="s">
        <v>60</v>
      </c>
      <c r="F1481" s="678" t="s">
        <v>467</v>
      </c>
      <c r="G1481" s="192" t="s">
        <v>10</v>
      </c>
      <c r="H1481" s="3">
        <v>53.7</v>
      </c>
      <c r="I1481" s="37">
        <f>1500+111</f>
        <v>1611</v>
      </c>
      <c r="J1481" s="116">
        <v>2069</v>
      </c>
      <c r="K1481" s="301">
        <f>1500-840</f>
        <v>660</v>
      </c>
      <c r="L1481" s="3"/>
      <c r="M1481" s="38" t="s">
        <v>2221</v>
      </c>
      <c r="N1481" s="118"/>
      <c r="O1481" s="118"/>
      <c r="P1481" s="672"/>
      <c r="Q1481" s="192" t="s">
        <v>799</v>
      </c>
    </row>
    <row r="1482" spans="1:17" x14ac:dyDescent="0.2">
      <c r="A1482" s="81">
        <v>8</v>
      </c>
      <c r="B1482" s="160"/>
      <c r="C1482" s="160"/>
      <c r="D1482" s="685"/>
      <c r="E1482" s="115" t="s">
        <v>60</v>
      </c>
      <c r="F1482" s="678" t="s">
        <v>467</v>
      </c>
      <c r="G1482" s="81" t="s">
        <v>61</v>
      </c>
      <c r="H1482" s="3">
        <v>1419.3</v>
      </c>
      <c r="I1482" s="37">
        <f>3100-159+159</f>
        <v>3100</v>
      </c>
      <c r="J1482" s="116">
        <f>2100+1900</f>
        <v>4000</v>
      </c>
      <c r="K1482" s="301">
        <f>2000+1000</f>
        <v>3000</v>
      </c>
      <c r="L1482" s="3"/>
      <c r="M1482" s="38" t="s">
        <v>2221</v>
      </c>
      <c r="N1482" s="118"/>
      <c r="O1482" s="118"/>
      <c r="P1482" s="672"/>
      <c r="Q1482" s="192" t="s">
        <v>799</v>
      </c>
    </row>
    <row r="1483" spans="1:17" x14ac:dyDescent="0.2">
      <c r="A1483" s="81">
        <v>8</v>
      </c>
      <c r="B1483" s="160"/>
      <c r="C1483" s="160"/>
      <c r="D1483" s="685"/>
      <c r="E1483" s="115" t="s">
        <v>60</v>
      </c>
      <c r="F1483" s="678" t="s">
        <v>467</v>
      </c>
      <c r="G1483" s="192" t="s">
        <v>323</v>
      </c>
      <c r="H1483" s="3">
        <v>147.9</v>
      </c>
      <c r="I1483" s="37">
        <f>170-120</f>
        <v>50</v>
      </c>
      <c r="J1483" s="116"/>
      <c r="K1483" s="3"/>
      <c r="L1483" s="3"/>
      <c r="M1483" s="38" t="s">
        <v>2221</v>
      </c>
      <c r="N1483" s="118"/>
      <c r="O1483" s="118"/>
      <c r="P1483" s="672"/>
      <c r="Q1483" s="192" t="s">
        <v>799</v>
      </c>
    </row>
    <row r="1484" spans="1:17" x14ac:dyDescent="0.2">
      <c r="A1484" s="671">
        <v>8</v>
      </c>
      <c r="B1484" s="160"/>
      <c r="C1484" s="160"/>
      <c r="D1484" s="685"/>
      <c r="E1484" s="115" t="s">
        <v>60</v>
      </c>
      <c r="F1484" s="678" t="s">
        <v>467</v>
      </c>
      <c r="G1484" s="192" t="s">
        <v>289</v>
      </c>
      <c r="H1484" s="3">
        <v>1504.9</v>
      </c>
      <c r="I1484" s="37">
        <f>603.7+400+300.1</f>
        <v>1303.8000000000002</v>
      </c>
      <c r="J1484" s="116"/>
      <c r="K1484" s="3"/>
      <c r="L1484" s="3"/>
      <c r="M1484" s="38" t="s">
        <v>2221</v>
      </c>
      <c r="N1484" s="118"/>
      <c r="O1484" s="118"/>
      <c r="P1484" s="672"/>
      <c r="Q1484" s="192" t="s">
        <v>799</v>
      </c>
    </row>
    <row r="1485" spans="1:17" x14ac:dyDescent="0.2">
      <c r="A1485" s="81">
        <v>8</v>
      </c>
      <c r="B1485" s="160"/>
      <c r="C1485" s="160"/>
      <c r="D1485" s="685"/>
      <c r="E1485" s="115" t="s">
        <v>91</v>
      </c>
      <c r="F1485" s="678" t="s">
        <v>467</v>
      </c>
      <c r="G1485" s="192" t="s">
        <v>9</v>
      </c>
      <c r="H1485" s="3"/>
      <c r="I1485" s="37"/>
      <c r="J1485" s="116">
        <f>2100-500-840+520</f>
        <v>1280</v>
      </c>
      <c r="K1485" s="16">
        <f>500+840-520</f>
        <v>820</v>
      </c>
      <c r="L1485" s="16"/>
      <c r="M1485" s="38" t="s">
        <v>2221</v>
      </c>
      <c r="N1485" s="118"/>
      <c r="O1485" s="118"/>
      <c r="P1485" s="672"/>
      <c r="Q1485" s="192" t="s">
        <v>799</v>
      </c>
    </row>
    <row r="1486" spans="1:17" x14ac:dyDescent="0.2">
      <c r="A1486" s="83">
        <v>8</v>
      </c>
      <c r="B1486" s="160"/>
      <c r="C1486" s="160"/>
      <c r="D1486" s="685"/>
      <c r="E1486" s="115" t="s">
        <v>60</v>
      </c>
      <c r="F1486" s="678" t="s">
        <v>467</v>
      </c>
      <c r="G1486" s="192" t="s">
        <v>11</v>
      </c>
      <c r="H1486" s="3"/>
      <c r="I1486" s="37">
        <v>400</v>
      </c>
      <c r="J1486" s="116"/>
      <c r="K1486" s="3"/>
      <c r="L1486" s="3"/>
      <c r="M1486" s="38" t="s">
        <v>2221</v>
      </c>
      <c r="N1486" s="857"/>
      <c r="O1486" s="118"/>
      <c r="P1486" s="672"/>
      <c r="Q1486" s="192" t="s">
        <v>799</v>
      </c>
    </row>
    <row r="1487" spans="1:17" x14ac:dyDescent="0.2">
      <c r="A1487" s="671">
        <v>8</v>
      </c>
      <c r="B1487" s="160"/>
      <c r="C1487" s="160"/>
      <c r="D1487" s="685"/>
      <c r="E1487" s="115" t="s">
        <v>60</v>
      </c>
      <c r="F1487" s="678" t="s">
        <v>467</v>
      </c>
      <c r="G1487" s="121" t="s">
        <v>608</v>
      </c>
      <c r="H1487" s="123">
        <f>SUM(H1480:H1484)</f>
        <v>8201.9</v>
      </c>
      <c r="I1487" s="123">
        <f>SUM(I1480:I1486)</f>
        <v>11197.599999999999</v>
      </c>
      <c r="J1487" s="123">
        <f>SUM(J1480:J1486)</f>
        <v>9723.6</v>
      </c>
      <c r="K1487" s="123">
        <f>SUM(K1480:K1486)</f>
        <v>4580</v>
      </c>
      <c r="L1487" s="123">
        <f>SUM(L1480:L1486)</f>
        <v>0</v>
      </c>
      <c r="M1487" s="38" t="s">
        <v>2221</v>
      </c>
      <c r="N1487" s="857"/>
      <c r="O1487" s="686"/>
      <c r="P1487" s="672"/>
      <c r="Q1487" s="192"/>
    </row>
    <row r="1488" spans="1:17" x14ac:dyDescent="0.2">
      <c r="A1488" s="671">
        <v>8</v>
      </c>
      <c r="B1488" s="160"/>
      <c r="C1488" s="160"/>
      <c r="D1488" s="685"/>
      <c r="E1488" s="115"/>
      <c r="F1488" s="678"/>
      <c r="G1488" s="185" t="s">
        <v>608</v>
      </c>
      <c r="H1488" s="164"/>
      <c r="I1488" s="185">
        <f>SUM(I1453,I1456,I1459,I1462,I1464,I1466,I1475,I1479,I1487,I1468)</f>
        <v>14389.499999999998</v>
      </c>
      <c r="J1488" s="185">
        <f t="shared" ref="J1488:L1488" si="291">SUM(J1453,J1456,J1459,J1462,J1464,J1466,J1475,J1479,J1487,J1468)</f>
        <v>13941.7</v>
      </c>
      <c r="K1488" s="185">
        <f t="shared" si="291"/>
        <v>10066.799999999999</v>
      </c>
      <c r="L1488" s="185">
        <f t="shared" si="291"/>
        <v>5180.8999999999996</v>
      </c>
      <c r="N1488" s="118"/>
      <c r="O1488" s="118"/>
      <c r="P1488" s="672"/>
      <c r="Q1488" s="192"/>
    </row>
    <row r="1489" spans="1:17" x14ac:dyDescent="0.2">
      <c r="A1489" s="81">
        <v>8</v>
      </c>
      <c r="B1489" s="160"/>
      <c r="C1489" s="160"/>
      <c r="D1489" s="685"/>
      <c r="E1489" s="115"/>
      <c r="F1489" s="678"/>
      <c r="G1489" s="81" t="s">
        <v>9</v>
      </c>
      <c r="H1489" s="37"/>
      <c r="I1489" s="37">
        <f>SUM(I1451,I1454,I1457,I1460,I1463,I1465,I1471,I1474,I1476,I1480,I1472,I1485,I1477,I1473,I1467)</f>
        <v>7121.8</v>
      </c>
      <c r="J1489" s="37">
        <f t="shared" ref="J1489:L1489" si="292">SUM(J1451,J1454,J1457,J1460,J1463,J1465,J1471,J1474,J1476,J1480,J1472,J1485,J1477,J1473,J1467)</f>
        <v>6787.7</v>
      </c>
      <c r="K1489" s="37">
        <f t="shared" si="292"/>
        <v>4106.7999999999993</v>
      </c>
      <c r="L1489" s="37">
        <f t="shared" si="292"/>
        <v>2680.9</v>
      </c>
      <c r="N1489" s="118"/>
      <c r="O1489" s="118"/>
      <c r="P1489" s="672"/>
      <c r="Q1489" s="192"/>
    </row>
    <row r="1490" spans="1:17" x14ac:dyDescent="0.2">
      <c r="A1490" s="81">
        <v>8</v>
      </c>
      <c r="B1490" s="160"/>
      <c r="C1490" s="160"/>
      <c r="D1490" s="685"/>
      <c r="E1490" s="115"/>
      <c r="F1490" s="678"/>
      <c r="G1490" s="81" t="s">
        <v>12</v>
      </c>
      <c r="H1490" s="37"/>
      <c r="I1490" s="37">
        <f>SUM(I1452)</f>
        <v>138.19999999999999</v>
      </c>
      <c r="J1490" s="37">
        <f t="shared" ref="J1490:L1490" si="293">SUM(J1452)</f>
        <v>175</v>
      </c>
      <c r="K1490" s="37">
        <f t="shared" si="293"/>
        <v>1360</v>
      </c>
      <c r="L1490" s="37">
        <f t="shared" si="293"/>
        <v>1560</v>
      </c>
      <c r="N1490" s="118"/>
      <c r="O1490" s="118"/>
      <c r="P1490" s="672"/>
      <c r="Q1490" s="192"/>
    </row>
    <row r="1491" spans="1:17" x14ac:dyDescent="0.2">
      <c r="A1491" s="671">
        <v>8</v>
      </c>
      <c r="B1491" s="160"/>
      <c r="C1491" s="160"/>
      <c r="D1491" s="685"/>
      <c r="E1491" s="115"/>
      <c r="F1491" s="678"/>
      <c r="G1491" s="81" t="s">
        <v>99</v>
      </c>
      <c r="H1491" s="37"/>
      <c r="I1491" s="37">
        <f>SUM(I1455,I1458,I1461)</f>
        <v>664.7</v>
      </c>
      <c r="J1491" s="37">
        <f t="shared" ref="J1491:L1491" si="294">SUM(J1455,J1458,J1461)</f>
        <v>910</v>
      </c>
      <c r="K1491" s="37">
        <f t="shared" si="294"/>
        <v>940</v>
      </c>
      <c r="L1491" s="37">
        <f t="shared" si="294"/>
        <v>940</v>
      </c>
      <c r="N1491" s="118"/>
      <c r="O1491" s="118"/>
      <c r="P1491" s="672"/>
      <c r="Q1491" s="192"/>
    </row>
    <row r="1492" spans="1:17" x14ac:dyDescent="0.2">
      <c r="A1492" s="81">
        <v>8</v>
      </c>
      <c r="B1492" s="160"/>
      <c r="C1492" s="160"/>
      <c r="D1492" s="685"/>
      <c r="E1492" s="115"/>
      <c r="F1492" s="678"/>
      <c r="G1492" s="6" t="s">
        <v>58</v>
      </c>
      <c r="H1492" s="37"/>
      <c r="I1492" s="37"/>
      <c r="J1492" s="37"/>
      <c r="K1492" s="37"/>
      <c r="L1492" s="37"/>
      <c r="N1492" s="118"/>
      <c r="O1492" s="118"/>
      <c r="P1492" s="672"/>
      <c r="Q1492" s="192"/>
    </row>
    <row r="1493" spans="1:17" x14ac:dyDescent="0.2">
      <c r="A1493" s="83">
        <v>8</v>
      </c>
      <c r="B1493" s="160"/>
      <c r="C1493" s="160"/>
      <c r="D1493" s="685"/>
      <c r="E1493" s="115"/>
      <c r="F1493" s="678"/>
      <c r="G1493" s="6" t="s">
        <v>59</v>
      </c>
      <c r="H1493" s="37"/>
      <c r="I1493" s="37"/>
      <c r="J1493" s="37"/>
      <c r="K1493" s="37"/>
      <c r="L1493" s="37"/>
      <c r="N1493" s="118"/>
      <c r="O1493" s="118"/>
      <c r="P1493" s="672"/>
      <c r="Q1493" s="192"/>
    </row>
    <row r="1494" spans="1:17" x14ac:dyDescent="0.2">
      <c r="A1494" s="671">
        <v>8</v>
      </c>
      <c r="B1494" s="160"/>
      <c r="C1494" s="160"/>
      <c r="D1494" s="685"/>
      <c r="E1494" s="115"/>
      <c r="F1494" s="678"/>
      <c r="G1494" s="6" t="s">
        <v>97</v>
      </c>
      <c r="H1494" s="37"/>
      <c r="I1494" s="37"/>
      <c r="J1494" s="37"/>
      <c r="K1494" s="37"/>
      <c r="L1494" s="37"/>
      <c r="N1494" s="118"/>
      <c r="O1494" s="118"/>
      <c r="P1494" s="672"/>
      <c r="Q1494" s="192"/>
    </row>
    <row r="1495" spans="1:17" x14ac:dyDescent="0.2">
      <c r="A1495" s="671">
        <v>8</v>
      </c>
      <c r="B1495" s="160"/>
      <c r="C1495" s="160"/>
      <c r="D1495" s="685"/>
      <c r="E1495" s="115"/>
      <c r="F1495" s="678"/>
      <c r="G1495" s="81" t="s">
        <v>11</v>
      </c>
      <c r="H1495" s="37"/>
      <c r="I1495" s="37">
        <f>SUM(I1486)</f>
        <v>400</v>
      </c>
      <c r="J1495" s="37">
        <f t="shared" ref="J1495:L1495" si="295">SUM(J1486)</f>
        <v>0</v>
      </c>
      <c r="K1495" s="37">
        <f t="shared" si="295"/>
        <v>0</v>
      </c>
      <c r="L1495" s="37">
        <f t="shared" si="295"/>
        <v>0</v>
      </c>
      <c r="N1495" s="118"/>
      <c r="O1495" s="118"/>
      <c r="P1495" s="672"/>
      <c r="Q1495" s="192"/>
    </row>
    <row r="1496" spans="1:17" x14ac:dyDescent="0.2">
      <c r="A1496" s="81">
        <v>8</v>
      </c>
      <c r="B1496" s="160"/>
      <c r="C1496" s="160"/>
      <c r="D1496" s="685"/>
      <c r="E1496" s="115"/>
      <c r="F1496" s="678"/>
      <c r="G1496" s="81" t="s">
        <v>289</v>
      </c>
      <c r="H1496" s="37"/>
      <c r="I1496" s="37">
        <f>SUM(I1484)</f>
        <v>1303.8000000000002</v>
      </c>
      <c r="J1496" s="37">
        <f t="shared" ref="J1496:L1496" si="296">SUM(J1484)</f>
        <v>0</v>
      </c>
      <c r="K1496" s="37">
        <f t="shared" si="296"/>
        <v>0</v>
      </c>
      <c r="L1496" s="37">
        <f t="shared" si="296"/>
        <v>0</v>
      </c>
      <c r="N1496" s="118"/>
      <c r="O1496" s="118"/>
      <c r="P1496" s="672"/>
      <c r="Q1496" s="192"/>
    </row>
    <row r="1497" spans="1:17" x14ac:dyDescent="0.2">
      <c r="A1497" s="81">
        <v>8</v>
      </c>
      <c r="B1497" s="160"/>
      <c r="C1497" s="160"/>
      <c r="D1497" s="685"/>
      <c r="E1497" s="115"/>
      <c r="F1497" s="678"/>
      <c r="G1497" s="81" t="s">
        <v>323</v>
      </c>
      <c r="H1497" s="37"/>
      <c r="I1497" s="37">
        <f>I1483</f>
        <v>50</v>
      </c>
      <c r="J1497" s="37"/>
      <c r="K1497" s="37"/>
      <c r="L1497" s="37"/>
      <c r="N1497" s="118"/>
      <c r="O1497" s="118"/>
      <c r="P1497" s="672"/>
      <c r="Q1497" s="192"/>
    </row>
    <row r="1498" spans="1:17" x14ac:dyDescent="0.2">
      <c r="A1498" s="671">
        <v>8</v>
      </c>
      <c r="B1498" s="160"/>
      <c r="C1498" s="160"/>
      <c r="D1498" s="685"/>
      <c r="E1498" s="115"/>
      <c r="F1498" s="678"/>
      <c r="G1498" s="81" t="s">
        <v>10</v>
      </c>
      <c r="H1498" s="37"/>
      <c r="I1498" s="37">
        <f>I1481</f>
        <v>1611</v>
      </c>
      <c r="J1498" s="37">
        <f>J1481</f>
        <v>2069</v>
      </c>
      <c r="K1498" s="37">
        <f>K1481</f>
        <v>660</v>
      </c>
      <c r="L1498" s="37">
        <f>L1481</f>
        <v>0</v>
      </c>
      <c r="N1498" s="118"/>
      <c r="O1498" s="118"/>
      <c r="P1498" s="672"/>
      <c r="Q1498" s="192"/>
    </row>
    <row r="1499" spans="1:17" x14ac:dyDescent="0.2">
      <c r="A1499" s="81">
        <v>8</v>
      </c>
      <c r="B1499" s="160"/>
      <c r="C1499" s="160"/>
      <c r="D1499" s="685"/>
      <c r="E1499" s="115"/>
      <c r="F1499" s="678"/>
      <c r="G1499" s="81" t="s">
        <v>61</v>
      </c>
      <c r="H1499" s="37"/>
      <c r="I1499" s="37">
        <f>SUM(I1482)</f>
        <v>3100</v>
      </c>
      <c r="J1499" s="37">
        <f t="shared" ref="J1499:L1499" si="297">SUM(J1482)</f>
        <v>4000</v>
      </c>
      <c r="K1499" s="37">
        <f t="shared" si="297"/>
        <v>3000</v>
      </c>
      <c r="L1499" s="37">
        <f t="shared" si="297"/>
        <v>0</v>
      </c>
      <c r="N1499" s="118"/>
      <c r="O1499" s="118"/>
      <c r="P1499" s="672"/>
      <c r="Q1499" s="192"/>
    </row>
    <row r="1500" spans="1:17" x14ac:dyDescent="0.2">
      <c r="A1500" s="83">
        <v>8</v>
      </c>
      <c r="B1500" s="160"/>
      <c r="C1500" s="160"/>
      <c r="D1500" s="685"/>
      <c r="E1500" s="115"/>
      <c r="F1500" s="678"/>
      <c r="G1500" s="185" t="s">
        <v>608</v>
      </c>
      <c r="H1500" s="164"/>
      <c r="I1500" s="185">
        <f>SUM(I1489:I1499)</f>
        <v>14389.5</v>
      </c>
      <c r="J1500" s="185">
        <f>SUM(J1489:J1499)</f>
        <v>13941.7</v>
      </c>
      <c r="K1500" s="185">
        <f>SUM(K1489:K1499)</f>
        <v>10066.799999999999</v>
      </c>
      <c r="L1500" s="185">
        <f>SUM(L1489:L1499)</f>
        <v>5180.8999999999996</v>
      </c>
      <c r="N1500" s="118"/>
      <c r="O1500" s="118"/>
      <c r="P1500" s="672"/>
      <c r="Q1500" s="192"/>
    </row>
    <row r="1501" spans="1:17" x14ac:dyDescent="0.2">
      <c r="A1501" s="671">
        <v>8</v>
      </c>
      <c r="B1501" s="160"/>
      <c r="C1501" s="160"/>
      <c r="D1501" s="685"/>
      <c r="E1501" s="115"/>
      <c r="F1501" s="678"/>
      <c r="G1501" s="81"/>
      <c r="H1501" s="37"/>
      <c r="I1501" s="37">
        <f>I1488-I1500</f>
        <v>0</v>
      </c>
      <c r="J1501" s="37">
        <f>J1488-J1500</f>
        <v>0</v>
      </c>
      <c r="K1501" s="37">
        <f>K1488-K1500</f>
        <v>0</v>
      </c>
      <c r="L1501" s="37">
        <f>L1488-L1500</f>
        <v>0</v>
      </c>
      <c r="N1501" s="118"/>
      <c r="O1501" s="118"/>
      <c r="P1501" s="672"/>
      <c r="Q1501" s="192"/>
    </row>
    <row r="1502" spans="1:17" ht="33.75" x14ac:dyDescent="0.2">
      <c r="A1502" s="687">
        <v>9</v>
      </c>
      <c r="B1502" s="688"/>
      <c r="C1502" s="688"/>
      <c r="D1502" s="689" t="s">
        <v>1974</v>
      </c>
      <c r="E1502" s="626"/>
      <c r="F1502" s="109"/>
      <c r="G1502" s="107"/>
      <c r="H1502" s="110"/>
      <c r="I1502" s="109"/>
      <c r="J1502" s="109"/>
      <c r="K1502" s="109"/>
      <c r="L1502" s="109"/>
      <c r="M1502" s="1395"/>
      <c r="N1502" s="82"/>
      <c r="O1502" s="82"/>
      <c r="P1502" s="85"/>
      <c r="Q1502" s="89"/>
    </row>
    <row r="1503" spans="1:17" ht="22.5" x14ac:dyDescent="0.2">
      <c r="A1503" s="687">
        <v>9</v>
      </c>
      <c r="B1503" s="690" t="s">
        <v>1975</v>
      </c>
      <c r="C1503" s="690" t="s">
        <v>1975</v>
      </c>
      <c r="D1503" s="691" t="s">
        <v>1968</v>
      </c>
      <c r="E1503" s="692">
        <v>6</v>
      </c>
      <c r="F1503" s="693" t="s">
        <v>469</v>
      </c>
      <c r="G1503" s="144" t="s">
        <v>1976</v>
      </c>
      <c r="H1503" s="694">
        <f>SUM(H1506:H1509)</f>
        <v>629.6</v>
      </c>
      <c r="I1503" s="144">
        <f>SUM(I1506:I1509)</f>
        <v>799.59999999999991</v>
      </c>
      <c r="J1503" s="144">
        <f>SUM(J1506:J1509)</f>
        <v>924.2</v>
      </c>
      <c r="K1503" s="144">
        <f>SUM(K1506:K1509)</f>
        <v>937.5</v>
      </c>
      <c r="L1503" s="144">
        <f>SUM(L1506:L1509)</f>
        <v>944.59999999999991</v>
      </c>
      <c r="M1503" s="38" t="s">
        <v>739</v>
      </c>
      <c r="N1503" s="695"/>
      <c r="O1503" s="695"/>
      <c r="P1503" s="687"/>
      <c r="Q1503" s="736"/>
    </row>
    <row r="1504" spans="1:17" ht="22.5" x14ac:dyDescent="0.2">
      <c r="A1504" s="687">
        <v>9</v>
      </c>
      <c r="B1504" s="696"/>
      <c r="C1504" s="687"/>
      <c r="D1504" s="695"/>
      <c r="E1504" s="693">
        <v>6</v>
      </c>
      <c r="F1504" s="693" t="s">
        <v>469</v>
      </c>
      <c r="G1504" s="144" t="s">
        <v>1977</v>
      </c>
      <c r="H1504" s="694">
        <f>H1510</f>
        <v>12.7</v>
      </c>
      <c r="I1504" s="144">
        <f>I1510</f>
        <v>0</v>
      </c>
      <c r="J1504" s="144">
        <f>J1510</f>
        <v>0</v>
      </c>
      <c r="K1504" s="144">
        <f>K1510</f>
        <v>0</v>
      </c>
      <c r="L1504" s="144">
        <f>L1510</f>
        <v>0</v>
      </c>
      <c r="N1504" s="695"/>
      <c r="O1504" s="695"/>
      <c r="P1504" s="687"/>
      <c r="Q1504" s="736"/>
    </row>
    <row r="1505" spans="1:17" x14ac:dyDescent="0.2">
      <c r="A1505" s="687">
        <v>9</v>
      </c>
      <c r="B1505" s="696"/>
      <c r="C1505" s="687"/>
      <c r="D1505" s="695"/>
      <c r="E1505" s="693">
        <v>6</v>
      </c>
      <c r="F1505" s="693" t="s">
        <v>469</v>
      </c>
      <c r="G1505" s="697" t="s">
        <v>741</v>
      </c>
      <c r="H1505" s="698">
        <f>SUM(H1503:H1504)</f>
        <v>642.30000000000007</v>
      </c>
      <c r="I1505" s="698">
        <f>SUM(I1503:I1504)</f>
        <v>799.59999999999991</v>
      </c>
      <c r="J1505" s="698">
        <f>SUM(J1503:J1504)</f>
        <v>924.2</v>
      </c>
      <c r="K1505" s="698">
        <f>SUM(K1503:K1504)</f>
        <v>937.5</v>
      </c>
      <c r="L1505" s="698">
        <f>SUM(L1503:L1504)</f>
        <v>944.59999999999991</v>
      </c>
      <c r="N1505" s="695"/>
      <c r="O1505" s="695"/>
      <c r="P1505" s="687"/>
      <c r="Q1505" s="736"/>
    </row>
    <row r="1506" spans="1:17" ht="22.5" x14ac:dyDescent="0.2">
      <c r="A1506" s="687">
        <v>9</v>
      </c>
      <c r="B1506" s="696"/>
      <c r="C1506" s="687" t="s">
        <v>1978</v>
      </c>
      <c r="D1506" s="695" t="s">
        <v>470</v>
      </c>
      <c r="E1506" s="699">
        <v>6</v>
      </c>
      <c r="F1506" s="693" t="s">
        <v>469</v>
      </c>
      <c r="G1506" s="700" t="s">
        <v>9</v>
      </c>
      <c r="H1506" s="701">
        <v>188.8</v>
      </c>
      <c r="I1506" s="37">
        <v>218.2</v>
      </c>
      <c r="J1506" s="116">
        <v>230.2</v>
      </c>
      <c r="K1506" s="701">
        <v>236.6</v>
      </c>
      <c r="L1506" s="701">
        <v>239.8</v>
      </c>
      <c r="N1506" s="1334" t="s">
        <v>1979</v>
      </c>
      <c r="O1506" s="695" t="s">
        <v>1980</v>
      </c>
      <c r="P1506" s="687">
        <v>100</v>
      </c>
      <c r="Q1506" s="736"/>
    </row>
    <row r="1507" spans="1:17" ht="22.5" x14ac:dyDescent="0.2">
      <c r="A1507" s="687">
        <v>9</v>
      </c>
      <c r="B1507" s="696"/>
      <c r="C1507" s="687"/>
      <c r="D1507" s="695" t="s">
        <v>471</v>
      </c>
      <c r="E1507" s="699">
        <v>6</v>
      </c>
      <c r="F1507" s="693" t="s">
        <v>469</v>
      </c>
      <c r="G1507" s="700" t="s">
        <v>9</v>
      </c>
      <c r="H1507" s="701">
        <v>179.3</v>
      </c>
      <c r="I1507" s="37">
        <v>171.6</v>
      </c>
      <c r="J1507" s="116">
        <v>219.8</v>
      </c>
      <c r="K1507" s="701">
        <v>225.7</v>
      </c>
      <c r="L1507" s="701">
        <v>228.6</v>
      </c>
      <c r="N1507" s="1334" t="s">
        <v>1979</v>
      </c>
      <c r="O1507" s="695" t="s">
        <v>1980</v>
      </c>
      <c r="P1507" s="687">
        <v>100</v>
      </c>
      <c r="Q1507" s="736"/>
    </row>
    <row r="1508" spans="1:17" ht="22.5" x14ac:dyDescent="0.2">
      <c r="A1508" s="687">
        <v>9</v>
      </c>
      <c r="B1508" s="696"/>
      <c r="C1508" s="687"/>
      <c r="D1508" s="695" t="s">
        <v>472</v>
      </c>
      <c r="E1508" s="699">
        <v>6</v>
      </c>
      <c r="F1508" s="693" t="s">
        <v>469</v>
      </c>
      <c r="G1508" s="700" t="s">
        <v>9</v>
      </c>
      <c r="H1508" s="701">
        <v>12.6</v>
      </c>
      <c r="I1508" s="37">
        <v>14.4</v>
      </c>
      <c r="J1508" s="116">
        <v>53</v>
      </c>
      <c r="K1508" s="701">
        <v>54</v>
      </c>
      <c r="L1508" s="701">
        <v>55</v>
      </c>
      <c r="N1508" s="1334" t="s">
        <v>1981</v>
      </c>
      <c r="O1508" s="695" t="s">
        <v>1980</v>
      </c>
      <c r="P1508" s="687">
        <v>100</v>
      </c>
      <c r="Q1508" s="736"/>
    </row>
    <row r="1509" spans="1:17" x14ac:dyDescent="0.2">
      <c r="A1509" s="687">
        <v>9</v>
      </c>
      <c r="B1509" s="696"/>
      <c r="C1509" s="687"/>
      <c r="D1509" s="695" t="s">
        <v>1982</v>
      </c>
      <c r="E1509" s="699">
        <v>6</v>
      </c>
      <c r="F1509" s="693" t="s">
        <v>469</v>
      </c>
      <c r="G1509" s="700" t="s">
        <v>9</v>
      </c>
      <c r="H1509" s="701">
        <v>248.9</v>
      </c>
      <c r="I1509" s="37">
        <v>395.4</v>
      </c>
      <c r="J1509" s="116">
        <v>421.2</v>
      </c>
      <c r="K1509" s="701">
        <v>421.2</v>
      </c>
      <c r="L1509" s="701">
        <v>421.2</v>
      </c>
      <c r="N1509" s="1334" t="s">
        <v>1983</v>
      </c>
      <c r="O1509" s="695" t="s">
        <v>1980</v>
      </c>
      <c r="P1509" s="687">
        <v>100</v>
      </c>
      <c r="Q1509" s="736"/>
    </row>
    <row r="1510" spans="1:17" x14ac:dyDescent="0.2">
      <c r="A1510" s="687">
        <v>9</v>
      </c>
      <c r="B1510" s="696"/>
      <c r="C1510" s="687"/>
      <c r="D1510" s="695" t="s">
        <v>470</v>
      </c>
      <c r="E1510" s="699">
        <v>6</v>
      </c>
      <c r="F1510" s="693" t="s">
        <v>469</v>
      </c>
      <c r="G1510" s="700" t="s">
        <v>11</v>
      </c>
      <c r="H1510" s="701">
        <v>12.7</v>
      </c>
      <c r="I1510" s="37"/>
      <c r="J1510" s="116"/>
      <c r="K1510" s="701"/>
      <c r="L1510" s="701"/>
      <c r="N1510" s="695"/>
      <c r="O1510" s="695"/>
      <c r="P1510" s="687"/>
      <c r="Q1510" s="736"/>
    </row>
    <row r="1511" spans="1:17" ht="22.5" x14ac:dyDescent="0.2">
      <c r="A1511" s="687">
        <v>9</v>
      </c>
      <c r="B1511" s="690" t="s">
        <v>1984</v>
      </c>
      <c r="C1511" s="690" t="s">
        <v>1984</v>
      </c>
      <c r="D1511" s="691" t="s">
        <v>1969</v>
      </c>
      <c r="E1511" s="699"/>
      <c r="F1511" s="693"/>
      <c r="G1511" s="144" t="s">
        <v>1976</v>
      </c>
      <c r="H1511" s="694">
        <f>SUM(H1514+H1515+H1516+H1517+H1519+H1520+H1521+H1522+H1523+H1524+H1525+H1526+H1528+H1529+H1530+H1531+H1532+H1533+H1534+H1536+H1538+H1539+H1541+H1543+H1544+H1546)</f>
        <v>9116.9999999999982</v>
      </c>
      <c r="I1511" s="144">
        <f>SUM(I1519:I1526,I1528:I1534,I1536,I1538:I1539,I1541,I1543:I1544,I1546:I1546,I1514:I1517,I1545)</f>
        <v>10566.9</v>
      </c>
      <c r="J1511" s="144">
        <f t="shared" ref="J1511:L1511" si="298">SUM(J1519:J1526,J1528:J1534,J1536,J1538:J1539,J1541,J1543:J1544,J1546:J1546,J1514:J1517,J1545)</f>
        <v>11944.7</v>
      </c>
      <c r="K1511" s="144">
        <f t="shared" si="298"/>
        <v>12419.6</v>
      </c>
      <c r="L1511" s="144">
        <f t="shared" si="298"/>
        <v>12612.900000000001</v>
      </c>
      <c r="M1511" s="38" t="s">
        <v>739</v>
      </c>
      <c r="N1511" s="695"/>
      <c r="O1511" s="695"/>
      <c r="P1511" s="687"/>
      <c r="Q1511" s="736"/>
    </row>
    <row r="1512" spans="1:17" ht="22.5" x14ac:dyDescent="0.2">
      <c r="A1512" s="687">
        <v>9</v>
      </c>
      <c r="B1512" s="696"/>
      <c r="C1512" s="687"/>
      <c r="D1512" s="695"/>
      <c r="E1512" s="699"/>
      <c r="F1512" s="693"/>
      <c r="G1512" s="144" t="s">
        <v>1985</v>
      </c>
      <c r="H1512" s="694">
        <f>SUM(H1535,H1537,H1540,H1542,H1518)</f>
        <v>5.9</v>
      </c>
      <c r="I1512" s="144">
        <f>SUM(I1535,I1537,I1540,I1542,I1518)</f>
        <v>10</v>
      </c>
      <c r="J1512" s="144">
        <f>SUM(J1535,J1537,J1540,J1542,J1518)</f>
        <v>14.399999999999999</v>
      </c>
      <c r="K1512" s="144">
        <f>SUM(K1535,K1537,K1540,K1542,K1518)</f>
        <v>14.399999999999999</v>
      </c>
      <c r="L1512" s="144">
        <f>SUM(L1535,L1537,L1540,L1542,L1518)</f>
        <v>14.399999999999999</v>
      </c>
      <c r="N1512" s="695"/>
      <c r="O1512" s="695"/>
      <c r="P1512" s="687"/>
      <c r="Q1512" s="736"/>
    </row>
    <row r="1513" spans="1:17" x14ac:dyDescent="0.2">
      <c r="A1513" s="687">
        <v>9</v>
      </c>
      <c r="B1513" s="696"/>
      <c r="C1513" s="687"/>
      <c r="D1513" s="695"/>
      <c r="E1513" s="699"/>
      <c r="F1513" s="693"/>
      <c r="G1513" s="697" t="s">
        <v>608</v>
      </c>
      <c r="H1513" s="698">
        <f>SUM(H1511:H1512)</f>
        <v>9122.8999999999978</v>
      </c>
      <c r="I1513" s="698">
        <f>SUM(I1511:I1512)</f>
        <v>10576.9</v>
      </c>
      <c r="J1513" s="698">
        <f>SUM(J1511:J1512)</f>
        <v>11959.1</v>
      </c>
      <c r="K1513" s="698">
        <f>SUM(K1511:K1512)</f>
        <v>12434</v>
      </c>
      <c r="L1513" s="698">
        <f>SUM(L1511:L1512)</f>
        <v>12627.300000000001</v>
      </c>
      <c r="N1513" s="695"/>
      <c r="O1513" s="695"/>
      <c r="P1513" s="687"/>
      <c r="Q1513" s="736"/>
    </row>
    <row r="1514" spans="1:17" ht="22.5" x14ac:dyDescent="0.2">
      <c r="A1514" s="687">
        <v>9</v>
      </c>
      <c r="B1514" s="696"/>
      <c r="C1514" s="687" t="s">
        <v>1986</v>
      </c>
      <c r="D1514" s="695" t="s">
        <v>1987</v>
      </c>
      <c r="E1514" s="702">
        <v>6</v>
      </c>
      <c r="F1514" s="693" t="s">
        <v>474</v>
      </c>
      <c r="G1514" s="700" t="s">
        <v>9</v>
      </c>
      <c r="H1514" s="701">
        <v>3944.3</v>
      </c>
      <c r="I1514" s="37">
        <v>4718.2</v>
      </c>
      <c r="J1514" s="116">
        <f>5362.3-75.3-3</f>
        <v>5284</v>
      </c>
      <c r="K1514" s="701">
        <v>5480.2</v>
      </c>
      <c r="L1514" s="701">
        <v>5543.3</v>
      </c>
      <c r="N1514" s="1334" t="s">
        <v>1988</v>
      </c>
      <c r="O1514" s="1334" t="s">
        <v>2409</v>
      </c>
      <c r="P1514" s="1335"/>
      <c r="Q1514" s="736"/>
    </row>
    <row r="1515" spans="1:17" x14ac:dyDescent="0.2">
      <c r="A1515" s="687">
        <v>9</v>
      </c>
      <c r="B1515" s="696"/>
      <c r="C1515" s="687"/>
      <c r="D1515" s="703" t="s">
        <v>473</v>
      </c>
      <c r="E1515" s="702">
        <v>3</v>
      </c>
      <c r="F1515" s="693" t="s">
        <v>474</v>
      </c>
      <c r="G1515" s="700" t="s">
        <v>9</v>
      </c>
      <c r="H1515" s="701">
        <v>108.1</v>
      </c>
      <c r="I1515" s="37">
        <v>29.6</v>
      </c>
      <c r="J1515" s="116">
        <v>10</v>
      </c>
      <c r="K1515" s="701">
        <v>10</v>
      </c>
      <c r="L1515" s="701">
        <v>10</v>
      </c>
      <c r="N1515" s="1334" t="s">
        <v>1989</v>
      </c>
      <c r="O1515" s="1334" t="s">
        <v>1990</v>
      </c>
      <c r="P1515" s="1335"/>
      <c r="Q1515" s="736"/>
    </row>
    <row r="1516" spans="1:17" x14ac:dyDescent="0.2">
      <c r="A1516" s="687">
        <v>9</v>
      </c>
      <c r="B1516" s="696"/>
      <c r="C1516" s="687"/>
      <c r="D1516" s="703" t="s">
        <v>473</v>
      </c>
      <c r="E1516" s="702">
        <v>34</v>
      </c>
      <c r="F1516" s="693" t="s">
        <v>474</v>
      </c>
      <c r="G1516" s="700" t="s">
        <v>9</v>
      </c>
      <c r="H1516" s="701">
        <v>221.6</v>
      </c>
      <c r="I1516" s="37">
        <v>251.8</v>
      </c>
      <c r="J1516" s="116">
        <f>520-204.8</f>
        <v>315.2</v>
      </c>
      <c r="K1516" s="704">
        <v>320</v>
      </c>
      <c r="L1516" s="704">
        <v>320</v>
      </c>
      <c r="N1516" s="1334" t="s">
        <v>1991</v>
      </c>
      <c r="O1516" s="1334" t="s">
        <v>1992</v>
      </c>
      <c r="P1516" s="1335"/>
      <c r="Q1516" s="736"/>
    </row>
    <row r="1517" spans="1:17" ht="33.75" x14ac:dyDescent="0.2">
      <c r="A1517" s="687">
        <v>9</v>
      </c>
      <c r="B1517" s="696"/>
      <c r="C1517" s="687"/>
      <c r="D1517" s="703" t="s">
        <v>473</v>
      </c>
      <c r="E1517" s="702">
        <v>10</v>
      </c>
      <c r="F1517" s="693" t="s">
        <v>474</v>
      </c>
      <c r="G1517" s="700" t="s">
        <v>9</v>
      </c>
      <c r="H1517" s="701"/>
      <c r="I1517" s="37"/>
      <c r="J1517" s="116">
        <f>100-80</f>
        <v>20</v>
      </c>
      <c r="K1517" s="701">
        <f>80</f>
        <v>80</v>
      </c>
      <c r="L1517" s="701">
        <v>100</v>
      </c>
      <c r="N1517" s="1334" t="s">
        <v>1993</v>
      </c>
      <c r="O1517" s="1334" t="s">
        <v>1994</v>
      </c>
      <c r="P1517" s="1335"/>
      <c r="Q1517" s="736"/>
    </row>
    <row r="1518" spans="1:17" x14ac:dyDescent="0.2">
      <c r="A1518" s="687">
        <v>9</v>
      </c>
      <c r="B1518" s="696"/>
      <c r="C1518" s="687"/>
      <c r="D1518" s="703" t="s">
        <v>473</v>
      </c>
      <c r="E1518" s="702">
        <v>6</v>
      </c>
      <c r="F1518" s="693" t="s">
        <v>474</v>
      </c>
      <c r="G1518" s="700" t="s">
        <v>12</v>
      </c>
      <c r="H1518" s="701">
        <v>1.9</v>
      </c>
      <c r="I1518" s="37">
        <v>5.9</v>
      </c>
      <c r="J1518" s="116">
        <v>12.1</v>
      </c>
      <c r="K1518" s="701">
        <v>12.1</v>
      </c>
      <c r="L1518" s="701">
        <v>12.1</v>
      </c>
      <c r="N1518" s="1334" t="s">
        <v>1995</v>
      </c>
      <c r="O1518" s="1334" t="s">
        <v>1996</v>
      </c>
      <c r="P1518" s="1335"/>
      <c r="Q1518" s="736"/>
    </row>
    <row r="1519" spans="1:17" ht="22.5" x14ac:dyDescent="0.2">
      <c r="A1519" s="687">
        <v>9</v>
      </c>
      <c r="B1519" s="696"/>
      <c r="C1519" s="687"/>
      <c r="D1519" s="703" t="s">
        <v>475</v>
      </c>
      <c r="E1519" s="702">
        <v>6</v>
      </c>
      <c r="F1519" s="693" t="s">
        <v>474</v>
      </c>
      <c r="G1519" s="700" t="s">
        <v>9</v>
      </c>
      <c r="H1519" s="701">
        <v>1327.5</v>
      </c>
      <c r="I1519" s="37">
        <v>1575.1</v>
      </c>
      <c r="J1519" s="116">
        <v>1500.9</v>
      </c>
      <c r="K1519" s="701">
        <v>1563</v>
      </c>
      <c r="L1519" s="701">
        <v>1592.9</v>
      </c>
      <c r="N1519" s="1334" t="s">
        <v>1997</v>
      </c>
      <c r="O1519" s="1334" t="s">
        <v>1998</v>
      </c>
      <c r="P1519" s="1335"/>
      <c r="Q1519" s="736"/>
    </row>
    <row r="1520" spans="1:17" ht="22.5" x14ac:dyDescent="0.2">
      <c r="A1520" s="687">
        <v>9</v>
      </c>
      <c r="B1520" s="696"/>
      <c r="C1520" s="687"/>
      <c r="D1520" s="703" t="s">
        <v>476</v>
      </c>
      <c r="E1520" s="702">
        <v>6</v>
      </c>
      <c r="F1520" s="693" t="s">
        <v>474</v>
      </c>
      <c r="G1520" s="700" t="s">
        <v>9</v>
      </c>
      <c r="H1520" s="701">
        <v>319.2</v>
      </c>
      <c r="I1520" s="37">
        <v>390.8</v>
      </c>
      <c r="J1520" s="116">
        <v>392.4</v>
      </c>
      <c r="K1520" s="701">
        <v>408</v>
      </c>
      <c r="L1520" s="701">
        <v>415.8</v>
      </c>
      <c r="N1520" s="1334" t="s">
        <v>1997</v>
      </c>
      <c r="O1520" s="1334" t="s">
        <v>1998</v>
      </c>
      <c r="P1520" s="1335"/>
      <c r="Q1520" s="736"/>
    </row>
    <row r="1521" spans="1:17" ht="22.5" x14ac:dyDescent="0.2">
      <c r="A1521" s="687">
        <v>9</v>
      </c>
      <c r="B1521" s="696"/>
      <c r="C1521" s="687"/>
      <c r="D1521" s="703" t="s">
        <v>477</v>
      </c>
      <c r="E1521" s="702">
        <v>6</v>
      </c>
      <c r="F1521" s="693" t="s">
        <v>474</v>
      </c>
      <c r="G1521" s="700" t="s">
        <v>9</v>
      </c>
      <c r="H1521" s="701">
        <v>29</v>
      </c>
      <c r="I1521" s="37">
        <v>34.799999999999997</v>
      </c>
      <c r="J1521" s="116">
        <v>34.200000000000003</v>
      </c>
      <c r="K1521" s="701">
        <v>34.5</v>
      </c>
      <c r="L1521" s="701">
        <v>36.299999999999997</v>
      </c>
      <c r="N1521" s="1334" t="s">
        <v>1997</v>
      </c>
      <c r="O1521" s="1334" t="s">
        <v>1998</v>
      </c>
      <c r="P1521" s="1335"/>
      <c r="Q1521" s="736"/>
    </row>
    <row r="1522" spans="1:17" ht="22.5" x14ac:dyDescent="0.2">
      <c r="A1522" s="687">
        <v>9</v>
      </c>
      <c r="B1522" s="696"/>
      <c r="C1522" s="687"/>
      <c r="D1522" s="703" t="s">
        <v>478</v>
      </c>
      <c r="E1522" s="702">
        <v>6</v>
      </c>
      <c r="F1522" s="693" t="s">
        <v>474</v>
      </c>
      <c r="G1522" s="700" t="s">
        <v>9</v>
      </c>
      <c r="H1522" s="701">
        <v>85.6</v>
      </c>
      <c r="I1522" s="37">
        <v>98.4</v>
      </c>
      <c r="J1522" s="116">
        <v>100.3</v>
      </c>
      <c r="K1522" s="701">
        <v>105.1</v>
      </c>
      <c r="L1522" s="701">
        <v>107.4</v>
      </c>
      <c r="N1522" s="1334" t="s">
        <v>1997</v>
      </c>
      <c r="O1522" s="1334" t="s">
        <v>1998</v>
      </c>
      <c r="P1522" s="1335"/>
      <c r="Q1522" s="736"/>
    </row>
    <row r="1523" spans="1:17" ht="22.5" x14ac:dyDescent="0.2">
      <c r="A1523" s="687">
        <v>9</v>
      </c>
      <c r="B1523" s="696"/>
      <c r="C1523" s="687"/>
      <c r="D1523" s="703" t="s">
        <v>479</v>
      </c>
      <c r="E1523" s="702">
        <v>6</v>
      </c>
      <c r="F1523" s="693" t="s">
        <v>474</v>
      </c>
      <c r="G1523" s="700" t="s">
        <v>9</v>
      </c>
      <c r="H1523" s="701">
        <v>140.4</v>
      </c>
      <c r="I1523" s="37">
        <v>178.9</v>
      </c>
      <c r="J1523" s="116">
        <v>169.3</v>
      </c>
      <c r="K1523" s="701">
        <v>176.3</v>
      </c>
      <c r="L1523" s="701">
        <v>178</v>
      </c>
      <c r="N1523" s="1334" t="s">
        <v>1997</v>
      </c>
      <c r="O1523" s="1334" t="s">
        <v>1998</v>
      </c>
      <c r="P1523" s="1335"/>
      <c r="Q1523" s="736"/>
    </row>
    <row r="1524" spans="1:17" ht="22.5" x14ac:dyDescent="0.2">
      <c r="A1524" s="687">
        <v>9</v>
      </c>
      <c r="B1524" s="696"/>
      <c r="C1524" s="687"/>
      <c r="D1524" s="703" t="s">
        <v>480</v>
      </c>
      <c r="E1524" s="702">
        <v>6</v>
      </c>
      <c r="F1524" s="693" t="s">
        <v>474</v>
      </c>
      <c r="G1524" s="700" t="s">
        <v>9</v>
      </c>
      <c r="H1524" s="701">
        <v>334</v>
      </c>
      <c r="I1524" s="37">
        <v>396.2</v>
      </c>
      <c r="J1524" s="116">
        <v>381.1</v>
      </c>
      <c r="K1524" s="701">
        <v>395.3</v>
      </c>
      <c r="L1524" s="701">
        <v>401.6</v>
      </c>
      <c r="N1524" s="1334" t="s">
        <v>1997</v>
      </c>
      <c r="O1524" s="1334" t="s">
        <v>1998</v>
      </c>
      <c r="P1524" s="1335"/>
      <c r="Q1524" s="736"/>
    </row>
    <row r="1525" spans="1:17" x14ac:dyDescent="0.2">
      <c r="A1525" s="687">
        <v>9</v>
      </c>
      <c r="B1525" s="696"/>
      <c r="C1525" s="687"/>
      <c r="D1525" s="695" t="s">
        <v>481</v>
      </c>
      <c r="E1525" s="702">
        <v>3</v>
      </c>
      <c r="F1525" s="693" t="s">
        <v>474</v>
      </c>
      <c r="G1525" s="700" t="s">
        <v>9</v>
      </c>
      <c r="H1525" s="701">
        <v>40</v>
      </c>
      <c r="I1525" s="37">
        <v>80</v>
      </c>
      <c r="J1525" s="116">
        <v>100</v>
      </c>
      <c r="K1525" s="701">
        <v>100</v>
      </c>
      <c r="L1525" s="701">
        <v>100</v>
      </c>
      <c r="N1525" s="1334" t="s">
        <v>1989</v>
      </c>
      <c r="O1525" s="1334" t="s">
        <v>1999</v>
      </c>
      <c r="P1525" s="1335"/>
      <c r="Q1525" s="736"/>
    </row>
    <row r="1526" spans="1:17" ht="33.75" x14ac:dyDescent="0.2">
      <c r="A1526" s="687">
        <v>9</v>
      </c>
      <c r="B1526" s="696"/>
      <c r="C1526" s="687"/>
      <c r="D1526" s="695" t="s">
        <v>2000</v>
      </c>
      <c r="E1526" s="702">
        <v>6</v>
      </c>
      <c r="F1526" s="693" t="s">
        <v>474</v>
      </c>
      <c r="G1526" s="700" t="s">
        <v>9</v>
      </c>
      <c r="H1526" s="701">
        <v>8.6999999999999993</v>
      </c>
      <c r="I1526" s="37">
        <v>27.6</v>
      </c>
      <c r="J1526" s="116">
        <v>270</v>
      </c>
      <c r="K1526" s="701">
        <v>285</v>
      </c>
      <c r="L1526" s="701">
        <v>300</v>
      </c>
      <c r="N1526" s="1334" t="s">
        <v>2001</v>
      </c>
      <c r="O1526" s="1334" t="s">
        <v>2002</v>
      </c>
      <c r="P1526" s="1335">
        <v>50</v>
      </c>
      <c r="Q1526" s="736"/>
    </row>
    <row r="1527" spans="1:17" x14ac:dyDescent="0.2">
      <c r="A1527" s="687">
        <v>9</v>
      </c>
      <c r="B1527" s="696"/>
      <c r="C1527" s="687"/>
      <c r="D1527" s="706"/>
      <c r="E1527" s="699"/>
      <c r="F1527" s="693" t="s">
        <v>474</v>
      </c>
      <c r="G1527" s="707" t="s">
        <v>608</v>
      </c>
      <c r="H1527" s="144">
        <f>SUM(H1514:H1526)</f>
        <v>6560.2999999999993</v>
      </c>
      <c r="I1527" s="144">
        <f>SUM(I1514:I1526)</f>
        <v>7787.3</v>
      </c>
      <c r="J1527" s="144">
        <f>SUM(J1514:J1526)</f>
        <v>8589.5</v>
      </c>
      <c r="K1527" s="144">
        <f>SUM(K1514:K1526)</f>
        <v>8969.5</v>
      </c>
      <c r="L1527" s="144">
        <f>SUM(L1514:L1526)</f>
        <v>9117.4000000000015</v>
      </c>
      <c r="N1527" s="695"/>
      <c r="O1527" s="695"/>
      <c r="P1527" s="687"/>
      <c r="Q1527" s="736"/>
    </row>
    <row r="1528" spans="1:17" ht="33.75" x14ac:dyDescent="0.2">
      <c r="A1528" s="687">
        <v>9</v>
      </c>
      <c r="B1528" s="696"/>
      <c r="C1528" s="687" t="s">
        <v>2003</v>
      </c>
      <c r="D1528" s="695" t="s">
        <v>482</v>
      </c>
      <c r="E1528" s="699">
        <v>6</v>
      </c>
      <c r="F1528" s="693" t="s">
        <v>483</v>
      </c>
      <c r="G1528" s="687" t="s">
        <v>9</v>
      </c>
      <c r="H1528" s="705">
        <v>147.1</v>
      </c>
      <c r="I1528" s="37">
        <v>161.19999999999999</v>
      </c>
      <c r="J1528" s="116">
        <f>215-32.5+12.8</f>
        <v>195.3</v>
      </c>
      <c r="K1528" s="701">
        <f>222.3+30.8</f>
        <v>253.10000000000002</v>
      </c>
      <c r="L1528" s="701">
        <f>226.1+30.8</f>
        <v>256.89999999999998</v>
      </c>
      <c r="N1528" s="103" t="s">
        <v>2004</v>
      </c>
      <c r="O1528" s="695" t="s">
        <v>2005</v>
      </c>
      <c r="P1528" s="687">
        <v>1</v>
      </c>
      <c r="Q1528" s="736"/>
    </row>
    <row r="1529" spans="1:17" x14ac:dyDescent="0.2">
      <c r="A1529" s="687">
        <v>9</v>
      </c>
      <c r="B1529" s="696"/>
      <c r="C1529" s="687" t="s">
        <v>2006</v>
      </c>
      <c r="D1529" s="695" t="s">
        <v>484</v>
      </c>
      <c r="E1529" s="699">
        <v>19</v>
      </c>
      <c r="F1529" s="693" t="s">
        <v>485</v>
      </c>
      <c r="G1529" s="687" t="s">
        <v>9</v>
      </c>
      <c r="H1529" s="705">
        <v>118.8</v>
      </c>
      <c r="I1529" s="37">
        <v>120.5</v>
      </c>
      <c r="J1529" s="116">
        <v>151</v>
      </c>
      <c r="K1529" s="701">
        <v>149.80000000000001</v>
      </c>
      <c r="L1529" s="701">
        <v>151.19999999999999</v>
      </c>
      <c r="N1529" s="695" t="s">
        <v>2007</v>
      </c>
      <c r="O1529" s="695" t="s">
        <v>2008</v>
      </c>
      <c r="P1529" s="687">
        <v>1</v>
      </c>
      <c r="Q1529" s="1338" t="s">
        <v>894</v>
      </c>
    </row>
    <row r="1530" spans="1:17" ht="20.25" customHeight="1" x14ac:dyDescent="0.2">
      <c r="A1530" s="687">
        <v>9</v>
      </c>
      <c r="B1530" s="696"/>
      <c r="C1530" s="687" t="s">
        <v>2009</v>
      </c>
      <c r="D1530" s="695" t="s">
        <v>486</v>
      </c>
      <c r="E1530" s="699">
        <v>20</v>
      </c>
      <c r="F1530" s="693" t="s">
        <v>487</v>
      </c>
      <c r="G1530" s="687" t="s">
        <v>9</v>
      </c>
      <c r="H1530" s="705">
        <v>100.9</v>
      </c>
      <c r="I1530" s="37">
        <v>159.6</v>
      </c>
      <c r="J1530" s="116">
        <v>207.7</v>
      </c>
      <c r="K1530" s="701">
        <v>207.9</v>
      </c>
      <c r="L1530" s="701">
        <v>210</v>
      </c>
      <c r="N1530" s="1337" t="s">
        <v>2232</v>
      </c>
      <c r="O1530" s="695" t="s">
        <v>2008</v>
      </c>
      <c r="P1530" s="687">
        <v>1</v>
      </c>
      <c r="Q1530" s="1338" t="s">
        <v>912</v>
      </c>
    </row>
    <row r="1531" spans="1:17" x14ac:dyDescent="0.2">
      <c r="A1531" s="687">
        <v>9</v>
      </c>
      <c r="B1531" s="696"/>
      <c r="C1531" s="687" t="s">
        <v>2010</v>
      </c>
      <c r="D1531" s="695" t="s">
        <v>488</v>
      </c>
      <c r="E1531" s="699">
        <v>21</v>
      </c>
      <c r="F1531" s="693" t="s">
        <v>489</v>
      </c>
      <c r="G1531" s="687" t="s">
        <v>9</v>
      </c>
      <c r="H1531" s="705">
        <v>120.4</v>
      </c>
      <c r="I1531" s="37">
        <v>140.4</v>
      </c>
      <c r="J1531" s="116">
        <v>176.3</v>
      </c>
      <c r="K1531" s="701">
        <v>176.6</v>
      </c>
      <c r="L1531" s="701">
        <v>178.6</v>
      </c>
      <c r="N1531" s="695" t="s">
        <v>1507</v>
      </c>
      <c r="O1531" s="695" t="s">
        <v>2008</v>
      </c>
      <c r="P1531" s="687">
        <v>1</v>
      </c>
      <c r="Q1531" s="1338" t="s">
        <v>875</v>
      </c>
    </row>
    <row r="1532" spans="1:17" x14ac:dyDescent="0.2">
      <c r="A1532" s="687">
        <v>9</v>
      </c>
      <c r="B1532" s="696"/>
      <c r="C1532" s="687" t="s">
        <v>2011</v>
      </c>
      <c r="D1532" s="695" t="s">
        <v>490</v>
      </c>
      <c r="E1532" s="699">
        <v>22</v>
      </c>
      <c r="F1532" s="693" t="s">
        <v>491</v>
      </c>
      <c r="G1532" s="687" t="s">
        <v>9</v>
      </c>
      <c r="H1532" s="705">
        <v>113.6</v>
      </c>
      <c r="I1532" s="37">
        <v>96.2</v>
      </c>
      <c r="J1532" s="116">
        <v>135.1</v>
      </c>
      <c r="K1532" s="701">
        <v>133.69999999999999</v>
      </c>
      <c r="L1532" s="701">
        <v>135.1</v>
      </c>
      <c r="N1532" s="695" t="s">
        <v>1726</v>
      </c>
      <c r="O1532" s="695" t="s">
        <v>2008</v>
      </c>
      <c r="P1532" s="687">
        <v>1</v>
      </c>
      <c r="Q1532" s="1338" t="s">
        <v>2410</v>
      </c>
    </row>
    <row r="1533" spans="1:17" x14ac:dyDescent="0.2">
      <c r="A1533" s="687">
        <v>9</v>
      </c>
      <c r="B1533" s="696"/>
      <c r="C1533" s="687" t="s">
        <v>2012</v>
      </c>
      <c r="D1533" s="695" t="s">
        <v>492</v>
      </c>
      <c r="E1533" s="699">
        <v>23</v>
      </c>
      <c r="F1533" s="693" t="s">
        <v>493</v>
      </c>
      <c r="G1533" s="687" t="s">
        <v>9</v>
      </c>
      <c r="H1533" s="705">
        <v>114.9</v>
      </c>
      <c r="I1533" s="37">
        <v>118.5</v>
      </c>
      <c r="J1533" s="116">
        <v>122</v>
      </c>
      <c r="K1533" s="701">
        <v>124.1</v>
      </c>
      <c r="L1533" s="701">
        <v>126.3</v>
      </c>
      <c r="N1533" s="695" t="s">
        <v>2013</v>
      </c>
      <c r="O1533" s="695" t="s">
        <v>2008</v>
      </c>
      <c r="P1533" s="687">
        <v>1</v>
      </c>
      <c r="Q1533" s="1338" t="s">
        <v>799</v>
      </c>
    </row>
    <row r="1534" spans="1:17" x14ac:dyDescent="0.2">
      <c r="A1534" s="687">
        <v>9</v>
      </c>
      <c r="B1534" s="696"/>
      <c r="C1534" s="687" t="s">
        <v>2014</v>
      </c>
      <c r="D1534" s="695" t="s">
        <v>494</v>
      </c>
      <c r="E1534" s="699">
        <v>24</v>
      </c>
      <c r="F1534" s="693" t="s">
        <v>495</v>
      </c>
      <c r="G1534" s="687" t="s">
        <v>9</v>
      </c>
      <c r="H1534" s="705">
        <v>97.3</v>
      </c>
      <c r="I1534" s="37">
        <v>98.4</v>
      </c>
      <c r="J1534" s="116">
        <v>123.6</v>
      </c>
      <c r="K1534" s="701">
        <v>122.3</v>
      </c>
      <c r="L1534" s="701">
        <v>124</v>
      </c>
      <c r="N1534" s="695" t="s">
        <v>1512</v>
      </c>
      <c r="O1534" s="695" t="s">
        <v>2008</v>
      </c>
      <c r="P1534" s="687">
        <v>1</v>
      </c>
      <c r="Q1534" s="1338" t="s">
        <v>913</v>
      </c>
    </row>
    <row r="1535" spans="1:17" x14ac:dyDescent="0.2">
      <c r="A1535" s="687">
        <v>9</v>
      </c>
      <c r="B1535" s="696"/>
      <c r="C1535" s="687"/>
      <c r="D1535" s="695"/>
      <c r="E1535" s="699">
        <v>24</v>
      </c>
      <c r="F1535" s="693" t="s">
        <v>495</v>
      </c>
      <c r="G1535" s="687" t="s">
        <v>12</v>
      </c>
      <c r="H1535" s="705">
        <v>0.3</v>
      </c>
      <c r="I1535" s="37">
        <v>0.3</v>
      </c>
      <c r="J1535" s="116">
        <v>0.3</v>
      </c>
      <c r="K1535" s="701">
        <v>0.3</v>
      </c>
      <c r="L1535" s="701">
        <v>0.3</v>
      </c>
      <c r="N1535" s="695" t="s">
        <v>1512</v>
      </c>
      <c r="O1535" s="695" t="s">
        <v>2008</v>
      </c>
      <c r="P1535" s="687">
        <v>1</v>
      </c>
      <c r="Q1535" s="1338" t="s">
        <v>913</v>
      </c>
    </row>
    <row r="1536" spans="1:17" x14ac:dyDescent="0.2">
      <c r="A1536" s="687">
        <v>9</v>
      </c>
      <c r="B1536" s="696"/>
      <c r="C1536" s="687" t="s">
        <v>2015</v>
      </c>
      <c r="D1536" s="695" t="s">
        <v>496</v>
      </c>
      <c r="E1536" s="699">
        <v>25</v>
      </c>
      <c r="F1536" s="693" t="s">
        <v>497</v>
      </c>
      <c r="G1536" s="687" t="s">
        <v>9</v>
      </c>
      <c r="H1536" s="705">
        <v>118.7</v>
      </c>
      <c r="I1536" s="37">
        <v>104.6</v>
      </c>
      <c r="J1536" s="116">
        <v>137.30000000000001</v>
      </c>
      <c r="K1536" s="701">
        <v>135.6</v>
      </c>
      <c r="L1536" s="701">
        <v>136.80000000000001</v>
      </c>
      <c r="N1536" s="695" t="s">
        <v>2016</v>
      </c>
      <c r="O1536" s="695" t="s">
        <v>2008</v>
      </c>
      <c r="P1536" s="687">
        <v>1</v>
      </c>
      <c r="Q1536" s="1338" t="s">
        <v>889</v>
      </c>
    </row>
    <row r="1537" spans="1:17" x14ac:dyDescent="0.2">
      <c r="A1537" s="687">
        <v>9</v>
      </c>
      <c r="B1537" s="696"/>
      <c r="C1537" s="687"/>
      <c r="D1537" s="695"/>
      <c r="E1537" s="699">
        <v>25</v>
      </c>
      <c r="F1537" s="693" t="s">
        <v>497</v>
      </c>
      <c r="G1537" s="687" t="s">
        <v>12</v>
      </c>
      <c r="H1537" s="705">
        <v>1.3</v>
      </c>
      <c r="I1537" s="37">
        <v>1.3</v>
      </c>
      <c r="J1537" s="116"/>
      <c r="K1537" s="701"/>
      <c r="L1537" s="701"/>
      <c r="N1537" s="695" t="s">
        <v>2016</v>
      </c>
      <c r="O1537" s="695" t="s">
        <v>2008</v>
      </c>
      <c r="P1537" s="687">
        <v>1</v>
      </c>
      <c r="Q1537" s="1338" t="s">
        <v>889</v>
      </c>
    </row>
    <row r="1538" spans="1:17" x14ac:dyDescent="0.2">
      <c r="A1538" s="687">
        <v>9</v>
      </c>
      <c r="B1538" s="696"/>
      <c r="C1538" s="687" t="s">
        <v>2017</v>
      </c>
      <c r="D1538" s="695" t="s">
        <v>498</v>
      </c>
      <c r="E1538" s="699">
        <v>26</v>
      </c>
      <c r="F1538" s="693" t="s">
        <v>499</v>
      </c>
      <c r="G1538" s="687" t="s">
        <v>9</v>
      </c>
      <c r="H1538" s="705">
        <v>135.80000000000001</v>
      </c>
      <c r="I1538" s="37">
        <v>156.69999999999999</v>
      </c>
      <c r="J1538" s="116">
        <v>179.3</v>
      </c>
      <c r="K1538" s="701">
        <v>168.7</v>
      </c>
      <c r="L1538" s="701">
        <v>170.6</v>
      </c>
      <c r="N1538" s="695" t="s">
        <v>1586</v>
      </c>
      <c r="O1538" s="695" t="s">
        <v>2008</v>
      </c>
      <c r="P1538" s="687">
        <v>1</v>
      </c>
      <c r="Q1538" s="1338" t="s">
        <v>878</v>
      </c>
    </row>
    <row r="1539" spans="1:17" x14ac:dyDescent="0.2">
      <c r="A1539" s="687">
        <v>9</v>
      </c>
      <c r="B1539" s="696"/>
      <c r="C1539" s="687" t="s">
        <v>2018</v>
      </c>
      <c r="D1539" s="695" t="s">
        <v>500</v>
      </c>
      <c r="E1539" s="699">
        <v>27</v>
      </c>
      <c r="F1539" s="693" t="s">
        <v>501</v>
      </c>
      <c r="G1539" s="687" t="s">
        <v>9</v>
      </c>
      <c r="H1539" s="705">
        <v>172.7</v>
      </c>
      <c r="I1539" s="37">
        <v>170.6</v>
      </c>
      <c r="J1539" s="116">
        <v>192.1</v>
      </c>
      <c r="K1539" s="701">
        <v>193</v>
      </c>
      <c r="L1539" s="701">
        <v>195.8</v>
      </c>
      <c r="N1539" s="695" t="s">
        <v>2019</v>
      </c>
      <c r="O1539" s="695" t="s">
        <v>2008</v>
      </c>
      <c r="P1539" s="687">
        <v>1</v>
      </c>
      <c r="Q1539" s="1338" t="s">
        <v>861</v>
      </c>
    </row>
    <row r="1540" spans="1:17" x14ac:dyDescent="0.2">
      <c r="A1540" s="687">
        <v>9</v>
      </c>
      <c r="B1540" s="696"/>
      <c r="C1540" s="687"/>
      <c r="D1540" s="695"/>
      <c r="E1540" s="699">
        <v>27</v>
      </c>
      <c r="F1540" s="693" t="s">
        <v>501</v>
      </c>
      <c r="G1540" s="687" t="s">
        <v>12</v>
      </c>
      <c r="H1540" s="705">
        <v>0.7</v>
      </c>
      <c r="I1540" s="37">
        <v>1.3</v>
      </c>
      <c r="J1540" s="116">
        <v>1.3</v>
      </c>
      <c r="K1540" s="701">
        <v>1.3</v>
      </c>
      <c r="L1540" s="701">
        <v>1.3</v>
      </c>
      <c r="N1540" s="695" t="s">
        <v>2019</v>
      </c>
      <c r="O1540" s="695" t="s">
        <v>2008</v>
      </c>
      <c r="P1540" s="687">
        <v>1</v>
      </c>
      <c r="Q1540" s="1338" t="s">
        <v>861</v>
      </c>
    </row>
    <row r="1541" spans="1:17" x14ac:dyDescent="0.2">
      <c r="A1541" s="687">
        <v>9</v>
      </c>
      <c r="B1541" s="696"/>
      <c r="C1541" s="687" t="s">
        <v>2020</v>
      </c>
      <c r="D1541" s="695" t="s">
        <v>502</v>
      </c>
      <c r="E1541" s="699">
        <v>28</v>
      </c>
      <c r="F1541" s="693" t="s">
        <v>503</v>
      </c>
      <c r="G1541" s="687" t="s">
        <v>9</v>
      </c>
      <c r="H1541" s="705">
        <v>132.19999999999999</v>
      </c>
      <c r="I1541" s="37">
        <v>132.1</v>
      </c>
      <c r="J1541" s="116">
        <v>160.80000000000001</v>
      </c>
      <c r="K1541" s="701">
        <v>160.4</v>
      </c>
      <c r="L1541" s="701">
        <v>162.4</v>
      </c>
      <c r="N1541" s="695" t="s">
        <v>2021</v>
      </c>
      <c r="O1541" s="695" t="s">
        <v>2008</v>
      </c>
      <c r="P1541" s="687">
        <v>1</v>
      </c>
      <c r="Q1541" s="1338" t="s">
        <v>871</v>
      </c>
    </row>
    <row r="1542" spans="1:17" x14ac:dyDescent="0.2">
      <c r="A1542" s="687">
        <v>9</v>
      </c>
      <c r="B1542" s="696"/>
      <c r="C1542" s="687"/>
      <c r="D1542" s="695"/>
      <c r="E1542" s="699">
        <v>28</v>
      </c>
      <c r="F1542" s="693" t="s">
        <v>503</v>
      </c>
      <c r="G1542" s="687" t="s">
        <v>12</v>
      </c>
      <c r="H1542" s="705">
        <v>1.7</v>
      </c>
      <c r="I1542" s="37">
        <v>1.2</v>
      </c>
      <c r="J1542" s="116">
        <v>0.7</v>
      </c>
      <c r="K1542" s="701">
        <v>0.7</v>
      </c>
      <c r="L1542" s="701">
        <v>0.7</v>
      </c>
      <c r="N1542" s="695" t="s">
        <v>2021</v>
      </c>
      <c r="O1542" s="695" t="s">
        <v>2008</v>
      </c>
      <c r="P1542" s="687">
        <v>1</v>
      </c>
      <c r="Q1542" s="1338" t="s">
        <v>871</v>
      </c>
    </row>
    <row r="1543" spans="1:17" x14ac:dyDescent="0.2">
      <c r="A1543" s="687">
        <v>9</v>
      </c>
      <c r="B1543" s="696"/>
      <c r="C1543" s="687" t="s">
        <v>2022</v>
      </c>
      <c r="D1543" s="695" t="s">
        <v>504</v>
      </c>
      <c r="E1543" s="699">
        <v>29</v>
      </c>
      <c r="F1543" s="693" t="s">
        <v>505</v>
      </c>
      <c r="G1543" s="687" t="s">
        <v>9</v>
      </c>
      <c r="H1543" s="705">
        <v>145.9</v>
      </c>
      <c r="I1543" s="37">
        <v>156.4</v>
      </c>
      <c r="J1543" s="116">
        <v>183.1</v>
      </c>
      <c r="K1543" s="701">
        <v>183.5</v>
      </c>
      <c r="L1543" s="701">
        <v>186.5</v>
      </c>
      <c r="N1543" s="1126" t="s">
        <v>2276</v>
      </c>
      <c r="O1543" s="695" t="s">
        <v>2008</v>
      </c>
      <c r="P1543" s="687">
        <v>1</v>
      </c>
      <c r="Q1543" s="1338" t="s">
        <v>886</v>
      </c>
    </row>
    <row r="1544" spans="1:17" x14ac:dyDescent="0.2">
      <c r="A1544" s="687">
        <v>9</v>
      </c>
      <c r="B1544" s="696"/>
      <c r="C1544" s="687" t="s">
        <v>2023</v>
      </c>
      <c r="D1544" s="695" t="s">
        <v>2024</v>
      </c>
      <c r="E1544" s="699">
        <v>15</v>
      </c>
      <c r="F1544" s="693" t="s">
        <v>507</v>
      </c>
      <c r="G1544" s="687" t="s">
        <v>9</v>
      </c>
      <c r="H1544" s="705">
        <v>121.4</v>
      </c>
      <c r="I1544" s="37">
        <v>115.6</v>
      </c>
      <c r="J1544" s="116">
        <v>200</v>
      </c>
      <c r="K1544" s="701">
        <v>200</v>
      </c>
      <c r="L1544" s="701">
        <v>200</v>
      </c>
      <c r="N1544" s="695" t="s">
        <v>2025</v>
      </c>
      <c r="O1544" s="695" t="s">
        <v>2026</v>
      </c>
      <c r="P1544" s="687">
        <v>1</v>
      </c>
      <c r="Q1544" s="736"/>
    </row>
    <row r="1545" spans="1:17" ht="22.5" x14ac:dyDescent="0.2">
      <c r="A1545" s="687">
        <v>9</v>
      </c>
      <c r="B1545" s="696"/>
      <c r="C1545" s="687" t="s">
        <v>2023</v>
      </c>
      <c r="D1545" s="695" t="s">
        <v>2027</v>
      </c>
      <c r="E1545" s="699">
        <v>3</v>
      </c>
      <c r="F1545" s="693" t="s">
        <v>507</v>
      </c>
      <c r="G1545" s="687" t="s">
        <v>9</v>
      </c>
      <c r="H1545" s="705"/>
      <c r="I1545" s="37">
        <v>52</v>
      </c>
      <c r="J1545" s="116">
        <v>50</v>
      </c>
      <c r="K1545" s="701">
        <v>50</v>
      </c>
      <c r="L1545" s="701">
        <v>50</v>
      </c>
      <c r="N1545" s="695" t="s">
        <v>2028</v>
      </c>
      <c r="O1545" s="695" t="s">
        <v>2026</v>
      </c>
      <c r="P1545" s="687">
        <v>1</v>
      </c>
      <c r="Q1545" s="736"/>
    </row>
    <row r="1546" spans="1:17" ht="22.5" x14ac:dyDescent="0.2">
      <c r="A1546" s="687">
        <v>9</v>
      </c>
      <c r="B1546" s="696"/>
      <c r="C1546" s="687" t="s">
        <v>2029</v>
      </c>
      <c r="D1546" s="695" t="s">
        <v>2030</v>
      </c>
      <c r="E1546" s="699" t="s">
        <v>42</v>
      </c>
      <c r="F1546" s="693" t="s">
        <v>2031</v>
      </c>
      <c r="G1546" s="687" t="s">
        <v>9</v>
      </c>
      <c r="H1546" s="708">
        <v>918.9</v>
      </c>
      <c r="I1546" s="37">
        <v>1002.7</v>
      </c>
      <c r="J1546" s="791">
        <v>1153.7</v>
      </c>
      <c r="K1546" s="704">
        <v>1203.5</v>
      </c>
      <c r="L1546" s="704">
        <v>1223.4000000000001</v>
      </c>
      <c r="N1546" s="695" t="s">
        <v>2032</v>
      </c>
      <c r="O1546" s="695" t="s">
        <v>2026</v>
      </c>
      <c r="P1546" s="687">
        <v>1</v>
      </c>
      <c r="Q1546" s="736"/>
    </row>
    <row r="1547" spans="1:17" x14ac:dyDescent="0.2">
      <c r="A1547" s="687">
        <v>9</v>
      </c>
      <c r="B1547" s="696"/>
      <c r="C1547" s="687"/>
      <c r="D1547" s="695"/>
      <c r="E1547" s="699"/>
      <c r="F1547" s="693"/>
      <c r="G1547" s="707" t="s">
        <v>608</v>
      </c>
      <c r="H1547" s="144">
        <f>SUM(H1528:H1546)</f>
        <v>2562.6000000000004</v>
      </c>
      <c r="I1547" s="144">
        <f>SUM(I1528:I1546)</f>
        <v>2789.5999999999995</v>
      </c>
      <c r="J1547" s="144">
        <f>SUM(J1528:J1546)</f>
        <v>3369.5999999999995</v>
      </c>
      <c r="K1547" s="144">
        <f>SUM(K1528:K1546)</f>
        <v>3464.5</v>
      </c>
      <c r="L1547" s="144">
        <f>SUM(L1528:L1546)</f>
        <v>3509.9</v>
      </c>
      <c r="N1547" s="695"/>
      <c r="O1547" s="695"/>
      <c r="P1547" s="687"/>
      <c r="Q1547" s="736"/>
    </row>
    <row r="1548" spans="1:17" ht="22.5" x14ac:dyDescent="0.2">
      <c r="A1548" s="687">
        <v>9</v>
      </c>
      <c r="B1548" s="690" t="s">
        <v>2033</v>
      </c>
      <c r="C1548" s="690" t="s">
        <v>2033</v>
      </c>
      <c r="D1548" s="691" t="s">
        <v>1970</v>
      </c>
      <c r="E1548" s="699"/>
      <c r="F1548" s="693"/>
      <c r="G1548" s="144" t="s">
        <v>1976</v>
      </c>
      <c r="H1548" s="709" t="e">
        <f>SUM(H1564+H1567+H1570+H1574+H1582+H1585+H1591+H1600+H1604+#REF!+H1626)</f>
        <v>#REF!</v>
      </c>
      <c r="I1548" s="144">
        <f>SUM(I1564,I1567,I1570,I1574,I1582,I1585,I1591,I1600,I1604,I1626,I1577,I1630,I1646)</f>
        <v>1175.5</v>
      </c>
      <c r="J1548" s="144">
        <f t="shared" ref="J1548:L1548" si="299">SUM(J1564,J1567,J1570,J1574,J1582,J1585,J1591,J1600,J1604,J1626,J1577,J1630,J1646)</f>
        <v>1479.1999999999998</v>
      </c>
      <c r="K1548" s="144">
        <f t="shared" si="299"/>
        <v>1436.7</v>
      </c>
      <c r="L1548" s="144">
        <f t="shared" si="299"/>
        <v>1440.3</v>
      </c>
      <c r="M1548" s="38" t="s">
        <v>739</v>
      </c>
      <c r="N1548" s="695"/>
      <c r="O1548" s="710"/>
      <c r="P1548" s="687"/>
      <c r="Q1548" s="736"/>
    </row>
    <row r="1549" spans="1:17" ht="22.5" x14ac:dyDescent="0.2">
      <c r="A1549" s="687">
        <v>9</v>
      </c>
      <c r="B1549" s="160"/>
      <c r="C1549" s="160"/>
      <c r="D1549" s="89"/>
      <c r="E1549" s="699"/>
      <c r="F1549" s="693"/>
      <c r="G1549" s="144" t="s">
        <v>1985</v>
      </c>
      <c r="H1549" s="709"/>
      <c r="I1549" s="144">
        <f>I1602</f>
        <v>0.7</v>
      </c>
      <c r="J1549" s="144">
        <f t="shared" ref="J1549:L1549" si="300">J1602</f>
        <v>1</v>
      </c>
      <c r="K1549" s="144">
        <f t="shared" si="300"/>
        <v>1</v>
      </c>
      <c r="L1549" s="144">
        <f t="shared" si="300"/>
        <v>1</v>
      </c>
      <c r="N1549" s="695"/>
      <c r="O1549" s="695"/>
      <c r="P1549" s="687"/>
      <c r="Q1549" s="736"/>
    </row>
    <row r="1550" spans="1:17" ht="22.5" x14ac:dyDescent="0.2">
      <c r="A1550" s="687">
        <v>9</v>
      </c>
      <c r="B1550" s="696"/>
      <c r="C1550" s="687"/>
      <c r="D1550" s="695"/>
      <c r="E1550" s="699"/>
      <c r="F1550" s="693"/>
      <c r="G1550" s="144" t="s">
        <v>1977</v>
      </c>
      <c r="H1550" s="709">
        <f>SUM(H1561,H1563,H1566,H1569,H1573,H1576,H1579,H1581,H1584,H1590,H1592:H1598,H1601,H1608:H1610,H1614,H1616:H1618,H1620:H1621,H1623:H1625,H1629,H1632,H1634,H1636,H1639,H1641)</f>
        <v>1545.8000000000002</v>
      </c>
      <c r="I1550" s="144">
        <f>SUM(I1561+I1563+I1566+I1569+I1573+I1576+I1579+I1581+I1584+I1590+I1592+I1593+I1594+I1595+I1596+I1597+I1598+I1601+I1607+I1608+I1609+I1610+I1614+I1627+I1629+I1632+I1634+I1636+I1639+I1641+I1645+I1656)</f>
        <v>1790.4000000000005</v>
      </c>
      <c r="J1550" s="144">
        <f t="shared" ref="J1550:L1550" si="301">SUM(J1561+J1563+J1566+J1569+J1573+J1576+J1579+J1581+J1584+J1590+J1592+J1593+J1594+J1595+J1596+J1597+J1598+J1601+J1607+J1608+J1609+J1610+J1614+J1627+J1629+J1632+J1634+J1636+J1639+J1641+J1645+J1656)</f>
        <v>1871.1000000000001</v>
      </c>
      <c r="K1550" s="144">
        <f t="shared" si="301"/>
        <v>1898.6000000000001</v>
      </c>
      <c r="L1550" s="144">
        <f t="shared" si="301"/>
        <v>1905.0000000000002</v>
      </c>
      <c r="N1550" s="695"/>
      <c r="O1550" s="695"/>
      <c r="P1550" s="687"/>
      <c r="Q1550" s="736"/>
    </row>
    <row r="1551" spans="1:17" ht="22.5" x14ac:dyDescent="0.2">
      <c r="A1551" s="687">
        <v>9</v>
      </c>
      <c r="B1551" s="696"/>
      <c r="C1551" s="687"/>
      <c r="D1551" s="695"/>
      <c r="E1551" s="699"/>
      <c r="F1551" s="693"/>
      <c r="G1551" s="144" t="s">
        <v>2034</v>
      </c>
      <c r="H1551" s="709">
        <f t="shared" ref="H1551:L1552" si="302">SUM(H1588)</f>
        <v>6.7</v>
      </c>
      <c r="I1551" s="144">
        <f t="shared" si="302"/>
        <v>6.9</v>
      </c>
      <c r="J1551" s="144">
        <f t="shared" si="302"/>
        <v>7</v>
      </c>
      <c r="K1551" s="144">
        <f t="shared" si="302"/>
        <v>7</v>
      </c>
      <c r="L1551" s="144">
        <f t="shared" si="302"/>
        <v>7</v>
      </c>
      <c r="N1551" s="695"/>
      <c r="O1551" s="695"/>
      <c r="P1551" s="687"/>
      <c r="Q1551" s="736"/>
    </row>
    <row r="1552" spans="1:17" ht="22.5" x14ac:dyDescent="0.2">
      <c r="A1552" s="687">
        <v>9</v>
      </c>
      <c r="B1552" s="696"/>
      <c r="C1552" s="687"/>
      <c r="D1552" s="695"/>
      <c r="E1552" s="699"/>
      <c r="F1552" s="693"/>
      <c r="G1552" s="144" t="s">
        <v>2035</v>
      </c>
      <c r="H1552" s="709">
        <f t="shared" si="302"/>
        <v>6.7</v>
      </c>
      <c r="I1552" s="144">
        <f t="shared" si="302"/>
        <v>6.9</v>
      </c>
      <c r="J1552" s="144">
        <f t="shared" si="302"/>
        <v>7</v>
      </c>
      <c r="K1552" s="144">
        <f t="shared" si="302"/>
        <v>7</v>
      </c>
      <c r="L1552" s="144">
        <f t="shared" si="302"/>
        <v>7</v>
      </c>
      <c r="N1552" s="695"/>
      <c r="O1552" s="695"/>
      <c r="P1552" s="687"/>
      <c r="Q1552" s="736"/>
    </row>
    <row r="1553" spans="1:17" ht="22.5" x14ac:dyDescent="0.2">
      <c r="A1553" s="687">
        <v>9</v>
      </c>
      <c r="B1553" s="696"/>
      <c r="C1553" s="687"/>
      <c r="D1553" s="695"/>
      <c r="E1553" s="699"/>
      <c r="F1553" s="693"/>
      <c r="G1553" s="144" t="s">
        <v>2036</v>
      </c>
      <c r="H1553" s="709">
        <f>H1643</f>
        <v>4.4000000000000004</v>
      </c>
      <c r="I1553" s="144">
        <f>I1643+I1648+I1637+I1612</f>
        <v>1.2000000000000002</v>
      </c>
      <c r="J1553" s="144">
        <f t="shared" ref="J1553:L1553" si="303">J1643+J1648+J1637+J1612</f>
        <v>0.2</v>
      </c>
      <c r="K1553" s="144">
        <f t="shared" si="303"/>
        <v>0</v>
      </c>
      <c r="L1553" s="144">
        <f t="shared" si="303"/>
        <v>0</v>
      </c>
      <c r="N1553" s="695"/>
      <c r="O1553" s="695"/>
      <c r="P1553" s="687"/>
      <c r="Q1553" s="736"/>
    </row>
    <row r="1554" spans="1:17" ht="33.75" x14ac:dyDescent="0.2">
      <c r="A1554" s="687">
        <v>9</v>
      </c>
      <c r="B1554" s="696"/>
      <c r="C1554" s="687"/>
      <c r="D1554" s="695"/>
      <c r="E1554" s="699"/>
      <c r="F1554" s="693"/>
      <c r="G1554" s="144" t="s">
        <v>2037</v>
      </c>
      <c r="H1554" s="709">
        <f>SUM(H1611)</f>
        <v>1.2</v>
      </c>
      <c r="I1554" s="144">
        <f>SUM(I1611)</f>
        <v>0</v>
      </c>
      <c r="J1554" s="144">
        <f t="shared" ref="J1554:L1554" si="304">SUM(J1611)</f>
        <v>0.4</v>
      </c>
      <c r="K1554" s="144">
        <f t="shared" si="304"/>
        <v>0</v>
      </c>
      <c r="L1554" s="144">
        <f t="shared" si="304"/>
        <v>0</v>
      </c>
      <c r="N1554" s="695"/>
      <c r="O1554" s="695"/>
      <c r="P1554" s="687"/>
      <c r="Q1554" s="736"/>
    </row>
    <row r="1555" spans="1:17" ht="22.5" x14ac:dyDescent="0.2">
      <c r="A1555" s="687">
        <v>9</v>
      </c>
      <c r="B1555" s="696"/>
      <c r="C1555" s="687"/>
      <c r="D1555" s="695"/>
      <c r="E1555" s="699"/>
      <c r="F1555" s="693"/>
      <c r="G1555" s="144" t="s">
        <v>2038</v>
      </c>
      <c r="H1555" s="709" t="e">
        <f>SUM(H1605:H1606,#REF!)</f>
        <v>#REF!</v>
      </c>
      <c r="I1555" s="144">
        <f>SUM(I1605:I1606)</f>
        <v>158.19999999999999</v>
      </c>
      <c r="J1555" s="144">
        <f t="shared" ref="J1555:L1555" si="305">SUM(J1605:J1606)</f>
        <v>0</v>
      </c>
      <c r="K1555" s="144">
        <f t="shared" si="305"/>
        <v>0</v>
      </c>
      <c r="L1555" s="144">
        <f t="shared" si="305"/>
        <v>0</v>
      </c>
      <c r="N1555" s="695"/>
      <c r="O1555" s="695"/>
      <c r="P1555" s="687"/>
      <c r="Q1555" s="736"/>
    </row>
    <row r="1556" spans="1:17" ht="22.5" x14ac:dyDescent="0.2">
      <c r="A1556" s="687">
        <v>9</v>
      </c>
      <c r="B1556" s="696"/>
      <c r="C1556" s="687"/>
      <c r="D1556" s="695"/>
      <c r="E1556" s="699"/>
      <c r="F1556" s="693"/>
      <c r="G1556" s="144" t="s">
        <v>2039</v>
      </c>
      <c r="H1556" s="709"/>
      <c r="I1556" s="144">
        <f>SUM(I1650+I1653+I1658)</f>
        <v>12</v>
      </c>
      <c r="J1556" s="144">
        <f t="shared" ref="J1556:L1557" si="306">SUM(J1650+J1653+J1658)</f>
        <v>67.599999999999994</v>
      </c>
      <c r="K1556" s="144">
        <f t="shared" si="306"/>
        <v>46.5</v>
      </c>
      <c r="L1556" s="144">
        <f t="shared" si="306"/>
        <v>42.3</v>
      </c>
      <c r="N1556" s="695"/>
      <c r="O1556" s="695"/>
      <c r="P1556" s="687"/>
      <c r="Q1556" s="736"/>
    </row>
    <row r="1557" spans="1:17" ht="22.5" x14ac:dyDescent="0.2">
      <c r="A1557" s="687">
        <v>9</v>
      </c>
      <c r="B1557" s="696"/>
      <c r="C1557" s="687"/>
      <c r="D1557" s="695"/>
      <c r="E1557" s="699"/>
      <c r="F1557" s="693"/>
      <c r="G1557" s="144" t="s">
        <v>2040</v>
      </c>
      <c r="H1557" s="709"/>
      <c r="I1557" s="144">
        <f>SUM(I1651+I1654+I1659)</f>
        <v>3</v>
      </c>
      <c r="J1557" s="144">
        <f t="shared" si="306"/>
        <v>14.4</v>
      </c>
      <c r="K1557" s="144">
        <f t="shared" si="306"/>
        <v>11</v>
      </c>
      <c r="L1557" s="144">
        <f t="shared" si="306"/>
        <v>9.6000000000000014</v>
      </c>
      <c r="N1557" s="695"/>
      <c r="O1557" s="695"/>
      <c r="P1557" s="687"/>
      <c r="Q1557" s="736"/>
    </row>
    <row r="1558" spans="1:17" ht="22.5" x14ac:dyDescent="0.2">
      <c r="A1558" s="687">
        <v>9</v>
      </c>
      <c r="B1558" s="696"/>
      <c r="C1558" s="687"/>
      <c r="D1558" s="695"/>
      <c r="E1558" s="699"/>
      <c r="F1558" s="693"/>
      <c r="G1558" s="144" t="s">
        <v>2041</v>
      </c>
      <c r="H1558" s="709"/>
      <c r="I1558" s="144">
        <f>SUM(I1571)</f>
        <v>0.3</v>
      </c>
      <c r="J1558" s="144">
        <f t="shared" ref="J1558:L1558" si="307">SUM(J1571)</f>
        <v>0.7</v>
      </c>
      <c r="K1558" s="144">
        <f t="shared" si="307"/>
        <v>0</v>
      </c>
      <c r="L1558" s="144">
        <f t="shared" si="307"/>
        <v>0</v>
      </c>
      <c r="N1558" s="695"/>
      <c r="O1558" s="695"/>
      <c r="P1558" s="687"/>
      <c r="Q1558" s="736"/>
    </row>
    <row r="1559" spans="1:17" ht="22.5" x14ac:dyDescent="0.2">
      <c r="A1559" s="687">
        <v>9</v>
      </c>
      <c r="B1559" s="696"/>
      <c r="C1559" s="687"/>
      <c r="D1559" s="695"/>
      <c r="E1559" s="699"/>
      <c r="F1559" s="699"/>
      <c r="G1559" s="144" t="s">
        <v>2437</v>
      </c>
      <c r="H1559" s="709"/>
      <c r="I1559" s="144">
        <f>I1586</f>
        <v>0</v>
      </c>
      <c r="J1559" s="144">
        <f t="shared" ref="J1559:L1559" si="308">J1586</f>
        <v>100.6</v>
      </c>
      <c r="K1559" s="144">
        <f t="shared" si="308"/>
        <v>0</v>
      </c>
      <c r="L1559" s="144">
        <f t="shared" si="308"/>
        <v>0</v>
      </c>
      <c r="N1559" s="695"/>
      <c r="O1559" s="695"/>
      <c r="P1559" s="687"/>
      <c r="Q1559" s="736"/>
    </row>
    <row r="1560" spans="1:17" x14ac:dyDescent="0.2">
      <c r="A1560" s="687">
        <v>9</v>
      </c>
      <c r="B1560" s="696"/>
      <c r="C1560" s="687"/>
      <c r="D1560" s="695"/>
      <c r="E1560" s="699"/>
      <c r="F1560" s="693"/>
      <c r="G1560" s="697" t="s">
        <v>608</v>
      </c>
      <c r="H1560" s="698" t="e">
        <f>SUM(H1548:H1555)</f>
        <v>#REF!</v>
      </c>
      <c r="I1560" s="698">
        <f>SUM(I1548:I1559)</f>
        <v>3155.1000000000004</v>
      </c>
      <c r="J1560" s="698">
        <f t="shared" ref="J1560:L1560" si="309">SUM(J1548:J1559)</f>
        <v>3549.2</v>
      </c>
      <c r="K1560" s="698">
        <f t="shared" si="309"/>
        <v>3407.8</v>
      </c>
      <c r="L1560" s="698">
        <f t="shared" si="309"/>
        <v>3412.2000000000003</v>
      </c>
      <c r="N1560" s="695"/>
      <c r="O1560" s="695"/>
      <c r="P1560" s="687"/>
      <c r="Q1560" s="736"/>
    </row>
    <row r="1561" spans="1:17" ht="22.5" x14ac:dyDescent="0.2">
      <c r="A1561" s="687">
        <v>9</v>
      </c>
      <c r="B1561" s="696"/>
      <c r="C1561" s="687" t="s">
        <v>2042</v>
      </c>
      <c r="D1561" s="33" t="s">
        <v>513</v>
      </c>
      <c r="E1561" s="711">
        <v>33</v>
      </c>
      <c r="F1561" s="693" t="s">
        <v>514</v>
      </c>
      <c r="G1561" s="86" t="s">
        <v>11</v>
      </c>
      <c r="H1561" s="36">
        <v>1.1000000000000001</v>
      </c>
      <c r="I1561" s="37">
        <v>1.2</v>
      </c>
      <c r="J1561" s="116">
        <v>1.2</v>
      </c>
      <c r="K1561" s="24">
        <v>1.2</v>
      </c>
      <c r="L1561" s="24">
        <v>1.2</v>
      </c>
      <c r="N1561" s="695" t="s">
        <v>2043</v>
      </c>
      <c r="O1561" s="695" t="s">
        <v>2044</v>
      </c>
      <c r="P1561" s="687">
        <v>1</v>
      </c>
      <c r="Q1561" s="736"/>
    </row>
    <row r="1562" spans="1:17" x14ac:dyDescent="0.2">
      <c r="A1562" s="687">
        <v>9</v>
      </c>
      <c r="B1562" s="696"/>
      <c r="C1562" s="687"/>
      <c r="D1562" s="33"/>
      <c r="E1562" s="711">
        <v>33</v>
      </c>
      <c r="F1562" s="693" t="s">
        <v>514</v>
      </c>
      <c r="G1562" s="712" t="s">
        <v>608</v>
      </c>
      <c r="H1562" s="122">
        <f>SUM(H1561)</f>
        <v>1.1000000000000001</v>
      </c>
      <c r="I1562" s="122">
        <f>SUM(I1561)</f>
        <v>1.2</v>
      </c>
      <c r="J1562" s="122">
        <f>SUM(J1561)</f>
        <v>1.2</v>
      </c>
      <c r="K1562" s="122">
        <f>SUM(K1561)</f>
        <v>1.2</v>
      </c>
      <c r="L1562" s="122">
        <f>SUM(L1561)</f>
        <v>1.2</v>
      </c>
      <c r="N1562" s="695"/>
      <c r="O1562" s="695"/>
      <c r="P1562" s="687"/>
      <c r="Q1562" s="736"/>
    </row>
    <row r="1563" spans="1:17" ht="22.5" x14ac:dyDescent="0.2">
      <c r="A1563" s="687">
        <v>9</v>
      </c>
      <c r="B1563" s="696"/>
      <c r="C1563" s="687" t="s">
        <v>2045</v>
      </c>
      <c r="D1563" s="33" t="s">
        <v>515</v>
      </c>
      <c r="E1563" s="711">
        <v>3</v>
      </c>
      <c r="F1563" s="693" t="s">
        <v>516</v>
      </c>
      <c r="G1563" s="86" t="s">
        <v>11</v>
      </c>
      <c r="H1563" s="36">
        <v>17.8</v>
      </c>
      <c r="I1563" s="37">
        <v>17.8</v>
      </c>
      <c r="J1563" s="116">
        <v>17.8</v>
      </c>
      <c r="K1563" s="24">
        <v>18.100000000000001</v>
      </c>
      <c r="L1563" s="24">
        <v>18.2</v>
      </c>
      <c r="N1563" s="695" t="s">
        <v>2046</v>
      </c>
      <c r="O1563" s="695" t="s">
        <v>2044</v>
      </c>
      <c r="P1563" s="687">
        <v>1</v>
      </c>
      <c r="Q1563" s="736"/>
    </row>
    <row r="1564" spans="1:17" ht="22.5" x14ac:dyDescent="0.2">
      <c r="A1564" s="687">
        <v>9</v>
      </c>
      <c r="B1564" s="696"/>
      <c r="C1564" s="687"/>
      <c r="D1564" s="33"/>
      <c r="E1564" s="711">
        <v>3</v>
      </c>
      <c r="F1564" s="693" t="s">
        <v>516</v>
      </c>
      <c r="G1564" s="86" t="s">
        <v>9</v>
      </c>
      <c r="H1564" s="36">
        <v>30.8</v>
      </c>
      <c r="I1564" s="37">
        <v>34.200000000000003</v>
      </c>
      <c r="J1564" s="116">
        <v>43</v>
      </c>
      <c r="K1564" s="24">
        <v>44.4</v>
      </c>
      <c r="L1564" s="24">
        <v>45</v>
      </c>
      <c r="N1564" s="695" t="s">
        <v>2046</v>
      </c>
      <c r="O1564" s="695" t="s">
        <v>2044</v>
      </c>
      <c r="P1564" s="687">
        <v>1</v>
      </c>
      <c r="Q1564" s="736"/>
    </row>
    <row r="1565" spans="1:17" x14ac:dyDescent="0.2">
      <c r="A1565" s="687">
        <v>9</v>
      </c>
      <c r="B1565" s="696"/>
      <c r="C1565" s="687"/>
      <c r="D1565" s="33"/>
      <c r="E1565" s="711">
        <v>3</v>
      </c>
      <c r="F1565" s="693" t="s">
        <v>516</v>
      </c>
      <c r="G1565" s="712" t="s">
        <v>608</v>
      </c>
      <c r="H1565" s="122">
        <f>SUM(H1563+H1564)</f>
        <v>48.6</v>
      </c>
      <c r="I1565" s="122">
        <f>SUM(I1563+I1564)</f>
        <v>52</v>
      </c>
      <c r="J1565" s="122">
        <f>SUM(J1563+J1564)</f>
        <v>60.8</v>
      </c>
      <c r="K1565" s="122">
        <f>SUM(K1563+K1564)</f>
        <v>62.5</v>
      </c>
      <c r="L1565" s="122">
        <f>SUM(L1563+L1564)</f>
        <v>63.2</v>
      </c>
      <c r="N1565" s="695"/>
      <c r="O1565" s="695"/>
      <c r="P1565" s="687"/>
      <c r="Q1565" s="736"/>
    </row>
    <row r="1566" spans="1:17" x14ac:dyDescent="0.2">
      <c r="A1566" s="687">
        <v>9</v>
      </c>
      <c r="B1566" s="696"/>
      <c r="C1566" s="687" t="s">
        <v>2047</v>
      </c>
      <c r="D1566" s="33" t="s">
        <v>517</v>
      </c>
      <c r="E1566" s="711">
        <v>16</v>
      </c>
      <c r="F1566" s="693" t="s">
        <v>518</v>
      </c>
      <c r="G1566" s="86" t="s">
        <v>11</v>
      </c>
      <c r="H1566" s="36">
        <v>35.299999999999997</v>
      </c>
      <c r="I1566" s="37">
        <v>20.2</v>
      </c>
      <c r="J1566" s="116">
        <v>29.2</v>
      </c>
      <c r="K1566" s="24">
        <v>29.2</v>
      </c>
      <c r="L1566" s="24">
        <v>29.2</v>
      </c>
      <c r="N1566" s="695" t="s">
        <v>2048</v>
      </c>
      <c r="O1566" s="695" t="s">
        <v>2044</v>
      </c>
      <c r="P1566" s="687">
        <v>1</v>
      </c>
      <c r="Q1566" s="736"/>
    </row>
    <row r="1567" spans="1:17" x14ac:dyDescent="0.2">
      <c r="A1567" s="687">
        <v>9</v>
      </c>
      <c r="B1567" s="696"/>
      <c r="C1567" s="687"/>
      <c r="D1567" s="33"/>
      <c r="E1567" s="711">
        <v>16</v>
      </c>
      <c r="F1567" s="693" t="s">
        <v>518</v>
      </c>
      <c r="G1567" s="86" t="s">
        <v>9</v>
      </c>
      <c r="H1567" s="36">
        <v>6.6</v>
      </c>
      <c r="I1567" s="37">
        <v>0.8</v>
      </c>
      <c r="J1567" s="116">
        <v>6.9</v>
      </c>
      <c r="K1567" s="24">
        <v>8</v>
      </c>
      <c r="L1567" s="24">
        <v>8.5</v>
      </c>
      <c r="N1567" s="695" t="s">
        <v>2048</v>
      </c>
      <c r="O1567" s="695"/>
      <c r="P1567" s="687"/>
      <c r="Q1567" s="736"/>
    </row>
    <row r="1568" spans="1:17" x14ac:dyDescent="0.2">
      <c r="A1568" s="687">
        <v>9</v>
      </c>
      <c r="B1568" s="696"/>
      <c r="C1568" s="687"/>
      <c r="D1568" s="33"/>
      <c r="E1568" s="711">
        <v>16</v>
      </c>
      <c r="F1568" s="693" t="s">
        <v>518</v>
      </c>
      <c r="G1568" s="712" t="s">
        <v>608</v>
      </c>
      <c r="H1568" s="122">
        <f>SUM(H1566+H1567)</f>
        <v>41.9</v>
      </c>
      <c r="I1568" s="122">
        <f>SUM(I1566+I1567)</f>
        <v>21</v>
      </c>
      <c r="J1568" s="122">
        <f>SUM(J1566+J1567)</f>
        <v>36.1</v>
      </c>
      <c r="K1568" s="122">
        <f>SUM(K1566+K1567)</f>
        <v>37.200000000000003</v>
      </c>
      <c r="L1568" s="122">
        <f>SUM(L1566+L1567)</f>
        <v>37.700000000000003</v>
      </c>
      <c r="N1568" s="695"/>
      <c r="O1568" s="695"/>
      <c r="P1568" s="687"/>
      <c r="Q1568" s="736"/>
    </row>
    <row r="1569" spans="1:17" ht="22.5" x14ac:dyDescent="0.2">
      <c r="A1569" s="687">
        <v>9</v>
      </c>
      <c r="B1569" s="696"/>
      <c r="C1569" s="687" t="s">
        <v>2049</v>
      </c>
      <c r="D1569" s="33" t="s">
        <v>519</v>
      </c>
      <c r="E1569" s="711">
        <v>3</v>
      </c>
      <c r="F1569" s="693" t="s">
        <v>520</v>
      </c>
      <c r="G1569" s="86" t="s">
        <v>11</v>
      </c>
      <c r="H1569" s="36">
        <v>9</v>
      </c>
      <c r="I1569" s="37">
        <v>9</v>
      </c>
      <c r="J1569" s="116">
        <v>9</v>
      </c>
      <c r="K1569" s="24">
        <v>9.1999999999999993</v>
      </c>
      <c r="L1569" s="24">
        <v>9.3000000000000007</v>
      </c>
      <c r="N1569" s="695" t="s">
        <v>2050</v>
      </c>
      <c r="O1569" s="695" t="s">
        <v>2044</v>
      </c>
      <c r="P1569" s="687">
        <v>1</v>
      </c>
      <c r="Q1569" s="736"/>
    </row>
    <row r="1570" spans="1:17" x14ac:dyDescent="0.2">
      <c r="A1570" s="687">
        <v>9</v>
      </c>
      <c r="B1570" s="696"/>
      <c r="C1570" s="687"/>
      <c r="D1570" s="33"/>
      <c r="E1570" s="711">
        <v>3</v>
      </c>
      <c r="F1570" s="693" t="s">
        <v>520</v>
      </c>
      <c r="G1570" s="86" t="s">
        <v>9</v>
      </c>
      <c r="H1570" s="36">
        <v>21.7</v>
      </c>
      <c r="I1570" s="37">
        <v>29.4</v>
      </c>
      <c r="J1570" s="116">
        <v>34.799999999999997</v>
      </c>
      <c r="K1570" s="24">
        <v>36</v>
      </c>
      <c r="L1570" s="24">
        <v>36.5</v>
      </c>
      <c r="N1570" s="695" t="s">
        <v>2050</v>
      </c>
      <c r="O1570" s="695"/>
      <c r="P1570" s="687"/>
      <c r="Q1570" s="736"/>
    </row>
    <row r="1571" spans="1:17" x14ac:dyDescent="0.2">
      <c r="A1571" s="687">
        <v>9</v>
      </c>
      <c r="B1571" s="696"/>
      <c r="C1571" s="687"/>
      <c r="D1571" s="33"/>
      <c r="E1571" s="711">
        <v>3</v>
      </c>
      <c r="F1571" s="693" t="s">
        <v>520</v>
      </c>
      <c r="G1571" s="86" t="s">
        <v>99</v>
      </c>
      <c r="H1571" s="36"/>
      <c r="I1571" s="37">
        <v>0.3</v>
      </c>
      <c r="J1571" s="116">
        <f>0.7</f>
        <v>0.7</v>
      </c>
      <c r="K1571" s="24"/>
      <c r="L1571" s="24"/>
      <c r="N1571" s="695"/>
      <c r="O1571" s="695"/>
      <c r="P1571" s="687"/>
      <c r="Q1571" s="736"/>
    </row>
    <row r="1572" spans="1:17" x14ac:dyDescent="0.2">
      <c r="A1572" s="687">
        <v>9</v>
      </c>
      <c r="B1572" s="696"/>
      <c r="C1572" s="687"/>
      <c r="D1572" s="33"/>
      <c r="E1572" s="711">
        <v>3</v>
      </c>
      <c r="F1572" s="693" t="s">
        <v>520</v>
      </c>
      <c r="G1572" s="712" t="s">
        <v>608</v>
      </c>
      <c r="H1572" s="122">
        <f>SUM(H1569+H1570)</f>
        <v>30.7</v>
      </c>
      <c r="I1572" s="122">
        <f>SUM(I1569+I1570+I1571)</f>
        <v>38.699999999999996</v>
      </c>
      <c r="J1572" s="122">
        <f t="shared" ref="J1572:L1572" si="310">SUM(J1569+J1570+J1571)</f>
        <v>44.5</v>
      </c>
      <c r="K1572" s="122">
        <f t="shared" si="310"/>
        <v>45.2</v>
      </c>
      <c r="L1572" s="122">
        <f t="shared" si="310"/>
        <v>45.8</v>
      </c>
      <c r="N1572" s="695"/>
      <c r="O1572" s="695"/>
      <c r="P1572" s="687"/>
      <c r="Q1572" s="736"/>
    </row>
    <row r="1573" spans="1:17" ht="22.5" x14ac:dyDescent="0.2">
      <c r="A1573" s="687">
        <v>9</v>
      </c>
      <c r="B1573" s="696"/>
      <c r="C1573" s="687" t="s">
        <v>2051</v>
      </c>
      <c r="D1573" s="33" t="s">
        <v>521</v>
      </c>
      <c r="E1573" s="711">
        <v>33</v>
      </c>
      <c r="F1573" s="693" t="s">
        <v>522</v>
      </c>
      <c r="G1573" s="86" t="s">
        <v>11</v>
      </c>
      <c r="H1573" s="36">
        <v>35.299999999999997</v>
      </c>
      <c r="I1573" s="37">
        <v>34.4</v>
      </c>
      <c r="J1573" s="116">
        <v>34.200000000000003</v>
      </c>
      <c r="K1573" s="24">
        <v>34.9</v>
      </c>
      <c r="L1573" s="24">
        <v>35.200000000000003</v>
      </c>
      <c r="N1573" s="1334" t="s">
        <v>2052</v>
      </c>
      <c r="O1573" s="1334" t="s">
        <v>2044</v>
      </c>
      <c r="P1573" s="1335">
        <v>1</v>
      </c>
      <c r="Q1573" s="736"/>
    </row>
    <row r="1574" spans="1:17" ht="33.75" x14ac:dyDescent="0.2">
      <c r="A1574" s="687">
        <v>9</v>
      </c>
      <c r="B1574" s="696"/>
      <c r="C1574" s="687"/>
      <c r="D1574" s="33"/>
      <c r="E1574" s="711">
        <v>33</v>
      </c>
      <c r="F1574" s="693" t="s">
        <v>522</v>
      </c>
      <c r="G1574" s="86" t="s">
        <v>9</v>
      </c>
      <c r="H1574" s="36">
        <v>66.2</v>
      </c>
      <c r="I1574" s="37">
        <v>79.8</v>
      </c>
      <c r="J1574" s="116">
        <v>96.7</v>
      </c>
      <c r="K1574" s="24">
        <v>100.8</v>
      </c>
      <c r="L1574" s="24">
        <v>102.5</v>
      </c>
      <c r="N1574" s="1334" t="s">
        <v>2053</v>
      </c>
      <c r="O1574" s="1334" t="s">
        <v>2044</v>
      </c>
      <c r="P1574" s="1335"/>
      <c r="Q1574" s="736"/>
    </row>
    <row r="1575" spans="1:17" x14ac:dyDescent="0.2">
      <c r="A1575" s="687">
        <v>9</v>
      </c>
      <c r="B1575" s="696"/>
      <c r="C1575" s="687"/>
      <c r="D1575" s="33"/>
      <c r="E1575" s="711">
        <v>33</v>
      </c>
      <c r="F1575" s="693" t="s">
        <v>522</v>
      </c>
      <c r="G1575" s="712" t="s">
        <v>608</v>
      </c>
      <c r="H1575" s="122">
        <f>SUM(H1573+H1574)</f>
        <v>101.5</v>
      </c>
      <c r="I1575" s="122">
        <f>SUM(I1573+I1574)</f>
        <v>114.19999999999999</v>
      </c>
      <c r="J1575" s="122">
        <f>SUM(J1573+J1574)</f>
        <v>130.9</v>
      </c>
      <c r="K1575" s="122">
        <f>SUM(K1573+K1574)</f>
        <v>135.69999999999999</v>
      </c>
      <c r="L1575" s="122">
        <f>SUM(L1573+L1574)</f>
        <v>137.69999999999999</v>
      </c>
      <c r="N1575" s="1334"/>
      <c r="O1575" s="1334"/>
      <c r="P1575" s="1335"/>
      <c r="Q1575" s="736"/>
    </row>
    <row r="1576" spans="1:17" ht="33.75" x14ac:dyDescent="0.2">
      <c r="A1576" s="687">
        <v>9</v>
      </c>
      <c r="B1576" s="696"/>
      <c r="C1576" s="687" t="s">
        <v>2054</v>
      </c>
      <c r="D1576" s="33" t="s">
        <v>523</v>
      </c>
      <c r="E1576" s="711">
        <v>36</v>
      </c>
      <c r="F1576" s="693" t="s">
        <v>524</v>
      </c>
      <c r="G1576" s="86" t="s">
        <v>11</v>
      </c>
      <c r="H1576" s="36"/>
      <c r="I1576" s="6">
        <v>65.900000000000006</v>
      </c>
      <c r="J1576" s="116">
        <v>65.8</v>
      </c>
      <c r="K1576" s="24">
        <v>65.8</v>
      </c>
      <c r="L1576" s="24">
        <v>65.8</v>
      </c>
      <c r="N1576" s="1334" t="s">
        <v>2055</v>
      </c>
      <c r="O1576" s="1334" t="s">
        <v>2044</v>
      </c>
      <c r="P1576" s="1335">
        <v>1</v>
      </c>
      <c r="Q1576" s="736"/>
    </row>
    <row r="1577" spans="1:17" ht="33.75" x14ac:dyDescent="0.2">
      <c r="A1577" s="687">
        <v>9</v>
      </c>
      <c r="B1577" s="696"/>
      <c r="C1577" s="687"/>
      <c r="D1577" s="33"/>
      <c r="E1577" s="711">
        <v>36</v>
      </c>
      <c r="F1577" s="693" t="s">
        <v>524</v>
      </c>
      <c r="G1577" s="86" t="s">
        <v>9</v>
      </c>
      <c r="H1577" s="36"/>
      <c r="I1577" s="6"/>
      <c r="J1577" s="116">
        <v>28.8</v>
      </c>
      <c r="K1577" s="24">
        <v>31.9</v>
      </c>
      <c r="L1577" s="24">
        <v>33.200000000000003</v>
      </c>
      <c r="N1577" s="1334" t="s">
        <v>2055</v>
      </c>
      <c r="O1577" s="1334" t="s">
        <v>2044</v>
      </c>
      <c r="P1577" s="1335">
        <v>1</v>
      </c>
      <c r="Q1577" s="736"/>
    </row>
    <row r="1578" spans="1:17" x14ac:dyDescent="0.2">
      <c r="A1578" s="687">
        <v>9</v>
      </c>
      <c r="B1578" s="696"/>
      <c r="C1578" s="687"/>
      <c r="D1578" s="33"/>
      <c r="E1578" s="711">
        <v>36</v>
      </c>
      <c r="F1578" s="693" t="s">
        <v>524</v>
      </c>
      <c r="G1578" s="712" t="s">
        <v>608</v>
      </c>
      <c r="H1578" s="122">
        <f>SUM(H1576)</f>
        <v>0</v>
      </c>
      <c r="I1578" s="122">
        <f>SUM(I1576+I1577)</f>
        <v>65.900000000000006</v>
      </c>
      <c r="J1578" s="122">
        <f t="shared" ref="J1578:L1578" si="311">SUM(J1576+J1577)</f>
        <v>94.6</v>
      </c>
      <c r="K1578" s="122">
        <f t="shared" si="311"/>
        <v>97.699999999999989</v>
      </c>
      <c r="L1578" s="122">
        <f t="shared" si="311"/>
        <v>99</v>
      </c>
      <c r="N1578" s="1334"/>
      <c r="O1578" s="1334"/>
      <c r="P1578" s="1335"/>
      <c r="Q1578" s="736"/>
    </row>
    <row r="1579" spans="1:17" ht="45" x14ac:dyDescent="0.2">
      <c r="A1579" s="687">
        <v>9</v>
      </c>
      <c r="B1579" s="696"/>
      <c r="C1579" s="687" t="s">
        <v>2056</v>
      </c>
      <c r="D1579" s="33" t="s">
        <v>525</v>
      </c>
      <c r="E1579" s="76">
        <v>12</v>
      </c>
      <c r="F1579" s="687" t="s">
        <v>526</v>
      </c>
      <c r="G1579" s="86" t="s">
        <v>11</v>
      </c>
      <c r="H1579" s="36">
        <v>9.6</v>
      </c>
      <c r="I1579" s="6">
        <v>9.6999999999999993</v>
      </c>
      <c r="J1579" s="116">
        <v>10.1</v>
      </c>
      <c r="K1579" s="24">
        <v>10.1</v>
      </c>
      <c r="L1579" s="24">
        <v>10.1</v>
      </c>
      <c r="N1579" s="1334" t="s">
        <v>2057</v>
      </c>
      <c r="O1579" s="1334" t="s">
        <v>2044</v>
      </c>
      <c r="P1579" s="1335">
        <v>1</v>
      </c>
      <c r="Q1579" s="736"/>
    </row>
    <row r="1580" spans="1:17" x14ac:dyDescent="0.2">
      <c r="A1580" s="687">
        <v>9</v>
      </c>
      <c r="B1580" s="696"/>
      <c r="C1580" s="687"/>
      <c r="D1580" s="33"/>
      <c r="E1580" s="711">
        <v>12</v>
      </c>
      <c r="F1580" s="693" t="s">
        <v>526</v>
      </c>
      <c r="G1580" s="712" t="s">
        <v>608</v>
      </c>
      <c r="H1580" s="122">
        <f>SUM(H1579)</f>
        <v>9.6</v>
      </c>
      <c r="I1580" s="122">
        <f>SUM(I1579)</f>
        <v>9.6999999999999993</v>
      </c>
      <c r="J1580" s="122">
        <f>SUM(J1579)</f>
        <v>10.1</v>
      </c>
      <c r="K1580" s="122">
        <f>SUM(K1579)</f>
        <v>10.1</v>
      </c>
      <c r="L1580" s="122">
        <f>SUM(L1579)</f>
        <v>10.1</v>
      </c>
      <c r="N1580" s="695"/>
      <c r="O1580" s="695"/>
      <c r="P1580" s="687"/>
      <c r="Q1580" s="736"/>
    </row>
    <row r="1581" spans="1:17" x14ac:dyDescent="0.2">
      <c r="A1581" s="687">
        <v>9</v>
      </c>
      <c r="B1581" s="696"/>
      <c r="C1581" s="687" t="s">
        <v>2058</v>
      </c>
      <c r="D1581" s="33" t="s">
        <v>527</v>
      </c>
      <c r="E1581" s="711">
        <v>13</v>
      </c>
      <c r="F1581" s="693" t="s">
        <v>528</v>
      </c>
      <c r="G1581" s="86" t="s">
        <v>11</v>
      </c>
      <c r="H1581" s="36">
        <v>25</v>
      </c>
      <c r="I1581" s="37">
        <f>78.7-48.8</f>
        <v>29.900000000000006</v>
      </c>
      <c r="J1581" s="116">
        <f>49.7-17.2</f>
        <v>32.5</v>
      </c>
      <c r="K1581" s="24">
        <v>49.9</v>
      </c>
      <c r="L1581" s="24">
        <v>50.1</v>
      </c>
      <c r="N1581" s="695" t="s">
        <v>2059</v>
      </c>
      <c r="O1581" s="695" t="s">
        <v>2044</v>
      </c>
      <c r="P1581" s="687">
        <v>1</v>
      </c>
      <c r="Q1581" s="736"/>
    </row>
    <row r="1582" spans="1:17" x14ac:dyDescent="0.2">
      <c r="A1582" s="687">
        <v>9</v>
      </c>
      <c r="B1582" s="696"/>
      <c r="C1582" s="687"/>
      <c r="D1582" s="33"/>
      <c r="E1582" s="711">
        <v>13</v>
      </c>
      <c r="F1582" s="693" t="s">
        <v>528</v>
      </c>
      <c r="G1582" s="86" t="s">
        <v>9</v>
      </c>
      <c r="H1582" s="36">
        <v>1</v>
      </c>
      <c r="I1582" s="37">
        <v>19.8</v>
      </c>
      <c r="J1582" s="116">
        <f>18.7+10</f>
        <v>28.7</v>
      </c>
      <c r="K1582" s="24">
        <v>19.5</v>
      </c>
      <c r="L1582" s="24">
        <v>19.7</v>
      </c>
      <c r="N1582" s="695" t="s">
        <v>2059</v>
      </c>
      <c r="O1582" s="695"/>
      <c r="P1582" s="687"/>
      <c r="Q1582" s="736"/>
    </row>
    <row r="1583" spans="1:17" x14ac:dyDescent="0.2">
      <c r="A1583" s="687">
        <v>9</v>
      </c>
      <c r="B1583" s="696"/>
      <c r="C1583" s="687"/>
      <c r="D1583" s="33"/>
      <c r="E1583" s="711">
        <v>13</v>
      </c>
      <c r="F1583" s="693" t="s">
        <v>528</v>
      </c>
      <c r="G1583" s="712" t="s">
        <v>608</v>
      </c>
      <c r="H1583" s="122">
        <f>SUM(H1581+H1582)</f>
        <v>26</v>
      </c>
      <c r="I1583" s="122">
        <f>SUM(I1581+I1582)</f>
        <v>49.7</v>
      </c>
      <c r="J1583" s="122">
        <f>SUM(J1581+J1582)</f>
        <v>61.2</v>
      </c>
      <c r="K1583" s="122">
        <f>SUM(K1581+K1582)</f>
        <v>69.400000000000006</v>
      </c>
      <c r="L1583" s="122">
        <f>SUM(L1581+L1582)</f>
        <v>69.8</v>
      </c>
      <c r="N1583" s="695"/>
      <c r="O1583" s="695"/>
      <c r="P1583" s="687"/>
      <c r="Q1583" s="736"/>
    </row>
    <row r="1584" spans="1:17" ht="22.5" x14ac:dyDescent="0.2">
      <c r="A1584" s="687">
        <v>9</v>
      </c>
      <c r="B1584" s="696"/>
      <c r="C1584" s="687" t="s">
        <v>2060</v>
      </c>
      <c r="D1584" s="33" t="s">
        <v>529</v>
      </c>
      <c r="E1584" s="711">
        <v>13</v>
      </c>
      <c r="F1584" s="693" t="s">
        <v>530</v>
      </c>
      <c r="G1584" s="86" t="s">
        <v>11</v>
      </c>
      <c r="H1584" s="36">
        <v>64</v>
      </c>
      <c r="I1584" s="37">
        <v>71.2</v>
      </c>
      <c r="J1584" s="116">
        <f>174.9-100</f>
        <v>74.900000000000006</v>
      </c>
      <c r="K1584" s="24">
        <v>74.900000000000006</v>
      </c>
      <c r="L1584" s="24">
        <v>74.900000000000006</v>
      </c>
      <c r="N1584" s="737" t="s">
        <v>2061</v>
      </c>
      <c r="O1584" s="695" t="s">
        <v>2044</v>
      </c>
      <c r="P1584" s="687">
        <v>1</v>
      </c>
      <c r="Q1584" s="1339"/>
    </row>
    <row r="1585" spans="1:17" ht="22.5" x14ac:dyDescent="0.2">
      <c r="A1585" s="687">
        <v>9</v>
      </c>
      <c r="B1585" s="696"/>
      <c r="C1585" s="687"/>
      <c r="D1585" s="33"/>
      <c r="E1585" s="711">
        <v>13</v>
      </c>
      <c r="F1585" s="693" t="s">
        <v>530</v>
      </c>
      <c r="G1585" s="86" t="s">
        <v>9</v>
      </c>
      <c r="H1585" s="36">
        <v>22.7</v>
      </c>
      <c r="I1585" s="37">
        <v>94.1</v>
      </c>
      <c r="J1585" s="116">
        <f>154.7-100+30</f>
        <v>84.699999999999989</v>
      </c>
      <c r="K1585" s="24">
        <v>26.6</v>
      </c>
      <c r="L1585" s="24">
        <v>27</v>
      </c>
      <c r="N1585" s="695" t="s">
        <v>2061</v>
      </c>
      <c r="O1585" s="695"/>
      <c r="P1585" s="687"/>
      <c r="Q1585" s="736"/>
    </row>
    <row r="1586" spans="1:17" x14ac:dyDescent="0.2">
      <c r="A1586" s="687">
        <v>9</v>
      </c>
      <c r="B1586" s="696"/>
      <c r="C1586" s="687"/>
      <c r="D1586" s="33"/>
      <c r="E1586" s="711">
        <v>13</v>
      </c>
      <c r="F1586" s="693" t="s">
        <v>530</v>
      </c>
      <c r="G1586" s="76" t="s">
        <v>2436</v>
      </c>
      <c r="H1586" s="36"/>
      <c r="I1586" s="37"/>
      <c r="J1586" s="116">
        <f>100.6</f>
        <v>100.6</v>
      </c>
      <c r="K1586" s="24"/>
      <c r="L1586" s="24"/>
      <c r="N1586" s="1396" t="s">
        <v>2464</v>
      </c>
      <c r="O1586" s="1334" t="s">
        <v>2465</v>
      </c>
      <c r="P1586" s="700">
        <v>5</v>
      </c>
      <c r="Q1586" s="736"/>
    </row>
    <row r="1587" spans="1:17" x14ac:dyDescent="0.2">
      <c r="A1587" s="687">
        <v>9</v>
      </c>
      <c r="B1587" s="696"/>
      <c r="C1587" s="687"/>
      <c r="D1587" s="33"/>
      <c r="E1587" s="711">
        <v>13</v>
      </c>
      <c r="F1587" s="693" t="s">
        <v>530</v>
      </c>
      <c r="G1587" s="712" t="s">
        <v>608</v>
      </c>
      <c r="H1587" s="122">
        <f>SUM(H1584+H1585)</f>
        <v>86.7</v>
      </c>
      <c r="I1587" s="122">
        <f>SUM(I1584+I1585+I1586)</f>
        <v>165.3</v>
      </c>
      <c r="J1587" s="122">
        <f t="shared" ref="J1587:L1587" si="312">SUM(J1584+J1585+J1586)</f>
        <v>260.2</v>
      </c>
      <c r="K1587" s="122">
        <f t="shared" si="312"/>
        <v>101.5</v>
      </c>
      <c r="L1587" s="122">
        <f t="shared" si="312"/>
        <v>101.9</v>
      </c>
      <c r="N1587" s="695"/>
      <c r="O1587" s="695"/>
      <c r="P1587" s="687"/>
      <c r="Q1587" s="736"/>
    </row>
    <row r="1588" spans="1:17" x14ac:dyDescent="0.2">
      <c r="A1588" s="687">
        <v>9</v>
      </c>
      <c r="B1588" s="696"/>
      <c r="C1588" s="687" t="s">
        <v>2062</v>
      </c>
      <c r="D1588" s="33" t="s">
        <v>531</v>
      </c>
      <c r="E1588" s="711">
        <v>32</v>
      </c>
      <c r="F1588" s="693" t="s">
        <v>532</v>
      </c>
      <c r="G1588" s="53" t="s">
        <v>533</v>
      </c>
      <c r="H1588" s="36">
        <v>6.7</v>
      </c>
      <c r="I1588" s="37">
        <v>6.9</v>
      </c>
      <c r="J1588" s="116">
        <v>7</v>
      </c>
      <c r="K1588" s="24">
        <v>7</v>
      </c>
      <c r="L1588" s="24">
        <v>7</v>
      </c>
      <c r="N1588" s="1437" t="s">
        <v>2526</v>
      </c>
      <c r="O1588" s="1334" t="s">
        <v>2063</v>
      </c>
      <c r="P1588" s="1335">
        <v>100</v>
      </c>
      <c r="Q1588" s="736"/>
    </row>
    <row r="1589" spans="1:17" x14ac:dyDescent="0.2">
      <c r="A1589" s="687">
        <v>9</v>
      </c>
      <c r="B1589" s="696"/>
      <c r="C1589" s="687"/>
      <c r="D1589" s="33"/>
      <c r="E1589" s="711">
        <v>32</v>
      </c>
      <c r="F1589" s="693" t="s">
        <v>532</v>
      </c>
      <c r="G1589" s="53" t="s">
        <v>534</v>
      </c>
      <c r="H1589" s="36">
        <v>6.7</v>
      </c>
      <c r="I1589" s="37">
        <v>6.9</v>
      </c>
      <c r="J1589" s="116">
        <v>7</v>
      </c>
      <c r="K1589" s="24">
        <v>7</v>
      </c>
      <c r="L1589" s="24">
        <v>7</v>
      </c>
      <c r="N1589" s="1437" t="s">
        <v>2526</v>
      </c>
      <c r="O1589" s="1334" t="s">
        <v>2063</v>
      </c>
      <c r="P1589" s="1335">
        <v>100</v>
      </c>
      <c r="Q1589" s="736"/>
    </row>
    <row r="1590" spans="1:17" x14ac:dyDescent="0.2">
      <c r="A1590" s="687">
        <v>9</v>
      </c>
      <c r="B1590" s="696"/>
      <c r="C1590" s="687"/>
      <c r="D1590" s="33"/>
      <c r="E1590" s="711">
        <v>32</v>
      </c>
      <c r="F1590" s="693" t="s">
        <v>532</v>
      </c>
      <c r="G1590" s="86" t="s">
        <v>11</v>
      </c>
      <c r="H1590" s="36">
        <v>104.9</v>
      </c>
      <c r="I1590" s="37">
        <f>94.5+1.4</f>
        <v>95.9</v>
      </c>
      <c r="J1590" s="116">
        <v>83.4</v>
      </c>
      <c r="K1590" s="24">
        <v>87.6</v>
      </c>
      <c r="L1590" s="24">
        <v>91.9</v>
      </c>
      <c r="N1590" s="1437" t="s">
        <v>2526</v>
      </c>
      <c r="O1590" s="1334" t="s">
        <v>2063</v>
      </c>
      <c r="P1590" s="1335">
        <v>100</v>
      </c>
      <c r="Q1590" s="736"/>
    </row>
    <row r="1591" spans="1:17" x14ac:dyDescent="0.2">
      <c r="A1591" s="687">
        <v>9</v>
      </c>
      <c r="B1591" s="696"/>
      <c r="C1591" s="687"/>
      <c r="D1591" s="33"/>
      <c r="E1591" s="711">
        <v>32</v>
      </c>
      <c r="F1591" s="693" t="s">
        <v>532</v>
      </c>
      <c r="G1591" s="86" t="s">
        <v>9</v>
      </c>
      <c r="H1591" s="36">
        <v>96.1</v>
      </c>
      <c r="I1591" s="37">
        <v>127</v>
      </c>
      <c r="J1591" s="116">
        <v>189.9</v>
      </c>
      <c r="K1591" s="24">
        <v>200.5</v>
      </c>
      <c r="L1591" s="24">
        <v>205.7</v>
      </c>
      <c r="N1591" s="1437" t="s">
        <v>2526</v>
      </c>
      <c r="O1591" s="1334" t="s">
        <v>2063</v>
      </c>
      <c r="P1591" s="1335">
        <v>100</v>
      </c>
      <c r="Q1591" s="736"/>
    </row>
    <row r="1592" spans="1:17" x14ac:dyDescent="0.2">
      <c r="A1592" s="687">
        <v>9</v>
      </c>
      <c r="B1592" s="696"/>
      <c r="C1592" s="687"/>
      <c r="D1592" s="33"/>
      <c r="E1592" s="713">
        <v>19</v>
      </c>
      <c r="F1592" s="693" t="s">
        <v>535</v>
      </c>
      <c r="G1592" s="73" t="s">
        <v>11</v>
      </c>
      <c r="H1592" s="36">
        <v>12</v>
      </c>
      <c r="I1592" s="37">
        <f>11.6-3</f>
        <v>8.6</v>
      </c>
      <c r="J1592" s="116">
        <v>11.8</v>
      </c>
      <c r="K1592" s="24">
        <v>11.8</v>
      </c>
      <c r="L1592" s="24">
        <v>11.8</v>
      </c>
      <c r="N1592" s="1334" t="s">
        <v>2064</v>
      </c>
      <c r="O1592" s="1334" t="s">
        <v>2065</v>
      </c>
      <c r="P1592" s="1335">
        <v>165</v>
      </c>
      <c r="Q1592" s="736"/>
    </row>
    <row r="1593" spans="1:17" x14ac:dyDescent="0.2">
      <c r="A1593" s="687">
        <v>9</v>
      </c>
      <c r="B1593" s="696"/>
      <c r="C1593" s="687"/>
      <c r="D1593" s="33"/>
      <c r="E1593" s="713">
        <v>21</v>
      </c>
      <c r="F1593" s="693" t="s">
        <v>536</v>
      </c>
      <c r="G1593" s="86" t="s">
        <v>11</v>
      </c>
      <c r="H1593" s="36">
        <v>20.7</v>
      </c>
      <c r="I1593" s="37">
        <f>23.5-1.5</f>
        <v>22</v>
      </c>
      <c r="J1593" s="116">
        <v>23.6</v>
      </c>
      <c r="K1593" s="24">
        <v>23.6</v>
      </c>
      <c r="L1593" s="24">
        <v>23.6</v>
      </c>
      <c r="N1593" s="1334" t="s">
        <v>2066</v>
      </c>
      <c r="O1593" s="1334" t="s">
        <v>2065</v>
      </c>
      <c r="P1593" s="1335">
        <v>500</v>
      </c>
      <c r="Q1593" s="736"/>
    </row>
    <row r="1594" spans="1:17" x14ac:dyDescent="0.2">
      <c r="A1594" s="687">
        <v>9</v>
      </c>
      <c r="B1594" s="696"/>
      <c r="C1594" s="687"/>
      <c r="D1594" s="33"/>
      <c r="E1594" s="713">
        <v>24</v>
      </c>
      <c r="F1594" s="693" t="s">
        <v>537</v>
      </c>
      <c r="G1594" s="86" t="s">
        <v>11</v>
      </c>
      <c r="H1594" s="36">
        <v>20.6</v>
      </c>
      <c r="I1594" s="37">
        <v>25.5</v>
      </c>
      <c r="J1594" s="116">
        <v>25.8</v>
      </c>
      <c r="K1594" s="24">
        <v>25.8</v>
      </c>
      <c r="L1594" s="24">
        <v>25.8</v>
      </c>
      <c r="N1594" s="1334" t="s">
        <v>2067</v>
      </c>
      <c r="O1594" s="1334" t="s">
        <v>2065</v>
      </c>
      <c r="P1594" s="1335">
        <v>395</v>
      </c>
      <c r="Q1594" s="736"/>
    </row>
    <row r="1595" spans="1:17" ht="22.5" x14ac:dyDescent="0.2">
      <c r="A1595" s="687">
        <v>9</v>
      </c>
      <c r="B1595" s="696"/>
      <c r="C1595" s="687"/>
      <c r="D1595" s="33"/>
      <c r="E1595" s="713">
        <v>26</v>
      </c>
      <c r="F1595" s="693" t="s">
        <v>538</v>
      </c>
      <c r="G1595" s="86" t="s">
        <v>11</v>
      </c>
      <c r="H1595" s="36">
        <v>19</v>
      </c>
      <c r="I1595" s="37">
        <f>21.4+1</f>
        <v>22.4</v>
      </c>
      <c r="J1595" s="116">
        <v>23.6</v>
      </c>
      <c r="K1595" s="24">
        <v>23.6</v>
      </c>
      <c r="L1595" s="24">
        <v>23.6</v>
      </c>
      <c r="N1595" s="1334" t="s">
        <v>2068</v>
      </c>
      <c r="O1595" s="1334" t="s">
        <v>2069</v>
      </c>
      <c r="P1595" s="1335">
        <v>297</v>
      </c>
      <c r="Q1595" s="736"/>
    </row>
    <row r="1596" spans="1:17" x14ac:dyDescent="0.2">
      <c r="A1596" s="687">
        <v>9</v>
      </c>
      <c r="B1596" s="696"/>
      <c r="C1596" s="687"/>
      <c r="D1596" s="33"/>
      <c r="E1596" s="713">
        <v>27</v>
      </c>
      <c r="F1596" s="693" t="s">
        <v>539</v>
      </c>
      <c r="G1596" s="86" t="s">
        <v>11</v>
      </c>
      <c r="H1596" s="36">
        <v>16.5</v>
      </c>
      <c r="I1596" s="37">
        <f>17.8+4.1</f>
        <v>21.9</v>
      </c>
      <c r="J1596" s="116">
        <v>23.9</v>
      </c>
      <c r="K1596" s="24">
        <v>23.9</v>
      </c>
      <c r="L1596" s="24">
        <v>23.9</v>
      </c>
      <c r="N1596" s="1334" t="s">
        <v>2070</v>
      </c>
      <c r="O1596" s="1334" t="s">
        <v>2071</v>
      </c>
      <c r="P1596" s="1335">
        <v>400</v>
      </c>
      <c r="Q1596" s="736"/>
    </row>
    <row r="1597" spans="1:17" x14ac:dyDescent="0.2">
      <c r="A1597" s="687">
        <v>9</v>
      </c>
      <c r="B1597" s="696"/>
      <c r="C1597" s="687"/>
      <c r="D1597" s="33"/>
      <c r="E1597" s="713">
        <v>28</v>
      </c>
      <c r="F1597" s="693" t="s">
        <v>540</v>
      </c>
      <c r="G1597" s="86" t="s">
        <v>11</v>
      </c>
      <c r="H1597" s="36">
        <v>20.6</v>
      </c>
      <c r="I1597" s="37">
        <f>22.1-1</f>
        <v>21.1</v>
      </c>
      <c r="J1597" s="116">
        <v>23.6</v>
      </c>
      <c r="K1597" s="24">
        <v>23.6</v>
      </c>
      <c r="L1597" s="24">
        <v>23.6</v>
      </c>
      <c r="N1597" s="1334" t="s">
        <v>2072</v>
      </c>
      <c r="O1597" s="1334" t="s">
        <v>2073</v>
      </c>
      <c r="P1597" s="1335">
        <v>560</v>
      </c>
      <c r="Q1597" s="736"/>
    </row>
    <row r="1598" spans="1:17" x14ac:dyDescent="0.2">
      <c r="A1598" s="687">
        <v>9</v>
      </c>
      <c r="B1598" s="696"/>
      <c r="C1598" s="687"/>
      <c r="D1598" s="33"/>
      <c r="E1598" s="713">
        <v>29</v>
      </c>
      <c r="F1598" s="693" t="s">
        <v>541</v>
      </c>
      <c r="G1598" s="86" t="s">
        <v>11</v>
      </c>
      <c r="H1598" s="36">
        <v>21</v>
      </c>
      <c r="I1598" s="37">
        <f>23.1-1</f>
        <v>22.1</v>
      </c>
      <c r="J1598" s="116">
        <v>23.6</v>
      </c>
      <c r="K1598" s="24">
        <v>23.6</v>
      </c>
      <c r="L1598" s="24">
        <v>23.6</v>
      </c>
      <c r="N1598" s="1334" t="s">
        <v>2074</v>
      </c>
      <c r="O1598" s="1334" t="s">
        <v>2065</v>
      </c>
      <c r="P1598" s="1335">
        <v>594</v>
      </c>
      <c r="Q1598" s="736"/>
    </row>
    <row r="1599" spans="1:17" x14ac:dyDescent="0.2">
      <c r="A1599" s="687">
        <v>9</v>
      </c>
      <c r="B1599" s="696"/>
      <c r="C1599" s="687"/>
      <c r="D1599" s="33"/>
      <c r="E1599" s="702"/>
      <c r="F1599" s="693"/>
      <c r="G1599" s="712" t="s">
        <v>608</v>
      </c>
      <c r="H1599" s="122">
        <f>SUM(H1588:H1598)</f>
        <v>344.8</v>
      </c>
      <c r="I1599" s="122">
        <f>SUM(I1588:I1598)</f>
        <v>380.29999999999995</v>
      </c>
      <c r="J1599" s="122">
        <f>SUM(J1588:J1598)</f>
        <v>443.2000000000001</v>
      </c>
      <c r="K1599" s="122">
        <f>SUM(K1588:K1598)</f>
        <v>458.00000000000011</v>
      </c>
      <c r="L1599" s="122">
        <f>SUM(L1588:L1598)</f>
        <v>467.50000000000011</v>
      </c>
      <c r="N1599" s="695"/>
      <c r="O1599" s="695"/>
      <c r="P1599" s="687"/>
      <c r="Q1599" s="736"/>
    </row>
    <row r="1600" spans="1:17" ht="22.5" x14ac:dyDescent="0.2">
      <c r="A1600" s="687">
        <v>9</v>
      </c>
      <c r="B1600" s="696"/>
      <c r="C1600" s="687" t="s">
        <v>2075</v>
      </c>
      <c r="D1600" s="33" t="s">
        <v>542</v>
      </c>
      <c r="E1600" s="711">
        <v>30</v>
      </c>
      <c r="F1600" s="693" t="s">
        <v>543</v>
      </c>
      <c r="G1600" s="86" t="s">
        <v>9</v>
      </c>
      <c r="H1600" s="36">
        <v>97.7</v>
      </c>
      <c r="I1600" s="37">
        <f>22.8+24</f>
        <v>46.8</v>
      </c>
      <c r="J1600" s="116">
        <v>57.7</v>
      </c>
      <c r="K1600" s="6">
        <v>24</v>
      </c>
      <c r="L1600" s="6">
        <v>24</v>
      </c>
      <c r="N1600" s="695" t="s">
        <v>2076</v>
      </c>
      <c r="O1600" s="695" t="s">
        <v>1343</v>
      </c>
      <c r="P1600" s="687">
        <v>100</v>
      </c>
      <c r="Q1600" s="736"/>
    </row>
    <row r="1601" spans="1:17" x14ac:dyDescent="0.2">
      <c r="A1601" s="687">
        <v>9</v>
      </c>
      <c r="B1601" s="696"/>
      <c r="C1601" s="687"/>
      <c r="D1601" s="33"/>
      <c r="E1601" s="711">
        <v>30</v>
      </c>
      <c r="F1601" s="693" t="s">
        <v>543</v>
      </c>
      <c r="G1601" s="86" t="s">
        <v>11</v>
      </c>
      <c r="H1601" s="36">
        <v>896.1</v>
      </c>
      <c r="I1601" s="37">
        <v>1010</v>
      </c>
      <c r="J1601" s="116">
        <v>1075.4000000000001</v>
      </c>
      <c r="K1601" s="6">
        <v>1075.4000000000001</v>
      </c>
      <c r="L1601" s="6">
        <v>1075.4000000000001</v>
      </c>
      <c r="N1601" s="695" t="s">
        <v>2076</v>
      </c>
      <c r="O1601" s="695" t="s">
        <v>1343</v>
      </c>
      <c r="P1601" s="687">
        <v>100</v>
      </c>
      <c r="Q1601" s="736"/>
    </row>
    <row r="1602" spans="1:17" x14ac:dyDescent="0.2">
      <c r="A1602" s="687">
        <v>9</v>
      </c>
      <c r="B1602" s="696"/>
      <c r="C1602" s="687"/>
      <c r="D1602" s="33"/>
      <c r="E1602" s="711">
        <v>30</v>
      </c>
      <c r="F1602" s="693" t="s">
        <v>543</v>
      </c>
      <c r="G1602" s="73" t="s">
        <v>12</v>
      </c>
      <c r="H1602" s="36"/>
      <c r="I1602" s="37">
        <v>0.7</v>
      </c>
      <c r="J1602" s="116">
        <v>1</v>
      </c>
      <c r="K1602" s="24">
        <v>1</v>
      </c>
      <c r="L1602" s="24">
        <v>1</v>
      </c>
      <c r="N1602" s="695" t="s">
        <v>2076</v>
      </c>
      <c r="O1602" s="695" t="s">
        <v>1343</v>
      </c>
      <c r="P1602" s="687">
        <v>100</v>
      </c>
      <c r="Q1602" s="736"/>
    </row>
    <row r="1603" spans="1:17" x14ac:dyDescent="0.2">
      <c r="A1603" s="687">
        <v>9</v>
      </c>
      <c r="B1603" s="696"/>
      <c r="C1603" s="687"/>
      <c r="D1603" s="33"/>
      <c r="E1603" s="711">
        <v>30</v>
      </c>
      <c r="F1603" s="693" t="s">
        <v>543</v>
      </c>
      <c r="G1603" s="712" t="s">
        <v>608</v>
      </c>
      <c r="H1603" s="122">
        <f>SUM(H1600:H1601)</f>
        <v>993.80000000000007</v>
      </c>
      <c r="I1603" s="122">
        <f>SUM(I1600:I1602)</f>
        <v>1057.5</v>
      </c>
      <c r="J1603" s="122">
        <f t="shared" ref="J1603:L1603" si="313">SUM(J1600:J1602)</f>
        <v>1134.1000000000001</v>
      </c>
      <c r="K1603" s="122">
        <f t="shared" si="313"/>
        <v>1100.4000000000001</v>
      </c>
      <c r="L1603" s="122">
        <f t="shared" si="313"/>
        <v>1100.4000000000001</v>
      </c>
      <c r="N1603" s="695"/>
      <c r="O1603" s="695"/>
      <c r="P1603" s="687"/>
      <c r="Q1603" s="736"/>
    </row>
    <row r="1604" spans="1:17" x14ac:dyDescent="0.2">
      <c r="A1604" s="687">
        <v>9</v>
      </c>
      <c r="B1604" s="696"/>
      <c r="C1604" s="687" t="s">
        <v>2077</v>
      </c>
      <c r="D1604" s="33" t="s">
        <v>544</v>
      </c>
      <c r="E1604" s="702">
        <v>7</v>
      </c>
      <c r="F1604" s="693" t="s">
        <v>545</v>
      </c>
      <c r="G1604" s="53" t="s">
        <v>9</v>
      </c>
      <c r="H1604" s="36">
        <v>389.5</v>
      </c>
      <c r="I1604" s="37">
        <v>709.6</v>
      </c>
      <c r="J1604" s="116">
        <v>842</v>
      </c>
      <c r="K1604" s="16">
        <v>873.2</v>
      </c>
      <c r="L1604" s="16">
        <v>863.9</v>
      </c>
      <c r="N1604" s="695" t="s">
        <v>2078</v>
      </c>
      <c r="O1604" s="695" t="s">
        <v>1343</v>
      </c>
      <c r="P1604" s="687">
        <v>100</v>
      </c>
      <c r="Q1604" s="736"/>
    </row>
    <row r="1605" spans="1:17" x14ac:dyDescent="0.2">
      <c r="A1605" s="687">
        <v>9</v>
      </c>
      <c r="B1605" s="696"/>
      <c r="C1605" s="687"/>
      <c r="D1605" s="33"/>
      <c r="E1605" s="702">
        <v>7</v>
      </c>
      <c r="F1605" s="693" t="s">
        <v>545</v>
      </c>
      <c r="G1605" s="86" t="s">
        <v>226</v>
      </c>
      <c r="H1605" s="36">
        <v>126.7</v>
      </c>
      <c r="I1605" s="37">
        <v>134</v>
      </c>
      <c r="J1605" s="792"/>
      <c r="K1605" s="6"/>
      <c r="L1605" s="6"/>
      <c r="N1605" s="695" t="s">
        <v>2078</v>
      </c>
      <c r="O1605" s="695" t="s">
        <v>1343</v>
      </c>
      <c r="P1605" s="687">
        <v>100</v>
      </c>
      <c r="Q1605" s="736"/>
    </row>
    <row r="1606" spans="1:17" x14ac:dyDescent="0.2">
      <c r="A1606" s="687">
        <v>9</v>
      </c>
      <c r="B1606" s="696"/>
      <c r="C1606" s="687"/>
      <c r="D1606" s="33"/>
      <c r="E1606" s="702">
        <v>7</v>
      </c>
      <c r="F1606" s="693" t="s">
        <v>545</v>
      </c>
      <c r="G1606" s="86" t="s">
        <v>226</v>
      </c>
      <c r="H1606" s="36">
        <v>16.5</v>
      </c>
      <c r="I1606" s="37">
        <f>16.5+7.7</f>
        <v>24.2</v>
      </c>
      <c r="J1606" s="792"/>
      <c r="K1606" s="6"/>
      <c r="L1606" s="6"/>
      <c r="N1606" s="695" t="s">
        <v>2078</v>
      </c>
      <c r="O1606" s="695" t="s">
        <v>1343</v>
      </c>
      <c r="P1606" s="687">
        <v>100</v>
      </c>
      <c r="Q1606" s="736"/>
    </row>
    <row r="1607" spans="1:17" x14ac:dyDescent="0.2">
      <c r="A1607" s="687">
        <v>9</v>
      </c>
      <c r="B1607" s="696"/>
      <c r="C1607" s="687"/>
      <c r="D1607" s="33"/>
      <c r="E1607" s="702">
        <v>7</v>
      </c>
      <c r="F1607" s="693" t="s">
        <v>545</v>
      </c>
      <c r="G1607" s="86" t="s">
        <v>11</v>
      </c>
      <c r="H1607" s="36"/>
      <c r="I1607" s="37"/>
      <c r="J1607" s="740"/>
      <c r="K1607" s="6"/>
      <c r="L1607" s="6"/>
      <c r="N1607" s="695" t="s">
        <v>2078</v>
      </c>
      <c r="O1607" s="695" t="s">
        <v>1343</v>
      </c>
      <c r="P1607" s="687">
        <v>100</v>
      </c>
      <c r="Q1607" s="736"/>
    </row>
    <row r="1608" spans="1:17" x14ac:dyDescent="0.2">
      <c r="A1608" s="687">
        <v>9</v>
      </c>
      <c r="B1608" s="696"/>
      <c r="C1608" s="687"/>
      <c r="D1608" s="714" t="s">
        <v>2079</v>
      </c>
      <c r="E1608" s="702">
        <v>7</v>
      </c>
      <c r="F1608" s="693" t="s">
        <v>545</v>
      </c>
      <c r="G1608" s="53" t="s">
        <v>11</v>
      </c>
      <c r="H1608" s="36">
        <v>8</v>
      </c>
      <c r="I1608" s="37">
        <v>9.4</v>
      </c>
      <c r="J1608" s="740">
        <v>11.1</v>
      </c>
      <c r="K1608" s="6">
        <v>11.1</v>
      </c>
      <c r="L1608" s="6">
        <v>11.1</v>
      </c>
      <c r="N1608" s="695" t="s">
        <v>2078</v>
      </c>
      <c r="O1608" s="695" t="s">
        <v>1343</v>
      </c>
      <c r="P1608" s="687">
        <v>100</v>
      </c>
      <c r="Q1608" s="736"/>
    </row>
    <row r="1609" spans="1:17" x14ac:dyDescent="0.2">
      <c r="A1609" s="687">
        <v>9</v>
      </c>
      <c r="B1609" s="696"/>
      <c r="C1609" s="687"/>
      <c r="D1609" s="714" t="s">
        <v>2080</v>
      </c>
      <c r="E1609" s="702">
        <v>7</v>
      </c>
      <c r="F1609" s="693" t="s">
        <v>545</v>
      </c>
      <c r="G1609" s="53" t="s">
        <v>11</v>
      </c>
      <c r="H1609" s="36">
        <v>47.7</v>
      </c>
      <c r="I1609" s="37">
        <v>61.8</v>
      </c>
      <c r="J1609" s="740">
        <v>63.7</v>
      </c>
      <c r="K1609" s="6">
        <v>63.7</v>
      </c>
      <c r="L1609" s="6">
        <v>63.7</v>
      </c>
      <c r="N1609" s="695" t="s">
        <v>2078</v>
      </c>
      <c r="O1609" s="695" t="s">
        <v>1343</v>
      </c>
      <c r="P1609" s="687">
        <v>100</v>
      </c>
      <c r="Q1609" s="736"/>
    </row>
    <row r="1610" spans="1:17" x14ac:dyDescent="0.2">
      <c r="A1610" s="687">
        <v>9</v>
      </c>
      <c r="B1610" s="696"/>
      <c r="C1610" s="687"/>
      <c r="D1610" s="714" t="s">
        <v>2081</v>
      </c>
      <c r="E1610" s="702">
        <v>7</v>
      </c>
      <c r="F1610" s="693" t="s">
        <v>545</v>
      </c>
      <c r="G1610" s="53" t="s">
        <v>11</v>
      </c>
      <c r="H1610" s="36">
        <v>37.6</v>
      </c>
      <c r="I1610" s="37">
        <v>41.5</v>
      </c>
      <c r="J1610" s="740">
        <v>47</v>
      </c>
      <c r="K1610" s="6">
        <v>47</v>
      </c>
      <c r="L1610" s="6">
        <v>47</v>
      </c>
      <c r="N1610" s="695" t="s">
        <v>2078</v>
      </c>
      <c r="O1610" s="695" t="s">
        <v>1343</v>
      </c>
      <c r="P1610" s="687">
        <v>100</v>
      </c>
      <c r="Q1610" s="736"/>
    </row>
    <row r="1611" spans="1:17" x14ac:dyDescent="0.2">
      <c r="A1611" s="687">
        <v>9</v>
      </c>
      <c r="B1611" s="696"/>
      <c r="C1611" s="687"/>
      <c r="D1611" s="33"/>
      <c r="E1611" s="702">
        <v>7</v>
      </c>
      <c r="F1611" s="693" t="s">
        <v>545</v>
      </c>
      <c r="G1611" s="40" t="s">
        <v>719</v>
      </c>
      <c r="H1611" s="36">
        <v>1.2</v>
      </c>
      <c r="I1611" s="37"/>
      <c r="J1611" s="792">
        <f>0.4</f>
        <v>0.4</v>
      </c>
      <c r="K1611" s="6"/>
      <c r="L1611" s="6"/>
      <c r="N1611" s="695" t="s">
        <v>2078</v>
      </c>
      <c r="O1611" s="695" t="s">
        <v>1343</v>
      </c>
      <c r="P1611" s="687">
        <v>100</v>
      </c>
      <c r="Q1611" s="736"/>
    </row>
    <row r="1612" spans="1:17" x14ac:dyDescent="0.2">
      <c r="A1612" s="687">
        <v>9</v>
      </c>
      <c r="B1612" s="696"/>
      <c r="C1612" s="687"/>
      <c r="D1612" s="33"/>
      <c r="E1612" s="702">
        <v>7</v>
      </c>
      <c r="F1612" s="693" t="s">
        <v>545</v>
      </c>
      <c r="G1612" s="40" t="s">
        <v>740</v>
      </c>
      <c r="H1612" s="36"/>
      <c r="I1612" s="37">
        <v>0.3</v>
      </c>
      <c r="J1612" s="792">
        <f>0.1</f>
        <v>0.1</v>
      </c>
      <c r="K1612" s="6"/>
      <c r="L1612" s="6"/>
      <c r="N1612" s="695" t="s">
        <v>2078</v>
      </c>
      <c r="O1612" s="695" t="s">
        <v>1343</v>
      </c>
      <c r="P1612" s="687">
        <v>100</v>
      </c>
      <c r="Q1612" s="736"/>
    </row>
    <row r="1613" spans="1:17" x14ac:dyDescent="0.2">
      <c r="A1613" s="687">
        <v>9</v>
      </c>
      <c r="B1613" s="696"/>
      <c r="C1613" s="687"/>
      <c r="D1613" s="33"/>
      <c r="E1613" s="702">
        <v>7</v>
      </c>
      <c r="F1613" s="693" t="s">
        <v>545</v>
      </c>
      <c r="G1613" s="712" t="s">
        <v>608</v>
      </c>
      <c r="H1613" s="122">
        <f>SUM(H1604:H1611)</f>
        <v>627.20000000000016</v>
      </c>
      <c r="I1613" s="122">
        <f>SUM(I1604:I1612)</f>
        <v>980.8</v>
      </c>
      <c r="J1613" s="122">
        <f t="shared" ref="J1613:L1613" si="314">SUM(J1604:J1612)</f>
        <v>964.30000000000007</v>
      </c>
      <c r="K1613" s="122">
        <f t="shared" si="314"/>
        <v>995.00000000000011</v>
      </c>
      <c r="L1613" s="122">
        <f t="shared" si="314"/>
        <v>985.7</v>
      </c>
      <c r="N1613" s="695"/>
      <c r="O1613" s="695"/>
      <c r="P1613" s="687"/>
      <c r="Q1613" s="736"/>
    </row>
    <row r="1614" spans="1:17" ht="22.5" x14ac:dyDescent="0.2">
      <c r="A1614" s="687">
        <v>9</v>
      </c>
      <c r="B1614" s="696"/>
      <c r="C1614" s="687" t="s">
        <v>2082</v>
      </c>
      <c r="D1614" s="33" t="s">
        <v>550</v>
      </c>
      <c r="E1614" s="69">
        <v>6</v>
      </c>
      <c r="F1614" s="687" t="s">
        <v>551</v>
      </c>
      <c r="G1614" s="53" t="s">
        <v>11</v>
      </c>
      <c r="H1614" s="36">
        <v>0.6</v>
      </c>
      <c r="I1614" s="6">
        <v>0.7</v>
      </c>
      <c r="J1614" s="116">
        <v>0.7</v>
      </c>
      <c r="K1614" s="24">
        <v>0.7</v>
      </c>
      <c r="L1614" s="24">
        <v>0.7</v>
      </c>
      <c r="N1614" s="695" t="s">
        <v>2083</v>
      </c>
      <c r="O1614" s="695" t="s">
        <v>2044</v>
      </c>
      <c r="P1614" s="687">
        <v>1</v>
      </c>
      <c r="Q1614" s="736"/>
    </row>
    <row r="1615" spans="1:17" x14ac:dyDescent="0.2">
      <c r="A1615" s="687">
        <v>9</v>
      </c>
      <c r="B1615" s="696"/>
      <c r="C1615" s="687"/>
      <c r="D1615" s="33"/>
      <c r="E1615" s="702">
        <v>6</v>
      </c>
      <c r="F1615" s="693" t="s">
        <v>551</v>
      </c>
      <c r="G1615" s="712" t="s">
        <v>608</v>
      </c>
      <c r="H1615" s="122">
        <f>SUM(H1614)</f>
        <v>0.6</v>
      </c>
      <c r="I1615" s="122">
        <f>SUM(I1614)</f>
        <v>0.7</v>
      </c>
      <c r="J1615" s="122">
        <f>SUM(J1614)</f>
        <v>0.7</v>
      </c>
      <c r="K1615" s="122">
        <f>SUM(K1614)</f>
        <v>0.7</v>
      </c>
      <c r="L1615" s="122">
        <f>SUM(L1614)</f>
        <v>0.7</v>
      </c>
      <c r="N1615" s="695"/>
      <c r="O1615" s="695"/>
      <c r="P1615" s="687"/>
      <c r="Q1615" s="736"/>
    </row>
    <row r="1616" spans="1:17" x14ac:dyDescent="0.2">
      <c r="A1616" s="687">
        <v>9</v>
      </c>
      <c r="B1616" s="696"/>
      <c r="C1616" s="687" t="s">
        <v>2084</v>
      </c>
      <c r="D1616" s="33" t="s">
        <v>2085</v>
      </c>
      <c r="E1616" s="713" t="s">
        <v>375</v>
      </c>
      <c r="F1616" s="693" t="s">
        <v>552</v>
      </c>
      <c r="G1616" s="40" t="s">
        <v>11</v>
      </c>
      <c r="H1616" s="36">
        <v>0.2</v>
      </c>
      <c r="I1616" s="37">
        <v>0.2</v>
      </c>
      <c r="J1616" s="116">
        <v>0.2</v>
      </c>
      <c r="K1616" s="24">
        <v>0.2</v>
      </c>
      <c r="L1616" s="24">
        <v>0.2</v>
      </c>
      <c r="N1616" s="1334" t="s">
        <v>2086</v>
      </c>
      <c r="O1616" s="1334" t="s">
        <v>2044</v>
      </c>
      <c r="P1616" s="1335">
        <v>1</v>
      </c>
      <c r="Q1616" s="1338" t="s">
        <v>894</v>
      </c>
    </row>
    <row r="1617" spans="1:17" x14ac:dyDescent="0.2">
      <c r="A1617" s="687">
        <v>9</v>
      </c>
      <c r="B1617" s="696"/>
      <c r="C1617" s="687"/>
      <c r="D1617" s="33"/>
      <c r="E1617" s="713" t="s">
        <v>546</v>
      </c>
      <c r="F1617" s="693" t="s">
        <v>553</v>
      </c>
      <c r="G1617" s="40" t="s">
        <v>11</v>
      </c>
      <c r="H1617" s="36">
        <v>1</v>
      </c>
      <c r="I1617" s="37">
        <v>1.1000000000000001</v>
      </c>
      <c r="J1617" s="116">
        <v>2</v>
      </c>
      <c r="K1617" s="24">
        <v>2</v>
      </c>
      <c r="L1617" s="24">
        <v>2</v>
      </c>
      <c r="N1617" s="715" t="s">
        <v>2087</v>
      </c>
      <c r="O1617" s="1334" t="s">
        <v>2044</v>
      </c>
      <c r="P1617" s="1335">
        <v>1</v>
      </c>
      <c r="Q1617" s="1338" t="s">
        <v>912</v>
      </c>
    </row>
    <row r="1618" spans="1:17" x14ac:dyDescent="0.2">
      <c r="A1618" s="687">
        <v>9</v>
      </c>
      <c r="B1618" s="696"/>
      <c r="C1618" s="687"/>
      <c r="D1618" s="33"/>
      <c r="E1618" s="713" t="s">
        <v>376</v>
      </c>
      <c r="F1618" s="693" t="s">
        <v>554</v>
      </c>
      <c r="G1618" s="40" t="s">
        <v>11</v>
      </c>
      <c r="H1618" s="36">
        <v>0.2</v>
      </c>
      <c r="I1618" s="37">
        <v>0.3</v>
      </c>
      <c r="J1618" s="116">
        <v>0.1</v>
      </c>
      <c r="K1618" s="24">
        <v>0.1</v>
      </c>
      <c r="L1618" s="24">
        <v>0.1</v>
      </c>
      <c r="N1618" s="1340" t="s">
        <v>2275</v>
      </c>
      <c r="O1618" s="1334" t="s">
        <v>2044</v>
      </c>
      <c r="P1618" s="1335">
        <v>1</v>
      </c>
      <c r="Q1618" s="1338" t="s">
        <v>2410</v>
      </c>
    </row>
    <row r="1619" spans="1:17" x14ac:dyDescent="0.2">
      <c r="A1619" s="687">
        <v>9</v>
      </c>
      <c r="B1619" s="696"/>
      <c r="C1619" s="687"/>
      <c r="D1619" s="33"/>
      <c r="E1619" s="713" t="s">
        <v>378</v>
      </c>
      <c r="F1619" s="693" t="s">
        <v>555</v>
      </c>
      <c r="G1619" s="40" t="s">
        <v>9</v>
      </c>
      <c r="H1619" s="36">
        <v>21.4</v>
      </c>
      <c r="I1619" s="37">
        <v>22.2</v>
      </c>
      <c r="J1619" s="116">
        <v>24.3</v>
      </c>
      <c r="K1619" s="24">
        <v>25.5</v>
      </c>
      <c r="L1619" s="24">
        <v>26</v>
      </c>
      <c r="N1619" s="715" t="s">
        <v>2088</v>
      </c>
      <c r="O1619" s="1334" t="s">
        <v>2044</v>
      </c>
      <c r="P1619" s="1335">
        <v>1</v>
      </c>
      <c r="Q1619" s="1338" t="s">
        <v>799</v>
      </c>
    </row>
    <row r="1620" spans="1:17" x14ac:dyDescent="0.2">
      <c r="A1620" s="687">
        <v>9</v>
      </c>
      <c r="B1620" s="696"/>
      <c r="C1620" s="687"/>
      <c r="D1620" s="33"/>
      <c r="E1620" s="713" t="s">
        <v>547</v>
      </c>
      <c r="F1620" s="693" t="s">
        <v>556</v>
      </c>
      <c r="G1620" s="40" t="s">
        <v>11</v>
      </c>
      <c r="H1620" s="36">
        <v>0.2</v>
      </c>
      <c r="I1620" s="37">
        <v>0.2</v>
      </c>
      <c r="J1620" s="116">
        <v>0.1</v>
      </c>
      <c r="K1620" s="24">
        <v>0.1</v>
      </c>
      <c r="L1620" s="24">
        <v>0.1</v>
      </c>
      <c r="N1620" s="716" t="s">
        <v>2089</v>
      </c>
      <c r="O1620" s="1334" t="s">
        <v>2044</v>
      </c>
      <c r="P1620" s="1335">
        <v>1</v>
      </c>
      <c r="Q1620" s="1338" t="s">
        <v>913</v>
      </c>
    </row>
    <row r="1621" spans="1:17" ht="22.5" x14ac:dyDescent="0.2">
      <c r="A1621" s="687">
        <v>9</v>
      </c>
      <c r="B1621" s="696"/>
      <c r="C1621" s="687"/>
      <c r="D1621" s="33"/>
      <c r="E1621" s="713" t="s">
        <v>548</v>
      </c>
      <c r="F1621" s="693" t="s">
        <v>557</v>
      </c>
      <c r="G1621" s="40" t="s">
        <v>11</v>
      </c>
      <c r="H1621" s="36">
        <v>1.1000000000000001</v>
      </c>
      <c r="I1621" s="37">
        <v>1.1000000000000001</v>
      </c>
      <c r="J1621" s="116">
        <v>2</v>
      </c>
      <c r="K1621" s="24">
        <v>2</v>
      </c>
      <c r="L1621" s="24">
        <v>2</v>
      </c>
      <c r="N1621" s="717" t="s">
        <v>2090</v>
      </c>
      <c r="O1621" s="1334" t="s">
        <v>2044</v>
      </c>
      <c r="P1621" s="1335">
        <v>1</v>
      </c>
      <c r="Q1621" s="1338" t="s">
        <v>889</v>
      </c>
    </row>
    <row r="1622" spans="1:17" x14ac:dyDescent="0.2">
      <c r="A1622" s="687">
        <v>9</v>
      </c>
      <c r="B1622" s="696"/>
      <c r="C1622" s="687"/>
      <c r="D1622" s="33"/>
      <c r="E1622" s="713" t="s">
        <v>381</v>
      </c>
      <c r="F1622" s="693" t="s">
        <v>558</v>
      </c>
      <c r="G1622" s="40" t="s">
        <v>9</v>
      </c>
      <c r="H1622" s="36">
        <v>10</v>
      </c>
      <c r="I1622" s="37">
        <v>11.8</v>
      </c>
      <c r="J1622" s="116">
        <v>11.8</v>
      </c>
      <c r="K1622" s="24">
        <v>12.4</v>
      </c>
      <c r="L1622" s="24">
        <v>12.6</v>
      </c>
      <c r="N1622" s="1334" t="s">
        <v>2091</v>
      </c>
      <c r="O1622" s="1334" t="s">
        <v>2044</v>
      </c>
      <c r="P1622" s="1335">
        <v>1</v>
      </c>
      <c r="Q1622" s="1338" t="s">
        <v>878</v>
      </c>
    </row>
    <row r="1623" spans="1:17" x14ac:dyDescent="0.2">
      <c r="A1623" s="687">
        <v>9</v>
      </c>
      <c r="B1623" s="696"/>
      <c r="C1623" s="687"/>
      <c r="D1623" s="33"/>
      <c r="E1623" s="713" t="s">
        <v>549</v>
      </c>
      <c r="F1623" s="693" t="s">
        <v>559</v>
      </c>
      <c r="G1623" s="40" t="s">
        <v>11</v>
      </c>
      <c r="H1623" s="36">
        <v>2.7</v>
      </c>
      <c r="I1623" s="37">
        <v>2.8</v>
      </c>
      <c r="J1623" s="116">
        <v>2</v>
      </c>
      <c r="K1623" s="24">
        <v>2</v>
      </c>
      <c r="L1623" s="24">
        <v>2</v>
      </c>
      <c r="N1623" s="718" t="s">
        <v>2092</v>
      </c>
      <c r="O1623" s="1334" t="s">
        <v>2044</v>
      </c>
      <c r="P1623" s="1335">
        <v>1</v>
      </c>
      <c r="Q1623" s="1338" t="s">
        <v>861</v>
      </c>
    </row>
    <row r="1624" spans="1:17" x14ac:dyDescent="0.2">
      <c r="A1624" s="687">
        <v>9</v>
      </c>
      <c r="B1624" s="696"/>
      <c r="C1624" s="687"/>
      <c r="D1624" s="33"/>
      <c r="E1624" s="713" t="s">
        <v>383</v>
      </c>
      <c r="F1624" s="693" t="s">
        <v>560</v>
      </c>
      <c r="G1624" s="40" t="s">
        <v>11</v>
      </c>
      <c r="H1624" s="36">
        <v>0.3</v>
      </c>
      <c r="I1624" s="37">
        <v>0.4</v>
      </c>
      <c r="J1624" s="116">
        <v>0.3</v>
      </c>
      <c r="K1624" s="24">
        <v>0.3</v>
      </c>
      <c r="L1624" s="24">
        <v>0.3</v>
      </c>
      <c r="N1624" s="103" t="s">
        <v>2093</v>
      </c>
      <c r="O1624" s="1334" t="s">
        <v>2044</v>
      </c>
      <c r="P1624" s="1335">
        <v>1</v>
      </c>
      <c r="Q1624" s="1338" t="s">
        <v>871</v>
      </c>
    </row>
    <row r="1625" spans="1:17" x14ac:dyDescent="0.2">
      <c r="A1625" s="687">
        <v>9</v>
      </c>
      <c r="B1625" s="696"/>
      <c r="C1625" s="687"/>
      <c r="D1625" s="33"/>
      <c r="E1625" s="713" t="s">
        <v>385</v>
      </c>
      <c r="F1625" s="693" t="s">
        <v>561</v>
      </c>
      <c r="G1625" s="40" t="s">
        <v>11</v>
      </c>
      <c r="H1625" s="36">
        <v>1.1000000000000001</v>
      </c>
      <c r="I1625" s="37">
        <v>1.1000000000000001</v>
      </c>
      <c r="J1625" s="116">
        <v>0.8</v>
      </c>
      <c r="K1625" s="24">
        <v>0.8</v>
      </c>
      <c r="L1625" s="24">
        <v>0.8</v>
      </c>
      <c r="N1625" s="719" t="s">
        <v>2094</v>
      </c>
      <c r="O1625" s="1334" t="s">
        <v>2044</v>
      </c>
      <c r="P1625" s="1335">
        <v>1</v>
      </c>
      <c r="Q1625" s="1338" t="s">
        <v>886</v>
      </c>
    </row>
    <row r="1626" spans="1:17" ht="22.5" x14ac:dyDescent="0.2">
      <c r="A1626" s="687">
        <v>9</v>
      </c>
      <c r="B1626" s="696"/>
      <c r="C1626" s="687"/>
      <c r="D1626" s="33"/>
      <c r="E1626" s="702"/>
      <c r="F1626" s="693"/>
      <c r="G1626" s="720" t="s">
        <v>1976</v>
      </c>
      <c r="H1626" s="343">
        <f>SUM(H1619+H1622)</f>
        <v>31.4</v>
      </c>
      <c r="I1626" s="144">
        <f>SUM(I1619+I1622)</f>
        <v>34</v>
      </c>
      <c r="J1626" s="343">
        <f>SUM(J1619+J1622)</f>
        <v>36.1</v>
      </c>
      <c r="K1626" s="343">
        <f>SUM(K1619+K1622)</f>
        <v>37.9</v>
      </c>
      <c r="L1626" s="343">
        <f>SUM(L1619+L1622)</f>
        <v>38.6</v>
      </c>
      <c r="N1626" s="695"/>
      <c r="O1626" s="695"/>
      <c r="P1626" s="687"/>
      <c r="Q1626" s="1338"/>
    </row>
    <row r="1627" spans="1:17" ht="22.5" x14ac:dyDescent="0.2">
      <c r="A1627" s="687">
        <v>9</v>
      </c>
      <c r="B1627" s="696"/>
      <c r="C1627" s="687"/>
      <c r="D1627" s="33"/>
      <c r="E1627" s="702"/>
      <c r="F1627" s="693"/>
      <c r="G1627" s="720" t="s">
        <v>1977</v>
      </c>
      <c r="H1627" s="343">
        <f>SUM(H1616+H1617+H1618+H1620+H1621+H1623+H1624+H1625)</f>
        <v>6.8000000000000007</v>
      </c>
      <c r="I1627" s="144">
        <f>SUM(I1616+I1617+I1618+I1620+I1621+I1623+I1624+I1625)</f>
        <v>7.2000000000000011</v>
      </c>
      <c r="J1627" s="343">
        <f>SUM(J1616+J1617+J1618+J1620+J1621+J1623+J1624+J1625)</f>
        <v>7.5</v>
      </c>
      <c r="K1627" s="343">
        <f>SUM(K1616+K1617+K1618+K1620+K1621+K1623+K1624+K1625)</f>
        <v>7.5</v>
      </c>
      <c r="L1627" s="343">
        <f>SUM(L1616+L1617+L1618+L1620+L1621+L1623+L1624+L1625)</f>
        <v>7.5</v>
      </c>
      <c r="N1627" s="695"/>
      <c r="O1627" s="695"/>
      <c r="P1627" s="687"/>
      <c r="Q1627" s="677"/>
    </row>
    <row r="1628" spans="1:17" x14ac:dyDescent="0.2">
      <c r="A1628" s="687">
        <v>9</v>
      </c>
      <c r="B1628" s="696"/>
      <c r="C1628" s="687"/>
      <c r="D1628" s="33"/>
      <c r="E1628" s="702"/>
      <c r="F1628" s="693"/>
      <c r="G1628" s="697" t="s">
        <v>608</v>
      </c>
      <c r="H1628" s="698">
        <f>SUM(H1626+H1627)</f>
        <v>38.200000000000003</v>
      </c>
      <c r="I1628" s="698">
        <f>SUM(I1626+I1627)</f>
        <v>41.2</v>
      </c>
      <c r="J1628" s="698">
        <f>SUM(J1626+J1627)</f>
        <v>43.6</v>
      </c>
      <c r="K1628" s="698">
        <f>SUM(K1626+K1627)</f>
        <v>45.4</v>
      </c>
      <c r="L1628" s="698">
        <f>SUM(L1626+L1627)</f>
        <v>46.1</v>
      </c>
      <c r="N1628" s="695"/>
      <c r="O1628" s="695"/>
      <c r="P1628" s="687"/>
      <c r="Q1628" s="677"/>
    </row>
    <row r="1629" spans="1:17" x14ac:dyDescent="0.2">
      <c r="A1629" s="687">
        <v>9</v>
      </c>
      <c r="B1629" s="696"/>
      <c r="C1629" s="687" t="s">
        <v>2095</v>
      </c>
      <c r="D1629" s="33" t="s">
        <v>563</v>
      </c>
      <c r="E1629" s="702">
        <v>38</v>
      </c>
      <c r="F1629" s="693" t="s">
        <v>564</v>
      </c>
      <c r="G1629" s="40" t="s">
        <v>11</v>
      </c>
      <c r="H1629" s="36">
        <v>84.2</v>
      </c>
      <c r="I1629" s="6">
        <v>99.7</v>
      </c>
      <c r="J1629" s="116">
        <v>84.1</v>
      </c>
      <c r="K1629" s="24">
        <v>84.1</v>
      </c>
      <c r="L1629" s="24">
        <v>84.1</v>
      </c>
      <c r="N1629" s="721" t="s">
        <v>2477</v>
      </c>
      <c r="O1629" s="695" t="s">
        <v>2044</v>
      </c>
      <c r="P1629" s="687">
        <v>1</v>
      </c>
      <c r="Q1629" s="677"/>
    </row>
    <row r="1630" spans="1:17" x14ac:dyDescent="0.2">
      <c r="A1630" s="687">
        <v>9</v>
      </c>
      <c r="B1630" s="696"/>
      <c r="C1630" s="687"/>
      <c r="D1630" s="33"/>
      <c r="E1630" s="702">
        <v>38</v>
      </c>
      <c r="F1630" s="693" t="s">
        <v>564</v>
      </c>
      <c r="G1630" s="40" t="s">
        <v>9</v>
      </c>
      <c r="H1630" s="36"/>
      <c r="I1630" s="6"/>
      <c r="J1630" s="116">
        <v>12.8</v>
      </c>
      <c r="K1630" s="24">
        <v>15.6</v>
      </c>
      <c r="L1630" s="24">
        <v>16.8</v>
      </c>
      <c r="N1630" s="721" t="s">
        <v>2477</v>
      </c>
      <c r="O1630" s="695"/>
      <c r="P1630" s="687"/>
      <c r="Q1630" s="677"/>
    </row>
    <row r="1631" spans="1:17" x14ac:dyDescent="0.2">
      <c r="A1631" s="687">
        <v>9</v>
      </c>
      <c r="B1631" s="696"/>
      <c r="C1631" s="687"/>
      <c r="D1631" s="33"/>
      <c r="E1631" s="702">
        <v>38</v>
      </c>
      <c r="F1631" s="693" t="s">
        <v>564</v>
      </c>
      <c r="G1631" s="712" t="s">
        <v>608</v>
      </c>
      <c r="H1631" s="122">
        <f>SUM(H1629)</f>
        <v>84.2</v>
      </c>
      <c r="I1631" s="122">
        <f>SUM(I1629+I1630)</f>
        <v>99.7</v>
      </c>
      <c r="J1631" s="122">
        <f>SUM(J1629+J1630)</f>
        <v>96.899999999999991</v>
      </c>
      <c r="K1631" s="122">
        <f t="shared" ref="K1631:L1631" si="315">SUM(K1629+K1630)</f>
        <v>99.699999999999989</v>
      </c>
      <c r="L1631" s="122">
        <f t="shared" si="315"/>
        <v>100.89999999999999</v>
      </c>
      <c r="N1631" s="695"/>
      <c r="O1631" s="695"/>
      <c r="P1631" s="687"/>
      <c r="Q1631" s="736"/>
    </row>
    <row r="1632" spans="1:17" x14ac:dyDescent="0.2">
      <c r="A1632" s="687">
        <v>9</v>
      </c>
      <c r="B1632" s="696"/>
      <c r="C1632" s="687" t="s">
        <v>2096</v>
      </c>
      <c r="D1632" s="33" t="s">
        <v>565</v>
      </c>
      <c r="E1632" s="702">
        <v>17</v>
      </c>
      <c r="F1632" s="693" t="s">
        <v>566</v>
      </c>
      <c r="G1632" s="40" t="s">
        <v>11</v>
      </c>
      <c r="H1632" s="36">
        <v>22.9</v>
      </c>
      <c r="I1632" s="6">
        <v>25.5</v>
      </c>
      <c r="J1632" s="116">
        <f>33.7-6.8</f>
        <v>26.900000000000002</v>
      </c>
      <c r="K1632" s="24">
        <v>34.799999999999997</v>
      </c>
      <c r="L1632" s="24">
        <v>36.200000000000003</v>
      </c>
      <c r="N1632" s="695" t="s">
        <v>820</v>
      </c>
      <c r="O1632" s="695" t="s">
        <v>2097</v>
      </c>
      <c r="P1632" s="687">
        <v>7</v>
      </c>
      <c r="Q1632" s="736"/>
    </row>
    <row r="1633" spans="1:17" x14ac:dyDescent="0.2">
      <c r="A1633" s="687">
        <v>9</v>
      </c>
      <c r="B1633" s="696"/>
      <c r="C1633" s="687"/>
      <c r="D1633" s="33"/>
      <c r="E1633" s="702">
        <v>17</v>
      </c>
      <c r="F1633" s="693" t="s">
        <v>566</v>
      </c>
      <c r="G1633" s="712" t="s">
        <v>608</v>
      </c>
      <c r="H1633" s="122">
        <f>SUM(H1632)</f>
        <v>22.9</v>
      </c>
      <c r="I1633" s="122">
        <f>SUM(I1632)</f>
        <v>25.5</v>
      </c>
      <c r="J1633" s="122">
        <f>SUM(J1632)</f>
        <v>26.900000000000002</v>
      </c>
      <c r="K1633" s="122">
        <f>SUM(K1632)</f>
        <v>34.799999999999997</v>
      </c>
      <c r="L1633" s="122">
        <f>SUM(L1632)</f>
        <v>36.200000000000003</v>
      </c>
      <c r="N1633" s="695"/>
      <c r="O1633" s="695"/>
      <c r="P1633" s="687"/>
      <c r="Q1633" s="736"/>
    </row>
    <row r="1634" spans="1:17" ht="22.5" x14ac:dyDescent="0.2">
      <c r="A1634" s="687">
        <v>9</v>
      </c>
      <c r="B1634" s="696"/>
      <c r="C1634" s="687" t="s">
        <v>2098</v>
      </c>
      <c r="D1634" s="48" t="s">
        <v>259</v>
      </c>
      <c r="E1634" s="702">
        <v>7</v>
      </c>
      <c r="F1634" s="693" t="s">
        <v>567</v>
      </c>
      <c r="G1634" s="40" t="s">
        <v>11</v>
      </c>
      <c r="H1634" s="36">
        <v>1.5</v>
      </c>
      <c r="I1634" s="6">
        <f>1.8+0.1</f>
        <v>1.9000000000000001</v>
      </c>
      <c r="J1634" s="116">
        <v>2.7</v>
      </c>
      <c r="K1634" s="24">
        <v>2.7</v>
      </c>
      <c r="L1634" s="24">
        <v>2.7</v>
      </c>
      <c r="N1634" s="695" t="s">
        <v>2078</v>
      </c>
      <c r="O1634" s="695" t="s">
        <v>2044</v>
      </c>
      <c r="P1634" s="687">
        <v>1</v>
      </c>
      <c r="Q1634" s="736"/>
    </row>
    <row r="1635" spans="1:17" x14ac:dyDescent="0.2">
      <c r="A1635" s="687">
        <v>9</v>
      </c>
      <c r="B1635" s="696"/>
      <c r="C1635" s="687"/>
      <c r="D1635" s="48"/>
      <c r="E1635" s="702">
        <v>7</v>
      </c>
      <c r="F1635" s="693" t="s">
        <v>567</v>
      </c>
      <c r="G1635" s="712" t="s">
        <v>608</v>
      </c>
      <c r="H1635" s="122">
        <f>SUM(H1634)</f>
        <v>1.5</v>
      </c>
      <c r="I1635" s="122">
        <f>SUM(I1634)</f>
        <v>1.9000000000000001</v>
      </c>
      <c r="J1635" s="122">
        <f>SUM(J1634)</f>
        <v>2.7</v>
      </c>
      <c r="K1635" s="122">
        <f>SUM(K1634)</f>
        <v>2.7</v>
      </c>
      <c r="L1635" s="122">
        <f>SUM(L1634)</f>
        <v>2.7</v>
      </c>
      <c r="N1635" s="695"/>
      <c r="O1635" s="695"/>
      <c r="P1635" s="687"/>
      <c r="Q1635" s="736"/>
    </row>
    <row r="1636" spans="1:17" ht="22.5" x14ac:dyDescent="0.2">
      <c r="A1636" s="687">
        <v>9</v>
      </c>
      <c r="B1636" s="696"/>
      <c r="C1636" s="687" t="s">
        <v>2099</v>
      </c>
      <c r="D1636" s="48" t="s">
        <v>568</v>
      </c>
      <c r="E1636" s="702">
        <v>7</v>
      </c>
      <c r="F1636" s="693" t="s">
        <v>569</v>
      </c>
      <c r="G1636" s="40" t="s">
        <v>11</v>
      </c>
      <c r="H1636" s="36">
        <v>5.4</v>
      </c>
      <c r="I1636" s="6">
        <v>5</v>
      </c>
      <c r="J1636" s="116">
        <v>6.3</v>
      </c>
      <c r="K1636" s="24">
        <v>6.3</v>
      </c>
      <c r="L1636" s="24">
        <v>6.3</v>
      </c>
      <c r="N1636" s="722" t="s">
        <v>2100</v>
      </c>
      <c r="O1636" s="695" t="s">
        <v>2044</v>
      </c>
      <c r="P1636" s="687">
        <v>1</v>
      </c>
      <c r="Q1636" s="736"/>
    </row>
    <row r="1637" spans="1:17" x14ac:dyDescent="0.2">
      <c r="A1637" s="687">
        <v>9</v>
      </c>
      <c r="B1637" s="696"/>
      <c r="C1637" s="687"/>
      <c r="D1637" s="48"/>
      <c r="E1637" s="702">
        <v>7</v>
      </c>
      <c r="F1637" s="693" t="s">
        <v>569</v>
      </c>
      <c r="G1637" s="40" t="s">
        <v>740</v>
      </c>
      <c r="H1637" s="36"/>
      <c r="I1637" s="6">
        <v>0.3</v>
      </c>
      <c r="J1637" s="116">
        <f>0.1</f>
        <v>0.1</v>
      </c>
      <c r="K1637" s="24"/>
      <c r="L1637" s="24"/>
      <c r="N1637" s="722" t="s">
        <v>2100</v>
      </c>
      <c r="O1637" s="695"/>
      <c r="P1637" s="687"/>
      <c r="Q1637" s="736"/>
    </row>
    <row r="1638" spans="1:17" x14ac:dyDescent="0.2">
      <c r="A1638" s="687">
        <v>9</v>
      </c>
      <c r="B1638" s="696"/>
      <c r="C1638" s="687"/>
      <c r="D1638" s="48"/>
      <c r="E1638" s="702">
        <v>7</v>
      </c>
      <c r="F1638" s="693" t="s">
        <v>569</v>
      </c>
      <c r="G1638" s="712" t="s">
        <v>608</v>
      </c>
      <c r="H1638" s="122">
        <f>SUM(H1636)</f>
        <v>5.4</v>
      </c>
      <c r="I1638" s="122">
        <f>SUM(I1636:I1637)</f>
        <v>5.3</v>
      </c>
      <c r="J1638" s="122">
        <f t="shared" ref="J1638:L1638" si="316">SUM(J1636:J1637)</f>
        <v>6.3999999999999995</v>
      </c>
      <c r="K1638" s="122">
        <f t="shared" si="316"/>
        <v>6.3</v>
      </c>
      <c r="L1638" s="122">
        <f t="shared" si="316"/>
        <v>6.3</v>
      </c>
      <c r="N1638" s="695"/>
      <c r="O1638" s="695"/>
      <c r="P1638" s="687"/>
      <c r="Q1638" s="736"/>
    </row>
    <row r="1639" spans="1:17" ht="22.5" x14ac:dyDescent="0.2">
      <c r="A1639" s="687">
        <v>9</v>
      </c>
      <c r="B1639" s="696"/>
      <c r="C1639" s="687" t="s">
        <v>2101</v>
      </c>
      <c r="D1639" s="48" t="s">
        <v>2102</v>
      </c>
      <c r="E1639" s="702">
        <v>7</v>
      </c>
      <c r="F1639" s="693" t="s">
        <v>2103</v>
      </c>
      <c r="G1639" s="40" t="s">
        <v>11</v>
      </c>
      <c r="H1639" s="36">
        <v>1.2</v>
      </c>
      <c r="I1639" s="6">
        <v>1.3</v>
      </c>
      <c r="J1639" s="116">
        <v>1.4</v>
      </c>
      <c r="K1639" s="24">
        <v>1.4</v>
      </c>
      <c r="L1639" s="24">
        <v>1.4</v>
      </c>
      <c r="N1639" s="723" t="s">
        <v>2104</v>
      </c>
      <c r="O1639" s="695" t="s">
        <v>2044</v>
      </c>
      <c r="P1639" s="687">
        <v>1</v>
      </c>
      <c r="Q1639" s="736"/>
    </row>
    <row r="1640" spans="1:17" x14ac:dyDescent="0.2">
      <c r="A1640" s="687">
        <v>9</v>
      </c>
      <c r="B1640" s="696"/>
      <c r="C1640" s="687"/>
      <c r="D1640" s="48"/>
      <c r="E1640" s="702">
        <v>7</v>
      </c>
      <c r="F1640" s="693" t="s">
        <v>2103</v>
      </c>
      <c r="G1640" s="712" t="s">
        <v>608</v>
      </c>
      <c r="H1640" s="122">
        <f>SUM(H1639)</f>
        <v>1.2</v>
      </c>
      <c r="I1640" s="122">
        <f>SUM(I1639)</f>
        <v>1.3</v>
      </c>
      <c r="J1640" s="122">
        <f>SUM(J1639)</f>
        <v>1.4</v>
      </c>
      <c r="K1640" s="122">
        <f>SUM(K1639)</f>
        <v>1.4</v>
      </c>
      <c r="L1640" s="122">
        <f>SUM(L1639)</f>
        <v>1.4</v>
      </c>
      <c r="N1640" s="695"/>
      <c r="O1640" s="695"/>
      <c r="P1640" s="687"/>
      <c r="Q1640" s="736"/>
    </row>
    <row r="1641" spans="1:17" x14ac:dyDescent="0.2">
      <c r="A1641" s="687">
        <v>9</v>
      </c>
      <c r="B1641" s="696"/>
      <c r="C1641" s="687" t="s">
        <v>2105</v>
      </c>
      <c r="D1641" s="48" t="s">
        <v>2106</v>
      </c>
      <c r="E1641" s="702">
        <v>7</v>
      </c>
      <c r="F1641" s="693" t="s">
        <v>2107</v>
      </c>
      <c r="G1641" s="40" t="s">
        <v>11</v>
      </c>
      <c r="H1641" s="36">
        <v>1.4</v>
      </c>
      <c r="I1641" s="6">
        <v>1.7</v>
      </c>
      <c r="J1641" s="116">
        <f>1.6+3.2</f>
        <v>4.8000000000000007</v>
      </c>
      <c r="K1641" s="24">
        <v>1.6</v>
      </c>
      <c r="L1641" s="24">
        <v>1.6</v>
      </c>
      <c r="N1641" s="723" t="s">
        <v>2108</v>
      </c>
      <c r="O1641" s="695" t="s">
        <v>2044</v>
      </c>
      <c r="P1641" s="687">
        <v>1</v>
      </c>
      <c r="Q1641" s="736"/>
    </row>
    <row r="1642" spans="1:17" x14ac:dyDescent="0.2">
      <c r="A1642" s="687">
        <v>9</v>
      </c>
      <c r="B1642" s="696"/>
      <c r="C1642" s="687"/>
      <c r="D1642" s="48"/>
      <c r="E1642" s="702">
        <v>7</v>
      </c>
      <c r="F1642" s="693" t="s">
        <v>2107</v>
      </c>
      <c r="G1642" s="712" t="s">
        <v>608</v>
      </c>
      <c r="H1642" s="122">
        <f>SUM(H1641)</f>
        <v>1.4</v>
      </c>
      <c r="I1642" s="122">
        <f>SUM(I1641)</f>
        <v>1.7</v>
      </c>
      <c r="J1642" s="122">
        <f>SUM(J1641)</f>
        <v>4.8000000000000007</v>
      </c>
      <c r="K1642" s="122">
        <f>SUM(K1641)</f>
        <v>1.6</v>
      </c>
      <c r="L1642" s="122">
        <f>SUM(L1641)</f>
        <v>1.6</v>
      </c>
      <c r="N1642" s="695"/>
      <c r="O1642" s="695"/>
      <c r="P1642" s="687"/>
      <c r="Q1642" s="736"/>
    </row>
    <row r="1643" spans="1:17" ht="22.5" x14ac:dyDescent="0.2">
      <c r="A1643" s="687">
        <v>9</v>
      </c>
      <c r="B1643" s="696"/>
      <c r="C1643" s="687" t="s">
        <v>2109</v>
      </c>
      <c r="D1643" s="48" t="s">
        <v>2110</v>
      </c>
      <c r="E1643" s="702">
        <v>7</v>
      </c>
      <c r="F1643" s="693" t="s">
        <v>2111</v>
      </c>
      <c r="G1643" s="40" t="s">
        <v>740</v>
      </c>
      <c r="H1643" s="36">
        <v>4.4000000000000004</v>
      </c>
      <c r="I1643" s="6">
        <v>0.3</v>
      </c>
      <c r="J1643" s="116"/>
      <c r="K1643" s="24"/>
      <c r="L1643" s="24"/>
      <c r="N1643" s="724" t="s">
        <v>2112</v>
      </c>
      <c r="O1643" s="695" t="s">
        <v>2044</v>
      </c>
      <c r="P1643" s="687">
        <v>1</v>
      </c>
      <c r="Q1643" s="736"/>
    </row>
    <row r="1644" spans="1:17" x14ac:dyDescent="0.2">
      <c r="A1644" s="687">
        <v>9</v>
      </c>
      <c r="B1644" s="696"/>
      <c r="C1644" s="687"/>
      <c r="D1644" s="48"/>
      <c r="E1644" s="702">
        <v>7</v>
      </c>
      <c r="F1644" s="693" t="s">
        <v>2111</v>
      </c>
      <c r="G1644" s="712" t="s">
        <v>608</v>
      </c>
      <c r="H1644" s="122">
        <f>SUM(H1643)</f>
        <v>4.4000000000000004</v>
      </c>
      <c r="I1644" s="122">
        <f>SUM(I1643)</f>
        <v>0.3</v>
      </c>
      <c r="J1644" s="122">
        <f>SUM(J1643)</f>
        <v>0</v>
      </c>
      <c r="K1644" s="122">
        <f>SUM(K1643)</f>
        <v>0</v>
      </c>
      <c r="L1644" s="122">
        <f>SUM(L1643)</f>
        <v>0</v>
      </c>
      <c r="N1644" s="695"/>
      <c r="O1644" s="695"/>
      <c r="P1644" s="687"/>
      <c r="Q1644" s="736"/>
    </row>
    <row r="1645" spans="1:17" ht="22.5" x14ac:dyDescent="0.2">
      <c r="A1645" s="687">
        <v>9</v>
      </c>
      <c r="B1645" s="696"/>
      <c r="C1645" s="687" t="s">
        <v>2113</v>
      </c>
      <c r="D1645" s="48" t="s">
        <v>2114</v>
      </c>
      <c r="E1645" s="69">
        <v>7</v>
      </c>
      <c r="F1645" s="687" t="s">
        <v>2115</v>
      </c>
      <c r="G1645" s="81" t="s">
        <v>11</v>
      </c>
      <c r="H1645" s="123"/>
      <c r="I1645" s="6">
        <f>24.4-1.9</f>
        <v>22.5</v>
      </c>
      <c r="J1645" s="116">
        <v>24.4</v>
      </c>
      <c r="K1645" s="37">
        <v>24.4</v>
      </c>
      <c r="L1645" s="37">
        <v>24.4</v>
      </c>
      <c r="N1645" s="695" t="s">
        <v>2104</v>
      </c>
      <c r="O1645" s="695" t="s">
        <v>2044</v>
      </c>
      <c r="P1645" s="687">
        <v>1</v>
      </c>
      <c r="Q1645" s="736"/>
    </row>
    <row r="1646" spans="1:17" x14ac:dyDescent="0.2">
      <c r="A1646" s="687">
        <v>9</v>
      </c>
      <c r="B1646" s="696"/>
      <c r="C1646" s="687"/>
      <c r="D1646" s="48"/>
      <c r="E1646" s="69">
        <v>7</v>
      </c>
      <c r="F1646" s="687" t="s">
        <v>2115</v>
      </c>
      <c r="G1646" s="81" t="s">
        <v>9</v>
      </c>
      <c r="H1646" s="123"/>
      <c r="I1646" s="6"/>
      <c r="J1646" s="116">
        <v>17.100000000000001</v>
      </c>
      <c r="K1646" s="37">
        <v>18.3</v>
      </c>
      <c r="L1646" s="37">
        <v>18.899999999999999</v>
      </c>
      <c r="N1646" s="695" t="s">
        <v>2104</v>
      </c>
      <c r="O1646" s="695"/>
      <c r="P1646" s="687"/>
      <c r="Q1646" s="736"/>
    </row>
    <row r="1647" spans="1:17" x14ac:dyDescent="0.2">
      <c r="A1647" s="687">
        <v>9</v>
      </c>
      <c r="B1647" s="696"/>
      <c r="C1647" s="687"/>
      <c r="D1647" s="48"/>
      <c r="E1647" s="702">
        <v>7</v>
      </c>
      <c r="F1647" s="693" t="s">
        <v>2115</v>
      </c>
      <c r="G1647" s="712" t="s">
        <v>608</v>
      </c>
      <c r="H1647" s="122"/>
      <c r="I1647" s="122">
        <f>SUM(I1645+I1646)</f>
        <v>22.5</v>
      </c>
      <c r="J1647" s="122">
        <f t="shared" ref="J1647:L1647" si="317">SUM(J1645+J1646)</f>
        <v>41.5</v>
      </c>
      <c r="K1647" s="122">
        <f t="shared" si="317"/>
        <v>42.7</v>
      </c>
      <c r="L1647" s="122">
        <f t="shared" si="317"/>
        <v>43.3</v>
      </c>
      <c r="N1647" s="695"/>
      <c r="O1647" s="695"/>
      <c r="P1647" s="687"/>
      <c r="Q1647" s="736"/>
    </row>
    <row r="1648" spans="1:17" ht="45" x14ac:dyDescent="0.2">
      <c r="A1648" s="687">
        <v>9</v>
      </c>
      <c r="B1648" s="696"/>
      <c r="C1648" s="687" t="s">
        <v>2116</v>
      </c>
      <c r="D1648" s="48" t="s">
        <v>2117</v>
      </c>
      <c r="E1648" s="702">
        <v>7</v>
      </c>
      <c r="F1648" s="693" t="s">
        <v>2118</v>
      </c>
      <c r="G1648" s="81" t="s">
        <v>740</v>
      </c>
      <c r="H1648" s="123"/>
      <c r="I1648" s="6">
        <f>0.2+0.1</f>
        <v>0.30000000000000004</v>
      </c>
      <c r="J1648" s="116"/>
      <c r="K1648" s="37"/>
      <c r="L1648" s="37"/>
      <c r="N1648" s="695" t="s">
        <v>2112</v>
      </c>
      <c r="O1648" s="695" t="s">
        <v>2044</v>
      </c>
      <c r="P1648" s="687">
        <v>1</v>
      </c>
      <c r="Q1648" s="736"/>
    </row>
    <row r="1649" spans="1:17" x14ac:dyDescent="0.2">
      <c r="A1649" s="687">
        <v>9</v>
      </c>
      <c r="B1649" s="696"/>
      <c r="C1649" s="687"/>
      <c r="D1649" s="48"/>
      <c r="E1649" s="702">
        <v>7</v>
      </c>
      <c r="F1649" s="693" t="s">
        <v>2118</v>
      </c>
      <c r="G1649" s="712" t="s">
        <v>608</v>
      </c>
      <c r="H1649" s="122"/>
      <c r="I1649" s="122">
        <f>SUM(I1648)</f>
        <v>0.30000000000000004</v>
      </c>
      <c r="J1649" s="122">
        <f t="shared" ref="J1649:L1649" si="318">SUM(J1648)</f>
        <v>0</v>
      </c>
      <c r="K1649" s="122">
        <f t="shared" si="318"/>
        <v>0</v>
      </c>
      <c r="L1649" s="122">
        <f t="shared" si="318"/>
        <v>0</v>
      </c>
      <c r="N1649" s="695"/>
      <c r="O1649" s="695"/>
      <c r="P1649" s="687"/>
      <c r="Q1649" s="736"/>
    </row>
    <row r="1650" spans="1:17" ht="22.5" x14ac:dyDescent="0.2">
      <c r="A1650" s="687">
        <v>9</v>
      </c>
      <c r="B1650" s="696"/>
      <c r="C1650" s="687" t="s">
        <v>2119</v>
      </c>
      <c r="D1650" s="48" t="s">
        <v>2120</v>
      </c>
      <c r="E1650" s="702">
        <v>7</v>
      </c>
      <c r="F1650" s="693" t="s">
        <v>2121</v>
      </c>
      <c r="G1650" s="81" t="s">
        <v>58</v>
      </c>
      <c r="H1650" s="123"/>
      <c r="I1650" s="6">
        <v>7.8</v>
      </c>
      <c r="J1650" s="116">
        <v>21.1</v>
      </c>
      <c r="K1650" s="37"/>
      <c r="L1650" s="37"/>
      <c r="N1650" s="695" t="s">
        <v>2122</v>
      </c>
      <c r="O1650" s="695" t="s">
        <v>2044</v>
      </c>
      <c r="P1650" s="687">
        <v>1</v>
      </c>
      <c r="Q1650" s="736"/>
    </row>
    <row r="1651" spans="1:17" x14ac:dyDescent="0.2">
      <c r="A1651" s="687">
        <v>9</v>
      </c>
      <c r="B1651" s="696"/>
      <c r="C1651" s="687"/>
      <c r="D1651" s="48"/>
      <c r="E1651" s="702">
        <v>7</v>
      </c>
      <c r="F1651" s="693" t="s">
        <v>2121</v>
      </c>
      <c r="G1651" s="81" t="s">
        <v>59</v>
      </c>
      <c r="H1651" s="123"/>
      <c r="I1651" s="6">
        <v>2.2999999999999998</v>
      </c>
      <c r="J1651" s="116">
        <v>3.4</v>
      </c>
      <c r="K1651" s="37"/>
      <c r="L1651" s="37"/>
      <c r="N1651" s="695" t="s">
        <v>2122</v>
      </c>
      <c r="O1651" s="695"/>
      <c r="P1651" s="687"/>
      <c r="Q1651" s="736"/>
    </row>
    <row r="1652" spans="1:17" x14ac:dyDescent="0.2">
      <c r="A1652" s="687">
        <v>9</v>
      </c>
      <c r="B1652" s="696"/>
      <c r="C1652" s="687"/>
      <c r="D1652" s="48"/>
      <c r="E1652" s="702">
        <v>7</v>
      </c>
      <c r="F1652" s="693" t="s">
        <v>2121</v>
      </c>
      <c r="G1652" s="712" t="s">
        <v>608</v>
      </c>
      <c r="H1652" s="122"/>
      <c r="I1652" s="122">
        <f>I1650+I1651</f>
        <v>10.1</v>
      </c>
      <c r="J1652" s="122">
        <f t="shared" ref="J1652:L1652" si="319">J1650+J1651</f>
        <v>24.5</v>
      </c>
      <c r="K1652" s="122">
        <f t="shared" si="319"/>
        <v>0</v>
      </c>
      <c r="L1652" s="122">
        <f t="shared" si="319"/>
        <v>0</v>
      </c>
      <c r="N1652" s="695"/>
      <c r="O1652" s="695"/>
      <c r="P1652" s="687"/>
      <c r="Q1652" s="736"/>
    </row>
    <row r="1653" spans="1:17" ht="33.75" x14ac:dyDescent="0.2">
      <c r="A1653" s="687">
        <v>9</v>
      </c>
      <c r="B1653" s="696"/>
      <c r="C1653" s="687" t="s">
        <v>2123</v>
      </c>
      <c r="D1653" s="48" t="s">
        <v>2124</v>
      </c>
      <c r="E1653" s="702">
        <v>7</v>
      </c>
      <c r="F1653" s="693" t="s">
        <v>2125</v>
      </c>
      <c r="G1653" s="81" t="s">
        <v>58</v>
      </c>
      <c r="H1653" s="123"/>
      <c r="I1653" s="6">
        <v>4.2</v>
      </c>
      <c r="J1653" s="116">
        <v>26.7</v>
      </c>
      <c r="K1653" s="37">
        <v>26.7</v>
      </c>
      <c r="L1653" s="37">
        <v>26.7</v>
      </c>
      <c r="N1653" s="695" t="s">
        <v>2126</v>
      </c>
      <c r="O1653" s="695" t="s">
        <v>2044</v>
      </c>
      <c r="P1653" s="687">
        <v>1</v>
      </c>
      <c r="Q1653" s="736"/>
    </row>
    <row r="1654" spans="1:17" ht="22.5" x14ac:dyDescent="0.2">
      <c r="A1654" s="687">
        <v>9</v>
      </c>
      <c r="B1654" s="696"/>
      <c r="C1654" s="687"/>
      <c r="D1654" s="48"/>
      <c r="E1654" s="702">
        <v>7</v>
      </c>
      <c r="F1654" s="693" t="s">
        <v>2125</v>
      </c>
      <c r="G1654" s="81" t="s">
        <v>59</v>
      </c>
      <c r="H1654" s="123"/>
      <c r="I1654" s="6">
        <v>0.7</v>
      </c>
      <c r="J1654" s="116">
        <v>4.4000000000000004</v>
      </c>
      <c r="K1654" s="37">
        <v>4.4000000000000004</v>
      </c>
      <c r="L1654" s="37">
        <v>4.4000000000000004</v>
      </c>
      <c r="N1654" s="695" t="s">
        <v>2126</v>
      </c>
      <c r="O1654" s="695"/>
      <c r="P1654" s="687"/>
      <c r="Q1654" s="736"/>
    </row>
    <row r="1655" spans="1:17" x14ac:dyDescent="0.2">
      <c r="A1655" s="687">
        <v>9</v>
      </c>
      <c r="B1655" s="696"/>
      <c r="C1655" s="687"/>
      <c r="D1655" s="48"/>
      <c r="E1655" s="702">
        <v>7</v>
      </c>
      <c r="F1655" s="693" t="s">
        <v>2125</v>
      </c>
      <c r="G1655" s="712" t="s">
        <v>608</v>
      </c>
      <c r="H1655" s="122"/>
      <c r="I1655" s="122">
        <f>I1653+I1654</f>
        <v>4.9000000000000004</v>
      </c>
      <c r="J1655" s="122">
        <f t="shared" ref="J1655:L1655" si="320">J1653+J1654</f>
        <v>31.1</v>
      </c>
      <c r="K1655" s="122">
        <f t="shared" si="320"/>
        <v>31.1</v>
      </c>
      <c r="L1655" s="122">
        <f t="shared" si="320"/>
        <v>31.1</v>
      </c>
      <c r="N1655" s="146"/>
      <c r="O1655" s="695"/>
      <c r="P1655" s="687"/>
      <c r="Q1655" s="736"/>
    </row>
    <row r="1656" spans="1:17" ht="22.5" x14ac:dyDescent="0.2">
      <c r="A1656" s="687">
        <v>9</v>
      </c>
      <c r="B1656" s="696"/>
      <c r="C1656" s="687" t="s">
        <v>2127</v>
      </c>
      <c r="D1656" s="48" t="s">
        <v>2128</v>
      </c>
      <c r="E1656" s="702">
        <v>7</v>
      </c>
      <c r="F1656" s="693" t="s">
        <v>2129</v>
      </c>
      <c r="G1656" s="81" t="s">
        <v>11</v>
      </c>
      <c r="H1656" s="123"/>
      <c r="I1656" s="6">
        <v>3.4</v>
      </c>
      <c r="J1656" s="116">
        <v>1.1000000000000001</v>
      </c>
      <c r="K1656" s="37">
        <v>1.1000000000000001</v>
      </c>
      <c r="L1656" s="37">
        <v>1.1000000000000001</v>
      </c>
      <c r="N1656" s="695" t="s">
        <v>2078</v>
      </c>
      <c r="O1656" s="695" t="s">
        <v>2044</v>
      </c>
      <c r="P1656" s="687">
        <v>1</v>
      </c>
      <c r="Q1656" s="736"/>
    </row>
    <row r="1657" spans="1:17" x14ac:dyDescent="0.2">
      <c r="A1657" s="687">
        <v>9</v>
      </c>
      <c r="B1657" s="696"/>
      <c r="C1657" s="687"/>
      <c r="D1657" s="48"/>
      <c r="E1657" s="702">
        <v>7</v>
      </c>
      <c r="F1657" s="693" t="s">
        <v>2129</v>
      </c>
      <c r="G1657" s="712" t="s">
        <v>608</v>
      </c>
      <c r="H1657" s="122"/>
      <c r="I1657" s="122">
        <f>I1656</f>
        <v>3.4</v>
      </c>
      <c r="J1657" s="122">
        <f t="shared" ref="J1657:L1657" si="321">J1656</f>
        <v>1.1000000000000001</v>
      </c>
      <c r="K1657" s="122">
        <f t="shared" si="321"/>
        <v>1.1000000000000001</v>
      </c>
      <c r="L1657" s="122">
        <f t="shared" si="321"/>
        <v>1.1000000000000001</v>
      </c>
      <c r="N1657" s="146"/>
      <c r="O1657" s="695"/>
      <c r="P1657" s="687"/>
      <c r="Q1657" s="736"/>
    </row>
    <row r="1658" spans="1:17" ht="22.5" x14ac:dyDescent="0.2">
      <c r="A1658" s="687">
        <v>9</v>
      </c>
      <c r="B1658" s="696"/>
      <c r="C1658" s="687" t="s">
        <v>2130</v>
      </c>
      <c r="D1658" s="48" t="s">
        <v>2131</v>
      </c>
      <c r="E1658" s="702">
        <v>7</v>
      </c>
      <c r="F1658" s="693" t="s">
        <v>2132</v>
      </c>
      <c r="G1658" s="88" t="s">
        <v>58</v>
      </c>
      <c r="H1658" s="302"/>
      <c r="I1658" s="16"/>
      <c r="J1658" s="116">
        <v>19.8</v>
      </c>
      <c r="K1658" s="16">
        <v>19.8</v>
      </c>
      <c r="L1658" s="16">
        <v>15.6</v>
      </c>
      <c r="N1658" s="695" t="s">
        <v>2078</v>
      </c>
      <c r="O1658" s="695" t="s">
        <v>2044</v>
      </c>
      <c r="P1658" s="687">
        <v>1</v>
      </c>
      <c r="Q1658" s="736"/>
    </row>
    <row r="1659" spans="1:17" x14ac:dyDescent="0.2">
      <c r="A1659" s="687">
        <v>9</v>
      </c>
      <c r="B1659" s="696"/>
      <c r="C1659" s="687"/>
      <c r="D1659" s="48"/>
      <c r="E1659" s="702">
        <v>7</v>
      </c>
      <c r="F1659" s="693" t="s">
        <v>2132</v>
      </c>
      <c r="G1659" s="88" t="s">
        <v>59</v>
      </c>
      <c r="H1659" s="302"/>
      <c r="I1659" s="16"/>
      <c r="J1659" s="116">
        <v>6.6</v>
      </c>
      <c r="K1659" s="16">
        <v>6.6</v>
      </c>
      <c r="L1659" s="16">
        <v>5.2</v>
      </c>
      <c r="N1659" s="695" t="s">
        <v>2078</v>
      </c>
      <c r="O1659" s="695"/>
      <c r="P1659" s="687"/>
      <c r="Q1659" s="736"/>
    </row>
    <row r="1660" spans="1:17" x14ac:dyDescent="0.2">
      <c r="A1660" s="687">
        <v>9</v>
      </c>
      <c r="B1660" s="696"/>
      <c r="C1660" s="687"/>
      <c r="D1660" s="48"/>
      <c r="E1660" s="702">
        <v>7</v>
      </c>
      <c r="F1660" s="693" t="s">
        <v>2132</v>
      </c>
      <c r="G1660" s="712" t="s">
        <v>608</v>
      </c>
      <c r="H1660" s="122"/>
      <c r="I1660" s="122">
        <f>SUM(I1658+I1659)</f>
        <v>0</v>
      </c>
      <c r="J1660" s="122">
        <f t="shared" ref="J1660:L1660" si="322">SUM(J1658+J1659)</f>
        <v>26.4</v>
      </c>
      <c r="K1660" s="122">
        <f t="shared" si="322"/>
        <v>26.4</v>
      </c>
      <c r="L1660" s="122">
        <f t="shared" si="322"/>
        <v>20.8</v>
      </c>
      <c r="N1660" s="146"/>
      <c r="O1660" s="695"/>
      <c r="P1660" s="687"/>
      <c r="Q1660" s="736"/>
    </row>
    <row r="1661" spans="1:17" ht="22.5" x14ac:dyDescent="0.2">
      <c r="A1661" s="687">
        <v>9</v>
      </c>
      <c r="B1661" s="690" t="s">
        <v>2133</v>
      </c>
      <c r="C1661" s="690" t="s">
        <v>2133</v>
      </c>
      <c r="D1661" s="691" t="s">
        <v>1971</v>
      </c>
      <c r="E1661" s="699"/>
      <c r="F1661" s="693"/>
      <c r="G1661" s="144" t="s">
        <v>2134</v>
      </c>
      <c r="H1661" s="709">
        <f>SUM(H1663,H1665)</f>
        <v>358.1</v>
      </c>
      <c r="I1661" s="144">
        <f>SUM(I1663,I1665)</f>
        <v>2288</v>
      </c>
      <c r="J1661" s="144">
        <f>SUM(J1663,J1665)</f>
        <v>2442.6999999999998</v>
      </c>
      <c r="K1661" s="144">
        <f>SUM(K1663,K1665)</f>
        <v>2642.5</v>
      </c>
      <c r="L1661" s="144">
        <f>SUM(L1663,L1665)</f>
        <v>2796.8</v>
      </c>
      <c r="N1661" s="695"/>
      <c r="O1661" s="695"/>
      <c r="P1661" s="687"/>
      <c r="Q1661" s="736"/>
    </row>
    <row r="1662" spans="1:17" x14ac:dyDescent="0.2">
      <c r="A1662" s="687">
        <v>9</v>
      </c>
      <c r="B1662" s="696"/>
      <c r="C1662" s="725"/>
      <c r="D1662" s="695"/>
      <c r="E1662" s="699"/>
      <c r="F1662" s="693"/>
      <c r="G1662" s="697" t="s">
        <v>608</v>
      </c>
      <c r="H1662" s="698">
        <f>SUM(H1661:H1661)</f>
        <v>358.1</v>
      </c>
      <c r="I1662" s="698">
        <f>SUM(I1661:I1661)</f>
        <v>2288</v>
      </c>
      <c r="J1662" s="698">
        <f>SUM(J1661:J1661)</f>
        <v>2442.6999999999998</v>
      </c>
      <c r="K1662" s="698">
        <f>SUM(K1661:K1661)</f>
        <v>2642.5</v>
      </c>
      <c r="L1662" s="698">
        <f>SUM(L1661:L1661)</f>
        <v>2796.8</v>
      </c>
      <c r="N1662" s="695"/>
      <c r="O1662" s="695"/>
      <c r="P1662" s="687"/>
      <c r="Q1662" s="736"/>
    </row>
    <row r="1663" spans="1:17" x14ac:dyDescent="0.2">
      <c r="A1663" s="687">
        <v>9</v>
      </c>
      <c r="B1663" s="696"/>
      <c r="C1663" s="725" t="s">
        <v>2135</v>
      </c>
      <c r="D1663" s="48" t="s">
        <v>572</v>
      </c>
      <c r="E1663" s="711">
        <v>4</v>
      </c>
      <c r="F1663" s="693" t="s">
        <v>573</v>
      </c>
      <c r="G1663" s="687" t="s">
        <v>9</v>
      </c>
      <c r="H1663" s="36">
        <v>358.1</v>
      </c>
      <c r="I1663" s="37">
        <v>546.6</v>
      </c>
      <c r="J1663" s="24">
        <v>500</v>
      </c>
      <c r="K1663" s="24">
        <v>500</v>
      </c>
      <c r="L1663" s="24">
        <v>500</v>
      </c>
      <c r="M1663" s="38" t="s">
        <v>782</v>
      </c>
      <c r="N1663" s="695" t="s">
        <v>2136</v>
      </c>
      <c r="O1663" s="695" t="s">
        <v>1343</v>
      </c>
      <c r="P1663" s="687">
        <v>100</v>
      </c>
      <c r="Q1663" s="736"/>
    </row>
    <row r="1664" spans="1:17" x14ac:dyDescent="0.2">
      <c r="A1664" s="687">
        <v>9</v>
      </c>
      <c r="B1664" s="696"/>
      <c r="C1664" s="725"/>
      <c r="D1664" s="48"/>
      <c r="E1664" s="711">
        <v>4</v>
      </c>
      <c r="F1664" s="693" t="s">
        <v>573</v>
      </c>
      <c r="G1664" s="712" t="s">
        <v>608</v>
      </c>
      <c r="H1664" s="122" t="e">
        <f>SUM(H1663+#REF!)</f>
        <v>#REF!</v>
      </c>
      <c r="I1664" s="122">
        <f>SUM(I1663)</f>
        <v>546.6</v>
      </c>
      <c r="J1664" s="122">
        <f>SUM(J1663)</f>
        <v>500</v>
      </c>
      <c r="K1664" s="122">
        <f>SUM(K1663)</f>
        <v>500</v>
      </c>
      <c r="L1664" s="122">
        <f>SUM(L1663)</f>
        <v>500</v>
      </c>
      <c r="N1664" s="695"/>
      <c r="O1664" s="695"/>
      <c r="P1664" s="687"/>
      <c r="Q1664" s="736"/>
    </row>
    <row r="1665" spans="1:17" x14ac:dyDescent="0.2">
      <c r="A1665" s="687">
        <v>9</v>
      </c>
      <c r="B1665" s="696"/>
      <c r="C1665" s="687" t="s">
        <v>2137</v>
      </c>
      <c r="D1665" s="48" t="s">
        <v>574</v>
      </c>
      <c r="E1665" s="711">
        <v>4</v>
      </c>
      <c r="F1665" s="693" t="s">
        <v>575</v>
      </c>
      <c r="G1665" s="687" t="s">
        <v>9</v>
      </c>
      <c r="H1665" s="36"/>
      <c r="I1665" s="37">
        <v>1741.4</v>
      </c>
      <c r="J1665" s="24">
        <v>1942.7</v>
      </c>
      <c r="K1665" s="24">
        <v>2142.5</v>
      </c>
      <c r="L1665" s="24">
        <v>2296.8000000000002</v>
      </c>
      <c r="M1665" s="38" t="s">
        <v>782</v>
      </c>
      <c r="N1665" s="695" t="s">
        <v>2136</v>
      </c>
      <c r="O1665" s="695" t="s">
        <v>1343</v>
      </c>
      <c r="P1665" s="687">
        <v>100</v>
      </c>
      <c r="Q1665" s="736"/>
    </row>
    <row r="1666" spans="1:17" x14ac:dyDescent="0.2">
      <c r="A1666" s="687">
        <v>9</v>
      </c>
      <c r="B1666" s="696"/>
      <c r="C1666" s="687"/>
      <c r="D1666" s="48"/>
      <c r="E1666" s="711">
        <v>4</v>
      </c>
      <c r="F1666" s="693" t="s">
        <v>575</v>
      </c>
      <c r="G1666" s="712" t="s">
        <v>608</v>
      </c>
      <c r="H1666" s="122">
        <f>SUM(H1665:H1665)</f>
        <v>0</v>
      </c>
      <c r="I1666" s="122">
        <f>SUM(I1665:I1665)</f>
        <v>1741.4</v>
      </c>
      <c r="J1666" s="122">
        <f>SUM(J1665:J1665)</f>
        <v>1942.7</v>
      </c>
      <c r="K1666" s="122">
        <f>SUM(K1665:K1665)</f>
        <v>2142.5</v>
      </c>
      <c r="L1666" s="122">
        <f>SUM(L1665:L1665)</f>
        <v>2296.8000000000002</v>
      </c>
      <c r="N1666" s="695"/>
      <c r="O1666" s="695"/>
      <c r="P1666" s="687"/>
      <c r="Q1666" s="736"/>
    </row>
    <row r="1667" spans="1:17" ht="45" x14ac:dyDescent="0.2">
      <c r="A1667" s="687">
        <v>9</v>
      </c>
      <c r="B1667" s="107"/>
      <c r="C1667" s="107"/>
      <c r="D1667" s="689" t="s">
        <v>2138</v>
      </c>
      <c r="E1667" s="626"/>
      <c r="F1667" s="109"/>
      <c r="G1667" s="107"/>
      <c r="H1667" s="110"/>
      <c r="I1667" s="109"/>
      <c r="J1667" s="109"/>
      <c r="K1667" s="109"/>
      <c r="L1667" s="109"/>
      <c r="N1667" s="695"/>
      <c r="O1667" s="695"/>
      <c r="P1667" s="687"/>
      <c r="Q1667" s="736"/>
    </row>
    <row r="1668" spans="1:17" ht="22.5" x14ac:dyDescent="0.2">
      <c r="A1668" s="687">
        <v>9</v>
      </c>
      <c r="B1668" s="690" t="s">
        <v>2139</v>
      </c>
      <c r="C1668" s="690" t="s">
        <v>2139</v>
      </c>
      <c r="D1668" s="691" t="s">
        <v>1972</v>
      </c>
      <c r="E1668" s="726"/>
      <c r="F1668" s="727"/>
      <c r="G1668" s="144" t="s">
        <v>1976</v>
      </c>
      <c r="H1668" s="144">
        <f>SUM(H1674:H1679,H1682:H1686,H1688:H1688,H1691,H1693:H1695)</f>
        <v>363.40000000000003</v>
      </c>
      <c r="I1668" s="144">
        <f>SUM(I1674+I1676+I1679+I1682+I1684+I1686+I1693+I1695+I1688+I1690+I1691+I1699+I1677+I1697+I1703)</f>
        <v>588.29999999999995</v>
      </c>
      <c r="J1668" s="144">
        <f t="shared" ref="J1668:L1668" si="323">SUM(J1674+J1676+J1679+J1682+J1684+J1686+J1693+J1695+J1688+J1690+J1691+J1699+J1677+J1697+J1703)</f>
        <v>726.7</v>
      </c>
      <c r="K1668" s="144">
        <f t="shared" si="323"/>
        <v>1185.6999999999998</v>
      </c>
      <c r="L1668" s="144">
        <f t="shared" si="323"/>
        <v>1365.7</v>
      </c>
      <c r="N1668" s="695"/>
      <c r="O1668" s="695"/>
      <c r="P1668" s="687"/>
      <c r="Q1668" s="736"/>
    </row>
    <row r="1669" spans="1:17" ht="22.5" x14ac:dyDescent="0.2">
      <c r="A1669" s="687">
        <v>9</v>
      </c>
      <c r="B1669" s="696"/>
      <c r="C1669" s="725"/>
      <c r="D1669" s="695"/>
      <c r="E1669" s="699"/>
      <c r="F1669" s="693"/>
      <c r="G1669" s="144" t="s">
        <v>2140</v>
      </c>
      <c r="H1669" s="144">
        <f>H1680</f>
        <v>10</v>
      </c>
      <c r="I1669" s="144">
        <f>I1680</f>
        <v>10</v>
      </c>
      <c r="J1669" s="144">
        <f>J1680</f>
        <v>10</v>
      </c>
      <c r="K1669" s="144">
        <f>K1680</f>
        <v>10</v>
      </c>
      <c r="L1669" s="144">
        <f>L1680</f>
        <v>10</v>
      </c>
      <c r="N1669" s="695"/>
      <c r="O1669" s="695"/>
      <c r="P1669" s="687"/>
      <c r="Q1669" s="736"/>
    </row>
    <row r="1670" spans="1:17" ht="22.5" x14ac:dyDescent="0.2">
      <c r="A1670" s="687">
        <v>9</v>
      </c>
      <c r="B1670" s="696"/>
      <c r="C1670" s="725"/>
      <c r="D1670" s="695"/>
      <c r="E1670" s="699"/>
      <c r="F1670" s="693"/>
      <c r="G1670" s="144" t="s">
        <v>2141</v>
      </c>
      <c r="H1670" s="144">
        <f>SUM(H1687+H1689)</f>
        <v>125.1</v>
      </c>
      <c r="I1670" s="144">
        <f>SUM(I1687+I1689)</f>
        <v>127.7</v>
      </c>
      <c r="J1670" s="144">
        <f t="shared" ref="J1670:L1670" si="324">SUM(J1687+J1689)</f>
        <v>209.8</v>
      </c>
      <c r="K1670" s="144">
        <f t="shared" si="324"/>
        <v>0</v>
      </c>
      <c r="L1670" s="144">
        <f t="shared" si="324"/>
        <v>0</v>
      </c>
      <c r="N1670" s="695"/>
      <c r="O1670" s="695"/>
      <c r="P1670" s="687"/>
      <c r="Q1670" s="736"/>
    </row>
    <row r="1671" spans="1:17" ht="22.5" x14ac:dyDescent="0.2">
      <c r="A1671" s="687">
        <v>9</v>
      </c>
      <c r="B1671" s="696"/>
      <c r="C1671" s="725"/>
      <c r="D1671" s="695"/>
      <c r="E1671" s="699"/>
      <c r="F1671" s="693"/>
      <c r="G1671" s="144" t="s">
        <v>1977</v>
      </c>
      <c r="H1671" s="144"/>
      <c r="I1671" s="144">
        <f>SUM(I1700)</f>
        <v>0</v>
      </c>
      <c r="J1671" s="144">
        <f t="shared" ref="J1671:L1672" si="325">SUM(J1700)</f>
        <v>8.4</v>
      </c>
      <c r="K1671" s="144">
        <f t="shared" si="325"/>
        <v>0</v>
      </c>
      <c r="L1671" s="144">
        <f t="shared" si="325"/>
        <v>0</v>
      </c>
      <c r="N1671" s="695"/>
      <c r="O1671" s="695"/>
      <c r="P1671" s="687"/>
      <c r="Q1671" s="736"/>
    </row>
    <row r="1672" spans="1:17" ht="22.5" x14ac:dyDescent="0.2">
      <c r="A1672" s="687">
        <v>9</v>
      </c>
      <c r="B1672" s="696"/>
      <c r="C1672" s="725"/>
      <c r="D1672" s="695"/>
      <c r="E1672" s="699"/>
      <c r="F1672" s="693"/>
      <c r="G1672" s="144" t="s">
        <v>2142</v>
      </c>
      <c r="H1672" s="144"/>
      <c r="I1672" s="144">
        <f>SUM(I1701)</f>
        <v>0</v>
      </c>
      <c r="J1672" s="144">
        <f t="shared" si="325"/>
        <v>31.4</v>
      </c>
      <c r="K1672" s="144">
        <f t="shared" si="325"/>
        <v>0</v>
      </c>
      <c r="L1672" s="144">
        <f t="shared" si="325"/>
        <v>0</v>
      </c>
      <c r="N1672" s="695"/>
      <c r="O1672" s="695"/>
      <c r="P1672" s="687"/>
      <c r="Q1672" s="736"/>
    </row>
    <row r="1673" spans="1:17" x14ac:dyDescent="0.2">
      <c r="A1673" s="687">
        <v>9</v>
      </c>
      <c r="B1673" s="696"/>
      <c r="C1673" s="725"/>
      <c r="D1673" s="695"/>
      <c r="E1673" s="699"/>
      <c r="F1673" s="693"/>
      <c r="G1673" s="697" t="s">
        <v>608</v>
      </c>
      <c r="H1673" s="698">
        <f>SUM(H1668:H1670)</f>
        <v>498.5</v>
      </c>
      <c r="I1673" s="698">
        <f>SUM(I1668:I1672)</f>
        <v>726</v>
      </c>
      <c r="J1673" s="698">
        <f t="shared" ref="J1673:L1673" si="326">SUM(J1668:J1672)</f>
        <v>986.3</v>
      </c>
      <c r="K1673" s="698">
        <f t="shared" si="326"/>
        <v>1195.6999999999998</v>
      </c>
      <c r="L1673" s="698">
        <f t="shared" si="326"/>
        <v>1375.7</v>
      </c>
      <c r="N1673" s="695"/>
      <c r="O1673" s="695"/>
      <c r="P1673" s="687"/>
      <c r="Q1673" s="736"/>
    </row>
    <row r="1674" spans="1:17" ht="20.25" customHeight="1" x14ac:dyDescent="0.2">
      <c r="A1674" s="687">
        <v>9</v>
      </c>
      <c r="B1674" s="696"/>
      <c r="C1674" s="725" t="s">
        <v>2143</v>
      </c>
      <c r="D1674" s="695" t="s">
        <v>2144</v>
      </c>
      <c r="E1674" s="699">
        <v>13</v>
      </c>
      <c r="F1674" s="693" t="s">
        <v>506</v>
      </c>
      <c r="G1674" s="687" t="s">
        <v>9</v>
      </c>
      <c r="H1674" s="705">
        <v>41.800000000000004</v>
      </c>
      <c r="I1674" s="37">
        <v>174.5</v>
      </c>
      <c r="J1674" s="116">
        <f>272-120</f>
        <v>152</v>
      </c>
      <c r="K1674" s="701">
        <f>161+120</f>
        <v>281</v>
      </c>
      <c r="L1674" s="701">
        <v>161</v>
      </c>
      <c r="M1674" s="38" t="s">
        <v>796</v>
      </c>
      <c r="N1674" s="728" t="s">
        <v>2145</v>
      </c>
      <c r="O1674" s="1337" t="s">
        <v>2146</v>
      </c>
      <c r="P1674" s="687">
        <v>100</v>
      </c>
      <c r="Q1674" s="736"/>
    </row>
    <row r="1675" spans="1:17" x14ac:dyDescent="0.2">
      <c r="A1675" s="687">
        <v>9</v>
      </c>
      <c r="B1675" s="696"/>
      <c r="C1675" s="725"/>
      <c r="D1675" s="695"/>
      <c r="E1675" s="699"/>
      <c r="F1675" s="693" t="s">
        <v>506</v>
      </c>
      <c r="G1675" s="712" t="s">
        <v>608</v>
      </c>
      <c r="H1675" s="122"/>
      <c r="I1675" s="122">
        <f>SUM(I1674)</f>
        <v>174.5</v>
      </c>
      <c r="J1675" s="122">
        <f t="shared" ref="J1675:L1675" si="327">SUM(J1674)</f>
        <v>152</v>
      </c>
      <c r="K1675" s="122">
        <f t="shared" si="327"/>
        <v>281</v>
      </c>
      <c r="L1675" s="122">
        <f t="shared" si="327"/>
        <v>161</v>
      </c>
      <c r="N1675" s="695"/>
      <c r="O1675" s="695"/>
      <c r="P1675" s="687"/>
      <c r="Q1675" s="736"/>
    </row>
    <row r="1676" spans="1:17" x14ac:dyDescent="0.2">
      <c r="A1676" s="687">
        <v>9</v>
      </c>
      <c r="B1676" s="696"/>
      <c r="C1676" s="725" t="s">
        <v>2147</v>
      </c>
      <c r="D1676" s="695" t="s">
        <v>2148</v>
      </c>
      <c r="E1676" s="699">
        <v>3</v>
      </c>
      <c r="F1676" s="693" t="s">
        <v>2149</v>
      </c>
      <c r="G1676" s="687" t="s">
        <v>9</v>
      </c>
      <c r="H1676" s="705">
        <v>109.8</v>
      </c>
      <c r="I1676" s="37">
        <v>41.1</v>
      </c>
      <c r="J1676" s="116">
        <f>200-40</f>
        <v>160</v>
      </c>
      <c r="K1676" s="701">
        <v>200</v>
      </c>
      <c r="L1676" s="701">
        <v>200</v>
      </c>
      <c r="M1676" s="38" t="s">
        <v>796</v>
      </c>
      <c r="N1676" s="103" t="s">
        <v>2150</v>
      </c>
      <c r="O1676" s="695" t="s">
        <v>2151</v>
      </c>
      <c r="P1676" s="687">
        <v>100</v>
      </c>
      <c r="Q1676" s="736"/>
    </row>
    <row r="1677" spans="1:17" ht="22.5" x14ac:dyDescent="0.2">
      <c r="A1677" s="687">
        <v>9</v>
      </c>
      <c r="B1677" s="696"/>
      <c r="C1677" s="725"/>
      <c r="D1677" s="695"/>
      <c r="E1677" s="700" t="s">
        <v>42</v>
      </c>
      <c r="F1677" s="687" t="s">
        <v>2149</v>
      </c>
      <c r="G1677" s="687" t="s">
        <v>9</v>
      </c>
      <c r="H1677" s="705"/>
      <c r="I1677" s="37">
        <v>5</v>
      </c>
      <c r="J1677" s="116"/>
      <c r="K1677" s="701"/>
      <c r="L1677" s="701"/>
      <c r="M1677" s="38" t="s">
        <v>796</v>
      </c>
      <c r="N1677" s="103" t="s">
        <v>1247</v>
      </c>
      <c r="O1677" s="695" t="s">
        <v>2152</v>
      </c>
      <c r="P1677" s="687"/>
      <c r="Q1677" s="736"/>
    </row>
    <row r="1678" spans="1:17" x14ac:dyDescent="0.2">
      <c r="A1678" s="687">
        <v>9</v>
      </c>
      <c r="B1678" s="696"/>
      <c r="C1678" s="725"/>
      <c r="D1678" s="695"/>
      <c r="E1678" s="699"/>
      <c r="F1678" s="693" t="s">
        <v>2149</v>
      </c>
      <c r="G1678" s="712" t="s">
        <v>608</v>
      </c>
      <c r="H1678" s="122"/>
      <c r="I1678" s="122">
        <f>SUM(I1676,I1677)</f>
        <v>46.1</v>
      </c>
      <c r="J1678" s="122">
        <f t="shared" ref="J1678:L1678" si="328">SUM(J1676,J1677)</f>
        <v>160</v>
      </c>
      <c r="K1678" s="122">
        <f t="shared" si="328"/>
        <v>200</v>
      </c>
      <c r="L1678" s="122">
        <f t="shared" si="328"/>
        <v>200</v>
      </c>
      <c r="N1678" s="695"/>
      <c r="O1678" s="695"/>
      <c r="P1678" s="687"/>
      <c r="Q1678" s="736"/>
    </row>
    <row r="1679" spans="1:17" ht="101.25" x14ac:dyDescent="0.2">
      <c r="A1679" s="687">
        <v>9</v>
      </c>
      <c r="B1679" s="696"/>
      <c r="C1679" s="725" t="s">
        <v>2153</v>
      </c>
      <c r="D1679" s="695" t="s">
        <v>2154</v>
      </c>
      <c r="E1679" s="700">
        <v>10</v>
      </c>
      <c r="F1679" s="687" t="s">
        <v>576</v>
      </c>
      <c r="G1679" s="73" t="s">
        <v>9</v>
      </c>
      <c r="H1679" s="36">
        <v>36.799999999999997</v>
      </c>
      <c r="I1679" s="37">
        <v>37.1</v>
      </c>
      <c r="J1679" s="116">
        <v>50</v>
      </c>
      <c r="K1679" s="24">
        <v>50</v>
      </c>
      <c r="L1679" s="24">
        <v>50</v>
      </c>
      <c r="M1679" s="38" t="s">
        <v>782</v>
      </c>
      <c r="N1679" s="1334" t="s">
        <v>1993</v>
      </c>
      <c r="O1679" s="1334" t="s">
        <v>2155</v>
      </c>
      <c r="P1679" s="1336" t="s">
        <v>2404</v>
      </c>
      <c r="Q1679" s="736"/>
    </row>
    <row r="1680" spans="1:17" ht="22.5" x14ac:dyDescent="0.2">
      <c r="A1680" s="687">
        <v>9</v>
      </c>
      <c r="B1680" s="696"/>
      <c r="C1680" s="725"/>
      <c r="D1680" s="695"/>
      <c r="E1680" s="699">
        <v>10</v>
      </c>
      <c r="F1680" s="693" t="s">
        <v>576</v>
      </c>
      <c r="G1680" s="73" t="s">
        <v>99</v>
      </c>
      <c r="H1680" s="36">
        <v>10</v>
      </c>
      <c r="I1680" s="37">
        <v>10</v>
      </c>
      <c r="J1680" s="116">
        <v>10</v>
      </c>
      <c r="K1680" s="24">
        <v>10</v>
      </c>
      <c r="L1680" s="24">
        <v>10</v>
      </c>
      <c r="N1680" s="695" t="s">
        <v>1993</v>
      </c>
      <c r="O1680" s="695"/>
      <c r="P1680" s="687"/>
      <c r="Q1680" s="736"/>
    </row>
    <row r="1681" spans="1:17" x14ac:dyDescent="0.2">
      <c r="A1681" s="687">
        <v>9</v>
      </c>
      <c r="B1681" s="696"/>
      <c r="C1681" s="725"/>
      <c r="D1681" s="695"/>
      <c r="E1681" s="699"/>
      <c r="F1681" s="693" t="s">
        <v>576</v>
      </c>
      <c r="G1681" s="712" t="s">
        <v>608</v>
      </c>
      <c r="H1681" s="122"/>
      <c r="I1681" s="122">
        <f>SUM(I1679:I1680)</f>
        <v>47.1</v>
      </c>
      <c r="J1681" s="122">
        <f>SUM(J1679:J1680)</f>
        <v>60</v>
      </c>
      <c r="K1681" s="122">
        <f>SUM(K1679:K1680)</f>
        <v>60</v>
      </c>
      <c r="L1681" s="122">
        <f>SUM(L1679:L1680)</f>
        <v>60</v>
      </c>
      <c r="N1681" s="695"/>
      <c r="O1681" s="695"/>
      <c r="P1681" s="687"/>
      <c r="Q1681" s="736"/>
    </row>
    <row r="1682" spans="1:17" x14ac:dyDescent="0.2">
      <c r="A1682" s="687">
        <v>9</v>
      </c>
      <c r="B1682" s="696"/>
      <c r="C1682" s="725" t="s">
        <v>2156</v>
      </c>
      <c r="D1682" s="695" t="s">
        <v>577</v>
      </c>
      <c r="E1682" s="699">
        <v>10</v>
      </c>
      <c r="F1682" s="693" t="s">
        <v>578</v>
      </c>
      <c r="G1682" s="73" t="s">
        <v>9</v>
      </c>
      <c r="H1682" s="36">
        <v>24.8</v>
      </c>
      <c r="I1682" s="37">
        <v>32.200000000000003</v>
      </c>
      <c r="J1682" s="116">
        <v>34.9</v>
      </c>
      <c r="K1682" s="6">
        <v>34.9</v>
      </c>
      <c r="L1682" s="6">
        <v>34.9</v>
      </c>
      <c r="M1682" s="38" t="s">
        <v>782</v>
      </c>
      <c r="N1682" s="721" t="s">
        <v>2157</v>
      </c>
      <c r="O1682" s="695" t="s">
        <v>2158</v>
      </c>
      <c r="P1682" s="687">
        <v>100</v>
      </c>
      <c r="Q1682" s="736"/>
    </row>
    <row r="1683" spans="1:17" x14ac:dyDescent="0.2">
      <c r="A1683" s="687">
        <v>9</v>
      </c>
      <c r="B1683" s="696"/>
      <c r="C1683" s="725"/>
      <c r="D1683" s="695"/>
      <c r="E1683" s="699"/>
      <c r="F1683" s="693" t="s">
        <v>578</v>
      </c>
      <c r="G1683" s="712" t="s">
        <v>608</v>
      </c>
      <c r="H1683" s="122"/>
      <c r="I1683" s="122">
        <f>SUM(I1682)</f>
        <v>32.200000000000003</v>
      </c>
      <c r="J1683" s="122">
        <f>SUM(J1682)</f>
        <v>34.9</v>
      </c>
      <c r="K1683" s="122">
        <f>SUM(K1682)</f>
        <v>34.9</v>
      </c>
      <c r="L1683" s="122">
        <f>SUM(L1682)</f>
        <v>34.9</v>
      </c>
      <c r="N1683" s="695"/>
      <c r="O1683" s="695"/>
      <c r="P1683" s="687"/>
      <c r="Q1683" s="736"/>
    </row>
    <row r="1684" spans="1:17" x14ac:dyDescent="0.2">
      <c r="A1684" s="687">
        <v>9</v>
      </c>
      <c r="B1684" s="696"/>
      <c r="C1684" s="725" t="s">
        <v>2159</v>
      </c>
      <c r="D1684" s="729" t="s">
        <v>579</v>
      </c>
      <c r="E1684" s="699" t="s">
        <v>508</v>
      </c>
      <c r="F1684" s="693" t="s">
        <v>580</v>
      </c>
      <c r="G1684" s="687" t="s">
        <v>9</v>
      </c>
      <c r="H1684" s="705">
        <v>30.4</v>
      </c>
      <c r="I1684" s="37">
        <v>40.4</v>
      </c>
      <c r="J1684" s="116">
        <v>46.8</v>
      </c>
      <c r="K1684" s="701">
        <v>46.8</v>
      </c>
      <c r="L1684" s="701">
        <v>46.8</v>
      </c>
      <c r="M1684" s="38" t="s">
        <v>782</v>
      </c>
      <c r="N1684" s="716" t="s">
        <v>2160</v>
      </c>
      <c r="O1684" s="695" t="s">
        <v>1343</v>
      </c>
      <c r="P1684" s="687">
        <v>100</v>
      </c>
      <c r="Q1684" s="736"/>
    </row>
    <row r="1685" spans="1:17" x14ac:dyDescent="0.2">
      <c r="A1685" s="687">
        <v>9</v>
      </c>
      <c r="B1685" s="696"/>
      <c r="C1685" s="725"/>
      <c r="D1685" s="729"/>
      <c r="E1685" s="699"/>
      <c r="F1685" s="693" t="s">
        <v>580</v>
      </c>
      <c r="G1685" s="712" t="s">
        <v>608</v>
      </c>
      <c r="H1685" s="122"/>
      <c r="I1685" s="122">
        <f>SUM(I1684)</f>
        <v>40.4</v>
      </c>
      <c r="J1685" s="122">
        <f>SUM(J1684)</f>
        <v>46.8</v>
      </c>
      <c r="K1685" s="122">
        <f>SUM(K1684)</f>
        <v>46.8</v>
      </c>
      <c r="L1685" s="122">
        <f>SUM(L1684)</f>
        <v>46.8</v>
      </c>
      <c r="N1685" s="695"/>
      <c r="O1685" s="695"/>
      <c r="P1685" s="687"/>
      <c r="Q1685" s="736"/>
    </row>
    <row r="1686" spans="1:17" ht="33.75" x14ac:dyDescent="0.2">
      <c r="A1686" s="687">
        <v>9</v>
      </c>
      <c r="B1686" s="696"/>
      <c r="C1686" s="725" t="s">
        <v>2161</v>
      </c>
      <c r="D1686" s="48" t="s">
        <v>581</v>
      </c>
      <c r="E1686" s="730" t="s">
        <v>582</v>
      </c>
      <c r="F1686" s="731" t="s">
        <v>583</v>
      </c>
      <c r="G1686" s="687" t="s">
        <v>9</v>
      </c>
      <c r="H1686" s="705">
        <v>50</v>
      </c>
      <c r="I1686" s="37">
        <v>73.900000000000006</v>
      </c>
      <c r="J1686" s="116">
        <f>400-200-30</f>
        <v>170</v>
      </c>
      <c r="K1686" s="701">
        <f>500+200-200</f>
        <v>500</v>
      </c>
      <c r="L1686" s="701">
        <f>600+200</f>
        <v>800</v>
      </c>
      <c r="M1686" s="38" t="s">
        <v>782</v>
      </c>
      <c r="N1686" s="1108" t="s">
        <v>2233</v>
      </c>
      <c r="O1686" s="695" t="s">
        <v>2162</v>
      </c>
      <c r="P1686" s="687">
        <v>9</v>
      </c>
      <c r="Q1686" s="736"/>
    </row>
    <row r="1687" spans="1:17" ht="33.75" x14ac:dyDescent="0.2">
      <c r="A1687" s="687">
        <v>9</v>
      </c>
      <c r="B1687" s="696"/>
      <c r="C1687" s="725"/>
      <c r="D1687" s="48"/>
      <c r="E1687" s="730" t="s">
        <v>582</v>
      </c>
      <c r="F1687" s="731" t="s">
        <v>583</v>
      </c>
      <c r="G1687" s="687" t="s">
        <v>10</v>
      </c>
      <c r="H1687" s="705">
        <v>56.3</v>
      </c>
      <c r="I1687" s="37">
        <v>127.7</v>
      </c>
      <c r="J1687" s="116">
        <v>209.8</v>
      </c>
      <c r="K1687" s="701"/>
      <c r="L1687" s="701"/>
      <c r="M1687" s="38" t="s">
        <v>782</v>
      </c>
      <c r="N1687" s="1108" t="s">
        <v>2233</v>
      </c>
      <c r="O1687" s="695"/>
      <c r="P1687" s="687"/>
      <c r="Q1687" s="736"/>
    </row>
    <row r="1688" spans="1:17" ht="22.5" x14ac:dyDescent="0.2">
      <c r="A1688" s="687">
        <v>9</v>
      </c>
      <c r="B1688" s="696"/>
      <c r="C1688" s="725"/>
      <c r="D1688" s="48"/>
      <c r="E1688" s="732" t="s">
        <v>91</v>
      </c>
      <c r="F1688" s="731" t="s">
        <v>583</v>
      </c>
      <c r="G1688" s="687" t="s">
        <v>9</v>
      </c>
      <c r="H1688" s="705">
        <v>29.8</v>
      </c>
      <c r="I1688" s="16">
        <v>26</v>
      </c>
      <c r="J1688" s="116"/>
      <c r="K1688" s="701"/>
      <c r="L1688" s="701"/>
      <c r="M1688" s="38" t="s">
        <v>782</v>
      </c>
      <c r="N1688" s="695" t="s">
        <v>2163</v>
      </c>
      <c r="O1688" s="695"/>
      <c r="P1688" s="687"/>
      <c r="Q1688" s="736"/>
    </row>
    <row r="1689" spans="1:17" ht="22.5" x14ac:dyDescent="0.2">
      <c r="A1689" s="687">
        <v>9</v>
      </c>
      <c r="B1689" s="696"/>
      <c r="C1689" s="725"/>
      <c r="D1689" s="48"/>
      <c r="E1689" s="732" t="s">
        <v>509</v>
      </c>
      <c r="F1689" s="731" t="s">
        <v>583</v>
      </c>
      <c r="G1689" s="687" t="s">
        <v>10</v>
      </c>
      <c r="H1689" s="708">
        <v>68.8</v>
      </c>
      <c r="I1689" s="16"/>
      <c r="J1689" s="116"/>
      <c r="K1689" s="701"/>
      <c r="L1689" s="701"/>
      <c r="N1689" s="695" t="s">
        <v>2164</v>
      </c>
      <c r="O1689" s="695"/>
      <c r="P1689" s="687"/>
      <c r="Q1689" s="736"/>
    </row>
    <row r="1690" spans="1:17" ht="22.5" x14ac:dyDescent="0.2">
      <c r="A1690" s="687">
        <v>9</v>
      </c>
      <c r="B1690" s="696"/>
      <c r="C1690" s="725"/>
      <c r="D1690" s="48"/>
      <c r="E1690" s="732" t="s">
        <v>509</v>
      </c>
      <c r="F1690" s="731" t="s">
        <v>583</v>
      </c>
      <c r="G1690" s="687" t="s">
        <v>9</v>
      </c>
      <c r="H1690" s="705"/>
      <c r="I1690" s="16">
        <v>92.1</v>
      </c>
      <c r="J1690" s="116"/>
      <c r="K1690" s="701"/>
      <c r="L1690" s="701"/>
      <c r="M1690" s="38" t="s">
        <v>782</v>
      </c>
      <c r="N1690" s="695" t="s">
        <v>2164</v>
      </c>
      <c r="O1690" s="695"/>
      <c r="P1690" s="687"/>
      <c r="Q1690" s="736"/>
    </row>
    <row r="1691" spans="1:17" ht="22.5" x14ac:dyDescent="0.2">
      <c r="A1691" s="687">
        <v>9</v>
      </c>
      <c r="B1691" s="696"/>
      <c r="C1691" s="725"/>
      <c r="D1691" s="48"/>
      <c r="E1691" s="732" t="s">
        <v>632</v>
      </c>
      <c r="F1691" s="731" t="s">
        <v>583</v>
      </c>
      <c r="G1691" s="687" t="s">
        <v>9</v>
      </c>
      <c r="H1691" s="708">
        <v>15</v>
      </c>
      <c r="I1691" s="16">
        <v>15</v>
      </c>
      <c r="J1691" s="116">
        <v>30</v>
      </c>
      <c r="K1691" s="701"/>
      <c r="L1691" s="701"/>
      <c r="M1691" s="38" t="s">
        <v>782</v>
      </c>
      <c r="N1691" s="695" t="s">
        <v>2165</v>
      </c>
      <c r="O1691" s="695"/>
      <c r="P1691" s="687"/>
      <c r="Q1691" s="736"/>
    </row>
    <row r="1692" spans="1:17" x14ac:dyDescent="0.2">
      <c r="A1692" s="687">
        <v>9</v>
      </c>
      <c r="B1692" s="696"/>
      <c r="C1692" s="725"/>
      <c r="D1692" s="48"/>
      <c r="E1692" s="732"/>
      <c r="F1692" s="731" t="s">
        <v>583</v>
      </c>
      <c r="G1692" s="712" t="s">
        <v>608</v>
      </c>
      <c r="H1692" s="122">
        <f>SUM(H1686:H1691)</f>
        <v>219.89999999999998</v>
      </c>
      <c r="I1692" s="122">
        <f>SUM(I1686:I1691)</f>
        <v>334.70000000000005</v>
      </c>
      <c r="J1692" s="122">
        <f>SUM(J1686:J1691)</f>
        <v>409.8</v>
      </c>
      <c r="K1692" s="122">
        <f>SUM(K1686:K1691)</f>
        <v>500</v>
      </c>
      <c r="L1692" s="122">
        <f>SUM(L1686:L1691)</f>
        <v>800</v>
      </c>
      <c r="N1692" s="695"/>
      <c r="O1692" s="695"/>
      <c r="P1692" s="687"/>
      <c r="Q1692" s="736"/>
    </row>
    <row r="1693" spans="1:17" ht="33.75" x14ac:dyDescent="0.2">
      <c r="A1693" s="687">
        <v>9</v>
      </c>
      <c r="B1693" s="696"/>
      <c r="C1693" s="725" t="s">
        <v>2166</v>
      </c>
      <c r="D1693" s="695" t="s">
        <v>604</v>
      </c>
      <c r="E1693" s="699">
        <v>36</v>
      </c>
      <c r="F1693" s="693" t="s">
        <v>605</v>
      </c>
      <c r="G1693" s="687" t="s">
        <v>9</v>
      </c>
      <c r="H1693" s="705">
        <v>16.600000000000001</v>
      </c>
      <c r="I1693" s="16">
        <v>36.6</v>
      </c>
      <c r="J1693" s="116">
        <v>50</v>
      </c>
      <c r="K1693" s="701">
        <v>50</v>
      </c>
      <c r="L1693" s="701">
        <v>50</v>
      </c>
      <c r="M1693" s="38" t="s">
        <v>782</v>
      </c>
      <c r="N1693" s="695" t="s">
        <v>2167</v>
      </c>
      <c r="O1693" s="695" t="s">
        <v>2168</v>
      </c>
      <c r="P1693" s="687">
        <v>5</v>
      </c>
      <c r="Q1693" s="736"/>
    </row>
    <row r="1694" spans="1:17" x14ac:dyDescent="0.2">
      <c r="A1694" s="687">
        <v>9</v>
      </c>
      <c r="B1694" s="696"/>
      <c r="C1694" s="725"/>
      <c r="D1694" s="695"/>
      <c r="E1694" s="699">
        <v>36</v>
      </c>
      <c r="F1694" s="693" t="s">
        <v>605</v>
      </c>
      <c r="G1694" s="712" t="s">
        <v>608</v>
      </c>
      <c r="H1694" s="122"/>
      <c r="I1694" s="122">
        <f>SUM(I1693)</f>
        <v>36.6</v>
      </c>
      <c r="J1694" s="122">
        <f>SUM(J1693)</f>
        <v>50</v>
      </c>
      <c r="K1694" s="122">
        <f>SUM(K1693)</f>
        <v>50</v>
      </c>
      <c r="L1694" s="122">
        <f>SUM(L1693)</f>
        <v>50</v>
      </c>
      <c r="N1694" s="695"/>
      <c r="O1694" s="695"/>
      <c r="P1694" s="687"/>
      <c r="Q1694" s="736"/>
    </row>
    <row r="1695" spans="1:17" x14ac:dyDescent="0.2">
      <c r="A1695" s="687">
        <v>9</v>
      </c>
      <c r="B1695" s="696"/>
      <c r="C1695" s="725" t="s">
        <v>2169</v>
      </c>
      <c r="D1695" s="695" t="s">
        <v>606</v>
      </c>
      <c r="E1695" s="699">
        <v>36</v>
      </c>
      <c r="F1695" s="693" t="s">
        <v>607</v>
      </c>
      <c r="G1695" s="687" t="s">
        <v>9</v>
      </c>
      <c r="H1695" s="705">
        <v>8.4</v>
      </c>
      <c r="I1695" s="37">
        <v>5.8</v>
      </c>
      <c r="J1695" s="116">
        <v>10</v>
      </c>
      <c r="K1695" s="701">
        <v>10</v>
      </c>
      <c r="L1695" s="701">
        <v>10</v>
      </c>
      <c r="M1695" s="38" t="s">
        <v>782</v>
      </c>
      <c r="N1695" s="695" t="s">
        <v>2170</v>
      </c>
      <c r="O1695" s="695" t="s">
        <v>2171</v>
      </c>
      <c r="P1695" s="687">
        <v>7</v>
      </c>
      <c r="Q1695" s="736"/>
    </row>
    <row r="1696" spans="1:17" x14ac:dyDescent="0.2">
      <c r="A1696" s="687">
        <v>9</v>
      </c>
      <c r="B1696" s="696"/>
      <c r="C1696" s="725"/>
      <c r="D1696" s="695"/>
      <c r="E1696" s="699">
        <v>36</v>
      </c>
      <c r="F1696" s="693" t="s">
        <v>607</v>
      </c>
      <c r="G1696" s="712" t="s">
        <v>608</v>
      </c>
      <c r="H1696" s="122"/>
      <c r="I1696" s="122">
        <f>SUM(I1695)</f>
        <v>5.8</v>
      </c>
      <c r="J1696" s="122">
        <f>SUM(J1695)</f>
        <v>10</v>
      </c>
      <c r="K1696" s="122">
        <f>SUM(K1695)</f>
        <v>10</v>
      </c>
      <c r="L1696" s="122">
        <f>SUM(L1695)</f>
        <v>10</v>
      </c>
      <c r="N1696" s="695"/>
      <c r="O1696" s="695"/>
      <c r="P1696" s="687"/>
      <c r="Q1696" s="736"/>
    </row>
    <row r="1697" spans="1:17" ht="22.5" x14ac:dyDescent="0.2">
      <c r="A1697" s="687">
        <v>9</v>
      </c>
      <c r="B1697" s="696"/>
      <c r="C1697" s="725" t="s">
        <v>2172</v>
      </c>
      <c r="D1697" s="695" t="s">
        <v>2173</v>
      </c>
      <c r="E1697" s="700">
        <v>13</v>
      </c>
      <c r="F1697" s="687" t="s">
        <v>2174</v>
      </c>
      <c r="G1697" s="687" t="s">
        <v>9</v>
      </c>
      <c r="H1697" s="705"/>
      <c r="I1697" s="37">
        <v>8.6</v>
      </c>
      <c r="J1697" s="116">
        <v>10</v>
      </c>
      <c r="K1697" s="701">
        <v>10</v>
      </c>
      <c r="L1697" s="701">
        <v>10</v>
      </c>
      <c r="M1697" s="38" t="s">
        <v>796</v>
      </c>
      <c r="N1697" s="695" t="s">
        <v>2175</v>
      </c>
      <c r="O1697" s="695" t="s">
        <v>2176</v>
      </c>
      <c r="P1697" s="687">
        <v>3</v>
      </c>
      <c r="Q1697" s="736"/>
    </row>
    <row r="1698" spans="1:17" x14ac:dyDescent="0.2">
      <c r="A1698" s="687">
        <v>9</v>
      </c>
      <c r="B1698" s="696"/>
      <c r="C1698" s="725"/>
      <c r="D1698" s="695"/>
      <c r="E1698" s="687">
        <v>13</v>
      </c>
      <c r="F1698" s="687" t="s">
        <v>2174</v>
      </c>
      <c r="G1698" s="712" t="s">
        <v>608</v>
      </c>
      <c r="H1698" s="122"/>
      <c r="I1698" s="122">
        <f>SUM(I1697)</f>
        <v>8.6</v>
      </c>
      <c r="J1698" s="122">
        <f t="shared" ref="J1698:L1698" si="329">SUM(J1697)</f>
        <v>10</v>
      </c>
      <c r="K1698" s="122">
        <f t="shared" si="329"/>
        <v>10</v>
      </c>
      <c r="L1698" s="122">
        <f t="shared" si="329"/>
        <v>10</v>
      </c>
      <c r="N1698" s="695"/>
      <c r="O1698" s="695"/>
      <c r="P1698" s="687"/>
      <c r="Q1698" s="736"/>
    </row>
    <row r="1699" spans="1:17" ht="22.5" x14ac:dyDescent="0.2">
      <c r="A1699" s="687">
        <v>9</v>
      </c>
      <c r="B1699" s="696"/>
      <c r="C1699" s="725" t="s">
        <v>2177</v>
      </c>
      <c r="D1699" s="695" t="s">
        <v>2178</v>
      </c>
      <c r="E1699" s="687">
        <v>10</v>
      </c>
      <c r="F1699" s="687" t="s">
        <v>2179</v>
      </c>
      <c r="G1699" s="687" t="s">
        <v>9</v>
      </c>
      <c r="H1699" s="705"/>
      <c r="I1699" s="37"/>
      <c r="J1699" s="116">
        <v>10</v>
      </c>
      <c r="K1699" s="701"/>
      <c r="L1699" s="701"/>
      <c r="M1699" s="38" t="s">
        <v>2221</v>
      </c>
      <c r="N1699" s="695" t="s">
        <v>2180</v>
      </c>
      <c r="O1699" s="1337" t="s">
        <v>2411</v>
      </c>
      <c r="P1699" s="687">
        <v>1</v>
      </c>
      <c r="Q1699" s="736"/>
    </row>
    <row r="1700" spans="1:17" x14ac:dyDescent="0.2">
      <c r="A1700" s="687">
        <v>9</v>
      </c>
      <c r="B1700" s="696"/>
      <c r="C1700" s="725"/>
      <c r="D1700" s="695"/>
      <c r="E1700" s="687">
        <v>10</v>
      </c>
      <c r="F1700" s="687" t="s">
        <v>2179</v>
      </c>
      <c r="G1700" s="687" t="s">
        <v>11</v>
      </c>
      <c r="H1700" s="705"/>
      <c r="I1700" s="37"/>
      <c r="J1700" s="116">
        <v>8.4</v>
      </c>
      <c r="K1700" s="701"/>
      <c r="L1700" s="701"/>
      <c r="M1700" s="38" t="s">
        <v>2221</v>
      </c>
      <c r="N1700" s="695" t="s">
        <v>2180</v>
      </c>
      <c r="O1700" s="695"/>
      <c r="P1700" s="687"/>
      <c r="Q1700" s="736"/>
    </row>
    <row r="1701" spans="1:17" x14ac:dyDescent="0.2">
      <c r="A1701" s="687">
        <v>9</v>
      </c>
      <c r="B1701" s="696"/>
      <c r="C1701" s="725"/>
      <c r="D1701" s="695"/>
      <c r="E1701" s="687">
        <v>10</v>
      </c>
      <c r="F1701" s="687" t="s">
        <v>2179</v>
      </c>
      <c r="G1701" s="687" t="s">
        <v>58</v>
      </c>
      <c r="H1701" s="705"/>
      <c r="I1701" s="37"/>
      <c r="J1701" s="116">
        <v>31.4</v>
      </c>
      <c r="K1701" s="704"/>
      <c r="L1701" s="701"/>
      <c r="M1701" s="38" t="s">
        <v>2221</v>
      </c>
      <c r="N1701" s="695" t="s">
        <v>2180</v>
      </c>
      <c r="O1701" s="695"/>
      <c r="P1701" s="687"/>
      <c r="Q1701" s="736"/>
    </row>
    <row r="1702" spans="1:17" x14ac:dyDescent="0.2">
      <c r="A1702" s="687">
        <v>9</v>
      </c>
      <c r="B1702" s="696"/>
      <c r="C1702" s="725"/>
      <c r="D1702" s="695"/>
      <c r="E1702" s="687">
        <v>10</v>
      </c>
      <c r="F1702" s="687" t="s">
        <v>2179</v>
      </c>
      <c r="G1702" s="712" t="s">
        <v>608</v>
      </c>
      <c r="H1702" s="122"/>
      <c r="I1702" s="122">
        <f>SUM(I1699:I1701)</f>
        <v>0</v>
      </c>
      <c r="J1702" s="122">
        <f t="shared" ref="J1702:L1702" si="330">SUM(J1699:J1701)</f>
        <v>49.8</v>
      </c>
      <c r="K1702" s="122">
        <f t="shared" si="330"/>
        <v>0</v>
      </c>
      <c r="L1702" s="122">
        <f t="shared" si="330"/>
        <v>0</v>
      </c>
      <c r="M1702" s="38" t="s">
        <v>2221</v>
      </c>
      <c r="N1702" s="695"/>
      <c r="O1702" s="695"/>
      <c r="P1702" s="687"/>
      <c r="Q1702" s="736"/>
    </row>
    <row r="1703" spans="1:17" ht="22.5" x14ac:dyDescent="0.2">
      <c r="A1703" s="687">
        <v>9</v>
      </c>
      <c r="B1703" s="696"/>
      <c r="C1703" s="1359" t="s">
        <v>2438</v>
      </c>
      <c r="D1703" s="1397" t="s">
        <v>2440</v>
      </c>
      <c r="E1703" s="687">
        <v>10</v>
      </c>
      <c r="F1703" s="1360" t="s">
        <v>2439</v>
      </c>
      <c r="G1703" s="700" t="s">
        <v>9</v>
      </c>
      <c r="H1703" s="705"/>
      <c r="I1703" s="37"/>
      <c r="J1703" s="116">
        <v>3</v>
      </c>
      <c r="K1703" s="701">
        <v>3</v>
      </c>
      <c r="L1703" s="701">
        <v>3</v>
      </c>
      <c r="M1703" s="38" t="s">
        <v>782</v>
      </c>
      <c r="N1703" s="1361" t="s">
        <v>2434</v>
      </c>
      <c r="O1703" s="695" t="s">
        <v>2158</v>
      </c>
      <c r="P1703" s="687">
        <v>100</v>
      </c>
      <c r="Q1703" s="736"/>
    </row>
    <row r="1704" spans="1:17" x14ac:dyDescent="0.2">
      <c r="A1704" s="687">
        <v>9</v>
      </c>
      <c r="B1704" s="696"/>
      <c r="C1704" s="725"/>
      <c r="D1704" s="695"/>
      <c r="E1704" s="687">
        <v>10</v>
      </c>
      <c r="F1704" s="1360" t="s">
        <v>2439</v>
      </c>
      <c r="G1704" s="712" t="s">
        <v>608</v>
      </c>
      <c r="H1704" s="122"/>
      <c r="I1704" s="122">
        <f>SUM(I1703)</f>
        <v>0</v>
      </c>
      <c r="J1704" s="122">
        <f t="shared" ref="J1704:L1704" si="331">SUM(J1703)</f>
        <v>3</v>
      </c>
      <c r="K1704" s="122">
        <f t="shared" si="331"/>
        <v>3</v>
      </c>
      <c r="L1704" s="122">
        <f t="shared" si="331"/>
        <v>3</v>
      </c>
      <c r="N1704" s="695"/>
      <c r="O1704" s="695"/>
      <c r="P1704" s="687"/>
      <c r="Q1704" s="736"/>
    </row>
    <row r="1705" spans="1:17" ht="33.75" x14ac:dyDescent="0.2">
      <c r="A1705" s="687">
        <v>9</v>
      </c>
      <c r="B1705" s="688"/>
      <c r="C1705" s="688"/>
      <c r="D1705" s="689" t="s">
        <v>2181</v>
      </c>
      <c r="E1705" s="626"/>
      <c r="F1705" s="109"/>
      <c r="G1705" s="107"/>
      <c r="H1705" s="110"/>
      <c r="I1705" s="109"/>
      <c r="J1705" s="109"/>
      <c r="K1705" s="109"/>
      <c r="L1705" s="109"/>
      <c r="N1705" s="695"/>
      <c r="O1705" s="695"/>
      <c r="P1705" s="687"/>
      <c r="Q1705" s="736"/>
    </row>
    <row r="1706" spans="1:17" ht="22.5" x14ac:dyDescent="0.2">
      <c r="A1706" s="687">
        <v>9</v>
      </c>
      <c r="B1706" s="690" t="s">
        <v>2182</v>
      </c>
      <c r="C1706" s="690" t="s">
        <v>2182</v>
      </c>
      <c r="D1706" s="691" t="s">
        <v>1973</v>
      </c>
      <c r="E1706" s="699"/>
      <c r="F1706" s="693"/>
      <c r="G1706" s="144" t="s">
        <v>2134</v>
      </c>
      <c r="H1706" s="709" t="e">
        <f>SUM(H1715+H1718+H1722+H1724+H1726+H1731+H1733+H1737+H1738+H1739+H1742+H1744+H1748+#REF!)</f>
        <v>#REF!</v>
      </c>
      <c r="I1706" s="144">
        <f>SUM(I1715+I1718+I1722+I1724+I1726+I1729+I1731+I1733+I1737+I1738+I1742+I1748+I1744+I1739+I1740+I1750+I1752+I1716)</f>
        <v>938.3</v>
      </c>
      <c r="J1706" s="144">
        <f t="shared" ref="J1706:L1706" si="332">SUM(J1715+J1718+J1722+J1724+J1726+J1729+J1731+J1733+J1737+J1738+J1742+J1748+J1744+J1739+J1740+J1750+J1752+J1716)</f>
        <v>1405.2999999999997</v>
      </c>
      <c r="K1706" s="144">
        <f t="shared" si="332"/>
        <v>3205.5</v>
      </c>
      <c r="L1706" s="144">
        <f t="shared" si="332"/>
        <v>990.90000000000009</v>
      </c>
      <c r="N1706" s="695"/>
      <c r="O1706" s="695"/>
      <c r="P1706" s="687"/>
      <c r="Q1706" s="736"/>
    </row>
    <row r="1707" spans="1:17" ht="22.5" x14ac:dyDescent="0.2">
      <c r="A1707" s="687">
        <v>9</v>
      </c>
      <c r="B1707" s="696"/>
      <c r="C1707" s="687"/>
      <c r="D1707" s="695"/>
      <c r="E1707" s="699"/>
      <c r="F1707" s="693"/>
      <c r="G1707" s="144" t="s">
        <v>2183</v>
      </c>
      <c r="H1707" s="709">
        <f>H1719</f>
        <v>14.3</v>
      </c>
      <c r="I1707" s="144">
        <f>I1719+I1727</f>
        <v>50</v>
      </c>
      <c r="J1707" s="144">
        <f t="shared" ref="J1707:L1707" si="333">J1719+J1727</f>
        <v>0</v>
      </c>
      <c r="K1707" s="144">
        <f t="shared" si="333"/>
        <v>200</v>
      </c>
      <c r="L1707" s="144">
        <f t="shared" si="333"/>
        <v>0</v>
      </c>
      <c r="N1707" s="695"/>
      <c r="O1707" s="695"/>
      <c r="P1707" s="687"/>
      <c r="Q1707" s="736"/>
    </row>
    <row r="1708" spans="1:17" ht="22.5" x14ac:dyDescent="0.2">
      <c r="A1708" s="687">
        <v>9</v>
      </c>
      <c r="B1708" s="696"/>
      <c r="C1708" s="687"/>
      <c r="D1708" s="695"/>
      <c r="E1708" s="699"/>
      <c r="F1708" s="693"/>
      <c r="G1708" s="144" t="s">
        <v>2184</v>
      </c>
      <c r="H1708" s="709"/>
      <c r="I1708" s="144">
        <f>I1720</f>
        <v>0</v>
      </c>
      <c r="J1708" s="144">
        <f t="shared" ref="J1708:L1708" si="334">J1720</f>
        <v>24</v>
      </c>
      <c r="K1708" s="144">
        <f t="shared" si="334"/>
        <v>20</v>
      </c>
      <c r="L1708" s="144">
        <f t="shared" si="334"/>
        <v>20</v>
      </c>
      <c r="N1708" s="695"/>
      <c r="O1708" s="695"/>
      <c r="P1708" s="687"/>
      <c r="Q1708" s="736"/>
    </row>
    <row r="1709" spans="1:17" ht="22.5" x14ac:dyDescent="0.2">
      <c r="A1709" s="687">
        <v>9</v>
      </c>
      <c r="B1709" s="696"/>
      <c r="C1709" s="687"/>
      <c r="D1709" s="695"/>
      <c r="E1709" s="699"/>
      <c r="F1709" s="693"/>
      <c r="G1709" s="144" t="s">
        <v>2185</v>
      </c>
      <c r="H1709" s="709">
        <f>H1734</f>
        <v>42.6</v>
      </c>
      <c r="I1709" s="144">
        <f t="shared" ref="I1709:L1710" si="335">I1734</f>
        <v>81.5</v>
      </c>
      <c r="J1709" s="144">
        <f t="shared" si="335"/>
        <v>88.1</v>
      </c>
      <c r="K1709" s="144">
        <f t="shared" si="335"/>
        <v>83</v>
      </c>
      <c r="L1709" s="144">
        <f t="shared" si="335"/>
        <v>83</v>
      </c>
      <c r="N1709" s="695"/>
      <c r="O1709" s="695"/>
      <c r="P1709" s="687"/>
      <c r="Q1709" s="736"/>
    </row>
    <row r="1710" spans="1:17" ht="22.5" x14ac:dyDescent="0.2">
      <c r="A1710" s="687">
        <v>9</v>
      </c>
      <c r="B1710" s="696"/>
      <c r="C1710" s="687"/>
      <c r="D1710" s="695"/>
      <c r="E1710" s="699"/>
      <c r="F1710" s="693"/>
      <c r="G1710" s="144" t="s">
        <v>2186</v>
      </c>
      <c r="H1710" s="709">
        <f>H1735</f>
        <v>0.1</v>
      </c>
      <c r="I1710" s="144">
        <f t="shared" si="335"/>
        <v>8.4</v>
      </c>
      <c r="J1710" s="144">
        <f t="shared" si="335"/>
        <v>0</v>
      </c>
      <c r="K1710" s="144">
        <f t="shared" si="335"/>
        <v>0</v>
      </c>
      <c r="L1710" s="144">
        <f t="shared" si="335"/>
        <v>0</v>
      </c>
      <c r="N1710" s="695"/>
      <c r="O1710" s="695"/>
      <c r="P1710" s="687"/>
      <c r="Q1710" s="736"/>
    </row>
    <row r="1711" spans="1:17" ht="22.5" x14ac:dyDescent="0.2">
      <c r="A1711" s="687">
        <v>9</v>
      </c>
      <c r="B1711" s="696"/>
      <c r="C1711" s="687"/>
      <c r="D1711" s="695"/>
      <c r="E1711" s="699"/>
      <c r="F1711" s="693"/>
      <c r="G1711" s="144" t="s">
        <v>2187</v>
      </c>
      <c r="H1711" s="709">
        <f>H1745</f>
        <v>0</v>
      </c>
      <c r="I1711" s="144">
        <f>I1745</f>
        <v>0</v>
      </c>
      <c r="J1711" s="144">
        <f>J1745</f>
        <v>930.7</v>
      </c>
      <c r="K1711" s="144">
        <f>K1745</f>
        <v>195.8</v>
      </c>
      <c r="L1711" s="144">
        <f t="shared" ref="L1711" si="336">L1745</f>
        <v>0</v>
      </c>
      <c r="N1711" s="695"/>
      <c r="O1711" s="695"/>
      <c r="P1711" s="687"/>
      <c r="Q1711" s="736"/>
    </row>
    <row r="1712" spans="1:17" ht="22.5" x14ac:dyDescent="0.2">
      <c r="A1712" s="687">
        <v>9</v>
      </c>
      <c r="B1712" s="696"/>
      <c r="C1712" s="687"/>
      <c r="D1712" s="695"/>
      <c r="E1712" s="699"/>
      <c r="F1712" s="693"/>
      <c r="G1712" s="144" t="s">
        <v>562</v>
      </c>
      <c r="H1712" s="709"/>
      <c r="I1712" s="144"/>
      <c r="J1712" s="144">
        <f>J1728</f>
        <v>1200</v>
      </c>
      <c r="K1712" s="144">
        <f t="shared" ref="K1712:L1712" si="337">SUM(L1728)</f>
        <v>0</v>
      </c>
      <c r="L1712" s="144">
        <f t="shared" si="337"/>
        <v>0</v>
      </c>
      <c r="N1712" s="695"/>
      <c r="O1712" s="695"/>
      <c r="P1712" s="687"/>
      <c r="Q1712" s="736"/>
    </row>
    <row r="1713" spans="1:17" ht="22.5" x14ac:dyDescent="0.2">
      <c r="A1713" s="687">
        <v>9</v>
      </c>
      <c r="B1713" s="696"/>
      <c r="C1713" s="687"/>
      <c r="D1713" s="695"/>
      <c r="E1713" s="699"/>
      <c r="F1713" s="693"/>
      <c r="G1713" s="144" t="s">
        <v>2188</v>
      </c>
      <c r="H1713" s="709">
        <f>H1746</f>
        <v>181.1</v>
      </c>
      <c r="I1713" s="144">
        <f t="shared" ref="I1713:L1713" si="338">I1746</f>
        <v>0</v>
      </c>
      <c r="J1713" s="144">
        <f t="shared" si="338"/>
        <v>0</v>
      </c>
      <c r="K1713" s="144">
        <f t="shared" si="338"/>
        <v>0</v>
      </c>
      <c r="L1713" s="144">
        <f t="shared" si="338"/>
        <v>0</v>
      </c>
      <c r="N1713" s="695"/>
      <c r="O1713" s="695"/>
      <c r="P1713" s="687"/>
      <c r="Q1713" s="736"/>
    </row>
    <row r="1714" spans="1:17" x14ac:dyDescent="0.2">
      <c r="A1714" s="687">
        <v>9</v>
      </c>
      <c r="B1714" s="696"/>
      <c r="C1714" s="687"/>
      <c r="D1714" s="695"/>
      <c r="E1714" s="699"/>
      <c r="F1714" s="693"/>
      <c r="G1714" s="697" t="s">
        <v>608</v>
      </c>
      <c r="H1714" s="698" t="e">
        <f>SUM(H1706:H1713)</f>
        <v>#REF!</v>
      </c>
      <c r="I1714" s="698">
        <f>SUM(I1706:I1713)</f>
        <v>1078.2</v>
      </c>
      <c r="J1714" s="698">
        <f>SUM(J1706:J1713)</f>
        <v>3648.0999999999995</v>
      </c>
      <c r="K1714" s="698">
        <f>SUM(K1706:K1713)</f>
        <v>3704.3</v>
      </c>
      <c r="L1714" s="698">
        <f>SUM(L1706:L1713)</f>
        <v>1093.9000000000001</v>
      </c>
      <c r="N1714" s="695"/>
      <c r="O1714" s="695"/>
      <c r="P1714" s="687"/>
      <c r="Q1714" s="736"/>
    </row>
    <row r="1715" spans="1:17" ht="33.75" x14ac:dyDescent="0.2">
      <c r="A1715" s="687">
        <v>9</v>
      </c>
      <c r="B1715" s="696"/>
      <c r="C1715" s="687" t="s">
        <v>2189</v>
      </c>
      <c r="D1715" s="695" t="s">
        <v>570</v>
      </c>
      <c r="E1715" s="699">
        <v>10</v>
      </c>
      <c r="F1715" s="693" t="s">
        <v>571</v>
      </c>
      <c r="G1715" s="687" t="s">
        <v>9</v>
      </c>
      <c r="H1715" s="705">
        <v>8.3000000000000007</v>
      </c>
      <c r="I1715" s="37">
        <v>52.9</v>
      </c>
      <c r="J1715" s="791">
        <f>126-2.3</f>
        <v>123.7</v>
      </c>
      <c r="K1715" s="701">
        <v>42</v>
      </c>
      <c r="L1715" s="701">
        <v>42</v>
      </c>
      <c r="M1715" s="38" t="s">
        <v>796</v>
      </c>
      <c r="N1715" s="695" t="s">
        <v>2190</v>
      </c>
      <c r="O1715" s="1334" t="s">
        <v>2191</v>
      </c>
      <c r="P1715" s="1335">
        <v>25</v>
      </c>
      <c r="Q1715" s="736"/>
    </row>
    <row r="1716" spans="1:17" ht="22.5" x14ac:dyDescent="0.2">
      <c r="A1716" s="687">
        <v>9</v>
      </c>
      <c r="B1716" s="696"/>
      <c r="C1716" s="687"/>
      <c r="D1716" s="695"/>
      <c r="E1716" s="693">
        <v>27</v>
      </c>
      <c r="F1716" s="693" t="s">
        <v>571</v>
      </c>
      <c r="G1716" s="687" t="s">
        <v>9</v>
      </c>
      <c r="H1716" s="705"/>
      <c r="I1716" s="37"/>
      <c r="J1716" s="791">
        <v>74</v>
      </c>
      <c r="K1716" s="701"/>
      <c r="L1716" s="701"/>
      <c r="M1716" s="38" t="s">
        <v>796</v>
      </c>
      <c r="N1716" s="1064" t="s">
        <v>2228</v>
      </c>
      <c r="O1716" s="1334" t="s">
        <v>2405</v>
      </c>
      <c r="P1716" s="1335">
        <v>1</v>
      </c>
      <c r="Q1716" s="736"/>
    </row>
    <row r="1717" spans="1:17" x14ac:dyDescent="0.2">
      <c r="A1717" s="687">
        <v>9</v>
      </c>
      <c r="B1717" s="696"/>
      <c r="C1717" s="687"/>
      <c r="D1717" s="695"/>
      <c r="E1717" s="699">
        <v>10</v>
      </c>
      <c r="F1717" s="693" t="s">
        <v>571</v>
      </c>
      <c r="G1717" s="712" t="s">
        <v>608</v>
      </c>
      <c r="H1717" s="122"/>
      <c r="I1717" s="122">
        <f>SUM(I1715)</f>
        <v>52.9</v>
      </c>
      <c r="J1717" s="122">
        <f>SUM(J1715+J1716)</f>
        <v>197.7</v>
      </c>
      <c r="K1717" s="122">
        <f t="shared" ref="K1717:L1717" si="339">SUM(K1715+K1716)</f>
        <v>42</v>
      </c>
      <c r="L1717" s="122">
        <f t="shared" si="339"/>
        <v>42</v>
      </c>
      <c r="N1717" s="695"/>
      <c r="O1717" s="695"/>
      <c r="P1717" s="687"/>
      <c r="Q1717" s="736"/>
    </row>
    <row r="1718" spans="1:17" ht="22.5" x14ac:dyDescent="0.2">
      <c r="A1718" s="687">
        <v>9</v>
      </c>
      <c r="B1718" s="696"/>
      <c r="C1718" s="687" t="s">
        <v>2192</v>
      </c>
      <c r="D1718" s="695" t="s">
        <v>2193</v>
      </c>
      <c r="E1718" s="699">
        <v>38</v>
      </c>
      <c r="F1718" s="693" t="s">
        <v>587</v>
      </c>
      <c r="G1718" s="687" t="s">
        <v>9</v>
      </c>
      <c r="H1718" s="705"/>
      <c r="I1718" s="37">
        <v>4.9000000000000004</v>
      </c>
      <c r="J1718" s="116">
        <v>50</v>
      </c>
      <c r="K1718" s="701">
        <v>50</v>
      </c>
      <c r="L1718" s="701">
        <v>50</v>
      </c>
      <c r="M1718" s="38" t="s">
        <v>782</v>
      </c>
      <c r="N1718" s="1410" t="s">
        <v>2478</v>
      </c>
      <c r="O1718" s="695" t="s">
        <v>1004</v>
      </c>
      <c r="P1718" s="687">
        <v>100</v>
      </c>
      <c r="Q1718" s="736"/>
    </row>
    <row r="1719" spans="1:17" x14ac:dyDescent="0.2">
      <c r="A1719" s="687">
        <v>9</v>
      </c>
      <c r="B1719" s="696"/>
      <c r="C1719" s="687"/>
      <c r="D1719" s="695"/>
      <c r="E1719" s="699">
        <v>38</v>
      </c>
      <c r="F1719" s="693" t="s">
        <v>587</v>
      </c>
      <c r="G1719" s="687" t="s">
        <v>323</v>
      </c>
      <c r="H1719" s="705">
        <v>14.3</v>
      </c>
      <c r="I1719" s="37">
        <v>50</v>
      </c>
      <c r="J1719" s="116"/>
      <c r="K1719" s="701"/>
      <c r="L1719" s="701"/>
      <c r="N1719" s="695"/>
      <c r="O1719" s="695"/>
      <c r="P1719" s="687"/>
      <c r="Q1719" s="736"/>
    </row>
    <row r="1720" spans="1:17" x14ac:dyDescent="0.2">
      <c r="A1720" s="687">
        <v>9</v>
      </c>
      <c r="B1720" s="696"/>
      <c r="C1720" s="687"/>
      <c r="D1720" s="695"/>
      <c r="E1720" s="699">
        <v>38</v>
      </c>
      <c r="F1720" s="693" t="s">
        <v>587</v>
      </c>
      <c r="G1720" s="700" t="s">
        <v>186</v>
      </c>
      <c r="H1720" s="705"/>
      <c r="I1720" s="37"/>
      <c r="J1720" s="116">
        <v>24</v>
      </c>
      <c r="K1720" s="701">
        <v>20</v>
      </c>
      <c r="L1720" s="701">
        <v>20</v>
      </c>
      <c r="N1720" s="695"/>
      <c r="O1720" s="695"/>
      <c r="P1720" s="687"/>
      <c r="Q1720" s="736"/>
    </row>
    <row r="1721" spans="1:17" x14ac:dyDescent="0.2">
      <c r="A1721" s="687">
        <v>9</v>
      </c>
      <c r="B1721" s="696"/>
      <c r="C1721" s="687"/>
      <c r="D1721" s="695"/>
      <c r="E1721" s="699">
        <v>38</v>
      </c>
      <c r="F1721" s="693" t="s">
        <v>587</v>
      </c>
      <c r="G1721" s="712" t="s">
        <v>608</v>
      </c>
      <c r="H1721" s="122">
        <v>51</v>
      </c>
      <c r="I1721" s="122">
        <f>SUM(I1718:I1720)</f>
        <v>54.9</v>
      </c>
      <c r="J1721" s="122">
        <f t="shared" ref="J1721:L1721" si="340">SUM(J1718:J1720)</f>
        <v>74</v>
      </c>
      <c r="K1721" s="122">
        <f t="shared" si="340"/>
        <v>70</v>
      </c>
      <c r="L1721" s="122">
        <f t="shared" si="340"/>
        <v>70</v>
      </c>
      <c r="N1721" s="695"/>
      <c r="O1721" s="695"/>
      <c r="P1721" s="687"/>
      <c r="Q1721" s="736"/>
    </row>
    <row r="1722" spans="1:17" x14ac:dyDescent="0.2">
      <c r="A1722" s="687">
        <v>9</v>
      </c>
      <c r="B1722" s="696"/>
      <c r="C1722" s="687" t="s">
        <v>2194</v>
      </c>
      <c r="D1722" s="695" t="s">
        <v>588</v>
      </c>
      <c r="E1722" s="733">
        <v>36</v>
      </c>
      <c r="F1722" s="693" t="s">
        <v>589</v>
      </c>
      <c r="G1722" s="687" t="s">
        <v>9</v>
      </c>
      <c r="H1722" s="705">
        <v>8.4</v>
      </c>
      <c r="I1722" s="37">
        <v>12.8</v>
      </c>
      <c r="J1722" s="116">
        <f>16+20</f>
        <v>36</v>
      </c>
      <c r="K1722" s="701">
        <v>16</v>
      </c>
      <c r="L1722" s="701">
        <v>16</v>
      </c>
      <c r="M1722" s="38" t="s">
        <v>782</v>
      </c>
      <c r="N1722" s="695" t="s">
        <v>2167</v>
      </c>
      <c r="O1722" s="695" t="s">
        <v>2195</v>
      </c>
      <c r="P1722" s="687">
        <v>15</v>
      </c>
      <c r="Q1722" s="736"/>
    </row>
    <row r="1723" spans="1:17" ht="15" x14ac:dyDescent="0.25">
      <c r="A1723" s="687">
        <v>9</v>
      </c>
      <c r="B1723" s="696"/>
      <c r="C1723" s="687"/>
      <c r="D1723" s="695"/>
      <c r="E1723" s="733">
        <v>36</v>
      </c>
      <c r="F1723" s="693" t="s">
        <v>589</v>
      </c>
      <c r="G1723" s="712" t="s">
        <v>608</v>
      </c>
      <c r="H1723" s="122"/>
      <c r="I1723" s="122">
        <f>SUM(I1722)</f>
        <v>12.8</v>
      </c>
      <c r="J1723" s="122">
        <f>SUM(J1722)</f>
        <v>36</v>
      </c>
      <c r="K1723" s="122">
        <f>SUM(K1722)</f>
        <v>16</v>
      </c>
      <c r="L1723" s="122">
        <f>SUM(L1722)</f>
        <v>16</v>
      </c>
      <c r="N1723" s="695"/>
      <c r="O1723" s="734"/>
      <c r="P1723" s="735"/>
      <c r="Q1723" s="736"/>
    </row>
    <row r="1724" spans="1:17" ht="22.5" x14ac:dyDescent="0.2">
      <c r="A1724" s="687">
        <v>9</v>
      </c>
      <c r="B1724" s="696"/>
      <c r="C1724" s="687" t="s">
        <v>2196</v>
      </c>
      <c r="D1724" s="695" t="s">
        <v>590</v>
      </c>
      <c r="E1724" s="733">
        <v>36</v>
      </c>
      <c r="F1724" s="693" t="s">
        <v>591</v>
      </c>
      <c r="G1724" s="687" t="s">
        <v>9</v>
      </c>
      <c r="H1724" s="705" t="e">
        <f>#REF!+#REF!+#REF!+#REF!</f>
        <v>#REF!</v>
      </c>
      <c r="I1724" s="37">
        <v>128.1</v>
      </c>
      <c r="J1724" s="116">
        <f>350-180</f>
        <v>170</v>
      </c>
      <c r="K1724" s="701">
        <f>100+362.5</f>
        <v>462.5</v>
      </c>
      <c r="L1724" s="701">
        <v>100</v>
      </c>
      <c r="M1724" s="38" t="s">
        <v>796</v>
      </c>
      <c r="N1724" s="695" t="s">
        <v>2197</v>
      </c>
      <c r="O1724" s="695" t="s">
        <v>2198</v>
      </c>
      <c r="P1724" s="687">
        <v>4</v>
      </c>
      <c r="Q1724" s="736"/>
    </row>
    <row r="1725" spans="1:17" x14ac:dyDescent="0.2">
      <c r="A1725" s="687">
        <v>9</v>
      </c>
      <c r="B1725" s="696"/>
      <c r="C1725" s="687"/>
      <c r="D1725" s="695"/>
      <c r="E1725" s="733">
        <v>36</v>
      </c>
      <c r="F1725" s="693" t="s">
        <v>591</v>
      </c>
      <c r="G1725" s="712" t="s">
        <v>608</v>
      </c>
      <c r="H1725" s="122"/>
      <c r="I1725" s="122">
        <f>SUM(I1724)</f>
        <v>128.1</v>
      </c>
      <c r="J1725" s="122">
        <f>SUM(J1724)</f>
        <v>170</v>
      </c>
      <c r="K1725" s="122">
        <f>SUM(K1724)</f>
        <v>462.5</v>
      </c>
      <c r="L1725" s="122">
        <f>SUM(L1724)</f>
        <v>100</v>
      </c>
      <c r="N1725" s="695"/>
      <c r="O1725" s="695"/>
      <c r="P1725" s="687"/>
      <c r="Q1725" s="736"/>
    </row>
    <row r="1726" spans="1:17" ht="22.5" x14ac:dyDescent="0.2">
      <c r="A1726" s="687">
        <v>9</v>
      </c>
      <c r="B1726" s="696"/>
      <c r="C1726" s="687" t="s">
        <v>2199</v>
      </c>
      <c r="D1726" s="48" t="s">
        <v>592</v>
      </c>
      <c r="E1726" s="711">
        <v>9</v>
      </c>
      <c r="F1726" s="693" t="s">
        <v>593</v>
      </c>
      <c r="G1726" s="687" t="s">
        <v>9</v>
      </c>
      <c r="H1726" s="36">
        <v>310</v>
      </c>
      <c r="I1726" s="37">
        <v>24.5</v>
      </c>
      <c r="J1726" s="740">
        <f>1000-200-109.1-320</f>
        <v>370.9</v>
      </c>
      <c r="K1726" s="24">
        <f>1500+109.1-200+320</f>
        <v>1729.1</v>
      </c>
      <c r="L1726" s="24"/>
      <c r="M1726" s="38" t="s">
        <v>2221</v>
      </c>
      <c r="N1726" s="695" t="s">
        <v>2200</v>
      </c>
      <c r="O1726" s="1334" t="s">
        <v>1553</v>
      </c>
      <c r="P1726" s="1335">
        <v>50</v>
      </c>
      <c r="Q1726" s="736" t="s">
        <v>799</v>
      </c>
    </row>
    <row r="1727" spans="1:17" x14ac:dyDescent="0.2">
      <c r="A1727" s="687">
        <v>9</v>
      </c>
      <c r="B1727" s="696"/>
      <c r="C1727" s="687"/>
      <c r="D1727" s="48"/>
      <c r="E1727" s="711">
        <v>9</v>
      </c>
      <c r="F1727" s="693" t="s">
        <v>593</v>
      </c>
      <c r="G1727" s="687" t="s">
        <v>323</v>
      </c>
      <c r="H1727" s="36"/>
      <c r="I1727" s="37"/>
      <c r="J1727" s="740"/>
      <c r="K1727" s="24">
        <v>200</v>
      </c>
      <c r="L1727" s="24"/>
      <c r="M1727" s="38" t="s">
        <v>2221</v>
      </c>
      <c r="N1727" s="695"/>
      <c r="O1727" s="695"/>
      <c r="P1727" s="687"/>
      <c r="Q1727" s="736" t="s">
        <v>799</v>
      </c>
    </row>
    <row r="1728" spans="1:17" x14ac:dyDescent="0.2">
      <c r="A1728" s="687">
        <v>9</v>
      </c>
      <c r="B1728" s="696"/>
      <c r="C1728" s="687"/>
      <c r="D1728" s="48"/>
      <c r="E1728" s="711">
        <v>9</v>
      </c>
      <c r="F1728" s="693" t="s">
        <v>593</v>
      </c>
      <c r="G1728" s="687" t="s">
        <v>11</v>
      </c>
      <c r="H1728" s="36"/>
      <c r="I1728" s="37"/>
      <c r="J1728" s="740">
        <f>1000+200</f>
        <v>1200</v>
      </c>
      <c r="K1728" s="24"/>
      <c r="L1728" s="24"/>
      <c r="M1728" s="38" t="s">
        <v>2221</v>
      </c>
      <c r="N1728" s="695"/>
      <c r="O1728" s="695"/>
      <c r="P1728" s="687"/>
      <c r="Q1728" s="736" t="s">
        <v>799</v>
      </c>
    </row>
    <row r="1729" spans="1:17" x14ac:dyDescent="0.2">
      <c r="A1729" s="687">
        <v>9</v>
      </c>
      <c r="B1729" s="696"/>
      <c r="C1729" s="687"/>
      <c r="D1729" s="48"/>
      <c r="E1729" s="711">
        <v>23</v>
      </c>
      <c r="F1729" s="693" t="s">
        <v>593</v>
      </c>
      <c r="G1729" s="687" t="s">
        <v>9</v>
      </c>
      <c r="H1729" s="36"/>
      <c r="I1729" s="37"/>
      <c r="J1729" s="116">
        <v>0.5</v>
      </c>
      <c r="K1729" s="24"/>
      <c r="L1729" s="24"/>
      <c r="M1729" s="38" t="s">
        <v>2221</v>
      </c>
      <c r="N1729" s="1437" t="s">
        <v>698</v>
      </c>
      <c r="O1729" s="1334" t="s">
        <v>2383</v>
      </c>
      <c r="P1729" s="1335">
        <v>100</v>
      </c>
      <c r="Q1729" s="736" t="s">
        <v>799</v>
      </c>
    </row>
    <row r="1730" spans="1:17" x14ac:dyDescent="0.2">
      <c r="A1730" s="687">
        <v>9</v>
      </c>
      <c r="B1730" s="696"/>
      <c r="C1730" s="687"/>
      <c r="D1730" s="48"/>
      <c r="E1730" s="711"/>
      <c r="F1730" s="693" t="s">
        <v>593</v>
      </c>
      <c r="G1730" s="712" t="s">
        <v>608</v>
      </c>
      <c r="H1730" s="122">
        <f>SUM(H1726:H1729)</f>
        <v>310</v>
      </c>
      <c r="I1730" s="122">
        <f>SUM(I1726:I1729)</f>
        <v>24.5</v>
      </c>
      <c r="J1730" s="122">
        <f>SUM(J1726:J1729)</f>
        <v>1571.4</v>
      </c>
      <c r="K1730" s="122">
        <f>SUM(K1726:K1729)</f>
        <v>1929.1</v>
      </c>
      <c r="L1730" s="122">
        <f>SUM(L1726:L1729)</f>
        <v>0</v>
      </c>
      <c r="M1730" s="38" t="s">
        <v>2221</v>
      </c>
      <c r="N1730" s="695"/>
      <c r="O1730" s="695"/>
      <c r="P1730" s="687"/>
      <c r="Q1730" s="736"/>
    </row>
    <row r="1731" spans="1:17" ht="45" x14ac:dyDescent="0.2">
      <c r="A1731" s="687">
        <v>9</v>
      </c>
      <c r="B1731" s="696"/>
      <c r="C1731" s="687" t="s">
        <v>2201</v>
      </c>
      <c r="D1731" s="75" t="s">
        <v>2202</v>
      </c>
      <c r="E1731" s="711">
        <v>9</v>
      </c>
      <c r="F1731" s="693" t="s">
        <v>594</v>
      </c>
      <c r="G1731" s="687" t="s">
        <v>9</v>
      </c>
      <c r="H1731" s="36">
        <v>46.9</v>
      </c>
      <c r="I1731" s="37">
        <v>49</v>
      </c>
      <c r="J1731" s="116">
        <v>50</v>
      </c>
      <c r="K1731" s="24">
        <v>50</v>
      </c>
      <c r="L1731" s="24">
        <v>50</v>
      </c>
      <c r="M1731" s="38" t="s">
        <v>782</v>
      </c>
      <c r="N1731" s="695" t="s">
        <v>2203</v>
      </c>
      <c r="O1731" s="695" t="s">
        <v>2204</v>
      </c>
      <c r="P1731" s="687">
        <v>100</v>
      </c>
      <c r="Q1731" s="736"/>
    </row>
    <row r="1732" spans="1:17" x14ac:dyDescent="0.2">
      <c r="A1732" s="687">
        <v>9</v>
      </c>
      <c r="B1732" s="696"/>
      <c r="C1732" s="687"/>
      <c r="D1732" s="75"/>
      <c r="E1732" s="711">
        <v>9</v>
      </c>
      <c r="F1732" s="693" t="s">
        <v>594</v>
      </c>
      <c r="G1732" s="712" t="s">
        <v>608</v>
      </c>
      <c r="H1732" s="122"/>
      <c r="I1732" s="122">
        <f>SUM(I1731)</f>
        <v>49</v>
      </c>
      <c r="J1732" s="122">
        <f>SUM(J1731)</f>
        <v>50</v>
      </c>
      <c r="K1732" s="122">
        <f>SUM(K1731)</f>
        <v>50</v>
      </c>
      <c r="L1732" s="122">
        <f>SUM(L1731)</f>
        <v>50</v>
      </c>
      <c r="N1732" s="695"/>
      <c r="O1732" s="695"/>
      <c r="P1732" s="687"/>
      <c r="Q1732" s="736"/>
    </row>
    <row r="1733" spans="1:17" ht="22.5" x14ac:dyDescent="0.2">
      <c r="A1733" s="687">
        <v>9</v>
      </c>
      <c r="B1733" s="696"/>
      <c r="C1733" s="687" t="s">
        <v>2205</v>
      </c>
      <c r="D1733" s="33" t="s">
        <v>595</v>
      </c>
      <c r="E1733" s="702">
        <v>36</v>
      </c>
      <c r="F1733" s="693" t="s">
        <v>596</v>
      </c>
      <c r="G1733" s="687" t="s">
        <v>9</v>
      </c>
      <c r="H1733" s="36">
        <v>86.2</v>
      </c>
      <c r="I1733" s="37">
        <v>59.1</v>
      </c>
      <c r="J1733" s="116">
        <v>100</v>
      </c>
      <c r="K1733" s="16">
        <v>100</v>
      </c>
      <c r="L1733" s="16">
        <v>100</v>
      </c>
      <c r="M1733" s="38" t="s">
        <v>796</v>
      </c>
      <c r="N1733" s="695" t="s">
        <v>2206</v>
      </c>
      <c r="O1733" s="695" t="s">
        <v>2207</v>
      </c>
      <c r="P1733" s="687">
        <v>15</v>
      </c>
      <c r="Q1733" s="736"/>
    </row>
    <row r="1734" spans="1:17" x14ac:dyDescent="0.2">
      <c r="A1734" s="687">
        <v>9</v>
      </c>
      <c r="B1734" s="696"/>
      <c r="C1734" s="687"/>
      <c r="D1734" s="33"/>
      <c r="E1734" s="702">
        <v>36</v>
      </c>
      <c r="F1734" s="693" t="s">
        <v>596</v>
      </c>
      <c r="G1734" s="687" t="s">
        <v>12</v>
      </c>
      <c r="H1734" s="36">
        <v>42.6</v>
      </c>
      <c r="I1734" s="37">
        <v>81.5</v>
      </c>
      <c r="J1734" s="116">
        <f>83+5.1</f>
        <v>88.1</v>
      </c>
      <c r="K1734" s="16">
        <v>83</v>
      </c>
      <c r="L1734" s="16">
        <v>83</v>
      </c>
      <c r="N1734" s="695" t="s">
        <v>2206</v>
      </c>
      <c r="O1734" s="695"/>
      <c r="P1734" s="687"/>
      <c r="Q1734" s="736"/>
    </row>
    <row r="1735" spans="1:17" x14ac:dyDescent="0.2">
      <c r="A1735" s="687">
        <v>9</v>
      </c>
      <c r="B1735" s="696"/>
      <c r="C1735" s="687"/>
      <c r="D1735" s="33"/>
      <c r="E1735" s="702">
        <v>36</v>
      </c>
      <c r="F1735" s="693" t="s">
        <v>596</v>
      </c>
      <c r="G1735" s="687" t="s">
        <v>266</v>
      </c>
      <c r="H1735" s="36">
        <v>0.1</v>
      </c>
      <c r="I1735" s="37">
        <v>8.4</v>
      </c>
      <c r="J1735" s="116"/>
      <c r="K1735" s="16"/>
      <c r="L1735" s="16"/>
      <c r="N1735" s="695" t="s">
        <v>2206</v>
      </c>
      <c r="O1735" s="695"/>
      <c r="P1735" s="687"/>
      <c r="Q1735" s="736"/>
    </row>
    <row r="1736" spans="1:17" x14ac:dyDescent="0.2">
      <c r="A1736" s="687">
        <v>9</v>
      </c>
      <c r="B1736" s="696"/>
      <c r="C1736" s="687"/>
      <c r="D1736" s="33"/>
      <c r="E1736" s="702">
        <v>36</v>
      </c>
      <c r="F1736" s="693" t="s">
        <v>596</v>
      </c>
      <c r="G1736" s="712" t="s">
        <v>608</v>
      </c>
      <c r="H1736" s="122">
        <f>SUM(H1733:H1735)</f>
        <v>128.9</v>
      </c>
      <c r="I1736" s="122">
        <f>SUM(I1733:I1735)</f>
        <v>149</v>
      </c>
      <c r="J1736" s="122">
        <f>SUM(J1733:J1735)</f>
        <v>188.1</v>
      </c>
      <c r="K1736" s="122">
        <f>SUM(K1733:K1735)</f>
        <v>183</v>
      </c>
      <c r="L1736" s="122">
        <f>SUM(L1733:L1735)</f>
        <v>183</v>
      </c>
      <c r="N1736" s="695"/>
      <c r="O1736" s="695"/>
      <c r="P1736" s="687"/>
      <c r="Q1736" s="736"/>
    </row>
    <row r="1737" spans="1:17" ht="15" x14ac:dyDescent="0.25">
      <c r="A1737" s="687">
        <v>9</v>
      </c>
      <c r="B1737" s="696"/>
      <c r="C1737" s="687" t="s">
        <v>2208</v>
      </c>
      <c r="D1737" s="35" t="s">
        <v>597</v>
      </c>
      <c r="E1737" s="702" t="s">
        <v>139</v>
      </c>
      <c r="F1737" s="693" t="s">
        <v>598</v>
      </c>
      <c r="G1737" s="700" t="s">
        <v>9</v>
      </c>
      <c r="H1737" s="36">
        <v>72</v>
      </c>
      <c r="I1737" s="37">
        <v>88.1</v>
      </c>
      <c r="J1737" s="116">
        <v>75.3</v>
      </c>
      <c r="K1737" s="16">
        <v>75.3</v>
      </c>
      <c r="L1737" s="16">
        <v>75.3</v>
      </c>
      <c r="M1737" s="38" t="s">
        <v>782</v>
      </c>
      <c r="N1737" s="734"/>
      <c r="O1737" s="734"/>
      <c r="P1737" s="735"/>
      <c r="Q1737" s="736"/>
    </row>
    <row r="1738" spans="1:17" ht="33.75" x14ac:dyDescent="0.2">
      <c r="A1738" s="687">
        <v>9</v>
      </c>
      <c r="B1738" s="696"/>
      <c r="C1738" s="687"/>
      <c r="D1738" s="35"/>
      <c r="E1738" s="702">
        <v>18</v>
      </c>
      <c r="F1738" s="693" t="s">
        <v>598</v>
      </c>
      <c r="G1738" s="700" t="s">
        <v>9</v>
      </c>
      <c r="H1738" s="36">
        <v>53.4</v>
      </c>
      <c r="I1738" s="37">
        <v>410.2</v>
      </c>
      <c r="J1738" s="116">
        <v>235</v>
      </c>
      <c r="K1738" s="16">
        <v>50</v>
      </c>
      <c r="L1738" s="16">
        <v>50</v>
      </c>
      <c r="M1738" s="38" t="s">
        <v>796</v>
      </c>
      <c r="N1738" s="695" t="s">
        <v>2209</v>
      </c>
      <c r="O1738" s="1334" t="s">
        <v>2406</v>
      </c>
      <c r="P1738" s="1336" t="s">
        <v>2407</v>
      </c>
      <c r="Q1738" s="736"/>
    </row>
    <row r="1739" spans="1:17" x14ac:dyDescent="0.2">
      <c r="A1739" s="687">
        <v>9</v>
      </c>
      <c r="B1739" s="696"/>
      <c r="C1739" s="687"/>
      <c r="D1739" s="35"/>
      <c r="E1739" s="702" t="s">
        <v>2210</v>
      </c>
      <c r="F1739" s="693" t="s">
        <v>598</v>
      </c>
      <c r="G1739" s="700" t="s">
        <v>9</v>
      </c>
      <c r="H1739" s="36"/>
      <c r="I1739" s="16">
        <v>49</v>
      </c>
      <c r="J1739" s="116"/>
      <c r="K1739" s="16"/>
      <c r="L1739" s="16"/>
      <c r="M1739" s="38" t="s">
        <v>787</v>
      </c>
      <c r="N1739" s="695"/>
      <c r="O1739" s="695"/>
      <c r="P1739" s="687"/>
      <c r="Q1739" s="736"/>
    </row>
    <row r="1740" spans="1:17" x14ac:dyDescent="0.2">
      <c r="A1740" s="687">
        <v>9</v>
      </c>
      <c r="B1740" s="696"/>
      <c r="C1740" s="687"/>
      <c r="D1740" s="35"/>
      <c r="E1740" s="702" t="s">
        <v>664</v>
      </c>
      <c r="F1740" s="693" t="s">
        <v>598</v>
      </c>
      <c r="G1740" s="700" t="s">
        <v>9</v>
      </c>
      <c r="H1740" s="36"/>
      <c r="I1740" s="16">
        <v>12</v>
      </c>
      <c r="J1740" s="116"/>
      <c r="K1740" s="16"/>
      <c r="L1740" s="16"/>
      <c r="M1740" s="38" t="s">
        <v>787</v>
      </c>
      <c r="N1740" s="695"/>
      <c r="O1740" s="695"/>
      <c r="P1740" s="687"/>
      <c r="Q1740" s="736"/>
    </row>
    <row r="1741" spans="1:17" x14ac:dyDescent="0.2">
      <c r="A1741" s="687">
        <v>9</v>
      </c>
      <c r="B1741" s="696"/>
      <c r="C1741" s="687"/>
      <c r="D1741" s="35"/>
      <c r="E1741" s="702"/>
      <c r="F1741" s="693" t="s">
        <v>598</v>
      </c>
      <c r="G1741" s="712" t="s">
        <v>608</v>
      </c>
      <c r="H1741" s="122">
        <f>SUM(H1737+H1738)</f>
        <v>125.4</v>
      </c>
      <c r="I1741" s="122">
        <f>SUM(I1737+I1738+I1739+I1740)</f>
        <v>559.29999999999995</v>
      </c>
      <c r="J1741" s="122">
        <f>SUM(J1737+J1738)</f>
        <v>310.3</v>
      </c>
      <c r="K1741" s="122">
        <f>SUM(K1737+K1738)</f>
        <v>125.3</v>
      </c>
      <c r="L1741" s="122">
        <f>SUM(L1737+L1738)</f>
        <v>125.3</v>
      </c>
      <c r="N1741" s="695"/>
      <c r="O1741" s="695"/>
      <c r="P1741" s="687"/>
      <c r="Q1741" s="736"/>
    </row>
    <row r="1742" spans="1:17" ht="33.75" x14ac:dyDescent="0.2">
      <c r="A1742" s="687">
        <v>9</v>
      </c>
      <c r="B1742" s="696"/>
      <c r="C1742" s="687" t="s">
        <v>2211</v>
      </c>
      <c r="D1742" s="52" t="s">
        <v>599</v>
      </c>
      <c r="E1742" s="702">
        <v>18</v>
      </c>
      <c r="F1742" s="693" t="s">
        <v>600</v>
      </c>
      <c r="G1742" s="687" t="s">
        <v>9</v>
      </c>
      <c r="H1742" s="36">
        <f>27.6-10</f>
        <v>17.600000000000001</v>
      </c>
      <c r="I1742" s="37">
        <v>16</v>
      </c>
      <c r="J1742" s="116">
        <f>27.6-5</f>
        <v>22.6</v>
      </c>
      <c r="K1742" s="16">
        <v>27.6</v>
      </c>
      <c r="L1742" s="16">
        <v>27.6</v>
      </c>
      <c r="M1742" s="38" t="s">
        <v>782</v>
      </c>
      <c r="N1742" s="695" t="s">
        <v>2212</v>
      </c>
      <c r="O1742" s="695" t="s">
        <v>2204</v>
      </c>
      <c r="P1742" s="687">
        <v>100</v>
      </c>
      <c r="Q1742" s="736"/>
    </row>
    <row r="1743" spans="1:17" x14ac:dyDescent="0.2">
      <c r="A1743" s="687">
        <v>9</v>
      </c>
      <c r="B1743" s="696"/>
      <c r="C1743" s="687"/>
      <c r="D1743" s="52"/>
      <c r="E1743" s="702">
        <v>18</v>
      </c>
      <c r="F1743" s="693" t="s">
        <v>600</v>
      </c>
      <c r="G1743" s="712" t="s">
        <v>608</v>
      </c>
      <c r="H1743" s="122"/>
      <c r="I1743" s="122">
        <f>SUM(I1742)</f>
        <v>16</v>
      </c>
      <c r="J1743" s="122">
        <f>SUM(J1742)</f>
        <v>22.6</v>
      </c>
      <c r="K1743" s="122">
        <f>SUM(K1742)</f>
        <v>27.6</v>
      </c>
      <c r="L1743" s="122">
        <f>SUM(L1742)</f>
        <v>27.6</v>
      </c>
      <c r="N1743" s="695"/>
      <c r="O1743" s="695"/>
      <c r="P1743" s="687"/>
      <c r="Q1743" s="736"/>
    </row>
    <row r="1744" spans="1:17" ht="22.5" x14ac:dyDescent="0.2">
      <c r="A1744" s="687">
        <v>9</v>
      </c>
      <c r="B1744" s="696"/>
      <c r="C1744" s="687" t="s">
        <v>2213</v>
      </c>
      <c r="D1744" s="48" t="s">
        <v>2214</v>
      </c>
      <c r="E1744" s="702">
        <v>9</v>
      </c>
      <c r="F1744" s="693" t="s">
        <v>601</v>
      </c>
      <c r="G1744" s="687" t="s">
        <v>9</v>
      </c>
      <c r="H1744" s="36">
        <v>483.2</v>
      </c>
      <c r="I1744" s="37">
        <v>31.7</v>
      </c>
      <c r="J1744" s="116">
        <f>2.3</f>
        <v>2.2999999999999998</v>
      </c>
      <c r="K1744" s="24">
        <f>198</f>
        <v>198</v>
      </c>
      <c r="L1744" s="24">
        <f>200-200</f>
        <v>0</v>
      </c>
      <c r="M1744" s="38" t="s">
        <v>787</v>
      </c>
      <c r="N1744" s="695"/>
      <c r="O1744" s="695"/>
      <c r="P1744" s="687"/>
      <c r="Q1744" s="736"/>
    </row>
    <row r="1745" spans="1:17" x14ac:dyDescent="0.2">
      <c r="A1745" s="687">
        <v>9</v>
      </c>
      <c r="B1745" s="696"/>
      <c r="C1745" s="687"/>
      <c r="D1745" s="48"/>
      <c r="E1745" s="702">
        <v>9</v>
      </c>
      <c r="F1745" s="693" t="s">
        <v>601</v>
      </c>
      <c r="G1745" s="687" t="s">
        <v>58</v>
      </c>
      <c r="H1745" s="36"/>
      <c r="I1745" s="37"/>
      <c r="J1745" s="116">
        <v>930.7</v>
      </c>
      <c r="K1745" s="24">
        <v>195.8</v>
      </c>
      <c r="L1745" s="24"/>
      <c r="N1745" s="1343" t="s">
        <v>2413</v>
      </c>
      <c r="O1745" s="1343" t="s">
        <v>2414</v>
      </c>
      <c r="P1745" s="1344">
        <v>1</v>
      </c>
      <c r="Q1745" s="736"/>
    </row>
    <row r="1746" spans="1:17" x14ac:dyDescent="0.2">
      <c r="A1746" s="687">
        <v>9</v>
      </c>
      <c r="B1746" s="696"/>
      <c r="C1746" s="687"/>
      <c r="D1746" s="48"/>
      <c r="E1746" s="702">
        <v>9</v>
      </c>
      <c r="F1746" s="693" t="s">
        <v>601</v>
      </c>
      <c r="G1746" s="687" t="s">
        <v>10</v>
      </c>
      <c r="H1746" s="36">
        <v>181.1</v>
      </c>
      <c r="I1746" s="37"/>
      <c r="J1746" s="116"/>
      <c r="K1746" s="24"/>
      <c r="L1746" s="24"/>
      <c r="N1746" s="695"/>
      <c r="O1746" s="695"/>
      <c r="P1746" s="687"/>
      <c r="Q1746" s="736"/>
    </row>
    <row r="1747" spans="1:17" x14ac:dyDescent="0.2">
      <c r="A1747" s="687">
        <v>9</v>
      </c>
      <c r="B1747" s="696"/>
      <c r="C1747" s="687"/>
      <c r="D1747" s="48"/>
      <c r="E1747" s="702">
        <v>9</v>
      </c>
      <c r="F1747" s="693" t="s">
        <v>601</v>
      </c>
      <c r="G1747" s="712" t="s">
        <v>608</v>
      </c>
      <c r="H1747" s="122">
        <f>SUM(H1744:H1746)</f>
        <v>664.3</v>
      </c>
      <c r="I1747" s="122">
        <f>SUM(I1744:I1746)</f>
        <v>31.7</v>
      </c>
      <c r="J1747" s="122">
        <f>SUM(J1744:J1746)</f>
        <v>933</v>
      </c>
      <c r="K1747" s="122">
        <f>SUM(K1744:K1746)</f>
        <v>393.8</v>
      </c>
      <c r="L1747" s="122">
        <f>SUM(L1744:L1746)</f>
        <v>0</v>
      </c>
      <c r="N1747" s="695"/>
      <c r="O1747" s="695"/>
      <c r="P1747" s="687"/>
      <c r="Q1747" s="736"/>
    </row>
    <row r="1748" spans="1:17" ht="33.75" x14ac:dyDescent="0.2">
      <c r="A1748" s="687">
        <v>9</v>
      </c>
      <c r="B1748" s="696"/>
      <c r="C1748" s="687" t="s">
        <v>2215</v>
      </c>
      <c r="D1748" s="52" t="s">
        <v>602</v>
      </c>
      <c r="E1748" s="702">
        <v>18</v>
      </c>
      <c r="F1748" s="693" t="s">
        <v>603</v>
      </c>
      <c r="G1748" s="687" t="s">
        <v>9</v>
      </c>
      <c r="H1748" s="36">
        <v>24.9</v>
      </c>
      <c r="I1748" s="37"/>
      <c r="J1748" s="116">
        <v>5</v>
      </c>
      <c r="K1748" s="16">
        <v>5</v>
      </c>
      <c r="L1748" s="16">
        <v>5</v>
      </c>
      <c r="M1748" s="38" t="s">
        <v>796</v>
      </c>
      <c r="N1748" s="695" t="s">
        <v>2212</v>
      </c>
      <c r="O1748" s="695" t="s">
        <v>2216</v>
      </c>
      <c r="P1748" s="687">
        <v>100</v>
      </c>
      <c r="Q1748" s="736"/>
    </row>
    <row r="1749" spans="1:17" x14ac:dyDescent="0.2">
      <c r="A1749" s="687">
        <v>9</v>
      </c>
      <c r="B1749" s="696"/>
      <c r="C1749" s="687"/>
      <c r="D1749" s="52"/>
      <c r="E1749" s="702">
        <v>18</v>
      </c>
      <c r="F1749" s="693" t="s">
        <v>603</v>
      </c>
      <c r="G1749" s="712" t="s">
        <v>608</v>
      </c>
      <c r="H1749" s="122"/>
      <c r="I1749" s="122">
        <f>SUM(I1748)</f>
        <v>0</v>
      </c>
      <c r="J1749" s="122">
        <f>SUM(J1748)</f>
        <v>5</v>
      </c>
      <c r="K1749" s="122">
        <f>SUM(K1748)</f>
        <v>5</v>
      </c>
      <c r="L1749" s="122">
        <f>SUM(L1748)</f>
        <v>5</v>
      </c>
      <c r="N1749" s="695"/>
      <c r="O1749" s="695"/>
      <c r="P1749" s="687"/>
      <c r="Q1749" s="736"/>
    </row>
    <row r="1750" spans="1:17" ht="33.75" x14ac:dyDescent="0.2">
      <c r="A1750" s="687">
        <v>9</v>
      </c>
      <c r="B1750" s="696"/>
      <c r="C1750" s="687" t="s">
        <v>2217</v>
      </c>
      <c r="D1750" s="52" t="s">
        <v>2218</v>
      </c>
      <c r="E1750" s="702">
        <v>9</v>
      </c>
      <c r="F1750" s="693" t="s">
        <v>2219</v>
      </c>
      <c r="G1750" s="687" t="s">
        <v>9</v>
      </c>
      <c r="H1750" s="36">
        <v>24.9</v>
      </c>
      <c r="I1750" s="37"/>
      <c r="J1750" s="116">
        <v>40</v>
      </c>
      <c r="K1750" s="16">
        <v>200</v>
      </c>
      <c r="L1750" s="16">
        <v>200</v>
      </c>
      <c r="M1750" s="38" t="s">
        <v>796</v>
      </c>
      <c r="N1750" s="1341" t="s">
        <v>2408</v>
      </c>
      <c r="O1750" s="1341" t="s">
        <v>2412</v>
      </c>
      <c r="P1750" s="1342" t="s">
        <v>860</v>
      </c>
      <c r="Q1750" s="736"/>
    </row>
    <row r="1751" spans="1:17" x14ac:dyDescent="0.2">
      <c r="A1751" s="687">
        <v>9</v>
      </c>
      <c r="B1751" s="998"/>
      <c r="C1751" s="997"/>
      <c r="D1751" s="996"/>
      <c r="E1751" s="999"/>
      <c r="F1751" s="1000"/>
      <c r="G1751" s="1001" t="s">
        <v>608</v>
      </c>
      <c r="H1751" s="1002"/>
      <c r="I1751" s="1002">
        <f>SUM(I1750)</f>
        <v>0</v>
      </c>
      <c r="J1751" s="1002">
        <f>SUM(J1750)</f>
        <v>40</v>
      </c>
      <c r="K1751" s="1002">
        <f>SUM(K1750)</f>
        <v>200</v>
      </c>
      <c r="L1751" s="1002">
        <f>SUM(L1750)</f>
        <v>200</v>
      </c>
      <c r="N1751" s="695"/>
      <c r="O1751" s="695"/>
      <c r="P1751" s="687"/>
      <c r="Q1751" s="736"/>
    </row>
    <row r="1752" spans="1:17" ht="22.5" x14ac:dyDescent="0.2">
      <c r="A1752" s="687">
        <v>9</v>
      </c>
      <c r="B1752" s="998"/>
      <c r="C1752" s="1360" t="s">
        <v>2443</v>
      </c>
      <c r="D1752" s="996" t="s">
        <v>2444</v>
      </c>
      <c r="E1752" s="999" t="s">
        <v>2442</v>
      </c>
      <c r="F1752" s="1000" t="s">
        <v>2445</v>
      </c>
      <c r="G1752" s="687" t="s">
        <v>9</v>
      </c>
      <c r="H1752" s="36">
        <v>24.9</v>
      </c>
      <c r="I1752" s="37"/>
      <c r="J1752" s="116">
        <v>50</v>
      </c>
      <c r="K1752" s="16">
        <v>200</v>
      </c>
      <c r="L1752" s="16">
        <v>275</v>
      </c>
      <c r="M1752" s="38" t="s">
        <v>2221</v>
      </c>
      <c r="N1752" s="1362" t="s">
        <v>2446</v>
      </c>
      <c r="O1752" s="1362" t="s">
        <v>2447</v>
      </c>
      <c r="P1752" s="700">
        <v>1</v>
      </c>
      <c r="Q1752" s="736"/>
    </row>
    <row r="1753" spans="1:17" x14ac:dyDescent="0.2">
      <c r="A1753" s="687">
        <v>9</v>
      </c>
      <c r="B1753" s="998"/>
      <c r="C1753" s="997"/>
      <c r="D1753" s="996"/>
      <c r="E1753" s="999"/>
      <c r="F1753" s="1000"/>
      <c r="G1753" s="1001" t="s">
        <v>608</v>
      </c>
      <c r="H1753" s="1002"/>
      <c r="I1753" s="1002">
        <f>SUM(I1752)</f>
        <v>0</v>
      </c>
      <c r="J1753" s="1002">
        <f>SUM(J1752)</f>
        <v>50</v>
      </c>
      <c r="K1753" s="1002">
        <f>SUM(K1752)</f>
        <v>200</v>
      </c>
      <c r="L1753" s="1002">
        <f>SUM(L1752)</f>
        <v>275</v>
      </c>
      <c r="M1753" s="38" t="s">
        <v>2221</v>
      </c>
      <c r="N1753" s="695"/>
      <c r="O1753" s="695"/>
      <c r="P1753" s="687"/>
      <c r="Q1753" s="736"/>
    </row>
    <row r="1754" spans="1:17" x14ac:dyDescent="0.2">
      <c r="A1754" s="687">
        <v>9</v>
      </c>
      <c r="B1754" s="192"/>
      <c r="C1754" s="192"/>
      <c r="D1754" s="344"/>
      <c r="E1754" s="192"/>
      <c r="F1754" s="192"/>
      <c r="G1754" s="185" t="s">
        <v>608</v>
      </c>
      <c r="H1754" s="164"/>
      <c r="I1754" s="185">
        <f>SUM(I1505+I1513+I1560+I1662+I1673+I1714)</f>
        <v>18623.8</v>
      </c>
      <c r="J1754" s="185">
        <f>SUM(J1505+J1513+J1560+J1662+J1673+J1714)</f>
        <v>23509.599999999999</v>
      </c>
      <c r="K1754" s="185">
        <f>SUM(K1505+K1513+K1560+K1662+K1673+K1714)</f>
        <v>24321.8</v>
      </c>
      <c r="L1754" s="185">
        <f>SUM(L1505+L1513+L1560+L1662+L1673+L1714)</f>
        <v>22250.500000000004</v>
      </c>
      <c r="M1754" s="57"/>
      <c r="N1754" s="59"/>
      <c r="O1754" s="677"/>
      <c r="P1754" s="379"/>
      <c r="Q1754" s="677"/>
    </row>
    <row r="1755" spans="1:17" x14ac:dyDescent="0.2">
      <c r="A1755" s="687">
        <v>9</v>
      </c>
      <c r="B1755" s="192"/>
      <c r="C1755" s="192"/>
      <c r="D1755" s="344"/>
      <c r="E1755" s="192"/>
      <c r="F1755" s="192"/>
      <c r="G1755" s="738" t="s">
        <v>9</v>
      </c>
      <c r="H1755" s="21"/>
      <c r="I1755" s="21">
        <f>SUM(I1503+I1511+I1548+I1661+I1668+I1706)</f>
        <v>16356.599999999999</v>
      </c>
      <c r="J1755" s="21">
        <f>SUM(J1503+J1511+J1548+J1661+J1668+J1706)</f>
        <v>18922.800000000003</v>
      </c>
      <c r="K1755" s="21">
        <f>SUM(K1503+K1511+K1548+K1661+K1668+K1706)</f>
        <v>21827.500000000004</v>
      </c>
      <c r="L1755" s="21">
        <f>SUM(L1503+L1511+L1548+L1661+L1668+L1706)</f>
        <v>20151.200000000004</v>
      </c>
      <c r="M1755" s="46"/>
      <c r="N1755" s="146"/>
      <c r="O1755" s="677"/>
      <c r="P1755" s="379"/>
      <c r="Q1755" s="677"/>
    </row>
    <row r="1756" spans="1:17" x14ac:dyDescent="0.2">
      <c r="A1756" s="687">
        <v>9</v>
      </c>
      <c r="B1756" s="192"/>
      <c r="C1756" s="192"/>
      <c r="D1756" s="344"/>
      <c r="E1756" s="192"/>
      <c r="F1756" s="192"/>
      <c r="G1756" s="738" t="s">
        <v>11</v>
      </c>
      <c r="H1756" s="21"/>
      <c r="I1756" s="21">
        <f>SUM(I1504+I1550+I1671+I1712)</f>
        <v>1790.4000000000005</v>
      </c>
      <c r="J1756" s="21">
        <f t="shared" ref="J1756:L1756" si="341">SUM(J1504+J1550+J1671+J1712)</f>
        <v>3079.5</v>
      </c>
      <c r="K1756" s="21">
        <f t="shared" si="341"/>
        <v>1898.6000000000001</v>
      </c>
      <c r="L1756" s="21">
        <f t="shared" si="341"/>
        <v>1905.0000000000002</v>
      </c>
      <c r="M1756" s="46"/>
      <c r="N1756" s="146"/>
      <c r="O1756" s="1003"/>
      <c r="P1756" s="379"/>
      <c r="Q1756" s="677"/>
    </row>
    <row r="1757" spans="1:17" x14ac:dyDescent="0.2">
      <c r="A1757" s="687">
        <v>9</v>
      </c>
      <c r="B1757" s="192"/>
      <c r="C1757" s="192"/>
      <c r="D1757" s="344"/>
      <c r="E1757" s="192"/>
      <c r="F1757" s="192"/>
      <c r="G1757" s="738" t="s">
        <v>61</v>
      </c>
      <c r="H1757" s="21"/>
      <c r="I1757" s="21"/>
      <c r="J1757" s="21"/>
      <c r="K1757" s="21"/>
      <c r="L1757" s="21"/>
      <c r="M1757" s="46"/>
      <c r="N1757" s="146"/>
      <c r="O1757" s="677"/>
      <c r="P1757" s="379"/>
      <c r="Q1757" s="677"/>
    </row>
    <row r="1758" spans="1:17" x14ac:dyDescent="0.2">
      <c r="A1758" s="687">
        <v>9</v>
      </c>
      <c r="B1758" s="192"/>
      <c r="C1758" s="192"/>
      <c r="D1758" s="344"/>
      <c r="E1758" s="192"/>
      <c r="F1758" s="192"/>
      <c r="G1758" s="738" t="s">
        <v>226</v>
      </c>
      <c r="H1758" s="21"/>
      <c r="I1758" s="21">
        <f>SUM(I1605,I1606)</f>
        <v>158.19999999999999</v>
      </c>
      <c r="J1758" s="21">
        <f>SUM(J1605,J1606)</f>
        <v>0</v>
      </c>
      <c r="K1758" s="21">
        <f>SUM(K1605,K1606)</f>
        <v>0</v>
      </c>
      <c r="L1758" s="21">
        <f>SUM(L1605,L1606)</f>
        <v>0</v>
      </c>
      <c r="M1758" s="46"/>
      <c r="N1758" s="146"/>
      <c r="O1758" s="677"/>
      <c r="P1758" s="379"/>
      <c r="Q1758" s="677"/>
    </row>
    <row r="1759" spans="1:17" x14ac:dyDescent="0.2">
      <c r="A1759" s="687">
        <v>9</v>
      </c>
      <c r="B1759" s="192"/>
      <c r="C1759" s="192"/>
      <c r="D1759" s="344"/>
      <c r="E1759" s="192"/>
      <c r="F1759" s="192"/>
      <c r="G1759" s="738" t="s">
        <v>12</v>
      </c>
      <c r="H1759" s="21"/>
      <c r="I1759" s="21">
        <f>SUM(I1518,I1535,I1537,I1540,I1542,I1734,I1602)</f>
        <v>92.2</v>
      </c>
      <c r="J1759" s="21">
        <f>SUM(J1518,J1535,J1537,J1540,J1542,J1734,J1602)</f>
        <v>103.5</v>
      </c>
      <c r="K1759" s="21">
        <f>SUM(K1518,K1535,K1537,K1540,K1542,K1734,K1602)</f>
        <v>98.4</v>
      </c>
      <c r="L1759" s="21">
        <f>SUM(L1518,L1535,L1537,L1540,L1542,L1734,L1602)</f>
        <v>98.4</v>
      </c>
      <c r="M1759" s="46"/>
      <c r="N1759" s="146"/>
      <c r="O1759" s="677"/>
      <c r="P1759" s="379"/>
      <c r="Q1759" s="677"/>
    </row>
    <row r="1760" spans="1:17" x14ac:dyDescent="0.2">
      <c r="A1760" s="687">
        <v>9</v>
      </c>
      <c r="B1760" s="192"/>
      <c r="C1760" s="192"/>
      <c r="D1760" s="344"/>
      <c r="E1760" s="192"/>
      <c r="F1760" s="192"/>
      <c r="G1760" s="738" t="s">
        <v>266</v>
      </c>
      <c r="H1760" s="21"/>
      <c r="I1760" s="21">
        <f>I1735</f>
        <v>8.4</v>
      </c>
      <c r="J1760" s="21">
        <f t="shared" ref="J1760:L1760" si="342">J1735</f>
        <v>0</v>
      </c>
      <c r="K1760" s="21">
        <f t="shared" si="342"/>
        <v>0</v>
      </c>
      <c r="L1760" s="21">
        <f t="shared" si="342"/>
        <v>0</v>
      </c>
      <c r="M1760" s="46"/>
      <c r="N1760" s="146"/>
      <c r="O1760" s="677"/>
      <c r="P1760" s="379"/>
      <c r="Q1760" s="677"/>
    </row>
    <row r="1761" spans="1:17" x14ac:dyDescent="0.2">
      <c r="A1761" s="687">
        <v>9</v>
      </c>
      <c r="B1761" s="192"/>
      <c r="C1761" s="192"/>
      <c r="D1761" s="344"/>
      <c r="E1761" s="192"/>
      <c r="F1761" s="192"/>
      <c r="G1761" s="738" t="s">
        <v>533</v>
      </c>
      <c r="H1761" s="21"/>
      <c r="I1761" s="21">
        <f>SUM(I1588)</f>
        <v>6.9</v>
      </c>
      <c r="J1761" s="21">
        <f>SUM(J1588)</f>
        <v>7</v>
      </c>
      <c r="K1761" s="21">
        <f>SUM(K1588)</f>
        <v>7</v>
      </c>
      <c r="L1761" s="21">
        <f>SUM(L1588)</f>
        <v>7</v>
      </c>
      <c r="M1761" s="46"/>
      <c r="N1761" s="146"/>
      <c r="O1761" s="677"/>
      <c r="P1761" s="379"/>
      <c r="Q1761" s="677"/>
    </row>
    <row r="1762" spans="1:17" x14ac:dyDescent="0.2">
      <c r="A1762" s="687">
        <v>9</v>
      </c>
      <c r="B1762" s="192"/>
      <c r="C1762" s="192"/>
      <c r="D1762" s="344"/>
      <c r="E1762" s="192"/>
      <c r="F1762" s="192"/>
      <c r="G1762" s="738" t="s">
        <v>534</v>
      </c>
      <c r="H1762" s="21"/>
      <c r="I1762" s="21">
        <f>I1589</f>
        <v>6.9</v>
      </c>
      <c r="J1762" s="21">
        <f>J1589</f>
        <v>7</v>
      </c>
      <c r="K1762" s="21">
        <f>K1589</f>
        <v>7</v>
      </c>
      <c r="L1762" s="21">
        <f>L1589</f>
        <v>7</v>
      </c>
      <c r="M1762" s="46"/>
      <c r="N1762" s="146"/>
      <c r="O1762" s="677"/>
      <c r="P1762" s="379"/>
      <c r="Q1762" s="677"/>
    </row>
    <row r="1763" spans="1:17" x14ac:dyDescent="0.2">
      <c r="A1763" s="687">
        <v>9</v>
      </c>
      <c r="B1763" s="192"/>
      <c r="C1763" s="192"/>
      <c r="D1763" s="344"/>
      <c r="E1763" s="192"/>
      <c r="F1763" s="192"/>
      <c r="G1763" s="738" t="s">
        <v>289</v>
      </c>
      <c r="H1763" s="21"/>
      <c r="I1763" s="21"/>
      <c r="J1763" s="21"/>
      <c r="K1763" s="21"/>
      <c r="L1763" s="21"/>
      <c r="M1763" s="46"/>
      <c r="N1763" s="146"/>
      <c r="O1763" s="677"/>
      <c r="P1763" s="379"/>
      <c r="Q1763" s="677"/>
    </row>
    <row r="1764" spans="1:17" x14ac:dyDescent="0.2">
      <c r="A1764" s="687">
        <v>9</v>
      </c>
      <c r="B1764" s="192"/>
      <c r="C1764" s="192"/>
      <c r="D1764" s="344"/>
      <c r="E1764" s="192"/>
      <c r="F1764" s="192"/>
      <c r="G1764" s="738" t="s">
        <v>99</v>
      </c>
      <c r="H1764" s="21"/>
      <c r="I1764" s="21">
        <f>SUM(I1680+I1571)</f>
        <v>10.3</v>
      </c>
      <c r="J1764" s="21">
        <f>SUM(J1680+J1571)</f>
        <v>10.7</v>
      </c>
      <c r="K1764" s="21">
        <f>SUM(K1680+K1571)</f>
        <v>10</v>
      </c>
      <c r="L1764" s="21">
        <f>SUM(L1680+L1571)</f>
        <v>10</v>
      </c>
      <c r="M1764" s="46"/>
      <c r="N1764" s="146"/>
      <c r="O1764" s="677"/>
      <c r="P1764" s="379"/>
      <c r="Q1764" s="677"/>
    </row>
    <row r="1765" spans="1:17" x14ac:dyDescent="0.2">
      <c r="A1765" s="687">
        <v>9</v>
      </c>
      <c r="B1765" s="192"/>
      <c r="C1765" s="192"/>
      <c r="D1765" s="344"/>
      <c r="E1765" s="192"/>
      <c r="F1765" s="192"/>
      <c r="G1765" s="739" t="s">
        <v>323</v>
      </c>
      <c r="H1765" s="21"/>
      <c r="I1765" s="21">
        <f>SUM(I1719,I1727)</f>
        <v>50</v>
      </c>
      <c r="J1765" s="21">
        <f t="shared" ref="J1765:L1765" si="343">SUM(J1719,J1727)</f>
        <v>0</v>
      </c>
      <c r="K1765" s="21">
        <f t="shared" si="343"/>
        <v>200</v>
      </c>
      <c r="L1765" s="21">
        <f t="shared" si="343"/>
        <v>0</v>
      </c>
      <c r="M1765" s="46"/>
      <c r="N1765" s="146"/>
      <c r="O1765" s="677"/>
      <c r="P1765" s="379"/>
      <c r="Q1765" s="677"/>
    </row>
    <row r="1766" spans="1:17" x14ac:dyDescent="0.2">
      <c r="A1766" s="687">
        <v>9</v>
      </c>
      <c r="B1766" s="192"/>
      <c r="C1766" s="192"/>
      <c r="D1766" s="344"/>
      <c r="E1766" s="192"/>
      <c r="F1766" s="192"/>
      <c r="G1766" s="921" t="s">
        <v>186</v>
      </c>
      <c r="H1766" s="21"/>
      <c r="I1766" s="21">
        <f>I1720</f>
        <v>0</v>
      </c>
      <c r="J1766" s="21">
        <f t="shared" ref="J1766:L1766" si="344">J1720</f>
        <v>24</v>
      </c>
      <c r="K1766" s="21">
        <f t="shared" si="344"/>
        <v>20</v>
      </c>
      <c r="L1766" s="21">
        <f t="shared" si="344"/>
        <v>20</v>
      </c>
      <c r="M1766" s="46"/>
      <c r="N1766" s="146"/>
      <c r="O1766" s="677"/>
      <c r="P1766" s="379"/>
      <c r="Q1766" s="677"/>
    </row>
    <row r="1767" spans="1:17" x14ac:dyDescent="0.2">
      <c r="A1767" s="687">
        <v>9</v>
      </c>
      <c r="B1767" s="192"/>
      <c r="C1767" s="192"/>
      <c r="D1767" s="344"/>
      <c r="E1767" s="192"/>
      <c r="F1767" s="192"/>
      <c r="G1767" s="739" t="s">
        <v>1151</v>
      </c>
      <c r="H1767" s="21"/>
      <c r="I1767" s="21"/>
      <c r="J1767" s="21"/>
      <c r="K1767" s="21"/>
      <c r="L1767" s="21"/>
      <c r="M1767" s="46"/>
      <c r="N1767" s="146"/>
      <c r="O1767" s="677"/>
      <c r="P1767" s="379"/>
      <c r="Q1767" s="677"/>
    </row>
    <row r="1768" spans="1:17" x14ac:dyDescent="0.2">
      <c r="A1768" s="687">
        <v>9</v>
      </c>
      <c r="B1768" s="192"/>
      <c r="C1768" s="192"/>
      <c r="D1768" s="344"/>
      <c r="E1768" s="192"/>
      <c r="F1768" s="192"/>
      <c r="G1768" s="738" t="s">
        <v>58</v>
      </c>
      <c r="H1768" s="21"/>
      <c r="I1768" s="21">
        <f>SUM(I1745,I1653,I1650,I1701,I1658)</f>
        <v>12</v>
      </c>
      <c r="J1768" s="21">
        <f>SUM(J1745,J1653,J1650,J1701,J1658)</f>
        <v>1029.7</v>
      </c>
      <c r="K1768" s="21">
        <f>SUM(K1745,K1653,K1650,K1701,K1658)</f>
        <v>242.3</v>
      </c>
      <c r="L1768" s="21">
        <f>SUM(L1745,L1653,L1650,L1701,L1658)</f>
        <v>42.3</v>
      </c>
      <c r="M1768" s="46"/>
      <c r="N1768" s="146"/>
      <c r="O1768" s="677"/>
      <c r="P1768" s="379"/>
      <c r="Q1768" s="677"/>
    </row>
    <row r="1769" spans="1:17" x14ac:dyDescent="0.2">
      <c r="A1769" s="687">
        <v>9</v>
      </c>
      <c r="B1769" s="192"/>
      <c r="C1769" s="192"/>
      <c r="D1769" s="344"/>
      <c r="E1769" s="192"/>
      <c r="F1769" s="192"/>
      <c r="G1769" s="738" t="s">
        <v>59</v>
      </c>
      <c r="H1769" s="21"/>
      <c r="I1769" s="21">
        <f>SUM(I1557)</f>
        <v>3</v>
      </c>
      <c r="J1769" s="21">
        <f t="shared" ref="J1769:L1769" si="345">SUM(J1557)</f>
        <v>14.4</v>
      </c>
      <c r="K1769" s="21">
        <f t="shared" si="345"/>
        <v>11</v>
      </c>
      <c r="L1769" s="21">
        <f t="shared" si="345"/>
        <v>9.6000000000000014</v>
      </c>
      <c r="M1769" s="46"/>
      <c r="N1769" s="146"/>
      <c r="O1769" s="677"/>
      <c r="P1769" s="379"/>
      <c r="Q1769" s="677"/>
    </row>
    <row r="1770" spans="1:17" x14ac:dyDescent="0.2">
      <c r="A1770" s="687">
        <v>9</v>
      </c>
      <c r="B1770" s="192"/>
      <c r="C1770" s="192"/>
      <c r="D1770" s="344"/>
      <c r="E1770" s="192"/>
      <c r="F1770" s="192"/>
      <c r="G1770" s="738" t="s">
        <v>10</v>
      </c>
      <c r="H1770" s="21"/>
      <c r="I1770" s="21">
        <f>SUM(I1687)</f>
        <v>127.7</v>
      </c>
      <c r="J1770" s="21">
        <f t="shared" ref="J1770:L1770" si="346">SUM(J1687)</f>
        <v>209.8</v>
      </c>
      <c r="K1770" s="21">
        <f t="shared" si="346"/>
        <v>0</v>
      </c>
      <c r="L1770" s="21">
        <f t="shared" si="346"/>
        <v>0</v>
      </c>
      <c r="M1770" s="46"/>
      <c r="N1770" s="146"/>
      <c r="O1770" s="677"/>
      <c r="P1770" s="379"/>
      <c r="Q1770" s="677"/>
    </row>
    <row r="1771" spans="1:17" x14ac:dyDescent="0.2">
      <c r="A1771" s="687">
        <v>9</v>
      </c>
      <c r="B1771" s="192"/>
      <c r="C1771" s="192"/>
      <c r="D1771" s="344"/>
      <c r="E1771" s="192"/>
      <c r="F1771" s="192"/>
      <c r="G1771" s="738" t="s">
        <v>740</v>
      </c>
      <c r="H1771" s="21"/>
      <c r="I1771" s="21">
        <f t="shared" ref="I1771:L1772" si="347">SUM(I1553)</f>
        <v>1.2000000000000002</v>
      </c>
      <c r="J1771" s="21">
        <f t="shared" si="347"/>
        <v>0.2</v>
      </c>
      <c r="K1771" s="21">
        <f t="shared" si="347"/>
        <v>0</v>
      </c>
      <c r="L1771" s="21">
        <f t="shared" si="347"/>
        <v>0</v>
      </c>
      <c r="M1771" s="46"/>
      <c r="N1771" s="146"/>
      <c r="O1771" s="677"/>
      <c r="P1771" s="379"/>
      <c r="Q1771" s="677"/>
    </row>
    <row r="1772" spans="1:17" ht="22.5" x14ac:dyDescent="0.2">
      <c r="A1772" s="687">
        <v>9</v>
      </c>
      <c r="B1772" s="192"/>
      <c r="C1772" s="192"/>
      <c r="D1772" s="344"/>
      <c r="E1772" s="192"/>
      <c r="F1772" s="192"/>
      <c r="G1772" s="738" t="s">
        <v>719</v>
      </c>
      <c r="H1772" s="21"/>
      <c r="I1772" s="21">
        <f t="shared" si="347"/>
        <v>0</v>
      </c>
      <c r="J1772" s="21">
        <f t="shared" si="347"/>
        <v>0.4</v>
      </c>
      <c r="K1772" s="21">
        <f t="shared" si="347"/>
        <v>0</v>
      </c>
      <c r="L1772" s="21">
        <f t="shared" si="347"/>
        <v>0</v>
      </c>
      <c r="M1772" s="46"/>
      <c r="N1772" s="146"/>
      <c r="O1772" s="677"/>
      <c r="P1772" s="379"/>
      <c r="Q1772" s="677"/>
    </row>
    <row r="1773" spans="1:17" x14ac:dyDescent="0.2">
      <c r="A1773" s="687">
        <v>9</v>
      </c>
      <c r="B1773" s="192"/>
      <c r="C1773" s="192"/>
      <c r="D1773" s="344"/>
      <c r="E1773" s="192"/>
      <c r="F1773" s="192"/>
      <c r="G1773" s="1391" t="s">
        <v>2436</v>
      </c>
      <c r="H1773" s="21"/>
      <c r="I1773" s="21">
        <f>I1586</f>
        <v>0</v>
      </c>
      <c r="J1773" s="21">
        <f t="shared" ref="J1773:L1773" si="348">J1586</f>
        <v>100.6</v>
      </c>
      <c r="K1773" s="21">
        <f t="shared" si="348"/>
        <v>0</v>
      </c>
      <c r="L1773" s="21">
        <f t="shared" si="348"/>
        <v>0</v>
      </c>
      <c r="M1773" s="46"/>
      <c r="N1773" s="146"/>
      <c r="O1773" s="677"/>
      <c r="P1773" s="379"/>
      <c r="Q1773" s="677"/>
    </row>
    <row r="1774" spans="1:17" x14ac:dyDescent="0.2">
      <c r="A1774" s="687">
        <v>9</v>
      </c>
      <c r="B1774" s="192"/>
      <c r="C1774" s="192"/>
      <c r="D1774" s="344"/>
      <c r="E1774" s="192"/>
      <c r="F1774" s="192"/>
      <c r="G1774" s="185" t="s">
        <v>608</v>
      </c>
      <c r="H1774" s="164"/>
      <c r="I1774" s="185">
        <f>SUM(I1755:I1773)</f>
        <v>18623.800000000007</v>
      </c>
      <c r="J1774" s="185">
        <f t="shared" ref="J1774:L1774" si="349">SUM(J1755:J1773)</f>
        <v>23509.600000000006</v>
      </c>
      <c r="K1774" s="185">
        <f t="shared" si="349"/>
        <v>24321.800000000003</v>
      </c>
      <c r="L1774" s="185">
        <f t="shared" si="349"/>
        <v>22250.500000000004</v>
      </c>
      <c r="M1774" s="57"/>
      <c r="N1774" s="146"/>
      <c r="O1774" s="1003"/>
      <c r="P1774" s="379"/>
      <c r="Q1774" s="677"/>
    </row>
    <row r="1775" spans="1:17" x14ac:dyDescent="0.2">
      <c r="G1775" s="187"/>
      <c r="H1775" s="11"/>
      <c r="I1775" s="11">
        <f>I1754-I1774</f>
        <v>0</v>
      </c>
      <c r="J1775" s="11">
        <f t="shared" ref="J1775:L1775" si="350">J1754-J1774</f>
        <v>0</v>
      </c>
      <c r="K1775" s="11">
        <f t="shared" si="350"/>
        <v>0</v>
      </c>
      <c r="L1775" s="11">
        <f t="shared" si="350"/>
        <v>0</v>
      </c>
      <c r="M1775" s="11"/>
      <c r="N1775" s="1"/>
      <c r="Q1775" s="60"/>
    </row>
  </sheetData>
  <sheetProtection formatCells="0" formatColumns="0" formatRows="0" insertColumns="0" insertRows="0" sort="0" autoFilter="0"/>
  <protectedRanges>
    <protectedRange sqref="N353:N358 N363 N343:N344 N346:N349" name="Diapazonas1_1"/>
    <protectedRange sqref="N320:N329" name="Diapazonas1_2"/>
    <protectedRange sqref="N330:N342" name="Diapazonas1_1_3"/>
    <protectedRange sqref="N345" name="Diapazonas1_1_4"/>
    <protectedRange sqref="N350:N352" name="Diapazonas1_1_5"/>
    <protectedRange sqref="N359:N362" name="Diapazonas1_1_6"/>
  </protectedRanges>
  <autoFilter ref="A3:Q380" xr:uid="{00000000-0009-0000-0000-00000E000000}"/>
  <mergeCells count="96">
    <mergeCell ref="D103:D110"/>
    <mergeCell ref="D111:D118"/>
    <mergeCell ref="D119:D126"/>
    <mergeCell ref="D64:D71"/>
    <mergeCell ref="D72:D79"/>
    <mergeCell ref="D80:D87"/>
    <mergeCell ref="D88:D94"/>
    <mergeCell ref="D95:D102"/>
    <mergeCell ref="D1:G1"/>
    <mergeCell ref="P1:Q1"/>
    <mergeCell ref="F3:F4"/>
    <mergeCell ref="G3:G4"/>
    <mergeCell ref="Q3:Q4"/>
    <mergeCell ref="S3:S4"/>
    <mergeCell ref="A3:A4"/>
    <mergeCell ref="B3:B4"/>
    <mergeCell ref="C3:C4"/>
    <mergeCell ref="D3:D4"/>
    <mergeCell ref="E3:E4"/>
    <mergeCell ref="R3:R4"/>
    <mergeCell ref="I4:K4"/>
    <mergeCell ref="D8:D15"/>
    <mergeCell ref="D16:D23"/>
    <mergeCell ref="D24:D31"/>
    <mergeCell ref="D32:D39"/>
    <mergeCell ref="D350:D353"/>
    <mergeCell ref="D252:D254"/>
    <mergeCell ref="D135:D142"/>
    <mergeCell ref="D151:D158"/>
    <mergeCell ref="D159:D165"/>
    <mergeCell ref="D168:D170"/>
    <mergeCell ref="D172:D174"/>
    <mergeCell ref="D143:D150"/>
    <mergeCell ref="D127:D134"/>
    <mergeCell ref="D40:D47"/>
    <mergeCell ref="D48:D55"/>
    <mergeCell ref="D56:D63"/>
    <mergeCell ref="D354:D355"/>
    <mergeCell ref="E277:E278"/>
    <mergeCell ref="D312:D315"/>
    <mergeCell ref="D320:D322"/>
    <mergeCell ref="D326:D329"/>
    <mergeCell ref="D330:D333"/>
    <mergeCell ref="D334:D337"/>
    <mergeCell ref="D347:D348"/>
    <mergeCell ref="D323:D324"/>
    <mergeCell ref="S177:T177"/>
    <mergeCell ref="S181:T181"/>
    <mergeCell ref="D190:D192"/>
    <mergeCell ref="D194:D196"/>
    <mergeCell ref="D207:D211"/>
    <mergeCell ref="D394:D395"/>
    <mergeCell ref="D405:D406"/>
    <mergeCell ref="D414:D416"/>
    <mergeCell ref="D461:D464"/>
    <mergeCell ref="D466:D468"/>
    <mergeCell ref="D487:D489"/>
    <mergeCell ref="D491:D492"/>
    <mergeCell ref="D494:D496"/>
    <mergeCell ref="D527:D528"/>
    <mergeCell ref="D685:D686"/>
    <mergeCell ref="D723:D729"/>
    <mergeCell ref="D839:D842"/>
    <mergeCell ref="D1053:D1054"/>
    <mergeCell ref="D1062:D1063"/>
    <mergeCell ref="D1064:D1067"/>
    <mergeCell ref="D1070:D1071"/>
    <mergeCell ref="D1072:D1073"/>
    <mergeCell ref="D1099:D1101"/>
    <mergeCell ref="D1102:D1105"/>
    <mergeCell ref="D1106:D1107"/>
    <mergeCell ref="D1108:D1109"/>
    <mergeCell ref="D1110:D1111"/>
    <mergeCell ref="D1112:D1113"/>
    <mergeCell ref="D1114:D1115"/>
    <mergeCell ref="D1116:D1117"/>
    <mergeCell ref="D1118:D1119"/>
    <mergeCell ref="D1120:D1121"/>
    <mergeCell ref="D1123:D1124"/>
    <mergeCell ref="D1125:D1126"/>
    <mergeCell ref="D1127:D1128"/>
    <mergeCell ref="D1129:D1131"/>
    <mergeCell ref="D1132:D1133"/>
    <mergeCell ref="D1134:D1137"/>
    <mergeCell ref="D1138:D1139"/>
    <mergeCell ref="D1140:D1141"/>
    <mergeCell ref="D1142:D1146"/>
    <mergeCell ref="D1147:D1148"/>
    <mergeCell ref="D1224:D1225"/>
    <mergeCell ref="D1241:D1242"/>
    <mergeCell ref="D1243:D1246"/>
    <mergeCell ref="D1247:D1248"/>
    <mergeCell ref="D1249:D1250"/>
    <mergeCell ref="D1251:D1252"/>
    <mergeCell ref="D1256:D1257"/>
    <mergeCell ref="D1283:D1285"/>
  </mergeCells>
  <pageMargins left="0.23622047244094491" right="0.23622047244094491" top="0.74803149606299213" bottom="0.74803149606299213" header="0.31496062992125984" footer="0.31496062992125984"/>
  <pageSetup paperSize="9" fitToHeight="0" orientation="landscape" horizontalDpi="4294967293" verticalDpi="4294967293" r:id="rId1"/>
  <headerFooter alignWithMargins="0">
    <oddHeader>&amp;C&amp;P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2.75" x14ac:dyDescent="0.2"/>
  <cols>
    <col min="12" max="12" width="16.140625" customWidth="1"/>
  </cols>
  <sheetData>
    <row r="6" spans="12:16" x14ac:dyDescent="0.2">
      <c r="L6" s="61"/>
      <c r="M6" s="61" t="s">
        <v>724</v>
      </c>
      <c r="N6" s="61" t="s">
        <v>725</v>
      </c>
      <c r="O6" s="61" t="s">
        <v>726</v>
      </c>
      <c r="P6" s="61" t="s">
        <v>727</v>
      </c>
    </row>
    <row r="7" spans="12:16" x14ac:dyDescent="0.2">
      <c r="L7" s="61" t="s">
        <v>711</v>
      </c>
      <c r="M7" s="61" t="e">
        <f>#REF!</f>
        <v>#REF!</v>
      </c>
      <c r="N7" s="61" t="e">
        <f>#REF!</f>
        <v>#REF!</v>
      </c>
      <c r="O7" s="61" t="e">
        <f>#REF!</f>
        <v>#REF!</v>
      </c>
      <c r="P7" s="61" t="e">
        <f>#REF!</f>
        <v>#REF!</v>
      </c>
    </row>
    <row r="8" spans="12:16" x14ac:dyDescent="0.2">
      <c r="L8" s="61" t="s">
        <v>102</v>
      </c>
      <c r="M8" s="61" t="e">
        <f>#REF!</f>
        <v>#REF!</v>
      </c>
      <c r="N8" s="61" t="e">
        <f>#REF!</f>
        <v>#REF!</v>
      </c>
      <c r="O8" s="61" t="e">
        <f>#REF!</f>
        <v>#REF!</v>
      </c>
      <c r="P8" s="61" t="e">
        <f>#REF!</f>
        <v>#REF!</v>
      </c>
    </row>
    <row r="9" spans="12:16" x14ac:dyDescent="0.2">
      <c r="L9" s="61" t="s">
        <v>135</v>
      </c>
      <c r="M9" s="61" t="e">
        <f>#REF!</f>
        <v>#REF!</v>
      </c>
      <c r="N9" s="61" t="e">
        <f>#REF!</f>
        <v>#REF!</v>
      </c>
      <c r="O9" s="61" t="e">
        <f>#REF!</f>
        <v>#REF!</v>
      </c>
      <c r="P9" s="61" t="e">
        <f>#REF!</f>
        <v>#REF!</v>
      </c>
    </row>
    <row r="10" spans="12:16" x14ac:dyDescent="0.2">
      <c r="L10" s="61" t="s">
        <v>712</v>
      </c>
      <c r="M10" s="61" t="e">
        <f>#REF!</f>
        <v>#REF!</v>
      </c>
      <c r="N10" s="61" t="e">
        <f>#REF!</f>
        <v>#REF!</v>
      </c>
      <c r="O10" s="61" t="e">
        <f>#REF!</f>
        <v>#REF!</v>
      </c>
      <c r="P10" s="61" t="e">
        <f>#REF!</f>
        <v>#REF!</v>
      </c>
    </row>
    <row r="11" spans="12:16" x14ac:dyDescent="0.2">
      <c r="L11" s="61" t="s">
        <v>222</v>
      </c>
      <c r="M11" s="61" t="e">
        <f>#REF!</f>
        <v>#REF!</v>
      </c>
      <c r="N11" s="61" t="e">
        <f>#REF!</f>
        <v>#REF!</v>
      </c>
      <c r="O11" s="61" t="e">
        <f>#REF!</f>
        <v>#REF!</v>
      </c>
      <c r="P11" s="61" t="e">
        <f>#REF!</f>
        <v>#REF!</v>
      </c>
    </row>
    <row r="12" spans="12:16" x14ac:dyDescent="0.2">
      <c r="L12" s="61" t="s">
        <v>285</v>
      </c>
      <c r="M12" s="61" t="e">
        <f>#REF!</f>
        <v>#REF!</v>
      </c>
      <c r="N12" s="61" t="e">
        <f>#REF!</f>
        <v>#REF!</v>
      </c>
      <c r="O12" s="61" t="e">
        <f>#REF!</f>
        <v>#REF!</v>
      </c>
      <c r="P12" s="61" t="e">
        <f>#REF!</f>
        <v>#REF!</v>
      </c>
    </row>
    <row r="13" spans="12:16" x14ac:dyDescent="0.2">
      <c r="L13" s="61" t="s">
        <v>390</v>
      </c>
      <c r="M13" s="61" t="e">
        <f>#REF!</f>
        <v>#REF!</v>
      </c>
      <c r="N13" s="61" t="e">
        <f>#REF!</f>
        <v>#REF!</v>
      </c>
      <c r="O13" s="61" t="e">
        <f>#REF!</f>
        <v>#REF!</v>
      </c>
      <c r="P13" s="61" t="e">
        <f>#REF!</f>
        <v>#REF!</v>
      </c>
    </row>
    <row r="14" spans="12:16" x14ac:dyDescent="0.2">
      <c r="L14" s="61" t="s">
        <v>452</v>
      </c>
      <c r="M14" s="61" t="e">
        <f>#REF!</f>
        <v>#REF!</v>
      </c>
      <c r="N14" s="61" t="e">
        <f>#REF!</f>
        <v>#REF!</v>
      </c>
      <c r="O14" s="61" t="e">
        <f>#REF!</f>
        <v>#REF!</v>
      </c>
      <c r="P14" s="61" t="e">
        <f>#REF!</f>
        <v>#REF!</v>
      </c>
    </row>
    <row r="15" spans="12:16" x14ac:dyDescent="0.2">
      <c r="L15" s="61" t="s">
        <v>468</v>
      </c>
      <c r="M15" s="61" t="e">
        <f>#REF!</f>
        <v>#REF!</v>
      </c>
      <c r="N15" s="61" t="e">
        <f>#REF!</f>
        <v>#REF!</v>
      </c>
      <c r="O15" s="61" t="e">
        <f>#REF!</f>
        <v>#REF!</v>
      </c>
      <c r="P15" s="61" t="e">
        <f>#REF!</f>
        <v>#REF!</v>
      </c>
    </row>
    <row r="16" spans="12:16" x14ac:dyDescent="0.2">
      <c r="L16" s="61"/>
      <c r="M16" s="61" t="e">
        <f>SUM(M7:M15)</f>
        <v>#REF!</v>
      </c>
      <c r="N16" s="61" t="e">
        <f t="shared" ref="N16:O16" si="0">SUM(N7:N15)</f>
        <v>#REF!</v>
      </c>
      <c r="O16" s="61" t="e">
        <f t="shared" si="0"/>
        <v>#REF!</v>
      </c>
      <c r="P16" s="61" t="e">
        <f>SUM(P7:P15)</f>
        <v>#REF!</v>
      </c>
    </row>
    <row r="18" spans="13:16" x14ac:dyDescent="0.2">
      <c r="M18" s="62" t="e">
        <f>M16-#REF!</f>
        <v>#REF!</v>
      </c>
      <c r="N18" s="62" t="e">
        <f>N16-#REF!</f>
        <v>#REF!</v>
      </c>
      <c r="O18" s="62" t="e">
        <f>O16-#REF!</f>
        <v>#REF!</v>
      </c>
      <c r="P18" s="62"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2.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Vykd </vt:lpstr>
      <vt:lpstr>Det</vt:lpstr>
      <vt:lpstr>Diagrama</vt:lpstr>
      <vt:lpstr>Det!Print_Area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2025-08-13T12:23:48Z</cp:lastPrinted>
  <dcterms:created xsi:type="dcterms:W3CDTF">2015-02-01T20:48:48Z</dcterms:created>
  <dcterms:modified xsi:type="dcterms:W3CDTF">2025-08-20T13:11:56Z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