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MVP\MVP 2025\"/>
    </mc:Choice>
  </mc:AlternateContent>
  <xr:revisionPtr revIDLastSave="0" documentId="13_ncr:1_{18397363-15BF-46A7-9C5C-13C163BB82D4}" xr6:coauthVersionLast="47" xr6:coauthVersionMax="47" xr10:uidLastSave="{00000000-0000-0000-0000-000000000000}"/>
  <bookViews>
    <workbookView xWindow="-120" yWindow="-120" windowWidth="29040" windowHeight="15840" tabRatio="880" activeTab="1" xr2:uid="{00000000-000D-0000-FFFF-FFFF00000000}"/>
  </bookViews>
  <sheets>
    <sheet name="Vykd " sheetId="48" r:id="rId1"/>
    <sheet name="MVP 2025" sheetId="30" r:id="rId2"/>
  </sheets>
  <definedNames>
    <definedName name="_xlnm._FilterDatabase" localSheetId="1" hidden="1">'MVP 2025'!$A$3:$Q$1166</definedName>
    <definedName name="OLE_LINK1">#REF!</definedName>
    <definedName name="_xlnm.Print_Area" localSheetId="1">'MVP 2025'!$A$1:$Q$220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1" i="30" l="1"/>
  <c r="J368" i="30"/>
  <c r="J122" i="30"/>
  <c r="J109" i="30" l="1"/>
  <c r="J1034" i="30"/>
  <c r="J1036" i="30"/>
  <c r="J1008" i="30"/>
  <c r="J1126" i="30"/>
  <c r="J1130" i="30"/>
  <c r="J1107" i="30"/>
  <c r="J1119" i="30"/>
  <c r="J1159" i="30" s="1"/>
  <c r="J1121" i="30"/>
  <c r="J1118" i="30"/>
  <c r="J885" i="30"/>
  <c r="J896" i="30" s="1"/>
  <c r="J882" i="30"/>
  <c r="J809" i="30"/>
  <c r="J794" i="30"/>
  <c r="J831" i="30"/>
  <c r="J818" i="30"/>
  <c r="J797" i="30"/>
  <c r="J741" i="30"/>
  <c r="J583" i="30"/>
  <c r="J769" i="30"/>
  <c r="J768" i="30"/>
  <c r="J560" i="30"/>
  <c r="J603" i="30"/>
  <c r="J716" i="30"/>
  <c r="J575" i="30"/>
  <c r="J645" i="30"/>
  <c r="J653" i="30"/>
  <c r="J705" i="30"/>
  <c r="J696" i="30"/>
  <c r="J695" i="30"/>
  <c r="J587" i="30"/>
  <c r="J585" i="30"/>
  <c r="J399" i="30"/>
  <c r="J432" i="30"/>
  <c r="J453" i="30"/>
  <c r="J439" i="30"/>
  <c r="J442" i="30"/>
  <c r="J396" i="30"/>
  <c r="J409" i="30"/>
  <c r="J413" i="30"/>
  <c r="J317" i="30"/>
  <c r="J281" i="30"/>
  <c r="J235" i="30"/>
  <c r="J234" i="30"/>
  <c r="J250" i="30"/>
  <c r="J251" i="30"/>
  <c r="J199" i="30"/>
  <c r="J246" i="30"/>
  <c r="J210" i="30"/>
  <c r="J110" i="30"/>
  <c r="J13" i="30"/>
  <c r="J85" i="30"/>
  <c r="J83" i="30"/>
  <c r="J44" i="30"/>
  <c r="J16" i="30"/>
  <c r="J20" i="30"/>
  <c r="J76" i="30"/>
  <c r="J63" i="30"/>
  <c r="J62" i="30"/>
  <c r="J1103" i="30" l="1"/>
  <c r="J1033" i="30"/>
  <c r="J466" i="30"/>
  <c r="J452" i="30"/>
  <c r="J835" i="30"/>
  <c r="J841" i="30"/>
  <c r="J829" i="30"/>
  <c r="J720" i="30"/>
  <c r="J770" i="30"/>
  <c r="J713" i="30"/>
  <c r="J715" i="30" s="1"/>
  <c r="J709" i="30" l="1"/>
  <c r="J593" i="30"/>
  <c r="J877" i="30"/>
  <c r="J880" i="30"/>
  <c r="J917" i="30"/>
  <c r="J982" i="30"/>
  <c r="J1127" i="30"/>
  <c r="J502" i="30"/>
  <c r="J490" i="30"/>
  <c r="J401" i="30"/>
  <c r="J461" i="30"/>
  <c r="J428" i="30"/>
  <c r="J422" i="30"/>
  <c r="J441" i="30"/>
  <c r="J448" i="30"/>
  <c r="J458" i="30"/>
  <c r="J385" i="30"/>
  <c r="J288" i="30"/>
  <c r="J279" i="30"/>
  <c r="J326" i="30"/>
  <c r="I285" i="30"/>
  <c r="K285" i="30"/>
  <c r="L285" i="30"/>
  <c r="J285" i="30"/>
  <c r="J42" i="30"/>
  <c r="I42" i="30"/>
  <c r="J65" i="30"/>
  <c r="J29" i="30"/>
  <c r="J27" i="30"/>
  <c r="J28" i="30"/>
  <c r="J25" i="30" l="1"/>
  <c r="J125" i="30" s="1"/>
  <c r="J24" i="30"/>
  <c r="J584" i="30" l="1"/>
  <c r="J474" i="30"/>
  <c r="J475" i="30" s="1"/>
  <c r="J410" i="30"/>
  <c r="J464" i="30"/>
  <c r="J1114" i="30"/>
  <c r="J800" i="30"/>
  <c r="J799" i="30"/>
  <c r="J572" i="30"/>
  <c r="J781" i="30" s="1"/>
  <c r="J599" i="30"/>
  <c r="J601" i="30" s="1"/>
  <c r="I601" i="30"/>
  <c r="H601" i="30"/>
  <c r="J745" i="30"/>
  <c r="J355" i="30" l="1"/>
  <c r="J322" i="30"/>
  <c r="J271" i="30"/>
  <c r="J195" i="30"/>
  <c r="J184" i="30"/>
  <c r="J38" i="30"/>
  <c r="I38" i="30"/>
  <c r="J357" i="30" l="1"/>
  <c r="J386" i="30"/>
  <c r="J150" i="30" l="1"/>
  <c r="J162" i="30"/>
  <c r="J722" i="30" l="1"/>
  <c r="J717" i="30"/>
  <c r="J718" i="30" s="1"/>
  <c r="J712" i="30" s="1"/>
  <c r="J661" i="30"/>
  <c r="J767" i="30"/>
  <c r="J762" i="30" s="1"/>
  <c r="J746" i="30"/>
  <c r="J743" i="30"/>
  <c r="J738" i="30"/>
  <c r="J710" i="30" l="1"/>
  <c r="J735" i="30"/>
  <c r="J728" i="30" s="1"/>
  <c r="J734" i="30"/>
  <c r="J657" i="30"/>
  <c r="J655" i="30"/>
  <c r="J656" i="30"/>
  <c r="J650" i="30"/>
  <c r="J644" i="30"/>
  <c r="J646" i="30"/>
  <c r="J648" i="30"/>
  <c r="J647" i="30"/>
  <c r="J594" i="30"/>
  <c r="J685" i="30"/>
  <c r="J1009" i="30"/>
  <c r="J1164" i="30"/>
  <c r="J960" i="30"/>
  <c r="J985" i="30"/>
  <c r="L1144" i="30"/>
  <c r="K1144" i="30"/>
  <c r="J1144" i="30"/>
  <c r="I1144" i="30"/>
  <c r="J915" i="30"/>
  <c r="J1096" i="30"/>
  <c r="J1135" i="30"/>
  <c r="J929" i="30"/>
  <c r="J801" i="30"/>
  <c r="J802" i="30" s="1"/>
  <c r="J833" i="30"/>
  <c r="J832" i="30"/>
  <c r="J812" i="30"/>
  <c r="J807" i="30"/>
  <c r="J463" i="30"/>
  <c r="J404" i="30"/>
  <c r="J350" i="30"/>
  <c r="J349" i="30"/>
  <c r="J155" i="30"/>
  <c r="J154" i="30"/>
  <c r="J153" i="30"/>
  <c r="J609" i="30" l="1"/>
  <c r="J147" i="30"/>
  <c r="J270" i="30" l="1"/>
  <c r="J305" i="30"/>
  <c r="J329" i="30" s="1"/>
  <c r="J287" i="30"/>
  <c r="J226" i="30"/>
  <c r="J237" i="30"/>
  <c r="J236" i="30"/>
  <c r="J240" i="30"/>
  <c r="L214" i="30"/>
  <c r="K214" i="30"/>
  <c r="J214" i="30"/>
  <c r="I214" i="30"/>
  <c r="H214" i="30"/>
  <c r="J30" i="30"/>
  <c r="J36" i="30"/>
  <c r="J890" i="30" l="1"/>
  <c r="J849" i="30" l="1"/>
  <c r="J514" i="30"/>
  <c r="J509" i="30"/>
  <c r="J508" i="30"/>
  <c r="J507" i="30"/>
  <c r="J389" i="30"/>
  <c r="J387" i="30"/>
  <c r="J336" i="30"/>
  <c r="J263" i="30"/>
  <c r="J260" i="30"/>
  <c r="J132" i="30"/>
  <c r="J1029" i="30"/>
  <c r="J1038" i="30"/>
  <c r="J874" i="30"/>
  <c r="J815" i="30"/>
  <c r="J592" i="30" l="1"/>
  <c r="J417" i="30"/>
  <c r="J511" i="30" s="1"/>
  <c r="J423" i="30"/>
  <c r="J506" i="30" s="1"/>
  <c r="J49" i="30"/>
  <c r="J133" i="30" s="1"/>
  <c r="J48" i="30"/>
  <c r="J252" i="30" l="1"/>
  <c r="J208" i="30"/>
  <c r="J351" i="30" l="1"/>
  <c r="J381" i="30"/>
  <c r="J242" i="30"/>
  <c r="J205" i="30"/>
  <c r="J192" i="30"/>
  <c r="J22" i="30" l="1"/>
  <c r="J126" i="30"/>
  <c r="J1067" i="30" l="1"/>
  <c r="J1150" i="30"/>
  <c r="J828" i="30"/>
  <c r="J494" i="30"/>
  <c r="J354" i="30"/>
  <c r="K246" i="30"/>
  <c r="J230" i="30"/>
  <c r="J264" i="30" s="1"/>
  <c r="K244" i="30"/>
  <c r="K230" i="30" l="1"/>
  <c r="L230" i="30"/>
  <c r="K229" i="30"/>
  <c r="L229" i="30"/>
  <c r="I230" i="30"/>
  <c r="L1161" i="30"/>
  <c r="K1161" i="30"/>
  <c r="J1161" i="30"/>
  <c r="I1161" i="30"/>
  <c r="L1159" i="30"/>
  <c r="K1159" i="30"/>
  <c r="I1159" i="30"/>
  <c r="L1157" i="30"/>
  <c r="K1157" i="30"/>
  <c r="J1157" i="30"/>
  <c r="I1157" i="30"/>
  <c r="L1156" i="30"/>
  <c r="K1156" i="30"/>
  <c r="J1156" i="30"/>
  <c r="I1156" i="30"/>
  <c r="L1155" i="30"/>
  <c r="K1155" i="30"/>
  <c r="J1155" i="30"/>
  <c r="I1155" i="30"/>
  <c r="L1153" i="30"/>
  <c r="K1153" i="30"/>
  <c r="J1153" i="30"/>
  <c r="I1153" i="30"/>
  <c r="L1152" i="30"/>
  <c r="K1152" i="30"/>
  <c r="J1152" i="30"/>
  <c r="I1152" i="30"/>
  <c r="L1151" i="30"/>
  <c r="K1151" i="30"/>
  <c r="J1151" i="30"/>
  <c r="I1151" i="30"/>
  <c r="L1150" i="30"/>
  <c r="K1150" i="30"/>
  <c r="I1150" i="30"/>
  <c r="L1149" i="30"/>
  <c r="K1149" i="30"/>
  <c r="J1149" i="30"/>
  <c r="L1142" i="30"/>
  <c r="K1142" i="30"/>
  <c r="J1142" i="30"/>
  <c r="I1142" i="30"/>
  <c r="L1140" i="30"/>
  <c r="K1140" i="30"/>
  <c r="J1140" i="30"/>
  <c r="I1140" i="30"/>
  <c r="J1138" i="30"/>
  <c r="I1138" i="30"/>
  <c r="H1138" i="30"/>
  <c r="L1135" i="30"/>
  <c r="L1138" i="30" s="1"/>
  <c r="K1135" i="30"/>
  <c r="K1138" i="30" s="1"/>
  <c r="L1134" i="30"/>
  <c r="K1134" i="30"/>
  <c r="I1134" i="30"/>
  <c r="J1133" i="30"/>
  <c r="J1134" i="30" s="1"/>
  <c r="H1133" i="30"/>
  <c r="L1132" i="30"/>
  <c r="K1132" i="30"/>
  <c r="J1132" i="30"/>
  <c r="I1132" i="30"/>
  <c r="H1132" i="30"/>
  <c r="L1129" i="30"/>
  <c r="K1129" i="30"/>
  <c r="J1129" i="30"/>
  <c r="I1129" i="30"/>
  <c r="H1129" i="30"/>
  <c r="L1125" i="30"/>
  <c r="K1125" i="30"/>
  <c r="J1125" i="30"/>
  <c r="I1125" i="30"/>
  <c r="L1123" i="30"/>
  <c r="I1123" i="30"/>
  <c r="H1123" i="30"/>
  <c r="J1104" i="30"/>
  <c r="K1118" i="30"/>
  <c r="K1123" i="30" s="1"/>
  <c r="L1117" i="30"/>
  <c r="K1117" i="30"/>
  <c r="I1117" i="30"/>
  <c r="J1116" i="30"/>
  <c r="H1116" i="30"/>
  <c r="L1115" i="30"/>
  <c r="K1115" i="30"/>
  <c r="J1115" i="30"/>
  <c r="I1115" i="30"/>
  <c r="L1113" i="30"/>
  <c r="K1113" i="30"/>
  <c r="J1113" i="30"/>
  <c r="I1113" i="30"/>
  <c r="L1109" i="30"/>
  <c r="K1109" i="30"/>
  <c r="J1109" i="30"/>
  <c r="I1109" i="30"/>
  <c r="L1105" i="30"/>
  <c r="K1105" i="30"/>
  <c r="J1105" i="30"/>
  <c r="I1105" i="30"/>
  <c r="H1105" i="30"/>
  <c r="L1104" i="30"/>
  <c r="K1104" i="30"/>
  <c r="L1103" i="30"/>
  <c r="K1103" i="30"/>
  <c r="I1103" i="30"/>
  <c r="H1103" i="30"/>
  <c r="L1102" i="30"/>
  <c r="K1102" i="30"/>
  <c r="J1102" i="30"/>
  <c r="I1102" i="30"/>
  <c r="H1102" i="30"/>
  <c r="L1101" i="30"/>
  <c r="K1101" i="30"/>
  <c r="J1101" i="30"/>
  <c r="I1101" i="30"/>
  <c r="H1101" i="30"/>
  <c r="L1100" i="30"/>
  <c r="K1100" i="30"/>
  <c r="J1100" i="30"/>
  <c r="I1100" i="30"/>
  <c r="L1099" i="30"/>
  <c r="K1099" i="30"/>
  <c r="J1099" i="30"/>
  <c r="I1099" i="30"/>
  <c r="H1099" i="30"/>
  <c r="I1098" i="30"/>
  <c r="L1094" i="30"/>
  <c r="K1094" i="30"/>
  <c r="J1094" i="30"/>
  <c r="I1094" i="30"/>
  <c r="I1096" i="30" s="1"/>
  <c r="L1090" i="30"/>
  <c r="K1090" i="30"/>
  <c r="J1090" i="30"/>
  <c r="I1090" i="30"/>
  <c r="L1088" i="30"/>
  <c r="K1088" i="30"/>
  <c r="J1088" i="30"/>
  <c r="I1088" i="30"/>
  <c r="L1086" i="30"/>
  <c r="K1086" i="30"/>
  <c r="J1086" i="30"/>
  <c r="I1086" i="30"/>
  <c r="I1084" i="30"/>
  <c r="H1084" i="30"/>
  <c r="L1082" i="30"/>
  <c r="L1065" i="30" s="1"/>
  <c r="K1082" i="30"/>
  <c r="K1084" i="30" s="1"/>
  <c r="J1082" i="30"/>
  <c r="J1084" i="30" s="1"/>
  <c r="L1081" i="30"/>
  <c r="K1081" i="30"/>
  <c r="J1081" i="30"/>
  <c r="I1081" i="30"/>
  <c r="L1079" i="30"/>
  <c r="K1079" i="30"/>
  <c r="J1079" i="30"/>
  <c r="I1079" i="30"/>
  <c r="L1077" i="30"/>
  <c r="K1077" i="30"/>
  <c r="J1077" i="30"/>
  <c r="I1077" i="30"/>
  <c r="L1074" i="30"/>
  <c r="K1074" i="30"/>
  <c r="I1074" i="30"/>
  <c r="J1073" i="30"/>
  <c r="J1074" i="30" s="1"/>
  <c r="L1072" i="30"/>
  <c r="I1072" i="30"/>
  <c r="K1071" i="30"/>
  <c r="K1072" i="30" s="1"/>
  <c r="J1071" i="30"/>
  <c r="L1069" i="30"/>
  <c r="K1069" i="30"/>
  <c r="J1069" i="30"/>
  <c r="I1069" i="30"/>
  <c r="L1068" i="30"/>
  <c r="K1068" i="30"/>
  <c r="J1068" i="30"/>
  <c r="I1068" i="30"/>
  <c r="L1067" i="30"/>
  <c r="K1067" i="30"/>
  <c r="I1067" i="30"/>
  <c r="H1067" i="30"/>
  <c r="L1066" i="30"/>
  <c r="K1066" i="30"/>
  <c r="J1066" i="30"/>
  <c r="I1066" i="30"/>
  <c r="H1066" i="30"/>
  <c r="I1065" i="30"/>
  <c r="H1065" i="30"/>
  <c r="L1063" i="30"/>
  <c r="K1063" i="30"/>
  <c r="J1063" i="30"/>
  <c r="I1063" i="30"/>
  <c r="H1063" i="30"/>
  <c r="L1061" i="30"/>
  <c r="K1061" i="30"/>
  <c r="J1061" i="30"/>
  <c r="I1061" i="30"/>
  <c r="H1061" i="30"/>
  <c r="L1058" i="30"/>
  <c r="L1059" i="30" s="1"/>
  <c r="K1058" i="30"/>
  <c r="K1059" i="30" s="1"/>
  <c r="J1058" i="30"/>
  <c r="J1059" i="30" s="1"/>
  <c r="I1058" i="30"/>
  <c r="I1059" i="30" s="1"/>
  <c r="H1058" i="30"/>
  <c r="H1059" i="30" s="1"/>
  <c r="L1057" i="30"/>
  <c r="K1057" i="30"/>
  <c r="J1057" i="30"/>
  <c r="I1057" i="30"/>
  <c r="L1054" i="30"/>
  <c r="K1054" i="30"/>
  <c r="J1054" i="30"/>
  <c r="I1054" i="30"/>
  <c r="L1052" i="30"/>
  <c r="K1052" i="30"/>
  <c r="J1052" i="30"/>
  <c r="I1052" i="30"/>
  <c r="L1049" i="30"/>
  <c r="K1049" i="30"/>
  <c r="J1049" i="30"/>
  <c r="I1049" i="30"/>
  <c r="L1046" i="30"/>
  <c r="K1046" i="30"/>
  <c r="J1046" i="30"/>
  <c r="I1045" i="30"/>
  <c r="I1046" i="30" s="1"/>
  <c r="L1044" i="30"/>
  <c r="K1044" i="30"/>
  <c r="J1044" i="30"/>
  <c r="I1042" i="30"/>
  <c r="I1044" i="30" s="1"/>
  <c r="L1041" i="30"/>
  <c r="K1041" i="30"/>
  <c r="J1041" i="30"/>
  <c r="I1041" i="30"/>
  <c r="H1041" i="30"/>
  <c r="L1039" i="30"/>
  <c r="K1039" i="30"/>
  <c r="J1039" i="30"/>
  <c r="I1039" i="30"/>
  <c r="H1039" i="30"/>
  <c r="L1037" i="30"/>
  <c r="K1037" i="30"/>
  <c r="J1037" i="30"/>
  <c r="I1037" i="30"/>
  <c r="H1037" i="30"/>
  <c r="L1035" i="30"/>
  <c r="K1035" i="30"/>
  <c r="J1035" i="30"/>
  <c r="I1035" i="30"/>
  <c r="H1035" i="30"/>
  <c r="L1032" i="30"/>
  <c r="K1032" i="30"/>
  <c r="J1032" i="30"/>
  <c r="H1032" i="30"/>
  <c r="I1031" i="30"/>
  <c r="I1032" i="30" s="1"/>
  <c r="L1030" i="30"/>
  <c r="K1030" i="30"/>
  <c r="J1030" i="30"/>
  <c r="I1030" i="30"/>
  <c r="H1030" i="30"/>
  <c r="L1028" i="30"/>
  <c r="K1028" i="30"/>
  <c r="J1028" i="30"/>
  <c r="I1028" i="30"/>
  <c r="H1028" i="30"/>
  <c r="L1024" i="30"/>
  <c r="L951" i="30" s="1"/>
  <c r="K1024" i="30"/>
  <c r="K951" i="30" s="1"/>
  <c r="J1024" i="30"/>
  <c r="J951" i="30" s="1"/>
  <c r="I1024" i="30"/>
  <c r="H1024" i="30"/>
  <c r="L1023" i="30"/>
  <c r="L949" i="30" s="1"/>
  <c r="K1023" i="30"/>
  <c r="K949" i="30" s="1"/>
  <c r="J1023" i="30"/>
  <c r="I1023" i="30"/>
  <c r="H1023" i="30"/>
  <c r="H949" i="30" s="1"/>
  <c r="H961" i="30" s="1"/>
  <c r="L1012" i="30"/>
  <c r="K1012" i="30"/>
  <c r="J1012" i="30"/>
  <c r="I1012" i="30"/>
  <c r="H1012" i="30"/>
  <c r="L1010" i="30"/>
  <c r="K1010" i="30"/>
  <c r="J1010" i="30"/>
  <c r="H1010" i="30"/>
  <c r="I1003" i="30"/>
  <c r="I1149" i="30" s="1"/>
  <c r="L1000" i="30"/>
  <c r="K1000" i="30"/>
  <c r="J1000" i="30"/>
  <c r="H1000" i="30"/>
  <c r="I999" i="30"/>
  <c r="I998" i="30"/>
  <c r="I997" i="30"/>
  <c r="I996" i="30"/>
  <c r="I994" i="30"/>
  <c r="I993" i="30"/>
  <c r="I991" i="30"/>
  <c r="L988" i="30"/>
  <c r="K988" i="30"/>
  <c r="I988" i="30"/>
  <c r="H988" i="30"/>
  <c r="J986" i="30"/>
  <c r="J988" i="30" s="1"/>
  <c r="L984" i="30"/>
  <c r="K984" i="30"/>
  <c r="H984" i="30"/>
  <c r="J983" i="30"/>
  <c r="I982" i="30"/>
  <c r="I984" i="30" s="1"/>
  <c r="L981" i="30"/>
  <c r="K981" i="30"/>
  <c r="J981" i="30"/>
  <c r="I981" i="30"/>
  <c r="H981" i="30"/>
  <c r="L979" i="30"/>
  <c r="K979" i="30"/>
  <c r="J979" i="30"/>
  <c r="I979" i="30"/>
  <c r="H979" i="30"/>
  <c r="L976" i="30"/>
  <c r="K976" i="30"/>
  <c r="J976" i="30"/>
  <c r="I976" i="30"/>
  <c r="H976" i="30"/>
  <c r="L973" i="30"/>
  <c r="K973" i="30"/>
  <c r="J973" i="30"/>
  <c r="I973" i="30"/>
  <c r="H973" i="30"/>
  <c r="L969" i="30"/>
  <c r="K969" i="30"/>
  <c r="J969" i="30"/>
  <c r="I969" i="30"/>
  <c r="H969" i="30"/>
  <c r="L966" i="30"/>
  <c r="K966" i="30"/>
  <c r="J966" i="30"/>
  <c r="I966" i="30"/>
  <c r="H966" i="30"/>
  <c r="L963" i="30"/>
  <c r="K963" i="30"/>
  <c r="J963" i="30"/>
  <c r="I963" i="30"/>
  <c r="H963" i="30"/>
  <c r="L959" i="30"/>
  <c r="K959" i="30"/>
  <c r="J959" i="30"/>
  <c r="I959" i="30"/>
  <c r="L958" i="30"/>
  <c r="L1160" i="30" s="1"/>
  <c r="K958" i="30"/>
  <c r="K1160" i="30" s="1"/>
  <c r="J958" i="30"/>
  <c r="J1160" i="30" s="1"/>
  <c r="I958" i="30"/>
  <c r="I1160" i="30" s="1"/>
  <c r="L957" i="30"/>
  <c r="K957" i="30"/>
  <c r="J957" i="30"/>
  <c r="I957" i="30"/>
  <c r="L956" i="30"/>
  <c r="K956" i="30"/>
  <c r="J956" i="30"/>
  <c r="H956" i="30"/>
  <c r="L955" i="30"/>
  <c r="L1163" i="30" s="1"/>
  <c r="K955" i="30"/>
  <c r="K1163" i="30" s="1"/>
  <c r="J955" i="30"/>
  <c r="J1163" i="30" s="1"/>
  <c r="I955" i="30"/>
  <c r="I1163" i="30" s="1"/>
  <c r="H955" i="30"/>
  <c r="L954" i="30"/>
  <c r="L1162" i="30" s="1"/>
  <c r="K954" i="30"/>
  <c r="K1162" i="30" s="1"/>
  <c r="J954" i="30"/>
  <c r="J1162" i="30" s="1"/>
  <c r="H954" i="30"/>
  <c r="L953" i="30"/>
  <c r="K953" i="30"/>
  <c r="J953" i="30"/>
  <c r="I953" i="30"/>
  <c r="H953" i="30"/>
  <c r="L952" i="30"/>
  <c r="K952" i="30"/>
  <c r="J952" i="30"/>
  <c r="I952" i="30"/>
  <c r="H952" i="30"/>
  <c r="H951" i="30"/>
  <c r="L950" i="30"/>
  <c r="K950" i="30"/>
  <c r="I950" i="30"/>
  <c r="L947" i="30"/>
  <c r="K947" i="30"/>
  <c r="I947" i="30"/>
  <c r="H947" i="30"/>
  <c r="L928" i="30"/>
  <c r="I928" i="30"/>
  <c r="H928" i="30"/>
  <c r="K918" i="30"/>
  <c r="K912" i="30" s="1"/>
  <c r="J918" i="30"/>
  <c r="L913" i="30"/>
  <c r="K913" i="30"/>
  <c r="J913" i="30"/>
  <c r="I913" i="30"/>
  <c r="H913" i="30"/>
  <c r="L912" i="30"/>
  <c r="I912" i="30"/>
  <c r="H912" i="30"/>
  <c r="L904" i="30"/>
  <c r="K904" i="30"/>
  <c r="J904" i="30"/>
  <c r="I904" i="30"/>
  <c r="H904" i="30"/>
  <c r="L903" i="30"/>
  <c r="K903" i="30"/>
  <c r="J903" i="30"/>
  <c r="I903" i="30"/>
  <c r="H903" i="30"/>
  <c r="L898" i="30"/>
  <c r="L897" i="30"/>
  <c r="J897" i="30"/>
  <c r="L895" i="30"/>
  <c r="K895" i="30"/>
  <c r="L894" i="30"/>
  <c r="K894" i="30"/>
  <c r="I894" i="30"/>
  <c r="L890" i="30"/>
  <c r="K890" i="30"/>
  <c r="I890" i="30"/>
  <c r="L889" i="30"/>
  <c r="K889" i="30"/>
  <c r="I889" i="30"/>
  <c r="L888" i="30"/>
  <c r="L886" i="30"/>
  <c r="H886" i="30"/>
  <c r="I895" i="30"/>
  <c r="I896" i="30"/>
  <c r="K884" i="30"/>
  <c r="K898" i="30" s="1"/>
  <c r="J884" i="30"/>
  <c r="I884" i="30"/>
  <c r="I898" i="30" s="1"/>
  <c r="K883" i="30"/>
  <c r="K897" i="30" s="1"/>
  <c r="I883" i="30"/>
  <c r="K882" i="30"/>
  <c r="L881" i="30"/>
  <c r="I881" i="30"/>
  <c r="K880" i="30"/>
  <c r="K881" i="30" s="1"/>
  <c r="J881" i="30"/>
  <c r="L875" i="30"/>
  <c r="K875" i="30"/>
  <c r="J875" i="30"/>
  <c r="I875" i="30"/>
  <c r="H875" i="30"/>
  <c r="L873" i="30"/>
  <c r="K873" i="30"/>
  <c r="I873" i="30"/>
  <c r="H873" i="30"/>
  <c r="J871" i="30"/>
  <c r="J888" i="30" s="1"/>
  <c r="L866" i="30"/>
  <c r="K866" i="30"/>
  <c r="I866" i="30"/>
  <c r="L865" i="30"/>
  <c r="K865" i="30"/>
  <c r="L863" i="30"/>
  <c r="K863" i="30"/>
  <c r="I863" i="30"/>
  <c r="L862" i="30"/>
  <c r="K862" i="30"/>
  <c r="I862" i="30"/>
  <c r="L861" i="30"/>
  <c r="K861" i="30"/>
  <c r="L860" i="30"/>
  <c r="K860" i="30"/>
  <c r="J860" i="30"/>
  <c r="I860" i="30"/>
  <c r="L859" i="30"/>
  <c r="K859" i="30"/>
  <c r="L858" i="30"/>
  <c r="K858" i="30"/>
  <c r="I858" i="30"/>
  <c r="L857" i="30"/>
  <c r="L855" i="30"/>
  <c r="K855" i="30"/>
  <c r="J855" i="30"/>
  <c r="I855" i="30"/>
  <c r="I850" i="30" s="1"/>
  <c r="H855" i="30"/>
  <c r="L849" i="30"/>
  <c r="K849" i="30"/>
  <c r="I849" i="30"/>
  <c r="H849" i="30"/>
  <c r="L843" i="30"/>
  <c r="K843" i="30"/>
  <c r="I843" i="30"/>
  <c r="H843" i="30"/>
  <c r="J840" i="30"/>
  <c r="J843" i="30" s="1"/>
  <c r="L838" i="30"/>
  <c r="K838" i="30"/>
  <c r="J838" i="30"/>
  <c r="I838" i="30"/>
  <c r="H837" i="30"/>
  <c r="H838" i="30" s="1"/>
  <c r="I859" i="30"/>
  <c r="L836" i="30"/>
  <c r="K836" i="30"/>
  <c r="J836" i="30"/>
  <c r="I836" i="30"/>
  <c r="H835" i="30"/>
  <c r="H836" i="30" s="1"/>
  <c r="L834" i="30"/>
  <c r="K834" i="30"/>
  <c r="J834" i="30"/>
  <c r="I834" i="30"/>
  <c r="H834" i="30"/>
  <c r="L828" i="30"/>
  <c r="K828" i="30"/>
  <c r="I828" i="30"/>
  <c r="L827" i="30"/>
  <c r="K827" i="30"/>
  <c r="J827" i="30"/>
  <c r="I827" i="30"/>
  <c r="H827" i="30"/>
  <c r="L821" i="30"/>
  <c r="K821" i="30"/>
  <c r="J821" i="30"/>
  <c r="I821" i="30"/>
  <c r="L819" i="30"/>
  <c r="K819" i="30"/>
  <c r="J819" i="30"/>
  <c r="I819" i="30"/>
  <c r="H819" i="30"/>
  <c r="L816" i="30"/>
  <c r="K816" i="30"/>
  <c r="J816" i="30"/>
  <c r="I816" i="30"/>
  <c r="L814" i="30"/>
  <c r="K812" i="30"/>
  <c r="K814" i="30" s="1"/>
  <c r="J814" i="30"/>
  <c r="I812" i="30"/>
  <c r="I814" i="30" s="1"/>
  <c r="L811" i="30"/>
  <c r="I811" i="30"/>
  <c r="K809" i="30"/>
  <c r="L808" i="30"/>
  <c r="K808" i="30"/>
  <c r="I807" i="30"/>
  <c r="I861" i="30"/>
  <c r="L806" i="30"/>
  <c r="K806" i="30"/>
  <c r="J806" i="30"/>
  <c r="I806" i="30"/>
  <c r="L802" i="30"/>
  <c r="K802" i="30"/>
  <c r="H802" i="30"/>
  <c r="I799" i="30"/>
  <c r="I802" i="30" s="1"/>
  <c r="L798" i="30"/>
  <c r="K798" i="30"/>
  <c r="J798" i="30"/>
  <c r="H798" i="30"/>
  <c r="I797" i="30"/>
  <c r="L795" i="30"/>
  <c r="K795" i="30"/>
  <c r="J795" i="30"/>
  <c r="I795" i="30"/>
  <c r="H794" i="30"/>
  <c r="H795" i="30" s="1"/>
  <c r="I788" i="30"/>
  <c r="L787" i="30"/>
  <c r="K787" i="30"/>
  <c r="J787" i="30"/>
  <c r="L786" i="30"/>
  <c r="K786" i="30"/>
  <c r="J786" i="30"/>
  <c r="I786" i="30"/>
  <c r="J782" i="30"/>
  <c r="I782" i="30"/>
  <c r="L781" i="30"/>
  <c r="K781" i="30"/>
  <c r="I781" i="30"/>
  <c r="L772" i="30"/>
  <c r="K772" i="30"/>
  <c r="J772" i="30"/>
  <c r="I772" i="30"/>
  <c r="K762" i="30"/>
  <c r="L762" i="30"/>
  <c r="I762" i="30"/>
  <c r="L761" i="30"/>
  <c r="K761" i="30"/>
  <c r="J761" i="30"/>
  <c r="J751" i="30"/>
  <c r="I751" i="30"/>
  <c r="K738" i="30"/>
  <c r="J725" i="30"/>
  <c r="J727" i="30"/>
  <c r="L729" i="30"/>
  <c r="K729" i="30"/>
  <c r="J729" i="30"/>
  <c r="I729" i="30"/>
  <c r="L727" i="30"/>
  <c r="K727" i="30"/>
  <c r="I727" i="30"/>
  <c r="L726" i="30"/>
  <c r="K726" i="30"/>
  <c r="J726" i="30"/>
  <c r="I726" i="30"/>
  <c r="L725" i="30"/>
  <c r="I725" i="30"/>
  <c r="J704" i="30"/>
  <c r="H705" i="30"/>
  <c r="L704" i="30"/>
  <c r="K704" i="30"/>
  <c r="I704" i="30"/>
  <c r="L701" i="30"/>
  <c r="K701" i="30"/>
  <c r="J701" i="30"/>
  <c r="I701" i="30"/>
  <c r="K698" i="30"/>
  <c r="J698" i="30"/>
  <c r="I698" i="30"/>
  <c r="H698" i="30"/>
  <c r="K697" i="30"/>
  <c r="J697" i="30"/>
  <c r="I697" i="30"/>
  <c r="H697" i="30"/>
  <c r="K696" i="30"/>
  <c r="I696" i="30"/>
  <c r="K695" i="30"/>
  <c r="I695" i="30"/>
  <c r="H695" i="30"/>
  <c r="K694" i="30"/>
  <c r="J694" i="30"/>
  <c r="I694" i="30"/>
  <c r="H694" i="30"/>
  <c r="K693" i="30"/>
  <c r="J693" i="30"/>
  <c r="I693" i="30"/>
  <c r="H693" i="30"/>
  <c r="K692" i="30"/>
  <c r="J692" i="30"/>
  <c r="I692" i="30"/>
  <c r="H692" i="30"/>
  <c r="K691" i="30"/>
  <c r="J691" i="30"/>
  <c r="I691" i="30"/>
  <c r="K690" i="30"/>
  <c r="J690" i="30"/>
  <c r="I690" i="30"/>
  <c r="K689" i="30"/>
  <c r="J689" i="30"/>
  <c r="I689" i="30"/>
  <c r="H689" i="30"/>
  <c r="K688" i="30"/>
  <c r="J688" i="30"/>
  <c r="I688" i="30"/>
  <c r="H688" i="30"/>
  <c r="L687" i="30"/>
  <c r="L685" i="30"/>
  <c r="L683" i="30" s="1"/>
  <c r="K685" i="30"/>
  <c r="K683" i="30" s="1"/>
  <c r="J683" i="30"/>
  <c r="I683" i="30"/>
  <c r="H678" i="30"/>
  <c r="L676" i="30"/>
  <c r="L783" i="30" s="1"/>
  <c r="K676" i="30"/>
  <c r="K678" i="30" s="1"/>
  <c r="J676" i="30"/>
  <c r="J678" i="30" s="1"/>
  <c r="I675" i="30"/>
  <c r="I678" i="30" s="1"/>
  <c r="H675" i="30"/>
  <c r="L673" i="30"/>
  <c r="K673" i="30"/>
  <c r="J673" i="30"/>
  <c r="I673" i="30"/>
  <c r="L670" i="30"/>
  <c r="K670" i="30"/>
  <c r="J670" i="30"/>
  <c r="I670" i="30"/>
  <c r="H670" i="30"/>
  <c r="L667" i="30"/>
  <c r="L663" i="30" s="1"/>
  <c r="K667" i="30"/>
  <c r="K663" i="30" s="1"/>
  <c r="J667" i="30"/>
  <c r="J663" i="30" s="1"/>
  <c r="I667" i="30"/>
  <c r="I663" i="30" s="1"/>
  <c r="L666" i="30"/>
  <c r="K666" i="30"/>
  <c r="J666" i="30"/>
  <c r="I666" i="30"/>
  <c r="H666" i="30"/>
  <c r="H663" i="30"/>
  <c r="L659" i="30"/>
  <c r="L608" i="30" s="1"/>
  <c r="L778" i="30" s="1"/>
  <c r="I656" i="30"/>
  <c r="I655" i="30" s="1"/>
  <c r="K655" i="30"/>
  <c r="K610" i="30" s="1"/>
  <c r="J654" i="30"/>
  <c r="K653" i="30"/>
  <c r="L624" i="30"/>
  <c r="K624" i="30" s="1"/>
  <c r="K623" i="30"/>
  <c r="L623" i="30" s="1"/>
  <c r="L611" i="30" s="1"/>
  <c r="L621" i="30"/>
  <c r="L614" i="30" s="1"/>
  <c r="K621" i="30"/>
  <c r="J620" i="30"/>
  <c r="J611" i="30" s="1"/>
  <c r="I614" i="30"/>
  <c r="L613" i="30"/>
  <c r="K613" i="30"/>
  <c r="J613" i="30"/>
  <c r="J612" i="30"/>
  <c r="I612" i="30"/>
  <c r="I611" i="30"/>
  <c r="L610" i="30"/>
  <c r="L609" i="30"/>
  <c r="K609" i="30"/>
  <c r="I609" i="30"/>
  <c r="K608" i="30"/>
  <c r="I608" i="30"/>
  <c r="I778" i="30" s="1"/>
  <c r="H608" i="30"/>
  <c r="H615" i="30" s="1"/>
  <c r="L603" i="30"/>
  <c r="K603" i="30"/>
  <c r="I596" i="30"/>
  <c r="I787" i="30" s="1"/>
  <c r="K592" i="30"/>
  <c r="J568" i="30"/>
  <c r="J785" i="30" s="1"/>
  <c r="K591" i="30"/>
  <c r="I591" i="30"/>
  <c r="I568" i="30" s="1"/>
  <c r="I785" i="30" s="1"/>
  <c r="K590" i="30"/>
  <c r="K570" i="30" s="1"/>
  <c r="K589" i="30"/>
  <c r="K571" i="30" s="1"/>
  <c r="K587" i="30"/>
  <c r="K584" i="30"/>
  <c r="L583" i="30"/>
  <c r="K583" i="30"/>
  <c r="H583" i="30"/>
  <c r="I579" i="30"/>
  <c r="K578" i="30"/>
  <c r="J578" i="30"/>
  <c r="I572" i="30"/>
  <c r="H572" i="30"/>
  <c r="L571" i="30"/>
  <c r="J571" i="30"/>
  <c r="I571" i="30"/>
  <c r="L570" i="30"/>
  <c r="J570" i="30"/>
  <c r="I570" i="30"/>
  <c r="L569" i="30"/>
  <c r="K569" i="30"/>
  <c r="J569" i="30"/>
  <c r="L568" i="30"/>
  <c r="L785" i="30" s="1"/>
  <c r="L566" i="30"/>
  <c r="K566" i="30"/>
  <c r="J566" i="30"/>
  <c r="I566" i="30"/>
  <c r="H565" i="30"/>
  <c r="L562" i="30"/>
  <c r="K562" i="30"/>
  <c r="I562" i="30"/>
  <c r="H562" i="30"/>
  <c r="J561" i="30"/>
  <c r="J522" i="30" s="1"/>
  <c r="J521" i="30"/>
  <c r="L559" i="30"/>
  <c r="K559" i="30"/>
  <c r="J559" i="30"/>
  <c r="I559" i="30"/>
  <c r="H559" i="30"/>
  <c r="L556" i="30"/>
  <c r="K556" i="30"/>
  <c r="J556" i="30"/>
  <c r="I556" i="30"/>
  <c r="H556" i="30"/>
  <c r="L553" i="30"/>
  <c r="K553" i="30"/>
  <c r="J553" i="30"/>
  <c r="I553" i="30"/>
  <c r="H553" i="30"/>
  <c r="L550" i="30"/>
  <c r="K550" i="30"/>
  <c r="J550" i="30"/>
  <c r="I550" i="30"/>
  <c r="H550" i="30"/>
  <c r="L547" i="30"/>
  <c r="K547" i="30"/>
  <c r="J547" i="30"/>
  <c r="I547" i="30"/>
  <c r="H547" i="30"/>
  <c r="L544" i="30"/>
  <c r="K544" i="30"/>
  <c r="J544" i="30"/>
  <c r="I544" i="30"/>
  <c r="H544" i="30"/>
  <c r="L541" i="30"/>
  <c r="K541" i="30"/>
  <c r="J541" i="30"/>
  <c r="I541" i="30"/>
  <c r="H539" i="30"/>
  <c r="H541" i="30" s="1"/>
  <c r="L538" i="30"/>
  <c r="K538" i="30"/>
  <c r="J538" i="30"/>
  <c r="I538" i="30"/>
  <c r="H538" i="30"/>
  <c r="L535" i="30"/>
  <c r="K535" i="30"/>
  <c r="J535" i="30"/>
  <c r="I535" i="30"/>
  <c r="H535" i="30"/>
  <c r="L532" i="30"/>
  <c r="K532" i="30"/>
  <c r="J532" i="30"/>
  <c r="I532" i="30"/>
  <c r="H532" i="30"/>
  <c r="L529" i="30"/>
  <c r="K529" i="30"/>
  <c r="J529" i="30"/>
  <c r="I529" i="30"/>
  <c r="H527" i="30"/>
  <c r="H529" i="30" s="1"/>
  <c r="L526" i="30"/>
  <c r="K526" i="30"/>
  <c r="J526" i="30"/>
  <c r="I526" i="30"/>
  <c r="H526" i="30"/>
  <c r="L522" i="30"/>
  <c r="K522" i="30"/>
  <c r="I522" i="30"/>
  <c r="H522" i="30"/>
  <c r="L521" i="30"/>
  <c r="K521" i="30"/>
  <c r="I521" i="30"/>
  <c r="L515" i="30"/>
  <c r="K515" i="30"/>
  <c r="I515" i="30"/>
  <c r="L514" i="30"/>
  <c r="I514" i="30"/>
  <c r="L513" i="30"/>
  <c r="K513" i="30"/>
  <c r="I513" i="30"/>
  <c r="L512" i="30"/>
  <c r="K512" i="30"/>
  <c r="J512" i="30"/>
  <c r="I512" i="30"/>
  <c r="L511" i="30"/>
  <c r="K511" i="30"/>
  <c r="L510" i="30"/>
  <c r="K510" i="30"/>
  <c r="J510" i="30"/>
  <c r="I510" i="30"/>
  <c r="L509" i="30"/>
  <c r="K509" i="30"/>
  <c r="I509" i="30"/>
  <c r="L508" i="30"/>
  <c r="K508" i="30"/>
  <c r="I508" i="30"/>
  <c r="I507" i="30"/>
  <c r="L506" i="30"/>
  <c r="K506" i="30"/>
  <c r="L505" i="30"/>
  <c r="K505" i="30"/>
  <c r="J505" i="30"/>
  <c r="I505" i="30"/>
  <c r="L499" i="30"/>
  <c r="K499" i="30"/>
  <c r="J499" i="30"/>
  <c r="I499" i="30"/>
  <c r="H497" i="30"/>
  <c r="H499" i="30" s="1"/>
  <c r="L494" i="30"/>
  <c r="L495" i="30" s="1"/>
  <c r="K494" i="30"/>
  <c r="K495" i="30" s="1"/>
  <c r="J495" i="30"/>
  <c r="H494" i="30"/>
  <c r="H495" i="30" s="1"/>
  <c r="L493" i="30"/>
  <c r="K493" i="30"/>
  <c r="J493" i="30"/>
  <c r="I493" i="30"/>
  <c r="H492" i="30"/>
  <c r="H493" i="30" s="1"/>
  <c r="L491" i="30"/>
  <c r="K491" i="30"/>
  <c r="J491" i="30"/>
  <c r="I491" i="30"/>
  <c r="H490" i="30"/>
  <c r="H491" i="30" s="1"/>
  <c r="L486" i="30"/>
  <c r="K486" i="30"/>
  <c r="J486" i="30"/>
  <c r="I486" i="30"/>
  <c r="H485" i="30"/>
  <c r="H486" i="30" s="1"/>
  <c r="L481" i="30"/>
  <c r="K481" i="30"/>
  <c r="J481" i="30"/>
  <c r="I481" i="30"/>
  <c r="H481" i="30"/>
  <c r="L507" i="30"/>
  <c r="K507" i="30"/>
  <c r="L478" i="30"/>
  <c r="K478" i="30"/>
  <c r="J478" i="30"/>
  <c r="I478" i="30"/>
  <c r="H478" i="30"/>
  <c r="L475" i="30"/>
  <c r="K475" i="30"/>
  <c r="I475" i="30"/>
  <c r="H475" i="30"/>
  <c r="L471" i="30"/>
  <c r="K471" i="30"/>
  <c r="J471" i="30"/>
  <c r="I471" i="30"/>
  <c r="H471" i="30"/>
  <c r="L467" i="30"/>
  <c r="K467" i="30"/>
  <c r="J467" i="30"/>
  <c r="I467" i="30"/>
  <c r="H463" i="30"/>
  <c r="H467" i="30" s="1"/>
  <c r="L459" i="30"/>
  <c r="K459" i="30"/>
  <c r="I459" i="30"/>
  <c r="J459" i="30"/>
  <c r="L457" i="30"/>
  <c r="K457" i="30"/>
  <c r="J457" i="30"/>
  <c r="I457" i="30"/>
  <c r="H457" i="30"/>
  <c r="L454" i="30"/>
  <c r="K454" i="30"/>
  <c r="J454" i="30"/>
  <c r="I454" i="30"/>
  <c r="H452" i="30"/>
  <c r="H454" i="30" s="1"/>
  <c r="I451" i="30"/>
  <c r="H449" i="30"/>
  <c r="L448" i="30"/>
  <c r="K448" i="30"/>
  <c r="K451" i="30" s="1"/>
  <c r="J451" i="30"/>
  <c r="H448" i="30"/>
  <c r="L447" i="30"/>
  <c r="K447" i="30"/>
  <c r="J447" i="30"/>
  <c r="I447" i="30"/>
  <c r="H447" i="30"/>
  <c r="L445" i="30"/>
  <c r="K445" i="30"/>
  <c r="J445" i="30"/>
  <c r="I445" i="30"/>
  <c r="H445" i="30"/>
  <c r="L443" i="30"/>
  <c r="K443" i="30"/>
  <c r="J443" i="30"/>
  <c r="I443" i="30"/>
  <c r="H442" i="30"/>
  <c r="H441" i="30"/>
  <c r="L440" i="30"/>
  <c r="K440" i="30"/>
  <c r="I440" i="30"/>
  <c r="J438" i="30"/>
  <c r="J504" i="30" s="1"/>
  <c r="H437" i="30"/>
  <c r="H440" i="30" s="1"/>
  <c r="L435" i="30"/>
  <c r="K435" i="30"/>
  <c r="I435" i="30"/>
  <c r="H435" i="30"/>
  <c r="J435" i="30"/>
  <c r="L433" i="30"/>
  <c r="K433" i="30"/>
  <c r="J433" i="30"/>
  <c r="I433" i="30"/>
  <c r="H432" i="30"/>
  <c r="H433" i="30" s="1"/>
  <c r="I429" i="30"/>
  <c r="L428" i="30"/>
  <c r="L429" i="30" s="1"/>
  <c r="K428" i="30"/>
  <c r="K429" i="30" s="1"/>
  <c r="J429" i="30"/>
  <c r="L426" i="30"/>
  <c r="K426" i="30"/>
  <c r="J426" i="30"/>
  <c r="I426" i="30"/>
  <c r="H426" i="30"/>
  <c r="L424" i="30"/>
  <c r="K424" i="30"/>
  <c r="J424" i="30"/>
  <c r="I424" i="30"/>
  <c r="H423" i="30"/>
  <c r="H424" i="30" s="1"/>
  <c r="L421" i="30"/>
  <c r="K421" i="30"/>
  <c r="J421" i="30"/>
  <c r="I421" i="30"/>
  <c r="H421" i="30"/>
  <c r="L418" i="30"/>
  <c r="K418" i="30"/>
  <c r="J418" i="30"/>
  <c r="I417" i="30"/>
  <c r="I511" i="30" s="1"/>
  <c r="L416" i="30"/>
  <c r="K416" i="30"/>
  <c r="J416" i="30"/>
  <c r="I416" i="30"/>
  <c r="H415" i="30"/>
  <c r="H416" i="30" s="1"/>
  <c r="L414" i="30"/>
  <c r="K414" i="30"/>
  <c r="J414" i="30"/>
  <c r="I414" i="30"/>
  <c r="H413" i="30"/>
  <c r="H414" i="30" s="1"/>
  <c r="L411" i="30"/>
  <c r="I411" i="30"/>
  <c r="K410" i="30"/>
  <c r="K411" i="30" s="1"/>
  <c r="H410" i="30"/>
  <c r="H409" i="30"/>
  <c r="L405" i="30"/>
  <c r="K405" i="30"/>
  <c r="J405" i="30"/>
  <c r="I405" i="30"/>
  <c r="H404" i="30"/>
  <c r="H405" i="30" s="1"/>
  <c r="L402" i="30"/>
  <c r="K402" i="30"/>
  <c r="J402" i="30"/>
  <c r="I402" i="30"/>
  <c r="H402" i="30"/>
  <c r="L400" i="30"/>
  <c r="K400" i="30"/>
  <c r="J400" i="30"/>
  <c r="I400" i="30"/>
  <c r="H400" i="30"/>
  <c r="L398" i="30"/>
  <c r="K398" i="30"/>
  <c r="J398" i="30"/>
  <c r="I398" i="30"/>
  <c r="H396" i="30"/>
  <c r="H398" i="30" s="1"/>
  <c r="L389" i="30"/>
  <c r="K389" i="30"/>
  <c r="I389" i="30"/>
  <c r="L388" i="30"/>
  <c r="K388" i="30"/>
  <c r="I388" i="30"/>
  <c r="L387" i="30"/>
  <c r="K387" i="30"/>
  <c r="I387" i="30"/>
  <c r="L386" i="30"/>
  <c r="K386" i="30"/>
  <c r="I386" i="30"/>
  <c r="L385" i="30"/>
  <c r="K385" i="30"/>
  <c r="I385" i="30"/>
  <c r="I384" i="30"/>
  <c r="L383" i="30"/>
  <c r="K383" i="30"/>
  <c r="I383" i="30"/>
  <c r="L382" i="30"/>
  <c r="K382" i="30"/>
  <c r="I382" i="30"/>
  <c r="I381" i="30"/>
  <c r="I380" i="30"/>
  <c r="I379" i="30"/>
  <c r="L377" i="30"/>
  <c r="K377" i="30"/>
  <c r="J377" i="30"/>
  <c r="I377" i="30"/>
  <c r="H377" i="30"/>
  <c r="L374" i="30"/>
  <c r="K374" i="30"/>
  <c r="J374" i="30"/>
  <c r="I374" i="30"/>
  <c r="H374" i="30"/>
  <c r="L371" i="30"/>
  <c r="K371" i="30"/>
  <c r="J371" i="30"/>
  <c r="I371" i="30"/>
  <c r="L369" i="30"/>
  <c r="I369" i="30"/>
  <c r="H369" i="30"/>
  <c r="H371" i="30" s="1"/>
  <c r="K367" i="30"/>
  <c r="K369" i="30" s="1"/>
  <c r="J367" i="30"/>
  <c r="J369" i="30" s="1"/>
  <c r="L365" i="30"/>
  <c r="K365" i="30"/>
  <c r="J365" i="30"/>
  <c r="I365" i="30"/>
  <c r="H365" i="30"/>
  <c r="L362" i="30"/>
  <c r="K362" i="30"/>
  <c r="J362" i="30"/>
  <c r="I362" i="30"/>
  <c r="H361" i="30"/>
  <c r="H362" i="30" s="1"/>
  <c r="L379" i="30"/>
  <c r="L359" i="30"/>
  <c r="K359" i="30"/>
  <c r="J359" i="30"/>
  <c r="I359" i="30"/>
  <c r="L357" i="30"/>
  <c r="K357" i="30"/>
  <c r="I357" i="30"/>
  <c r="L354" i="30"/>
  <c r="K354" i="30"/>
  <c r="I354" i="30"/>
  <c r="H354" i="30"/>
  <c r="I351" i="30"/>
  <c r="L349" i="30"/>
  <c r="L381" i="30" s="1"/>
  <c r="K349" i="30"/>
  <c r="K381" i="30" s="1"/>
  <c r="H349" i="30"/>
  <c r="H351" i="30" s="1"/>
  <c r="L348" i="30"/>
  <c r="K348" i="30"/>
  <c r="J348" i="30"/>
  <c r="I348" i="30"/>
  <c r="H348" i="30"/>
  <c r="L384" i="30"/>
  <c r="K384" i="30"/>
  <c r="L345" i="30"/>
  <c r="K345" i="30"/>
  <c r="J345" i="30"/>
  <c r="I345" i="30"/>
  <c r="H344" i="30"/>
  <c r="H345" i="30" s="1"/>
  <c r="L338" i="30"/>
  <c r="K338" i="30"/>
  <c r="I338" i="30"/>
  <c r="L337" i="30"/>
  <c r="K337" i="30"/>
  <c r="L336" i="30"/>
  <c r="K336" i="30"/>
  <c r="I336" i="30"/>
  <c r="L335" i="30"/>
  <c r="K335" i="30"/>
  <c r="J335" i="30"/>
  <c r="I335" i="30"/>
  <c r="L334" i="30"/>
  <c r="K334" i="30"/>
  <c r="J334" i="30"/>
  <c r="I334" i="30"/>
  <c r="L333" i="30"/>
  <c r="K333" i="30"/>
  <c r="J333" i="30"/>
  <c r="I333" i="30"/>
  <c r="L332" i="30"/>
  <c r="K332" i="30"/>
  <c r="J332" i="30"/>
  <c r="I332" i="30"/>
  <c r="L331" i="30"/>
  <c r="K331" i="30"/>
  <c r="J331" i="30"/>
  <c r="I331" i="30"/>
  <c r="L330" i="30"/>
  <c r="K330" i="30"/>
  <c r="J330" i="30"/>
  <c r="I330" i="30"/>
  <c r="L329" i="30"/>
  <c r="K329" i="30"/>
  <c r="L327" i="30"/>
  <c r="K327" i="30"/>
  <c r="J327" i="30"/>
  <c r="I327" i="30"/>
  <c r="H327" i="30"/>
  <c r="L325" i="30"/>
  <c r="K325" i="30"/>
  <c r="J325" i="30"/>
  <c r="I325" i="30"/>
  <c r="H325" i="30"/>
  <c r="L323" i="30"/>
  <c r="K323" i="30"/>
  <c r="J323" i="30"/>
  <c r="I323" i="30"/>
  <c r="H323" i="30"/>
  <c r="Q313" i="30"/>
  <c r="L313" i="30"/>
  <c r="K313" i="30"/>
  <c r="J313" i="30"/>
  <c r="I313" i="30"/>
  <c r="H313" i="30"/>
  <c r="L311" i="30"/>
  <c r="K311" i="30"/>
  <c r="J311" i="30"/>
  <c r="I311" i="30"/>
  <c r="H311" i="30"/>
  <c r="L309" i="30"/>
  <c r="K309" i="30"/>
  <c r="J309" i="30"/>
  <c r="I309" i="30"/>
  <c r="H309" i="30"/>
  <c r="Q307" i="30"/>
  <c r="L307" i="30"/>
  <c r="K307" i="30"/>
  <c r="J307" i="30"/>
  <c r="I307" i="30"/>
  <c r="H307" i="30"/>
  <c r="L304" i="30"/>
  <c r="K304" i="30"/>
  <c r="J304" i="30"/>
  <c r="I304" i="30"/>
  <c r="H304" i="30"/>
  <c r="L302" i="30"/>
  <c r="K302" i="30"/>
  <c r="J302" i="30"/>
  <c r="I302" i="30"/>
  <c r="H302" i="30"/>
  <c r="L300" i="30"/>
  <c r="K300" i="30"/>
  <c r="J300" i="30"/>
  <c r="I300" i="30"/>
  <c r="H300" i="30"/>
  <c r="L298" i="30"/>
  <c r="K298" i="30"/>
  <c r="J298" i="30"/>
  <c r="I298" i="30"/>
  <c r="H298" i="30"/>
  <c r="L296" i="30"/>
  <c r="K296" i="30"/>
  <c r="J296" i="30"/>
  <c r="I296" i="30"/>
  <c r="H296" i="30"/>
  <c r="Q294" i="30"/>
  <c r="L294" i="30"/>
  <c r="K294" i="30"/>
  <c r="J294" i="30"/>
  <c r="I294" i="30"/>
  <c r="H294" i="30"/>
  <c r="Q292" i="30"/>
  <c r="L292" i="30"/>
  <c r="K292" i="30"/>
  <c r="J292" i="30"/>
  <c r="I292" i="30"/>
  <c r="H292" i="30"/>
  <c r="L289" i="30"/>
  <c r="K289" i="30"/>
  <c r="J289" i="30"/>
  <c r="I288" i="30"/>
  <c r="L280" i="30"/>
  <c r="K280" i="30"/>
  <c r="J280" i="30"/>
  <c r="I280" i="30"/>
  <c r="L278" i="30"/>
  <c r="K278" i="30"/>
  <c r="J278" i="30"/>
  <c r="I278" i="30"/>
  <c r="L276" i="30"/>
  <c r="K276" i="30"/>
  <c r="J276" i="30"/>
  <c r="I276" i="30"/>
  <c r="J898" i="30" l="1"/>
  <c r="J886" i="30"/>
  <c r="J857" i="30"/>
  <c r="J867" i="30" s="1"/>
  <c r="J440" i="30"/>
  <c r="J516" i="30"/>
  <c r="J899" i="30"/>
  <c r="J565" i="30"/>
  <c r="J573" i="30" s="1"/>
  <c r="J749" i="30"/>
  <c r="J780" i="30"/>
  <c r="J783" i="30"/>
  <c r="J1098" i="30"/>
  <c r="J1106" i="30" s="1"/>
  <c r="J1065" i="30"/>
  <c r="J1070" i="30" s="1"/>
  <c r="J811" i="30"/>
  <c r="J873" i="30"/>
  <c r="J779" i="30"/>
  <c r="J614" i="30"/>
  <c r="J328" i="30"/>
  <c r="J339" i="30"/>
  <c r="J378" i="30"/>
  <c r="J379" i="30"/>
  <c r="J608" i="30"/>
  <c r="J778" i="30" s="1"/>
  <c r="J949" i="30"/>
  <c r="J961" i="30" s="1"/>
  <c r="J947" i="30"/>
  <c r="J912" i="30"/>
  <c r="J914" i="30" s="1"/>
  <c r="H1098" i="30"/>
  <c r="H1106" i="30" s="1"/>
  <c r="I289" i="30"/>
  <c r="I286" i="30" s="1"/>
  <c r="I329" i="30"/>
  <c r="L784" i="30"/>
  <c r="K523" i="30"/>
  <c r="K905" i="30"/>
  <c r="H443" i="30"/>
  <c r="I793" i="30"/>
  <c r="K784" i="30"/>
  <c r="I956" i="30"/>
  <c r="L780" i="30"/>
  <c r="I565" i="30"/>
  <c r="J808" i="30"/>
  <c r="J1072" i="30"/>
  <c r="L914" i="30"/>
  <c r="K914" i="30"/>
  <c r="K1065" i="30"/>
  <c r="K1070" i="30" s="1"/>
  <c r="I343" i="30"/>
  <c r="J610" i="30"/>
  <c r="I780" i="30"/>
  <c r="K379" i="30"/>
  <c r="J1025" i="30"/>
  <c r="J1147" i="30"/>
  <c r="I949" i="30"/>
  <c r="I1146" i="30" s="1"/>
  <c r="H905" i="30"/>
  <c r="L1084" i="30"/>
  <c r="K614" i="30"/>
  <c r="K888" i="30"/>
  <c r="K899" i="30" s="1"/>
  <c r="I888" i="30"/>
  <c r="K339" i="30"/>
  <c r="L339" i="30"/>
  <c r="H411" i="30"/>
  <c r="I954" i="30"/>
  <c r="I1162" i="30" s="1"/>
  <c r="L730" i="30"/>
  <c r="I494" i="30"/>
  <c r="I495" i="30" s="1"/>
  <c r="I488" i="30" s="1"/>
  <c r="I879" i="30"/>
  <c r="K1147" i="30"/>
  <c r="K568" i="30"/>
  <c r="K785" i="30" s="1"/>
  <c r="L887" i="30"/>
  <c r="L1147" i="30"/>
  <c r="I857" i="30"/>
  <c r="J905" i="30"/>
  <c r="I337" i="30"/>
  <c r="J928" i="30"/>
  <c r="J984" i="30"/>
  <c r="I418" i="30"/>
  <c r="I394" i="30" s="1"/>
  <c r="H521" i="30"/>
  <c r="I1025" i="30"/>
  <c r="I506" i="30"/>
  <c r="L565" i="30"/>
  <c r="L573" i="30" s="1"/>
  <c r="H1070" i="30"/>
  <c r="L419" i="30"/>
  <c r="I460" i="30"/>
  <c r="K961" i="30"/>
  <c r="I1070" i="30"/>
  <c r="I436" i="30"/>
  <c r="I482" i="30"/>
  <c r="K779" i="30"/>
  <c r="L961" i="30"/>
  <c r="L1070" i="30"/>
  <c r="I523" i="30"/>
  <c r="J562" i="30"/>
  <c r="I687" i="30"/>
  <c r="I865" i="30"/>
  <c r="I886" i="30"/>
  <c r="I905" i="30"/>
  <c r="I1000" i="30"/>
  <c r="I1106" i="30"/>
  <c r="L314" i="30"/>
  <c r="J687" i="30"/>
  <c r="J784" i="30"/>
  <c r="L867" i="30"/>
  <c r="L1098" i="30"/>
  <c r="L1106" i="30" s="1"/>
  <c r="I290" i="30"/>
  <c r="K314" i="30"/>
  <c r="I390" i="30"/>
  <c r="H451" i="30"/>
  <c r="I269" i="30"/>
  <c r="J314" i="30"/>
  <c r="K687" i="30"/>
  <c r="L749" i="30"/>
  <c r="K928" i="30"/>
  <c r="H1025" i="30"/>
  <c r="L779" i="30"/>
  <c r="H314" i="30"/>
  <c r="I378" i="30"/>
  <c r="K328" i="30"/>
  <c r="I360" i="30"/>
  <c r="J411" i="30"/>
  <c r="I431" i="30"/>
  <c r="L523" i="30"/>
  <c r="I569" i="30"/>
  <c r="I808" i="30"/>
  <c r="K857" i="30"/>
  <c r="K867" i="30" s="1"/>
  <c r="L899" i="30"/>
  <c r="I897" i="30"/>
  <c r="H914" i="30"/>
  <c r="J1123" i="30"/>
  <c r="L328" i="30"/>
  <c r="I419" i="30"/>
  <c r="K419" i="30"/>
  <c r="L504" i="30"/>
  <c r="L516" i="30" s="1"/>
  <c r="K565" i="30"/>
  <c r="K783" i="30"/>
  <c r="I779" i="30"/>
  <c r="I730" i="30"/>
  <c r="I749" i="30"/>
  <c r="K749" i="30"/>
  <c r="I914" i="30"/>
  <c r="L905" i="30"/>
  <c r="I951" i="30"/>
  <c r="I1147" i="30" s="1"/>
  <c r="K1025" i="30"/>
  <c r="J1117" i="30"/>
  <c r="L1025" i="30"/>
  <c r="I1010" i="30"/>
  <c r="K1098" i="30"/>
  <c r="K1106" i="30" s="1"/>
  <c r="K886" i="30"/>
  <c r="K887" i="30" s="1"/>
  <c r="I823" i="30"/>
  <c r="I798" i="30"/>
  <c r="K811" i="30"/>
  <c r="L856" i="30"/>
  <c r="I610" i="30"/>
  <c r="I783" i="30"/>
  <c r="J523" i="30"/>
  <c r="K612" i="30"/>
  <c r="K782" i="30"/>
  <c r="J730" i="30"/>
  <c r="K736" i="30"/>
  <c r="K725" i="30" s="1"/>
  <c r="K730" i="30" s="1"/>
  <c r="K778" i="30"/>
  <c r="K620" i="30"/>
  <c r="K611" i="30" s="1"/>
  <c r="L782" i="30"/>
  <c r="L612" i="30"/>
  <c r="L615" i="30" s="1"/>
  <c r="L678" i="30"/>
  <c r="I613" i="30"/>
  <c r="I784" i="30" s="1"/>
  <c r="L451" i="30"/>
  <c r="K504" i="30"/>
  <c r="K514" i="30"/>
  <c r="K394" i="30"/>
  <c r="L394" i="30"/>
  <c r="I346" i="30"/>
  <c r="K380" i="30"/>
  <c r="L380" i="30"/>
  <c r="L390" i="30" s="1"/>
  <c r="K351" i="30"/>
  <c r="L351" i="30"/>
  <c r="I328" i="30"/>
  <c r="I314" i="30"/>
  <c r="J503" i="30" l="1"/>
  <c r="J517" i="30" s="1"/>
  <c r="J887" i="30"/>
  <c r="J900" i="30" s="1"/>
  <c r="J777" i="30"/>
  <c r="J789" i="30" s="1"/>
  <c r="J776" i="30"/>
  <c r="J856" i="30"/>
  <c r="J868" i="30" s="1"/>
  <c r="I804" i="30"/>
  <c r="J615" i="30"/>
  <c r="K900" i="30"/>
  <c r="I777" i="30"/>
  <c r="I789" i="30" s="1"/>
  <c r="I573" i="30"/>
  <c r="K340" i="30"/>
  <c r="I504" i="30"/>
  <c r="I516" i="30" s="1"/>
  <c r="L340" i="30"/>
  <c r="I867" i="30"/>
  <c r="K378" i="30"/>
  <c r="I339" i="30"/>
  <c r="I340" i="30" s="1"/>
  <c r="K390" i="30"/>
  <c r="I615" i="30"/>
  <c r="K503" i="30"/>
  <c r="I899" i="30"/>
  <c r="I887" i="30"/>
  <c r="K573" i="30"/>
  <c r="I503" i="30"/>
  <c r="L777" i="30"/>
  <c r="L789" i="30" s="1"/>
  <c r="J1145" i="30"/>
  <c r="L1145" i="30"/>
  <c r="K516" i="30"/>
  <c r="L1146" i="30"/>
  <c r="L1165" i="30" s="1"/>
  <c r="J1146" i="30"/>
  <c r="J1165" i="30" s="1"/>
  <c r="L900" i="30"/>
  <c r="I391" i="30"/>
  <c r="L503" i="30"/>
  <c r="L517" i="30" s="1"/>
  <c r="K1145" i="30"/>
  <c r="I961" i="30"/>
  <c r="I1145" i="30" s="1"/>
  <c r="K615" i="30"/>
  <c r="L868" i="30"/>
  <c r="J390" i="30"/>
  <c r="I1165" i="30"/>
  <c r="K1146" i="30"/>
  <c r="K1165" i="30" s="1"/>
  <c r="I796" i="30"/>
  <c r="I856" i="30"/>
  <c r="K856" i="30"/>
  <c r="K868" i="30" s="1"/>
  <c r="I776" i="30"/>
  <c r="K777" i="30"/>
  <c r="K780" i="30"/>
  <c r="K776" i="30"/>
  <c r="L776" i="30"/>
  <c r="L378" i="30"/>
  <c r="L391" i="30" s="1"/>
  <c r="J340" i="30"/>
  <c r="J391" i="30" l="1"/>
  <c r="K391" i="30"/>
  <c r="I868" i="30"/>
  <c r="K517" i="30"/>
  <c r="K1166" i="30"/>
  <c r="L790" i="30"/>
  <c r="I1166" i="30"/>
  <c r="I517" i="30"/>
  <c r="I900" i="30"/>
  <c r="J1166" i="30"/>
  <c r="J790" i="30"/>
  <c r="L1166" i="30"/>
  <c r="I790" i="30"/>
  <c r="K789" i="30"/>
  <c r="K790" i="30" s="1"/>
  <c r="L263" i="30" l="1"/>
  <c r="K263" i="30"/>
  <c r="I263" i="30"/>
  <c r="L262" i="30"/>
  <c r="K262" i="30"/>
  <c r="J262" i="30"/>
  <c r="I262" i="30"/>
  <c r="L260" i="30"/>
  <c r="K260" i="30"/>
  <c r="L258" i="30"/>
  <c r="K258" i="30"/>
  <c r="I258" i="30"/>
  <c r="L257" i="30"/>
  <c r="K257" i="30"/>
  <c r="J257" i="30"/>
  <c r="I257" i="30"/>
  <c r="I256" i="30"/>
  <c r="I249" i="30"/>
  <c r="L248" i="30"/>
  <c r="L249" i="30" s="1"/>
  <c r="K248" i="30"/>
  <c r="K249" i="30" s="1"/>
  <c r="J248" i="30"/>
  <c r="J249" i="30" s="1"/>
  <c r="I244" i="30"/>
  <c r="I242" i="30" s="1"/>
  <c r="I243" i="30" s="1"/>
  <c r="H243" i="30"/>
  <c r="L242" i="30"/>
  <c r="L243" i="30" s="1"/>
  <c r="K242" i="30"/>
  <c r="K243" i="30" s="1"/>
  <c r="J243" i="30"/>
  <c r="I240" i="30"/>
  <c r="J239" i="30"/>
  <c r="J229" i="30" s="1"/>
  <c r="I239" i="30"/>
  <c r="I236" i="30"/>
  <c r="I232" i="30"/>
  <c r="H231" i="30"/>
  <c r="L231" i="30"/>
  <c r="K231" i="30"/>
  <c r="J228" i="30"/>
  <c r="I228" i="30"/>
  <c r="L226" i="30"/>
  <c r="K226" i="30"/>
  <c r="L225" i="30"/>
  <c r="K225" i="30"/>
  <c r="J225" i="30"/>
  <c r="I225" i="30"/>
  <c r="H223" i="30"/>
  <c r="L264" i="30"/>
  <c r="K264" i="30"/>
  <c r="I264" i="30"/>
  <c r="L220" i="30"/>
  <c r="K220" i="30"/>
  <c r="J220" i="30"/>
  <c r="I220" i="30"/>
  <c r="H220" i="30"/>
  <c r="L218" i="30"/>
  <c r="K218" i="30"/>
  <c r="J218" i="30"/>
  <c r="I218" i="30"/>
  <c r="H218" i="30"/>
  <c r="L212" i="30"/>
  <c r="K212" i="30"/>
  <c r="J212" i="30"/>
  <c r="I212" i="30"/>
  <c r="H212" i="30"/>
  <c r="L209" i="30"/>
  <c r="K209" i="30"/>
  <c r="I209" i="30"/>
  <c r="H209" i="30"/>
  <c r="J209" i="30"/>
  <c r="L207" i="30"/>
  <c r="I207" i="30"/>
  <c r="H207" i="30"/>
  <c r="K205" i="30"/>
  <c r="K207" i="30" s="1"/>
  <c r="J207" i="30"/>
  <c r="I199" i="30"/>
  <c r="I197" i="30" s="1"/>
  <c r="I198" i="30" s="1"/>
  <c r="H198" i="30"/>
  <c r="L197" i="30"/>
  <c r="L198" i="30" s="1"/>
  <c r="K197" i="30"/>
  <c r="K198" i="30" s="1"/>
  <c r="J197" i="30"/>
  <c r="J198" i="30" s="1"/>
  <c r="L196" i="30"/>
  <c r="K196" i="30"/>
  <c r="J196" i="30"/>
  <c r="I196" i="30"/>
  <c r="H196" i="30"/>
  <c r="L192" i="30"/>
  <c r="K192" i="30"/>
  <c r="H192" i="30"/>
  <c r="I190" i="30"/>
  <c r="I260" i="30" s="1"/>
  <c r="I188" i="30"/>
  <c r="L187" i="30"/>
  <c r="K187" i="30"/>
  <c r="J187" i="30"/>
  <c r="I187" i="30"/>
  <c r="H187" i="30"/>
  <c r="L185" i="30"/>
  <c r="K185" i="30"/>
  <c r="H185" i="30"/>
  <c r="J185" i="30"/>
  <c r="I184" i="30"/>
  <c r="I185" i="30" s="1"/>
  <c r="L181" i="30"/>
  <c r="K181" i="30"/>
  <c r="J181" i="30"/>
  <c r="I181" i="30"/>
  <c r="H181" i="30"/>
  <c r="L175" i="30"/>
  <c r="K175" i="30"/>
  <c r="J175" i="30"/>
  <c r="I175" i="30"/>
  <c r="H175" i="30"/>
  <c r="L172" i="30"/>
  <c r="K172" i="30"/>
  <c r="J172" i="30"/>
  <c r="I172" i="30"/>
  <c r="L167" i="30"/>
  <c r="K167" i="30"/>
  <c r="J167" i="30"/>
  <c r="I167" i="30"/>
  <c r="H167" i="30"/>
  <c r="L162" i="30"/>
  <c r="K161" i="30"/>
  <c r="J161" i="30"/>
  <c r="L157" i="30"/>
  <c r="K157" i="30"/>
  <c r="H148" i="30"/>
  <c r="L147" i="30"/>
  <c r="K147" i="30"/>
  <c r="I147" i="30"/>
  <c r="I146" i="30"/>
  <c r="L143" i="30"/>
  <c r="K143" i="30"/>
  <c r="J143" i="30"/>
  <c r="I143" i="30"/>
  <c r="H143" i="30"/>
  <c r="L141" i="30"/>
  <c r="K141" i="30"/>
  <c r="J141" i="30"/>
  <c r="I141" i="30"/>
  <c r="H141" i="30"/>
  <c r="L126" i="30"/>
  <c r="L90" i="30"/>
  <c r="L92" i="30" s="1"/>
  <c r="J129" i="30"/>
  <c r="K129" i="30"/>
  <c r="L129" i="30"/>
  <c r="I129" i="30"/>
  <c r="J92" i="30"/>
  <c r="K92" i="30"/>
  <c r="I92" i="30"/>
  <c r="K44" i="30"/>
  <c r="K133" i="30"/>
  <c r="L133" i="30"/>
  <c r="I133" i="30"/>
  <c r="K134" i="30"/>
  <c r="L134" i="30"/>
  <c r="I134" i="30"/>
  <c r="K84" i="30"/>
  <c r="K86" i="30" s="1"/>
  <c r="J135" i="30"/>
  <c r="K135" i="30"/>
  <c r="L135" i="30"/>
  <c r="I135" i="30"/>
  <c r="L86" i="30"/>
  <c r="I86" i="30"/>
  <c r="K81" i="30"/>
  <c r="L111" i="30"/>
  <c r="I111" i="30"/>
  <c r="K80" i="30"/>
  <c r="J99" i="30"/>
  <c r="J124" i="30" s="1"/>
  <c r="J98" i="30"/>
  <c r="K98" i="30" s="1"/>
  <c r="L93" i="30"/>
  <c r="K93" i="30"/>
  <c r="L94" i="30"/>
  <c r="K94" i="30"/>
  <c r="L95" i="30"/>
  <c r="K95" i="30"/>
  <c r="L113" i="30"/>
  <c r="K113" i="30"/>
  <c r="L114" i="30"/>
  <c r="K114" i="30"/>
  <c r="J56" i="30"/>
  <c r="K56" i="30"/>
  <c r="L56" i="30"/>
  <c r="I56" i="30"/>
  <c r="J102" i="30"/>
  <c r="J10" i="30"/>
  <c r="J146" i="30" l="1"/>
  <c r="J259" i="30" s="1"/>
  <c r="J231" i="30"/>
  <c r="J86" i="30"/>
  <c r="J123" i="30"/>
  <c r="K99" i="30"/>
  <c r="K222" i="30"/>
  <c r="K223" i="30" s="1"/>
  <c r="L222" i="30"/>
  <c r="L223" i="30" s="1"/>
  <c r="J222" i="30"/>
  <c r="J255" i="30" s="1"/>
  <c r="K146" i="30"/>
  <c r="K148" i="30" s="1"/>
  <c r="I222" i="30"/>
  <c r="I223" i="30" s="1"/>
  <c r="I216" i="30"/>
  <c r="K96" i="30"/>
  <c r="I173" i="30"/>
  <c r="I241" i="30"/>
  <c r="I229" i="30"/>
  <c r="I231" i="30" s="1"/>
  <c r="L146" i="30"/>
  <c r="L148" i="30" s="1"/>
  <c r="I192" i="30"/>
  <c r="I183" i="30" s="1"/>
  <c r="I148" i="30"/>
  <c r="I145" i="30" s="1"/>
  <c r="I259" i="30"/>
  <c r="J148" i="30" l="1"/>
  <c r="K259" i="30"/>
  <c r="K255" i="30"/>
  <c r="I221" i="30"/>
  <c r="I255" i="30"/>
  <c r="I265" i="30" s="1"/>
  <c r="L255" i="30"/>
  <c r="L259" i="30"/>
  <c r="K254" i="30"/>
  <c r="J265" i="30"/>
  <c r="L254" i="30"/>
  <c r="J223" i="30"/>
  <c r="J254" i="30" s="1"/>
  <c r="I254" i="30"/>
  <c r="K265" i="30" l="1"/>
  <c r="K266" i="30" s="1"/>
  <c r="L265" i="30"/>
  <c r="L266" i="30" s="1"/>
  <c r="I266" i="30"/>
  <c r="J266" i="30"/>
  <c r="K108" i="30" l="1"/>
  <c r="J108" i="30"/>
  <c r="K105" i="30"/>
  <c r="J105" i="30"/>
  <c r="K104" i="30"/>
  <c r="J104" i="30"/>
  <c r="K111" i="30" l="1"/>
  <c r="J111" i="30" l="1"/>
  <c r="L132" i="30" l="1"/>
  <c r="K132" i="30"/>
  <c r="I132" i="30"/>
  <c r="I130" i="30"/>
  <c r="L127" i="30"/>
  <c r="K127" i="30"/>
  <c r="K126" i="30"/>
  <c r="L125" i="30"/>
  <c r="K125" i="30"/>
  <c r="I125" i="30"/>
  <c r="I124" i="30"/>
  <c r="L123" i="30"/>
  <c r="K123" i="30"/>
  <c r="L120" i="30"/>
  <c r="K120" i="30"/>
  <c r="J120" i="30"/>
  <c r="I120" i="30"/>
  <c r="J115" i="30"/>
  <c r="I115" i="30"/>
  <c r="H115" i="30"/>
  <c r="L103" i="30"/>
  <c r="K103" i="30"/>
  <c r="J103" i="30"/>
  <c r="H103" i="30"/>
  <c r="L100" i="30"/>
  <c r="H100" i="30"/>
  <c r="I100" i="30"/>
  <c r="J96" i="30"/>
  <c r="I96" i="30"/>
  <c r="H96" i="30"/>
  <c r="L89" i="30"/>
  <c r="K89" i="30"/>
  <c r="J89" i="30"/>
  <c r="I89" i="30"/>
  <c r="H89" i="30"/>
  <c r="L82" i="30"/>
  <c r="K82" i="30"/>
  <c r="J82" i="30"/>
  <c r="H82" i="30"/>
  <c r="L77" i="30"/>
  <c r="L75" i="30" s="1"/>
  <c r="K77" i="30"/>
  <c r="K75" i="30" s="1"/>
  <c r="J77" i="30"/>
  <c r="H76" i="30"/>
  <c r="I77" i="30"/>
  <c r="L74" i="30"/>
  <c r="L71" i="30" s="1"/>
  <c r="K74" i="30"/>
  <c r="K71" i="30" s="1"/>
  <c r="I74" i="30"/>
  <c r="I71" i="30" s="1"/>
  <c r="J72" i="30"/>
  <c r="H72" i="30"/>
  <c r="H74" i="30" s="1"/>
  <c r="L69" i="30"/>
  <c r="K69" i="30"/>
  <c r="J69" i="30"/>
  <c r="I69" i="30"/>
  <c r="H69" i="30"/>
  <c r="L66" i="30"/>
  <c r="K66" i="30"/>
  <c r="J66" i="30"/>
  <c r="I66" i="30"/>
  <c r="H66" i="30"/>
  <c r="L64" i="30"/>
  <c r="K64" i="30"/>
  <c r="J64" i="30"/>
  <c r="I64" i="30"/>
  <c r="H64" i="30"/>
  <c r="L60" i="30"/>
  <c r="K60" i="30"/>
  <c r="J60" i="30"/>
  <c r="I60" i="30"/>
  <c r="H60" i="30"/>
  <c r="L58" i="30"/>
  <c r="K58" i="30"/>
  <c r="J58" i="30"/>
  <c r="H58" i="30"/>
  <c r="I58" i="30"/>
  <c r="H56" i="30"/>
  <c r="L53" i="30"/>
  <c r="K53" i="30"/>
  <c r="J53" i="30"/>
  <c r="I53" i="30"/>
  <c r="H53" i="30"/>
  <c r="L50" i="30"/>
  <c r="L43" i="30" s="1"/>
  <c r="K50" i="30"/>
  <c r="K43" i="30" s="1"/>
  <c r="I50" i="30"/>
  <c r="I43" i="30" s="1"/>
  <c r="H46" i="30"/>
  <c r="H45" i="30"/>
  <c r="L32" i="30"/>
  <c r="K32" i="30"/>
  <c r="J32" i="30"/>
  <c r="I32" i="30"/>
  <c r="L30" i="30"/>
  <c r="K30" i="30"/>
  <c r="I28" i="30"/>
  <c r="H28" i="30"/>
  <c r="H30" i="30" s="1"/>
  <c r="L26" i="30"/>
  <c r="K26" i="30"/>
  <c r="J26" i="30"/>
  <c r="I26" i="30"/>
  <c r="H26" i="30"/>
  <c r="L23" i="30"/>
  <c r="K23" i="30"/>
  <c r="H23" i="30"/>
  <c r="L21" i="30"/>
  <c r="K21" i="30"/>
  <c r="I21" i="30"/>
  <c r="H21" i="30"/>
  <c r="J21" i="30"/>
  <c r="L19" i="30"/>
  <c r="K19" i="30"/>
  <c r="H19" i="30"/>
  <c r="I19" i="30"/>
  <c r="L15" i="30"/>
  <c r="K15" i="30"/>
  <c r="J15" i="30"/>
  <c r="I15" i="30"/>
  <c r="H14" i="30"/>
  <c r="H13" i="30"/>
  <c r="L12" i="30"/>
  <c r="K12" i="30"/>
  <c r="J12" i="30"/>
  <c r="H12" i="30"/>
  <c r="I12" i="30"/>
  <c r="L8" i="30"/>
  <c r="K8" i="30"/>
  <c r="J8" i="30"/>
  <c r="I8" i="30"/>
  <c r="H8" i="30"/>
  <c r="L122" i="30"/>
  <c r="I127" i="30"/>
  <c r="J74" i="30" l="1"/>
  <c r="J71" i="30" s="1"/>
  <c r="K67" i="30"/>
  <c r="I23" i="30"/>
  <c r="J23" i="30"/>
  <c r="H50" i="30"/>
  <c r="K122" i="30"/>
  <c r="I122" i="30"/>
  <c r="L6" i="30"/>
  <c r="J100" i="30"/>
  <c r="H15" i="30"/>
  <c r="I123" i="30"/>
  <c r="I126" i="30"/>
  <c r="I30" i="30"/>
  <c r="I82" i="30"/>
  <c r="I103" i="30"/>
  <c r="K130" i="30"/>
  <c r="L130" i="30"/>
  <c r="L124" i="30"/>
  <c r="I67" i="30"/>
  <c r="L67" i="30"/>
  <c r="I51" i="30"/>
  <c r="K6" i="30"/>
  <c r="J19" i="30"/>
  <c r="J50" i="30"/>
  <c r="H77" i="30"/>
  <c r="K124" i="30"/>
  <c r="K115" i="30"/>
  <c r="L51" i="30"/>
  <c r="K51" i="30"/>
  <c r="L96" i="30"/>
  <c r="K100" i="30"/>
  <c r="J130" i="30"/>
  <c r="L115" i="30"/>
  <c r="J121" i="30" l="1"/>
  <c r="I121" i="30"/>
  <c r="L136" i="30"/>
  <c r="K78" i="30"/>
  <c r="J136" i="30"/>
  <c r="K136" i="30"/>
  <c r="I136" i="30"/>
  <c r="L78" i="30"/>
  <c r="I78" i="30"/>
  <c r="I6" i="30"/>
  <c r="L121" i="30"/>
  <c r="K121" i="30"/>
  <c r="L137" i="30" l="1"/>
  <c r="I137" i="30"/>
  <c r="J137" i="30"/>
  <c r="K137" i="30"/>
</calcChain>
</file>

<file path=xl/sharedStrings.xml><?xml version="1.0" encoding="utf-8"?>
<sst xmlns="http://schemas.openxmlformats.org/spreadsheetml/2006/main" count="5146" uniqueCount="2102">
  <si>
    <t>Priemonės pavadinimas</t>
  </si>
  <si>
    <t>Vykdytojo kodas</t>
  </si>
  <si>
    <t>Kodas biudžete</t>
  </si>
  <si>
    <t>Finansavimo šaltinis</t>
  </si>
  <si>
    <t>iš viso</t>
  </si>
  <si>
    <t>Įgyvendinti bendruosius ugdymo planus, užtikrinti tinkamą ugdymo (si) aplinką rajono formaliojo švietimo įstaigoms</t>
  </si>
  <si>
    <t>11.1</t>
  </si>
  <si>
    <t>ML</t>
  </si>
  <si>
    <t>SB</t>
  </si>
  <si>
    <t>LK</t>
  </si>
  <si>
    <t>VBD</t>
  </si>
  <si>
    <t>S</t>
  </si>
  <si>
    <t>11.2</t>
  </si>
  <si>
    <t>11.6</t>
  </si>
  <si>
    <t>11.3</t>
  </si>
  <si>
    <t>11.4</t>
  </si>
  <si>
    <t>11.5</t>
  </si>
  <si>
    <t>11.7</t>
  </si>
  <si>
    <t>11.8</t>
  </si>
  <si>
    <t>11.9</t>
  </si>
  <si>
    <t>11.12</t>
  </si>
  <si>
    <t>11.13</t>
  </si>
  <si>
    <t>11.14</t>
  </si>
  <si>
    <t>11.16</t>
  </si>
  <si>
    <t>11.18</t>
  </si>
  <si>
    <t>11.19</t>
  </si>
  <si>
    <t>11.20</t>
  </si>
  <si>
    <t>11.21</t>
  </si>
  <si>
    <t>11.22</t>
  </si>
  <si>
    <t>11.26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</si>
  <si>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</si>
  <si>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</si>
  <si>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</si>
  <si>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</si>
  <si>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</si>
  <si>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</si>
  <si>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</si>
  <si>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ES</t>
  </si>
  <si>
    <t>VBES</t>
  </si>
  <si>
    <t>9</t>
  </si>
  <si>
    <t>SL</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</si>
  <si>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</si>
  <si>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</si>
  <si>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</si>
  <si>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</si>
  <si>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</si>
  <si>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</si>
  <si>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</si>
  <si>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</si>
  <si>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</si>
  <si>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</si>
  <si>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</si>
  <si>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</si>
  <si>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</si>
  <si>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</si>
  <si>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</si>
  <si>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</si>
  <si>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</si>
  <si>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</si>
  <si>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</si>
  <si>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</si>
  <si>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</si>
  <si>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</si>
  <si>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</si>
  <si>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</si>
  <si>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</si>
  <si>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</si>
  <si>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</si>
  <si>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</si>
  <si>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</si>
  <si>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</si>
  <si>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</si>
  <si>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</si>
  <si>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</si>
  <si>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</si>
  <si>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</si>
  <si>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</si>
  <si>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</si>
  <si>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</si>
  <si>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</si>
  <si>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</si>
  <si>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</si>
  <si>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</si>
  <si>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</si>
  <si>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</si>
  <si>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</si>
  <si>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15.1</t>
  </si>
  <si>
    <t>Dalyvavimas didinant regiono pasiekiamumą oro transportu</t>
  </si>
  <si>
    <t>10</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</si>
  <si>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</si>
  <si>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</si>
  <si>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</si>
  <si>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</si>
  <si>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</si>
  <si>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</si>
  <si>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</si>
  <si>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</si>
  <si>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</si>
  <si>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</si>
  <si>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</si>
  <si>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</si>
  <si>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</si>
  <si>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</si>
  <si>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</si>
  <si>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</si>
  <si>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</si>
  <si>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</si>
  <si>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</si>
  <si>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</si>
  <si>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</si>
  <si>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</si>
  <si>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</si>
  <si>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</si>
  <si>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</si>
  <si>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</si>
  <si>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</si>
  <si>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</si>
  <si>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18.1</t>
  </si>
  <si>
    <t>GŠV</t>
  </si>
  <si>
    <t>Asbesto turinčių gaminių atliekų surinkimas apvažiavimo būdu, transportavimas ir saugus šalinimas</t>
  </si>
  <si>
    <t>LGŠV</t>
  </si>
  <si>
    <t>Gyvūnų augintinių gausos reguliavimo programa</t>
  </si>
  <si>
    <t>3.2.2.2.</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</si>
  <si>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</si>
  <si>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</si>
  <si>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</si>
  <si>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</si>
  <si>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</si>
  <si>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</si>
  <si>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</si>
  <si>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</si>
  <si>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</si>
  <si>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</si>
  <si>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</si>
  <si>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</si>
  <si>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</si>
  <si>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</si>
  <si>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</si>
  <si>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</si>
  <si>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</si>
  <si>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</si>
  <si>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</si>
  <si>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</si>
  <si>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</si>
  <si>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</si>
  <si>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Gargždų miesto parko infrastruktūros sutvarkymas</t>
  </si>
  <si>
    <t xml:space="preserve">3.2.2.23. </t>
  </si>
  <si>
    <t>LŽ</t>
  </si>
  <si>
    <t>Sumažinti gyventojų sergamumą užkrečiamosiomis ligomis</t>
  </si>
  <si>
    <t>7.10</t>
  </si>
  <si>
    <t>7</t>
  </si>
  <si>
    <t> </t>
  </si>
  <si>
    <t>Sumažinti gyventojų sveikatos netolygumus, susijusius su gyventojų elgsena</t>
  </si>
  <si>
    <t>EEEVB</t>
  </si>
  <si>
    <t>EEE</t>
  </si>
  <si>
    <t>PL</t>
  </si>
  <si>
    <t>Visuomenės psichikos sveikatos paslaugų prieinamumo bei ankstyvojo savižudybių atpažinimo ir kompleksinės pagalbos teikimo sistemos plėtojimas</t>
  </si>
  <si>
    <t>4.1.2.10.</t>
  </si>
  <si>
    <t>Sveikos gyvensenos kultūros gyventojams formavimas</t>
  </si>
  <si>
    <t>4.1.1.2.</t>
  </si>
  <si>
    <t>Gerovės konsultanto modelio įdiegimas Klaipėdos r. savivaldybėje</t>
  </si>
  <si>
    <t>17</t>
  </si>
  <si>
    <t>4.1.1.14</t>
  </si>
  <si>
    <t>Plėtoti sveikatos infrastruktūrą ir gerinti sveikatos priežiūros paslaugų kokybę bei prieinamumą</t>
  </si>
  <si>
    <t>7.9</t>
  </si>
  <si>
    <t>4.2.1.12.</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</si>
  <si>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</si>
  <si>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</si>
  <si>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</si>
  <si>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</si>
  <si>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</si>
  <si>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</si>
  <si>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</si>
  <si>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</si>
  <si>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</si>
  <si>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</si>
  <si>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</si>
  <si>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</si>
  <si>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</si>
  <si>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</si>
  <si>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</si>
  <si>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</si>
  <si>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</si>
  <si>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</si>
  <si>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</si>
  <si>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</si>
  <si>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</si>
  <si>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</si>
  <si>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</si>
  <si>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</si>
  <si>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</si>
  <si>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</si>
  <si>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</si>
  <si>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</si>
  <si>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</si>
  <si>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</si>
  <si>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</si>
  <si>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</si>
  <si>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</si>
  <si>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</si>
  <si>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</si>
  <si>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</si>
  <si>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</si>
  <si>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Užimtumo didinimo programos vykdymas</t>
  </si>
  <si>
    <t>5.2.1.2.</t>
  </si>
  <si>
    <t>Jaunimo įgalinimo ir įtraukimo į pilietinę veiklą galimybių kūrimas ir plėtra</t>
  </si>
  <si>
    <t>16</t>
  </si>
  <si>
    <t>5.1.4.2.</t>
  </si>
  <si>
    <t>16.1</t>
  </si>
  <si>
    <t>Skatinti nevyriausybinių organizacijų veiklą</t>
  </si>
  <si>
    <t>Klaipėdos r. savivaldybės ir nevyriausybinių organizacijų bendradarbiavimas</t>
  </si>
  <si>
    <t>9.4.3.1</t>
  </si>
  <si>
    <t>Klaipėdos r. gyvenamųjų vietovių bendruomenių rėmimo programos įgyvendinimas</t>
  </si>
  <si>
    <t>9.4.3.3.</t>
  </si>
  <si>
    <t>Klaipėdos r. tradicinių religinių bendruomenių ir bendrijų rėmimo programos įgyvendinimas</t>
  </si>
  <si>
    <t>9.4.3.4.</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</si>
  <si>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</si>
  <si>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</si>
  <si>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</si>
  <si>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</si>
  <si>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</si>
  <si>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</si>
  <si>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</si>
  <si>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</si>
  <si>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</si>
  <si>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</si>
  <si>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</si>
  <si>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</si>
  <si>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</si>
  <si>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</si>
  <si>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</si>
  <si>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</si>
  <si>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</si>
  <si>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</si>
  <si>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</si>
  <si>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</si>
  <si>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</si>
  <si>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</si>
  <si>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</si>
  <si>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</si>
  <si>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</si>
  <si>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</si>
  <si>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</si>
  <si>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</si>
  <si>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</si>
  <si>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</si>
  <si>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</si>
  <si>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</si>
  <si>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</si>
  <si>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</si>
  <si>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</si>
  <si>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</si>
  <si>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</si>
  <si>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</si>
  <si>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</si>
  <si>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</si>
  <si>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</si>
  <si>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</si>
  <si>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</si>
  <si>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</si>
  <si>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</si>
  <si>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</si>
  <si>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</si>
  <si>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</si>
  <si>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</si>
  <si>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</si>
  <si>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</si>
  <si>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</si>
  <si>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</si>
  <si>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</si>
  <si>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</si>
  <si>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</si>
  <si>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</si>
  <si>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</si>
  <si>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</si>
  <si>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</si>
  <si>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</si>
  <si>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</si>
  <si>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</si>
  <si>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</si>
  <si>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</si>
  <si>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</si>
  <si>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</si>
  <si>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</si>
  <si>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</si>
  <si>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</si>
  <si>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</si>
  <si>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</si>
  <si>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</si>
  <si>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</si>
  <si>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</si>
  <si>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</si>
  <si>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</si>
  <si>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</si>
  <si>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</si>
  <si>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</si>
  <si>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</si>
  <si>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</si>
  <si>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</si>
  <si>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</si>
  <si>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</si>
  <si>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</si>
  <si>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</si>
  <si>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</si>
  <si>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</si>
  <si>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</si>
  <si>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</si>
  <si>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</si>
  <si>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</si>
  <si>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</si>
  <si>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</si>
  <si>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</si>
  <si>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</si>
  <si>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</si>
  <si>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</si>
  <si>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</si>
  <si>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Teikti kultūros paslaugas Savivaldybės kultūros įstaigose</t>
  </si>
  <si>
    <t>7.4</t>
  </si>
  <si>
    <t>7.5</t>
  </si>
  <si>
    <t>7.6</t>
  </si>
  <si>
    <t>7.7</t>
  </si>
  <si>
    <t>7.8</t>
  </si>
  <si>
    <t>7.2</t>
  </si>
  <si>
    <t>7.1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</si>
  <si>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</si>
  <si>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</si>
  <si>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</si>
  <si>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</si>
  <si>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</si>
  <si>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</si>
  <si>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</si>
  <si>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</si>
  <si>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</si>
  <si>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</si>
  <si>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</si>
  <si>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</si>
  <si>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</si>
  <si>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</si>
  <si>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</si>
  <si>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</si>
  <si>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</si>
  <si>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</si>
  <si>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</si>
  <si>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</si>
  <si>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</si>
  <si>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</si>
  <si>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</si>
  <si>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</si>
  <si>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</si>
  <si>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</si>
  <si>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</si>
  <si>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</si>
  <si>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</si>
  <si>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</si>
  <si>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</si>
  <si>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</si>
  <si>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</si>
  <si>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Sportininkų, reprezentuojančių Klaipėdos rajono savivaldybę aukšto meistriškumo sporto varžybose, finansavimo programa</t>
  </si>
  <si>
    <t>8.1.2.9.</t>
  </si>
  <si>
    <t>Projekto „Stovyklavietės įrengimas Gargždų karjerų teritorijoje“ įgyvendinimas</t>
  </si>
  <si>
    <t>8.2.1.24.</t>
  </si>
  <si>
    <t>8.2.2.6.</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</si>
  <si>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</si>
  <si>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</si>
  <si>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</si>
  <si>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</si>
  <si>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</si>
  <si>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</si>
  <si>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</si>
  <si>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</si>
  <si>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</si>
  <si>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</si>
  <si>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</si>
  <si>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</si>
  <si>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</si>
  <si>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</si>
  <si>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</si>
  <si>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</si>
  <si>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</si>
  <si>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</si>
  <si>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</si>
  <si>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</si>
  <si>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</si>
  <si>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</si>
  <si>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</si>
  <si>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</si>
  <si>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</si>
  <si>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</si>
  <si>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</si>
  <si>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</si>
  <si>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</si>
  <si>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</si>
  <si>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</si>
  <si>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</si>
  <si>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</si>
  <si>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</si>
  <si>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</si>
  <si>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</si>
  <si>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</si>
  <si>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</si>
  <si>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</si>
  <si>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</si>
  <si>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</si>
  <si>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</si>
  <si>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</si>
  <si>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</si>
  <si>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</si>
  <si>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</si>
  <si>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</si>
  <si>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</si>
  <si>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</si>
  <si>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</si>
  <si>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</si>
  <si>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</si>
  <si>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</si>
  <si>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</si>
  <si>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</si>
  <si>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</si>
  <si>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</si>
  <si>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</si>
  <si>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</si>
  <si>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</si>
  <si>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</si>
  <si>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</si>
  <si>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</si>
  <si>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</si>
  <si>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</si>
  <si>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</si>
  <si>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</si>
  <si>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</si>
  <si>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</si>
  <si>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</si>
  <si>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</si>
  <si>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</si>
  <si>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</si>
  <si>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</si>
  <si>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</si>
  <si>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</si>
  <si>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</si>
  <si>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</si>
  <si>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</si>
  <si>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</si>
  <si>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</si>
  <si>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</si>
  <si>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</si>
  <si>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</si>
  <si>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</si>
  <si>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</si>
  <si>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</si>
  <si>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</si>
  <si>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</si>
  <si>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</si>
  <si>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</si>
  <si>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</si>
  <si>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</si>
  <si>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</si>
  <si>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</si>
  <si>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</si>
  <si>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</si>
  <si>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</si>
  <si>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</si>
  <si>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</si>
  <si>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</si>
  <si>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</si>
  <si>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</si>
  <si>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</si>
  <si>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</si>
  <si>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</si>
  <si>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</si>
  <si>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</si>
  <si>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</si>
  <si>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</si>
  <si>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</si>
  <si>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</si>
  <si>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</si>
  <si>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</si>
  <si>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</si>
  <si>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</si>
  <si>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</si>
  <si>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</si>
  <si>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</si>
  <si>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</si>
  <si>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</si>
  <si>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</si>
  <si>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</si>
  <si>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</si>
  <si>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</si>
  <si>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</si>
  <si>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</si>
  <si>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</si>
  <si>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</si>
  <si>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</si>
  <si>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</si>
  <si>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</si>
  <si>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</si>
  <si>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</si>
  <si>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ML(UK)</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</si>
  <si>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</si>
  <si>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</si>
  <si>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</si>
  <si>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</si>
  <si>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</si>
  <si>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</si>
  <si>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</si>
  <si>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</si>
  <si>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</si>
  <si>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</si>
  <si>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</si>
  <si>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</si>
  <si>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</si>
  <si>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</si>
  <si>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</si>
  <si>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</si>
  <si>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</si>
  <si>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</si>
  <si>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</si>
  <si>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</si>
  <si>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</si>
  <si>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</si>
  <si>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</si>
  <si>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</si>
  <si>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</si>
  <si>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</si>
  <si>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</si>
  <si>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</si>
  <si>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</si>
  <si>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</si>
  <si>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</si>
  <si>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</si>
  <si>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</si>
  <si>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</si>
  <si>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</si>
  <si>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</si>
  <si>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</si>
  <si>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</si>
  <si>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</si>
  <si>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</si>
  <si>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</si>
  <si>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</si>
  <si>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</si>
  <si>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</si>
  <si>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</si>
  <si>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</si>
  <si>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</si>
  <si>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</si>
  <si>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</si>
  <si>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</si>
  <si>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</si>
  <si>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</si>
  <si>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</si>
  <si>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</si>
  <si>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</si>
  <si>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</si>
  <si>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</si>
  <si>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</si>
  <si>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</si>
  <si>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</si>
  <si>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</si>
  <si>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</si>
  <si>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</si>
  <si>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</si>
  <si>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</si>
  <si>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</si>
  <si>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</si>
  <si>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</si>
  <si>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</si>
  <si>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</si>
  <si>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</si>
  <si>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</si>
  <si>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</si>
  <si>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</si>
  <si>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</si>
  <si>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</si>
  <si>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</si>
  <si>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</si>
  <si>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</si>
  <si>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</si>
  <si>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</si>
  <si>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</si>
  <si>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</si>
  <si>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</si>
  <si>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</si>
  <si>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</si>
  <si>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</si>
  <si>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</si>
  <si>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</si>
  <si>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</si>
  <si>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</si>
  <si>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</si>
  <si>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</si>
  <si>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</si>
  <si>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</si>
  <si>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</si>
  <si>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</si>
  <si>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</si>
  <si>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Patarėjas (už korupcijai atsparios aplinkos kūrimą atsakingas asmuo)</t>
  </si>
  <si>
    <t>Turto valdymo skyrius</t>
  </si>
  <si>
    <t>Patarėja (lygių galimybių koordinatorė)</t>
  </si>
  <si>
    <t>SL(ES)</t>
  </si>
  <si>
    <t>ML(SL)</t>
  </si>
  <si>
    <t>SB (ES)</t>
  </si>
  <si>
    <t>VBM (KP)</t>
  </si>
  <si>
    <t>KKP</t>
  </si>
  <si>
    <t>VBM(KP)</t>
  </si>
  <si>
    <t>VBM(UK)</t>
  </si>
  <si>
    <t>Programos Nr.</t>
  </si>
  <si>
    <t>SVP priemonės numeris</t>
  </si>
  <si>
    <t>Priemonės kodas detalizacijoje</t>
  </si>
  <si>
    <t>Atsakingo kodas</t>
  </si>
  <si>
    <t>2024 m.</t>
  </si>
  <si>
    <t>2026 m.</t>
  </si>
  <si>
    <t>2027 m.</t>
  </si>
  <si>
    <t>Požymis</t>
  </si>
  <si>
    <t>Veiklos vykdytojas (skyriaus ar įstaigos sutrumpinimas, darbuotojo V. Pavardė)</t>
  </si>
  <si>
    <t xml:space="preserve">Proceso ar/ir indėlio vertinimo kriterijai, matavimo vienetai </t>
  </si>
  <si>
    <r>
      <t xml:space="preserve">Matavimo vieneto planuojama reikšmė </t>
    </r>
    <r>
      <rPr>
        <b/>
        <sz val="8"/>
        <rFont val="Arial"/>
        <family val="2"/>
        <charset val="186"/>
      </rPr>
      <t>2025</t>
    </r>
    <r>
      <rPr>
        <sz val="8"/>
        <rFont val="Arial"/>
        <family val="2"/>
        <charset val="186"/>
      </rPr>
      <t xml:space="preserve"> metais</t>
    </r>
  </si>
  <si>
    <r>
      <t>Seniūnijos teritorija (</t>
    </r>
    <r>
      <rPr>
        <i/>
        <sz val="8"/>
        <rFont val="Arial"/>
        <family val="2"/>
        <charset val="186"/>
      </rPr>
      <t>be įstaigų</t>
    </r>
    <r>
      <rPr>
        <sz val="8"/>
        <rFont val="Arial"/>
        <family val="2"/>
        <charset val="186"/>
      </rPr>
      <t>)</t>
    </r>
  </si>
  <si>
    <t>1-1 Uždavinys: Užtikrinti ugdymo programų įgyvendinimą, jų įvairovę</t>
  </si>
  <si>
    <t>1-1-1</t>
  </si>
  <si>
    <t>ML (UK)</t>
  </si>
  <si>
    <t>I</t>
  </si>
  <si>
    <t>VBD(UK)</t>
  </si>
  <si>
    <t>Iš viso</t>
  </si>
  <si>
    <t>1-1-1-21</t>
  </si>
  <si>
    <t>NN</t>
  </si>
  <si>
    <t>Apdovanojamų mokytojų skaičius, vnt.
Renginys Mokytojų dienos progra, vnt.</t>
  </si>
  <si>
    <t>3
1</t>
  </si>
  <si>
    <t>PS</t>
  </si>
  <si>
    <t>1-1-1-23</t>
  </si>
  <si>
    <t>"Tūkstantmečio mokyklų" programos projekto įgyvendinimas</t>
  </si>
  <si>
    <t>11, 9</t>
  </si>
  <si>
    <t>1.1.1.43</t>
  </si>
  <si>
    <t xml:space="preserve">
Ugdymo įstaigų skaičius, kuriose įgyvendinamos projektų veiklos, vnt.</t>
  </si>
  <si>
    <t xml:space="preserve">
14</t>
  </si>
  <si>
    <t>1-1-1-24</t>
  </si>
  <si>
    <t>Įtraukusis ugdymas Klaipėdos rajono ugdymo įstaigose</t>
  </si>
  <si>
    <t>1.1.3.19.</t>
  </si>
  <si>
    <t>NK</t>
  </si>
  <si>
    <t>V. Viršilas</t>
  </si>
  <si>
    <t>Įrengtas liftas Gargždų "Kranto" progimnazijoje</t>
  </si>
  <si>
    <t>Gargždų</t>
  </si>
  <si>
    <t>Mokyklų skaičius, kuriose įgyvendinamos įtraukiojo ugdymo iniciatyvos, vnt.
Įtraukiojo ugdymo lėšomis finansuojami etatai, vnt.</t>
  </si>
  <si>
    <t>10
3</t>
  </si>
  <si>
    <t>1-1-1-26</t>
  </si>
  <si>
    <t>R. Rudgalvienė</t>
  </si>
  <si>
    <t>1-1-1-27</t>
  </si>
  <si>
    <t>Švietimo įstaigų elektros ir kuro išlaidų, šildymo  finansavimas</t>
  </si>
  <si>
    <t>V. Gabrilavičius</t>
  </si>
  <si>
    <t xml:space="preserve">Panaudotos lėšos, proc. </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</si>
  <si>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</si>
  <si>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</si>
  <si>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</si>
  <si>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</si>
  <si>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</si>
  <si>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</si>
  <si>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</si>
  <si>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</si>
  <si>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</si>
  <si>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</si>
  <si>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</si>
  <si>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</si>
  <si>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 xml:space="preserve">Organizuotas komisijos darbas, vnt. </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</si>
  <si>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</si>
  <si>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</si>
  <si>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</si>
  <si>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</si>
  <si>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</si>
  <si>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Sudaryta sutarčių su nevalstybinėmis įstaigomis mokymo lėšoms gauti</t>
  </si>
  <si>
    <t>1-1-3</t>
  </si>
  <si>
    <t>1-1-3-1</t>
  </si>
  <si>
    <t>Finansuoti organizuoti renginiai Klaipėdos rajono savivaldybėje, vnt.</t>
  </si>
  <si>
    <t>Finansuotos išvykos į respublikinius renginius, vnt.</t>
  </si>
  <si>
    <t>1-1-3-4</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</si>
  <si>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</si>
  <si>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</si>
  <si>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</si>
  <si>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</si>
  <si>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</si>
  <si>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</si>
  <si>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</si>
  <si>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 xml:space="preserve">Įdiegtos sistemos priežiūra  NVŠ teikiančiose įstaigose, pagal poreikį įsigytų elektroninių mokinių pažymėjimų, proc.                                                                         </t>
  </si>
  <si>
    <t xml:space="preserve">100
</t>
  </si>
  <si>
    <t xml:space="preserve">Kasos aparatų valgyklose diegimas, vnt. </t>
  </si>
  <si>
    <t>1-1-3-8</t>
  </si>
  <si>
    <t>Mokytojų skaičius, kurie  išklausė verslumo ir finansinio raštingumo mokymus, vnt.
Mokinių iniciatyvų projektų skaičius, vnt.               Mokinių mažųjų bendrovių eXpo paroda, vnt.</t>
  </si>
  <si>
    <t>35                                    17                                 1</t>
  </si>
  <si>
    <t>1-1-4</t>
  </si>
  <si>
    <t>1-1-4-2</t>
  </si>
  <si>
    <t>Sudarytų finansavimo sutarčių su persikvalifikuojančiais mokytojais ir studentais skaičius, vnt.</t>
  </si>
  <si>
    <t xml:space="preserve">1-2 Uždavinys: Modernizuoti švietimo įstaigas, atnaujinti jų turimą turtą </t>
  </si>
  <si>
    <t>1-2-1</t>
  </si>
  <si>
    <t>Įsigytų autobusų skaičius, vnt.</t>
  </si>
  <si>
    <t>1-2-2</t>
  </si>
  <si>
    <t>1-2-3</t>
  </si>
  <si>
    <t>Ugdymo įstaigų modernizavimas ir plėtra:</t>
  </si>
  <si>
    <t>1-2-3-1</t>
  </si>
  <si>
    <t xml:space="preserve">Darželio statyba Jurgaičių ir Juodžemių g. (Mazūriškės) sankryžoje esančiame laisvame sklype </t>
  </si>
  <si>
    <t>PV</t>
  </si>
  <si>
    <t>K. Jokubaitytė</t>
  </si>
  <si>
    <t>Rangos darbų pradžia, įgyvendinta rangos darbų, proc.</t>
  </si>
  <si>
    <t>Sendvario</t>
  </si>
  <si>
    <t>1-2-3-2</t>
  </si>
  <si>
    <t>Gargždų "Vaivorykštės" gimnazijos sporto aikštyno rekonstrukcija</t>
  </si>
  <si>
    <t>J. Blinstrubienė</t>
  </si>
  <si>
    <t>Įgyvendintas projektas, vnt.</t>
  </si>
  <si>
    <t>1-2-3-3</t>
  </si>
  <si>
    <t>Gargždų "Vaivorykštės" gimnazijos pastato modernizavimo projektavimas ir įgyvendinimas</t>
  </si>
  <si>
    <t>R. Sarulienė</t>
  </si>
  <si>
    <t>1-2-3-4</t>
  </si>
  <si>
    <t>Veiviržėnų Jurgio Šaulio gimnazijos pastato modernizavimo projektavimas</t>
  </si>
  <si>
    <t>PP</t>
  </si>
  <si>
    <t>Parengtas techninis projektas, vnt.</t>
  </si>
  <si>
    <t>Veiviržėnų</t>
  </si>
  <si>
    <t>1-2-3-5</t>
  </si>
  <si>
    <t>Ketvergių pagrindinės mokyklos priestato projektavimas ir statyba</t>
  </si>
  <si>
    <t>Parengtas statybos techninis projektas, vnt.</t>
  </si>
  <si>
    <t>Dovilų</t>
  </si>
  <si>
    <t>Nupirkti rangos darbai, vnt</t>
  </si>
  <si>
    <t>1-2-3-6</t>
  </si>
  <si>
    <t>Darželio Dercekliuose projekto parengimas ir ranga</t>
  </si>
  <si>
    <t>Priekulės</t>
  </si>
  <si>
    <t>Vykdomi rangos darbai, proc.</t>
  </si>
  <si>
    <t>1-2-3-7</t>
  </si>
  <si>
    <t>Gargždų lopšelio-darželio "Saulutė" pastato atnaujinimas ir plėtra</t>
  </si>
  <si>
    <t>1-2-3-9</t>
  </si>
  <si>
    <t>Vėžaičių darželio projektavimas</t>
  </si>
  <si>
    <t xml:space="preserve">Nupirkta techninio projekto parengimo paslauga, vnt. </t>
  </si>
  <si>
    <t>Vėžaičių</t>
  </si>
  <si>
    <t>Kretingalės</t>
  </si>
  <si>
    <t>1-2-3-12</t>
  </si>
  <si>
    <t>Agluonėnų darželio pastato sutvarkymas</t>
  </si>
  <si>
    <t>A. Ronkus</t>
  </si>
  <si>
    <t>Agluonėnų</t>
  </si>
  <si>
    <t>1-2-3-13</t>
  </si>
  <si>
    <t>Gargždų "Kranto" progimnazijos teritorijos sutvarkymo (apimant ir sporto sektorių) projektavimas ir įrengimas</t>
  </si>
  <si>
    <t>ATPS,
G. Kasperavičius</t>
  </si>
  <si>
    <t>Išdiskutuota su sporto bendruomene projektavimo užduotis ir parengti dokumentai projekto pirkimui, vnt.</t>
  </si>
  <si>
    <t>1-2-3-14</t>
  </si>
  <si>
    <t>1-2-3-15</t>
  </si>
  <si>
    <t>1.4.4.42.</t>
  </si>
  <si>
    <t>34, 10</t>
  </si>
  <si>
    <t>1-2-3-16</t>
  </si>
  <si>
    <t>Gautas statybos leidimas, vnt</t>
  </si>
  <si>
    <t>Pradėti rangos darbai, proc.</t>
  </si>
  <si>
    <t>1-2-3-18</t>
  </si>
  <si>
    <t>Mokyklų sporto aikštynų tvarkymas</t>
  </si>
  <si>
    <t>1.3.1.7</t>
  </si>
  <si>
    <t>Dovilų mokyklos stadionas</t>
  </si>
  <si>
    <t>Nupirkta projektavimo paslauga, vnt
Parengti projektiniai sprendiniai, vnt</t>
  </si>
  <si>
    <t>1
1</t>
  </si>
  <si>
    <t>Endriejavo</t>
  </si>
  <si>
    <t>2-1 Uždavinys: Kurti verslui bei investicijoms palankią aplinką Klaipėdos rajone</t>
  </si>
  <si>
    <t>2-1-1</t>
  </si>
  <si>
    <t>Klaipėdos  rajono savivaldybės smulkiojo verslo plėtros skatinimo programos įgyvendinimas</t>
  </si>
  <si>
    <t>2-1-2</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</si>
  <si>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</si>
  <si>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</si>
  <si>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</si>
  <si>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</si>
  <si>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</si>
  <si>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r>
      <rPr>
        <sz val="8"/>
        <color rgb="FF000000"/>
        <rFont val="Arial"/>
        <family val="2"/>
        <charset val="186"/>
      </rPr>
      <t>Suremontuoti/prižiūrėti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</si>
  <si>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</si>
  <si>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</si>
  <si>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</si>
  <si>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</si>
  <si>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2.2.1.8</t>
  </si>
  <si>
    <t>ŽŪS, R. Nekrošienė</t>
  </si>
  <si>
    <t>ŽŪS, L. Kundrotas</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</si>
  <si>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</si>
  <si>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</si>
  <si>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</si>
  <si>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</si>
  <si>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</si>
  <si>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</si>
  <si>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</si>
  <si>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</si>
  <si>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</si>
  <si>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</si>
  <si>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Rekonstruoti grioviai ir pralaida (komplektas), vnt.</t>
  </si>
  <si>
    <t>2-2-1-1-10</t>
  </si>
  <si>
    <t>Agluonėnų sen, Vanagų k, esančios pralaidos rekonstrukcijos rangos darbai, projekto ir rangos darbų techninė priežiūra</t>
  </si>
  <si>
    <t>ŽŪS, R. Danielkus</t>
  </si>
  <si>
    <t>Rekonstruota pralaida,  vnt.</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</si>
  <si>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</si>
  <si>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</si>
  <si>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</si>
  <si>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</si>
  <si>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</si>
  <si>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</si>
  <si>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</si>
  <si>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</si>
  <si>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</si>
  <si>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</si>
  <si>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</si>
  <si>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</si>
  <si>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</si>
  <si>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</si>
  <si>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</si>
  <si>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</si>
  <si>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 xml:space="preserve">Parengtas  remonto techninis darbo projektas, suremontuoti melioracijos grioviai, km. 
</t>
  </si>
  <si>
    <t xml:space="preserve">Dauparų-Kvietinių </t>
  </si>
  <si>
    <t>2-2-1-2</t>
  </si>
  <si>
    <t>Jokšų polderio melioracijos griovių J-1, J-1-1, J-1-1-2, J-1-4, J-3 ir juose esančių statinių bei Pjaulių siurblinės rekonstrukcija</t>
  </si>
  <si>
    <t>2.2.1.28.</t>
  </si>
  <si>
    <t xml:space="preserve">Rekonstruoti grioviai, km </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</si>
  <si>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</si>
  <si>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</si>
  <si>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</si>
  <si>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</si>
  <si>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</si>
  <si>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</si>
  <si>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</si>
  <si>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</si>
  <si>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</si>
  <si>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</si>
  <si>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</si>
  <si>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</si>
  <si>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</si>
  <si>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</si>
  <si>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</si>
  <si>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</si>
  <si>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</si>
  <si>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</si>
  <si>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</si>
  <si>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 xml:space="preserve">Suteikta techninės priežiūros paslaugų, vnt. </t>
  </si>
  <si>
    <t>2-2-2-2</t>
  </si>
  <si>
    <t xml:space="preserve">Melioruotos žemės ir melioracijos statinių kompiuterinės apskaitos paslaugų įgyvendinimo sutarties vykdymo priežiūra, vnt. </t>
  </si>
  <si>
    <t>2-3 Uždavinys: Didinti ir gerinti turizmo paslaugų teikimą</t>
  </si>
  <si>
    <t>2-3-2</t>
  </si>
  <si>
    <t>Turizmo infrastruktūros ir rinkodaros plėtra</t>
  </si>
  <si>
    <t>2-3-2-1</t>
  </si>
  <si>
    <t>Stepono Dariaus memorialinio parko pritaikymas turizmo ir aviacinio sporto reikmėms</t>
  </si>
  <si>
    <t>2.3.1.5.</t>
  </si>
  <si>
    <t>Nupirkti rangos darbai, vnt
Atlikti rangos darbai, proc.</t>
  </si>
  <si>
    <t>1
80</t>
  </si>
  <si>
    <t>Judrėnų</t>
  </si>
  <si>
    <t>2-3-2-3</t>
  </si>
  <si>
    <t>2.3.2.11.</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</si>
  <si>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</si>
  <si>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</si>
  <si>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</si>
  <si>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</si>
  <si>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</si>
  <si>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</si>
  <si>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</si>
  <si>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</si>
  <si>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</si>
  <si>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</si>
  <si>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F. Žemgulys</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</si>
  <si>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</si>
  <si>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</si>
  <si>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</si>
  <si>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2-3-2-9</t>
  </si>
  <si>
    <t>2, 21</t>
  </si>
  <si>
    <t>2.3.3.29.</t>
  </si>
  <si>
    <t>Techninio projekto parengimas</t>
  </si>
  <si>
    <t>ATPS,
J. Tamošauskienė</t>
  </si>
  <si>
    <t>Techninio projekto parengimo lygis procentais</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</si>
  <si>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</si>
  <si>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</si>
  <si>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</si>
  <si>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</si>
  <si>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</si>
  <si>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</si>
  <si>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2-3-2-10</t>
  </si>
  <si>
    <t>Projektas "MariEx - Naujų jūrinio turizmo keliautojų patirčių sukūrimas krante"</t>
  </si>
  <si>
    <t>2.3.2.30.</t>
  </si>
  <si>
    <t>SPPVS R. Grubliauskytė. 
V. Viršilas</t>
  </si>
  <si>
    <t>SPPVS R. Grubliauskytė.
F. Žemgulys</t>
  </si>
  <si>
    <t>Slipo įrengimas Vilhelmo kanale, vnt.</t>
  </si>
  <si>
    <t>2-3-2-12</t>
  </si>
  <si>
    <t>Turizmo forumo organizavimas</t>
  </si>
  <si>
    <t>2.3.1.13.</t>
  </si>
  <si>
    <t>Suorganizuotas renginys, vnt.</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</si>
  <si>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</si>
  <si>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</si>
  <si>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</si>
  <si>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</si>
  <si>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</si>
  <si>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</si>
  <si>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</si>
  <si>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</si>
  <si>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ATPS</t>
  </si>
  <si>
    <t>Patvirtintas detalusis planas Gargždų karjerų ter., vnt.</t>
  </si>
  <si>
    <t>2-4-1-2</t>
  </si>
  <si>
    <t>Parengti žemės valdų projektai, vnt.</t>
  </si>
  <si>
    <t>2-4-2</t>
  </si>
  <si>
    <t>2-4-2-1</t>
  </si>
  <si>
    <t>2-4-2-1-2</t>
  </si>
  <si>
    <t>Klaipėdos rajono bendrojo plano korektūros rengimas</t>
  </si>
  <si>
    <t>ATPS, 
J. Tamošauskienė</t>
  </si>
  <si>
    <t>Patvirtintas bendrasis planas, vnt.</t>
  </si>
  <si>
    <t>Klaipėdos rajono</t>
  </si>
  <si>
    <t>2-4-2-1-3</t>
  </si>
  <si>
    <t>Drevernos - Svencelės apylinkių urbanizuotos teritorijos bendrojo plano rengimas su urbanistine idėja</t>
  </si>
  <si>
    <t>ATPS, 
G. Kasperavičius</t>
  </si>
  <si>
    <t xml:space="preserve">Bendrojo plano parengimo lygis, proc. </t>
  </si>
  <si>
    <t>2-4-2-1-4</t>
  </si>
  <si>
    <t xml:space="preserve">Slengių, Mazūriškių ir kitų gyvenamųjų priemiestinių teritorijų bendrojo plano rengimas. </t>
  </si>
  <si>
    <t>ATPS, G. Kasperavičius</t>
  </si>
  <si>
    <t>2-4-2-1-5</t>
  </si>
  <si>
    <t>Dovilų miestelio bendrojo plano koregavimas</t>
  </si>
  <si>
    <t>ATPS, K. Litvinas</t>
  </si>
  <si>
    <t>2-4-2-1-6</t>
  </si>
  <si>
    <t>Gargždų miesto bendrojo plano keitimo parengimas</t>
  </si>
  <si>
    <t>2-4-2-2</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</si>
  <si>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</si>
  <si>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</si>
  <si>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</si>
  <si>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</si>
  <si>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</si>
  <si>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</si>
  <si>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</si>
  <si>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</si>
  <si>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</si>
  <si>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 xml:space="preserve">TVS, A. Indzelė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</si>
  <si>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</si>
  <si>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</si>
  <si>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</si>
  <si>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</si>
  <si>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</si>
  <si>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</si>
  <si>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</si>
  <si>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</si>
  <si>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</si>
  <si>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</si>
  <si>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</si>
  <si>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2, 9</t>
  </si>
  <si>
    <t>ATPS, 
A. Grigaitytė-Dromantienė</t>
  </si>
  <si>
    <t>Įgyvendintos architektūrinį ir urbanistinį įvaizdį gerinančios priemonės, vnt.</t>
  </si>
  <si>
    <t>2-4-3-1-1</t>
  </si>
  <si>
    <t>Gargždų miesto centrinės aikštės pertvarkymo projekto parengimas</t>
  </si>
  <si>
    <t>Projekto idėjos parengimas, viešinimas, paslaugų teikimo sutarties dėl techninio projekto parengimo pasirašymas, proc.</t>
  </si>
  <si>
    <t>2-4-3-1-3</t>
  </si>
  <si>
    <t>Gvildžių kaimo bendruomenės parko sutvarkymas (projektas)</t>
  </si>
  <si>
    <t>Sendvario seniūnija ir ATPS</t>
  </si>
  <si>
    <t xml:space="preserve">Nupirkta projektavimo paslauga, vnt. </t>
  </si>
  <si>
    <t>2-4-3-1-4</t>
  </si>
  <si>
    <t>Kretingalės viešosios erdvės projektavimas ir įrengimas</t>
  </si>
  <si>
    <t>2.4.5.1.</t>
  </si>
  <si>
    <t>2-4-3-2</t>
  </si>
  <si>
    <t>Gargždų miesto centrinės dalies detaliojo plano sprendinių įgyvendinimo programa</t>
  </si>
  <si>
    <t>2.4.1.46</t>
  </si>
  <si>
    <t>Parengta techninė specifikacija,
Pasirašyta techninio projekto rengimo sutartis</t>
  </si>
  <si>
    <t xml:space="preserve">Įsigyti garažai, vnt. </t>
  </si>
  <si>
    <t>IPS, V. Valantinas</t>
  </si>
  <si>
    <t xml:space="preserve">Nupirkta projekto idėjos konkurso organizavimo paslauga, vnt. </t>
  </si>
  <si>
    <t>ES(Kt)</t>
  </si>
  <si>
    <t>3-1 Uždavinys: Mažinti aplinkos taršą, siekiant sukurti švarią ir saugią aplinką Klaipėdos rajone</t>
  </si>
  <si>
    <t>3-1-1</t>
  </si>
  <si>
    <t>Aplinkos apsaugos, taršos mažinimo priemonių įgyvendinimas</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</si>
  <si>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</si>
  <si>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</si>
  <si>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</si>
  <si>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</si>
  <si>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</si>
  <si>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</si>
  <si>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</si>
  <si>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</si>
  <si>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</si>
  <si>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</si>
  <si>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</si>
  <si>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</si>
  <si>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</si>
  <si>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</si>
  <si>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</si>
  <si>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</si>
  <si>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Nupirkti rangos darbai, vnt.</t>
  </si>
  <si>
    <t>Ranga, proc.</t>
  </si>
  <si>
    <t>3-1-2</t>
  </si>
  <si>
    <t>Atliekų tvarkymo sistemos organizavimas, prevencija, projektinė veikla</t>
  </si>
  <si>
    <t>3-1-2-5</t>
  </si>
  <si>
    <t>3.2.2.18.</t>
  </si>
  <si>
    <t>KŪAS,
 K. Lūžaitė</t>
  </si>
  <si>
    <t>Surinka asbesto gaminių, tonomis</t>
  </si>
  <si>
    <t>3-1-3</t>
  </si>
  <si>
    <t>Tvarkyti seniūnijų žaliuosius plotus, visuomenines erdves, vandens telkinius ir juos supančią aplinką</t>
  </si>
  <si>
    <t>3-1-3-1</t>
  </si>
  <si>
    <t>Prižiūrėti žalieji plotai, ha</t>
  </si>
  <si>
    <t>3.2.3.1.26</t>
  </si>
  <si>
    <t>3-1-3-2</t>
  </si>
  <si>
    <t>Dauparų-Kvietinių</t>
  </si>
  <si>
    <t>3-1-3-3</t>
  </si>
  <si>
    <t xml:space="preserve">Prižiūrėta karjerų teritorija, vnt. </t>
  </si>
  <si>
    <t>3-1-3-4</t>
  </si>
  <si>
    <t>Priežiūrėti žalieji plotai, ha</t>
  </si>
  <si>
    <t>3-1-3-5</t>
  </si>
  <si>
    <t>3-1-3-6</t>
  </si>
  <si>
    <t>3-1-3-7</t>
  </si>
  <si>
    <t>3-1-3-8</t>
  </si>
  <si>
    <t>3-1-3-9</t>
  </si>
  <si>
    <t>3-1-3-10</t>
  </si>
  <si>
    <t>3-1-3-11</t>
  </si>
  <si>
    <t>Iš viso gatvių ir žaliųjų plotų priežiūrai seniūnijose</t>
  </si>
  <si>
    <t>3-1-3-12</t>
  </si>
  <si>
    <t>Tvarkyti ir plėsti veikiančias kapines</t>
  </si>
  <si>
    <t xml:space="preserve">Atlikti Sendvario kolumbariumo įrengimo darbai, proc. </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</si>
  <si>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</si>
  <si>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</si>
  <si>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</si>
  <si>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</si>
  <si>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</si>
  <si>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</si>
  <si>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</si>
  <si>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20</t>
  </si>
  <si>
    <t>Sutvarkyti Kvietinių tvenkinį, vnt.</t>
  </si>
  <si>
    <t>3-1-4</t>
  </si>
  <si>
    <t xml:space="preserve">Atlikti parko priežiūros darbai, vnt. 
Atliktas parko medžių rotacinis genėjimas, vnt. </t>
  </si>
  <si>
    <t>4-1 Uždavinys: Didinti sveikatos priežiūros paslaugų prieinamumą ir sumažinti sveikatos netolygumus</t>
  </si>
  <si>
    <t>4-1-1</t>
  </si>
  <si>
    <t>4-1-1-3</t>
  </si>
  <si>
    <t>Metų medicinos darbuotojo premija ir apdovanojimų ceremonija</t>
  </si>
  <si>
    <t>4.1.1.15</t>
  </si>
  <si>
    <t>SSAS, V. Budrė</t>
  </si>
  <si>
    <t>Metų medicinos darbuotojo konkurso organizavimas, vnt.</t>
  </si>
  <si>
    <t>4-1-2</t>
  </si>
  <si>
    <t>4-1-2-5</t>
  </si>
  <si>
    <t>SSAS</t>
  </si>
  <si>
    <t xml:space="preserve">Konkurso smurto, savižudybių, priklausomybių, prekybos žmonėmis prevencijos projekų organizavimas, vnt.
Komisijos paraiškoms vertinti sudarymas, vnt.
Sutarčių su vykdytojais sudarymas, vnt. 
</t>
  </si>
  <si>
    <t>1
1
3</t>
  </si>
  <si>
    <t>4-1-2-8</t>
  </si>
  <si>
    <t>SSAS, M. Vaitilavičienė</t>
  </si>
  <si>
    <t>Vykdytų veiklų skaičius, vnt.</t>
  </si>
  <si>
    <t>4-1-2-10</t>
  </si>
  <si>
    <t>Suteikta konsultacijų, vnt.</t>
  </si>
  <si>
    <t>4-1-2-13</t>
  </si>
  <si>
    <t>4-1-2-14</t>
  </si>
  <si>
    <t xml:space="preserve">Sveikatos centro veiklos modelio diegimas Klaipėdos rajono savivaldybėje </t>
  </si>
  <si>
    <t>4.1.2.14.</t>
  </si>
  <si>
    <t>ES projekto šeimos gydytojo komandos plėtrai įgyvendinimas, vnt.</t>
  </si>
  <si>
    <t>Narkotikų kontrolės prevencijos užtikrinimo programa</t>
  </si>
  <si>
    <t>4.1.2.12.</t>
  </si>
  <si>
    <t>Prevencinių renginių skaičius, vnt</t>
  </si>
  <si>
    <t>4-1-3</t>
  </si>
  <si>
    <t>4-1-3-2</t>
  </si>
  <si>
    <t xml:space="preserve">Paramos gydytojams-specialistams dalinis finansavimas </t>
  </si>
  <si>
    <t>SSAS, 
V.Budrė</t>
  </si>
  <si>
    <t>Paramą gavusių specialistų skaičius, vnt.</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</si>
  <si>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</si>
  <si>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</si>
  <si>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</si>
  <si>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</si>
  <si>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</si>
  <si>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</si>
  <si>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</si>
  <si>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SSAS, G. Domarkė</t>
  </si>
  <si>
    <t>Įsigytos ir atnaujintos įrangos skaičius, vnt.</t>
  </si>
  <si>
    <t>4-1-3-8</t>
  </si>
  <si>
    <t>Sveikatos priežiūros įstaigų mikroklimato ir veiklos efektyvumo tyrimas</t>
  </si>
  <si>
    <t>4.2.1.30.</t>
  </si>
  <si>
    <t>Atliktas tyrimas,  vnt.</t>
  </si>
  <si>
    <t>4-1-3-9</t>
  </si>
  <si>
    <t>Palaikomojo gydymo  ir slaugos paslaugų modernizavimas Klaipėdos rajono savivaldybėje</t>
  </si>
  <si>
    <t>4.2.1.31.</t>
  </si>
  <si>
    <t xml:space="preserve">Modernizuotų palatų skaičius, vnt. </t>
  </si>
  <si>
    <t>4-1-3-10</t>
  </si>
  <si>
    <t>Projekto "Sveikatos centro specialistų rengimas, pritraukimas Klaipėdos rajono savivaldybėje" įgyvendinimas</t>
  </si>
  <si>
    <t>4.1.2.15.</t>
  </si>
  <si>
    <t xml:space="preserve">ES projekto medikų kvalifikacijos kėlimui ir kitoms motyvacinėms priemonėms vykdymas, vnt. </t>
  </si>
  <si>
    <t>5-1 Uždavinys: Mažinti socialinę atskirtį Klaipėdos rajone</t>
  </si>
  <si>
    <t>5-1-1</t>
  </si>
  <si>
    <t>5-1-1-1</t>
  </si>
  <si>
    <t xml:space="preserve">SSAS </t>
  </si>
  <si>
    <t>Parengtos ataskaitos, vnt.</t>
  </si>
  <si>
    <t>5-1-1-2</t>
  </si>
  <si>
    <t xml:space="preserve">Finansinės pagalbos teikimas </t>
  </si>
  <si>
    <t>Nagrinėtų gyventojų prašymų atvejai, teikti svarstyti Socialinės paramos teikimo komisijai, vnt.</t>
  </si>
  <si>
    <t>Parengti įsakymų projektai, vnt.</t>
  </si>
  <si>
    <t>5-1-1-3</t>
  </si>
  <si>
    <t>Pagalbos pinigų mokėjimas</t>
  </si>
  <si>
    <t>5.1.1.8.</t>
  </si>
  <si>
    <t>Gavėjų skaičius, vnt.</t>
  </si>
  <si>
    <t>5-1-1-4</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</si>
  <si>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</si>
  <si>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</si>
  <si>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</si>
  <si>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Teisės aktų nustatyta tvarka skirtų mokėti socialinių pašalpų bei kompensacijų panaudotos lėšos, proc.</t>
  </si>
  <si>
    <t>5-1-1-7</t>
  </si>
  <si>
    <t>Parengta ataskaitų, vnt.</t>
  </si>
  <si>
    <t>5.1.2.9.</t>
  </si>
  <si>
    <t>5-1-1-8</t>
  </si>
  <si>
    <t xml:space="preserve">Kompensacijos už būsto suteikimą užsieniečiams </t>
  </si>
  <si>
    <t>5.1.1.6.</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</si>
  <si>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</si>
  <si>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</si>
  <si>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</si>
  <si>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</si>
  <si>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</si>
  <si>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</si>
  <si>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5-1-2-2</t>
  </si>
  <si>
    <t>Nagrinėti gyventojų prašymai, vnt.</t>
  </si>
  <si>
    <t>Finansuotų būstų pritaikymo išlaidų gavėjų skaičius, vnt.</t>
  </si>
  <si>
    <t>5-1-2-3</t>
  </si>
  <si>
    <t>Finansuoti komisijos darbą, pervestos lėšos, proc.</t>
  </si>
  <si>
    <t>5-1-2-4</t>
  </si>
  <si>
    <t>Laikino atokvėpio paslaugos organizavimas</t>
  </si>
  <si>
    <t>5.1.2.39.</t>
  </si>
  <si>
    <t>5-2 Uždavinys: Plėtoti socialinių paslaugų teikimą didinant visų gyventojų grupių integraciją</t>
  </si>
  <si>
    <t>5-2-1</t>
  </si>
  <si>
    <t>5-2-1-7</t>
  </si>
  <si>
    <t>Socialinių paslaugų įstaigų elektros, šilumos ir kuro išlaidų finansavimas</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</si>
  <si>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</si>
  <si>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</si>
  <si>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</si>
  <si>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Socialinėms įstaigoms skirtų lėšų  pagal poreikį patalpų remontui, prekėms ir turtui įsigyti panaudojimas, proc.</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</si>
  <si>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</si>
  <si>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</si>
  <si>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</si>
  <si>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</si>
  <si>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</si>
  <si>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</si>
  <si>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</si>
  <si>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</si>
  <si>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</si>
  <si>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</si>
  <si>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</si>
  <si>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</si>
  <si>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</si>
  <si>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</si>
  <si>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5-2-2-8</t>
  </si>
  <si>
    <t>Projekto "Socialinės dirbtuvės" įgyvendinimas</t>
  </si>
  <si>
    <t>5.1.2.33.</t>
  </si>
  <si>
    <t>5-2-2-9</t>
  </si>
  <si>
    <t>Projekto "Klaipėdos rajonas veža" įgyvendinimas</t>
  </si>
  <si>
    <t>5.1.2.37.</t>
  </si>
  <si>
    <t>Paslaugų suteikimo skaičius, vnt.</t>
  </si>
  <si>
    <t>5-2-3</t>
  </si>
  <si>
    <t>5-2-3-1</t>
  </si>
  <si>
    <t>Socialinių būstų, kurių būklė pagerinta, skaičius, vnt.</t>
  </si>
  <si>
    <t>Asmenys, kuriems suteiktas socialinis būstas, vnt.</t>
  </si>
  <si>
    <t>5-2-3-3</t>
  </si>
  <si>
    <t>Plėsti socialinių paslaugų spektrą ir gerinti paslaugų prieinamumą bei kokybę (ES lėšomis įgyvendinami projektai)</t>
  </si>
  <si>
    <t>5-2-3-3-1</t>
  </si>
  <si>
    <t>Socialinio būsto plėtra</t>
  </si>
  <si>
    <t>5.1.3.14</t>
  </si>
  <si>
    <t>5-2-3-3-3</t>
  </si>
  <si>
    <t>Socialinių dirbtuvių steigimas 15 asmenų Gargžduose</t>
  </si>
  <si>
    <t>5.1.3.16.</t>
  </si>
  <si>
    <t xml:space="preserve">Atlikta remonto, rangos darbų, proc. </t>
  </si>
  <si>
    <t>5-2-3-3-5</t>
  </si>
  <si>
    <t>Grupinio gyvenimo namų steigimas proto ir/ar psichinę negalią turintiems asmenims</t>
  </si>
  <si>
    <t>5.1.3.18.</t>
  </si>
  <si>
    <t>Nupirkti projektavimo darbai, vnt.</t>
  </si>
  <si>
    <t>5-3 Uždavinys: Didinti Klaipėdos rajono gyventojų užimtumą ir ekonominį aktyvumą</t>
  </si>
  <si>
    <t>5-3-1</t>
  </si>
  <si>
    <t>Vykdant  Užimtumo didinimo  programą įdarbinti bedarbiai, asmenų skaičius</t>
  </si>
  <si>
    <t>5-3-2</t>
  </si>
  <si>
    <t>Įgyvendinti Klaipėdos rajono savivaldybės jaunimo politiką</t>
  </si>
  <si>
    <t>Iš dalies finansuoti projektai, vnt.</t>
  </si>
  <si>
    <t>5-3-2-1</t>
  </si>
  <si>
    <t>Ilgalaikę savanorišką veiklą atliekančių jaunuolių skaičius savanorius priimančiose organizacijose, vnt.</t>
  </si>
  <si>
    <t>5-4 Uždavinys: Bendradarbiauti su vietos bendruomene, siekiant efektyviau tenkinti viešąjį interesą</t>
  </si>
  <si>
    <t>5-4-1</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</si>
  <si>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</si>
  <si>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</si>
  <si>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</si>
  <si>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</si>
  <si>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</si>
  <si>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</si>
  <si>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</si>
  <si>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</si>
  <si>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</si>
  <si>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</si>
  <si>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5-4-1-3-5</t>
  </si>
  <si>
    <t xml:space="preserve">Gargždų VVG strategijos projektams </t>
  </si>
  <si>
    <t>5-4-1-4</t>
  </si>
  <si>
    <t xml:space="preserve">6-1 Uždavinys: Prižiūrėti susisiekimo viešąją infrastruktūrą Klaipėdos rajone </t>
  </si>
  <si>
    <t>6-1-1</t>
  </si>
  <si>
    <t xml:space="preserve">Iš viso </t>
  </si>
  <si>
    <t>6-1-1-1</t>
  </si>
  <si>
    <t>Prižiūrimi keliai, km</t>
  </si>
  <si>
    <t>6-1-1-2</t>
  </si>
  <si>
    <t>Dauparų-Kvietinių sen. seniūnas</t>
  </si>
  <si>
    <t>6-1-1-3</t>
  </si>
  <si>
    <t>6-1-1-4</t>
  </si>
  <si>
    <t>6-1-1-5</t>
  </si>
  <si>
    <t>V. Žigus</t>
  </si>
  <si>
    <t>6-1-1-6</t>
  </si>
  <si>
    <t>6-1-1-7</t>
  </si>
  <si>
    <t>6-1-1-8</t>
  </si>
  <si>
    <t>6-1-1-9</t>
  </si>
  <si>
    <t>6-1-1-10</t>
  </si>
  <si>
    <t>6-1-1-11</t>
  </si>
  <si>
    <t>6-1-1-12</t>
  </si>
  <si>
    <t>Pagal poreikį atlikti mokėjimus, panaudotų lėšų dalis, proc.</t>
  </si>
  <si>
    <t>6-1-1-13</t>
  </si>
  <si>
    <t>Vietinės reikšmės kelių ir gatvių, sodų bendrijų gatvių  inventorizavimas ir įteisinimas</t>
  </si>
  <si>
    <t>Inventorizuotų ir įteisintų vietinės reikšmės kelių ir gatvių, sodininkų bendrijų gatvių ilgis, km</t>
  </si>
  <si>
    <t>6-2 Uždavinys: Modernizuoti Klaipėdos rajono savivaldybės gyvenviečių gatves ir kelius</t>
  </si>
  <si>
    <t>6-2-1</t>
  </si>
  <si>
    <t>Susisiekimo infrastruktūros atnaujinimas, remontas ir plėtra Klaipėdos rajono seniūnijose</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</si>
  <si>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</si>
  <si>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</si>
  <si>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</si>
  <si>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</si>
  <si>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</si>
  <si>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</si>
  <si>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</si>
  <si>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</si>
  <si>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</si>
  <si>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Įvykdyti projektavimo, pradėti rangos darbai, proc.</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</si>
  <si>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</si>
  <si>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</si>
  <si>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</si>
  <si>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Š. Čičinis, J. Jackus</t>
  </si>
  <si>
    <t>Įvykdyti  rangos darbai, proc.</t>
  </si>
  <si>
    <t xml:space="preserve">Gargždų </t>
  </si>
  <si>
    <t>6-2-1-4</t>
  </si>
  <si>
    <r>
      <t xml:space="preserve">Slengių k., </t>
    </r>
    <r>
      <rPr>
        <b/>
        <sz val="8"/>
        <rFont val="Arial"/>
        <family val="2"/>
        <charset val="186"/>
      </rPr>
      <t>Pavandenės g., Pavandenės tak</t>
    </r>
    <r>
      <rPr>
        <sz val="8"/>
        <rFont val="Arial"/>
        <family val="2"/>
        <charset val="186"/>
      </rPr>
      <t>.,</t>
    </r>
  </si>
  <si>
    <t>6.4.1.4.</t>
  </si>
  <si>
    <t>6-2-1-5</t>
  </si>
  <si>
    <t>6.4.1.5.</t>
  </si>
  <si>
    <t>Parengtas pėsčiųjų takų techninis projektas, vnt.
Įvykdyti remonto darbai, proc.</t>
  </si>
  <si>
    <t>1
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</si>
  <si>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</si>
  <si>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</si>
  <si>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</si>
  <si>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</si>
  <si>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</si>
  <si>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</si>
  <si>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</si>
  <si>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</si>
  <si>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</si>
  <si>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</si>
  <si>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</si>
  <si>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Prengtas TP, vnt
Sutvarkyta ir išasfaltuota aikštelė, vnt.</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</si>
  <si>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</si>
  <si>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</si>
  <si>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</si>
  <si>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</si>
  <si>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</si>
  <si>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</si>
  <si>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</si>
  <si>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</si>
  <si>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r>
      <rPr>
        <b/>
        <sz val="8"/>
        <color theme="1"/>
        <rFont val="Arial"/>
        <family val="2"/>
        <charset val="186"/>
      </rPr>
      <t>Karklės automobilių stovėjimo aikštelės</t>
    </r>
    <r>
      <rPr>
        <sz val="8"/>
        <color theme="1"/>
        <rFont val="Arial"/>
        <family val="2"/>
        <charset val="186"/>
      </rPr>
      <t xml:space="preserve"> projektavimas</t>
    </r>
  </si>
  <si>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</si>
  <si>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</si>
  <si>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</si>
  <si>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</si>
  <si>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Įvykdyti projektavimo darbai, vnt.</t>
  </si>
  <si>
    <t>E. Vasylienė</t>
  </si>
  <si>
    <t>Rangos darbai, proc.</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</si>
  <si>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</si>
  <si>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</si>
  <si>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</si>
  <si>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Įvykdyti rangos darbai, proc</t>
  </si>
  <si>
    <t>Projektavimas, vnt</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</si>
  <si>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</si>
  <si>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</si>
  <si>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</si>
  <si>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t>Nupirkti rangos darbai, vnt
Rangos darbai, proc.</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</si>
  <si>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</si>
  <si>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</si>
  <si>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</si>
  <si>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</si>
  <si>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</si>
  <si>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</si>
  <si>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</si>
  <si>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</si>
  <si>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</si>
  <si>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</si>
  <si>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</si>
  <si>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</si>
  <si>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J. Jackus</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</si>
  <si>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</si>
  <si>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</si>
  <si>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Atlikti rangos darbai, proc.
Atnaujintos gatvės, km</t>
  </si>
  <si>
    <t>100
4</t>
  </si>
  <si>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</si>
  <si>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</si>
  <si>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</si>
  <si>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</si>
  <si>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</si>
  <si>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</si>
  <si>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</si>
  <si>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</si>
  <si>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</si>
  <si>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</si>
  <si>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</si>
  <si>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</si>
  <si>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</si>
  <si>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</si>
  <si>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</si>
  <si>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</si>
  <si>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</si>
  <si>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</si>
  <si>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Gautas statybą leidžiantis dokumentas, vnt</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</si>
  <si>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</si>
  <si>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</si>
  <si>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</si>
  <si>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Vykdomi projektavimo darbai, proc.</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</si>
  <si>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</si>
  <si>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</si>
  <si>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</si>
  <si>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</si>
  <si>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</si>
  <si>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</si>
  <si>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</si>
  <si>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</si>
  <si>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</si>
  <si>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</si>
  <si>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</si>
  <si>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</si>
  <si>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</si>
  <si>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</si>
  <si>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</si>
  <si>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</si>
  <si>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</si>
  <si>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</si>
  <si>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</si>
  <si>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</si>
  <si>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</si>
  <si>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</si>
  <si>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</si>
  <si>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</si>
  <si>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</si>
  <si>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</si>
  <si>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</si>
  <si>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</si>
  <si>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</si>
  <si>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</si>
  <si>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</si>
  <si>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</si>
  <si>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</si>
  <si>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</si>
  <si>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</si>
  <si>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</si>
  <si>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</si>
  <si>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</si>
  <si>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</si>
  <si>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</si>
  <si>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</si>
  <si>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</si>
  <si>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Parengtas projektas, vnt</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</si>
  <si>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</si>
  <si>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</si>
  <si>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</si>
  <si>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</si>
  <si>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</si>
  <si>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</si>
  <si>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</si>
  <si>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</si>
  <si>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</si>
  <si>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</si>
  <si>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</si>
  <si>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</si>
  <si>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</si>
  <si>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</si>
  <si>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</si>
  <si>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</si>
  <si>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</si>
  <si>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</si>
  <si>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</si>
  <si>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6-3-2</t>
  </si>
  <si>
    <t>Elektromobilių įkrovimo prieigų įrengimas ir priežiūra</t>
  </si>
  <si>
    <t>6-3-2-1</t>
  </si>
  <si>
    <t>Esamų elektromobilių įkrovimo stotelių priežiūra</t>
  </si>
  <si>
    <t>A. Vaitkė</t>
  </si>
  <si>
    <t>Prižiūrimos esamos stotelės, vnt.</t>
  </si>
  <si>
    <t>6-3-2-2</t>
  </si>
  <si>
    <t>Gargždų autobusų stoties didelio galingumo stotelių įrengimas</t>
  </si>
  <si>
    <t>Įrengta didelio galingumo pakrovimo stotelė, vnt.</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</si>
  <si>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</si>
  <si>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</si>
  <si>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</si>
  <si>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</si>
  <si>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</si>
  <si>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</si>
  <si>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</si>
  <si>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</si>
  <si>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A. Žilienė</t>
  </si>
  <si>
    <t>Prižiūrėtų šviestuvų skaičius, vnt.</t>
  </si>
  <si>
    <t>6-4-2-2</t>
  </si>
  <si>
    <t>6-4-2-3</t>
  </si>
  <si>
    <t>N. Ilginienė</t>
  </si>
  <si>
    <t>6-4-2-4</t>
  </si>
  <si>
    <t>S. Bakšinskis</t>
  </si>
  <si>
    <t>6-4-2-5</t>
  </si>
  <si>
    <t>6-4-2-6</t>
  </si>
  <si>
    <t>Z. Siminauskas</t>
  </si>
  <si>
    <t>6-4-2-7</t>
  </si>
  <si>
    <t>A. Monstavičienė</t>
  </si>
  <si>
    <t>6-4-2-8</t>
  </si>
  <si>
    <t>D. Bliūdžiuvienė, R. Narkienė</t>
  </si>
  <si>
    <t>6-4-2-9</t>
  </si>
  <si>
    <t>6-4-2-10</t>
  </si>
  <si>
    <t>E. Sluckienė</t>
  </si>
  <si>
    <t>6-4-2-11</t>
  </si>
  <si>
    <t>R. Bernotas</t>
  </si>
  <si>
    <t>6-5 Uždavinys: Prižiūrėti ir gerinti kitą Klaipėdos rajono inžinerinę infrastruktūrą</t>
  </si>
  <si>
    <t>6-5-2</t>
  </si>
  <si>
    <t>6-5-1</t>
  </si>
  <si>
    <t>6-5-1-1</t>
  </si>
  <si>
    <t>K. Stulpinienė</t>
  </si>
  <si>
    <t>Sodininkų bendrijų išnagrinėtos praiškos, vnt.</t>
  </si>
  <si>
    <t>Užtikrinti keleivių pervežimą viešuoju transportu</t>
  </si>
  <si>
    <t>6-5-2-1</t>
  </si>
  <si>
    <t>Kompensuoti vežėjų nuostoliai, proc.</t>
  </si>
  <si>
    <t>6-5-2-2</t>
  </si>
  <si>
    <t>Kontroliuojamų maršrutų pagal pateiktas paraiškas, vnt.</t>
  </si>
  <si>
    <t>6-5-2-3</t>
  </si>
  <si>
    <t xml:space="preserve">Įrengtos stotelės, vnt. </t>
  </si>
  <si>
    <t>6-6 Uždavinys: Modernizuoti bei plėtoti vandens tiekimo, buitinių nuotekų bei paviršinių nuotekų tvarkymo infrastruktūrą Klaipėdos rajone</t>
  </si>
  <si>
    <t>6-6-1</t>
  </si>
  <si>
    <t>Modernizuoti vandens tiekimo ir buitinių nuotekų tvarkymo infrastruktūrą</t>
  </si>
  <si>
    <t>6-6-1-1</t>
  </si>
  <si>
    <t>Vandentiekio ir nuotekų tinklų plėtra Sendvario seniūnijoje - Smeltaitės gatvėje (nuo Sniego g. iki A.Bruožio g.,), Klemiškės II k.</t>
  </si>
  <si>
    <t>3.1.1.81.</t>
  </si>
  <si>
    <t>AB "Klaipėdos vanduo"</t>
  </si>
  <si>
    <t>6-6-1-5</t>
  </si>
  <si>
    <t>Svencelės/Drevernos Nuotekų valyklos plėtra</t>
  </si>
  <si>
    <t xml:space="preserve">Priekulės </t>
  </si>
  <si>
    <t xml:space="preserve">Pervestos lėšos, proc. </t>
  </si>
  <si>
    <t>6-6-1-6</t>
  </si>
  <si>
    <t>Buitinių nuotekų tinklų projektavimas ir statyba Endriejavo mstl. Žemaičių g., Liepų g., Paežerio g.</t>
  </si>
  <si>
    <t>6-6-1-7</t>
  </si>
  <si>
    <t>Buitinių nuotekų tinklų projektavimas ir statyba Girininkų k.</t>
  </si>
  <si>
    <t>Atlikti projektavimo darbai, vnt.</t>
  </si>
  <si>
    <t>6-6-1-8</t>
  </si>
  <si>
    <t>Vandentiekio ir buitinių nuotekų tinklų projektavimas ir  statyba 176 gyvenamųjų namų kvartale, Gargžduose</t>
  </si>
  <si>
    <t>F. Žemgulys, AB "Klaipėdos vanduo"</t>
  </si>
  <si>
    <t>Atlikta tinklų statyba, proc.</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</si>
  <si>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</si>
  <si>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</si>
  <si>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</si>
  <si>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</si>
  <si>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</si>
  <si>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</si>
  <si>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</si>
  <si>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</si>
  <si>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Įrengti tinklai, proc.</t>
  </si>
  <si>
    <t>6-6-1-12</t>
  </si>
  <si>
    <t>Vandens tiekimo įrenginių bei vandentiekio tinklų statyba ir rekonstrukcija Venckų km</t>
  </si>
  <si>
    <t>Vykdomi darbai, proc.</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</si>
  <si>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</si>
  <si>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</si>
  <si>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</si>
  <si>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</si>
  <si>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</si>
  <si>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</si>
  <si>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Klaipėdos rajono paviršinių nuotekų infrastruktūros projektavimas</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</si>
  <si>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</si>
  <si>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</si>
  <si>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</si>
  <si>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</si>
  <si>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</si>
  <si>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</si>
  <si>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</si>
  <si>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</si>
  <si>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</si>
  <si>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</si>
  <si>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</si>
  <si>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</si>
  <si>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</si>
  <si>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</si>
  <si>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</si>
  <si>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</si>
  <si>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</si>
  <si>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</si>
  <si>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</si>
  <si>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</si>
  <si>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</si>
  <si>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</si>
  <si>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Klaipėdos rajono teritorijos paviršinių  nuotekų infrastruktūros statyba</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</si>
  <si>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</si>
  <si>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</si>
  <si>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</si>
  <si>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6-6-2-11-2</t>
  </si>
  <si>
    <t>Paviršinių nuotekų šalinimo tinklų įrengimas Ketvergių k. (I ir II projekto etapų įgyvendinimas)</t>
  </si>
  <si>
    <t>Atlikti ir įforminti darbai, proc.</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</si>
  <si>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</si>
  <si>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</si>
  <si>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</si>
  <si>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</si>
  <si>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</si>
  <si>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6-6-2-11-6</t>
  </si>
  <si>
    <t>Gargždų miesto Dariaus ir Girėno g., Pušų g., Vingio g. paviršinių nuotekų šalinimo tinklų statyba</t>
  </si>
  <si>
    <t>6-6-2-11-10</t>
  </si>
  <si>
    <t>30,0</t>
  </si>
  <si>
    <t>6-6-2-11-11</t>
  </si>
  <si>
    <t>Vandentiekio ir nuotekų tinklų inventorizavimas ir įteisinimas</t>
  </si>
  <si>
    <t>A. Indzelė, F. Žemgulys, M. Kernagienė</t>
  </si>
  <si>
    <t>Inventorizuotų ir įteisintų tinklų kiekis, km.</t>
  </si>
  <si>
    <t>6-6-3</t>
  </si>
  <si>
    <t>Kompensacijos iniciatoriams už įrengtą savivaldybės infrastruktūrą, pagal savivaldybės infrastruktūros plėtros sutartis</t>
  </si>
  <si>
    <t>NEPRIORITETINĖS</t>
  </si>
  <si>
    <t>6.1.1.45.</t>
  </si>
  <si>
    <t>Lėšų panaudota, proc.</t>
  </si>
  <si>
    <t>NEPRIORITETINĖS LIKUČIAI</t>
  </si>
  <si>
    <t>7-1 Uždavinys: Užtikrinti kultūros srities paslaugų teikimą</t>
  </si>
  <si>
    <t>7-1-1</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</si>
  <si>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</si>
  <si>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</si>
  <si>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</si>
  <si>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</si>
  <si>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</si>
  <si>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</si>
  <si>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</si>
  <si>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</si>
  <si>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</si>
  <si>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</si>
  <si>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Kultūros įstaigų infrastruktūros atnaujinimas, remontas ir plėtra</t>
  </si>
  <si>
    <t>7-2-1-1</t>
  </si>
  <si>
    <t>7-2-1-3</t>
  </si>
  <si>
    <t>Baigtos pastato modernizavimo veiklos, vnt.</t>
  </si>
  <si>
    <t>7-2-1-4</t>
  </si>
  <si>
    <t>Įsigyti rangos darbai, vnt.</t>
  </si>
  <si>
    <t>7-2-1-5</t>
  </si>
  <si>
    <t>Gargždų krašto muziejaus pastato projektavimas ir statyba</t>
  </si>
  <si>
    <t>7.3.1.40.</t>
  </si>
  <si>
    <t>Nupirkta techninio projekto parengimo paslauga, vnt.</t>
  </si>
  <si>
    <t>7-2-1-6</t>
  </si>
  <si>
    <t>7.3.1.41.</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</si>
  <si>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</si>
  <si>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</si>
  <si>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</si>
  <si>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</si>
  <si>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</si>
  <si>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</si>
  <si>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</si>
  <si>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</si>
  <si>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</si>
  <si>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</si>
  <si>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7-4-1-1-1</t>
  </si>
  <si>
    <t>Senųjų kapinių tvarkymo darbų programa</t>
  </si>
  <si>
    <t>S. Šmatauskienė</t>
  </si>
  <si>
    <t>Sutvarkytos Klaipėdos rajono senosios kapinės, vnt.</t>
  </si>
  <si>
    <t>7-4-1-1-2</t>
  </si>
  <si>
    <t>Senųjų kapinių ženklinimas</t>
  </si>
  <si>
    <t>Senųjų kapinių informacinių ženklų pagaminimas ir įrengimas, vnt.</t>
  </si>
  <si>
    <t>7-4-1-2</t>
  </si>
  <si>
    <t>7-4-1-2-2</t>
  </si>
  <si>
    <t>Vėžaičių dvaro sodybos arklidžių fasadų tvarkybos darbai ir stogo paprastojo remonto darbai</t>
  </si>
  <si>
    <t>Sutvarkytas Vėžaičių KC pastato stogas, vnt.</t>
  </si>
  <si>
    <t>7-4-1-2-3</t>
  </si>
  <si>
    <t>Vėžaičių dvaro sodybos parko tvarkybos darbų projekto parengimas</t>
  </si>
  <si>
    <t>7.5.1.35.35</t>
  </si>
  <si>
    <t>Ž. Samoškienė</t>
  </si>
  <si>
    <t>7-4-1-2-4</t>
  </si>
  <si>
    <t xml:space="preserve">Memorialinio paminklo Priekulės I k. civilinėse kapinėse remontas (ID 1391) </t>
  </si>
  <si>
    <t>Suremontuotas memorialas, vnt.</t>
  </si>
  <si>
    <t>7-4-1-2-6</t>
  </si>
  <si>
    <t>Gargždų pėsčiųjų viaduko tyrimai, tvarkybos darbų projekto parengimas ir įgyvendinimas</t>
  </si>
  <si>
    <t xml:space="preserve">Atlikta statinio ekspertizė, vnt. 
</t>
  </si>
  <si>
    <t>7-4-1-2-8</t>
  </si>
  <si>
    <t xml:space="preserve">Šernų tilto sutvarkymas </t>
  </si>
  <si>
    <t>Atlikta statinio ekspertizė, vnt.</t>
  </si>
  <si>
    <t>7-4-1-3</t>
  </si>
  <si>
    <t>Sutvarkyta Veiviržėnų žydų žudynių vieta ir kapas,  Trepkalnių k., Veiviržėnų sen., vnt.</t>
  </si>
  <si>
    <t>7-4-1-5</t>
  </si>
  <si>
    <t xml:space="preserve">S. Šmatauskienė </t>
  </si>
  <si>
    <t xml:space="preserve">Finansuotų paraiškų skaičius, vnt. </t>
  </si>
  <si>
    <t>7-4-1-6</t>
  </si>
  <si>
    <t xml:space="preserve">
S. Šmatauskienė</t>
  </si>
  <si>
    <t>7-4-1-6-1</t>
  </si>
  <si>
    <t xml:space="preserve">Veiviržėnų piliakalnio sutvarkymas ir pritaikymas </t>
  </si>
  <si>
    <t>Įvykdyti tvarkybos darbai, proc.</t>
  </si>
  <si>
    <t>7-4-1-6-2</t>
  </si>
  <si>
    <t>Eketės piliakalnio sutvarkymas ir pritaikymas (projekto parengimas)</t>
  </si>
  <si>
    <t>Eketės piliakalnio sutvarkymo ir pritaikymo projekto parengimas, vnt.</t>
  </si>
  <si>
    <t>7-4-1-7</t>
  </si>
  <si>
    <t>7-4-1-7-1</t>
  </si>
  <si>
    <t>Nekilnojamojo kultūros paveldo objektų apskaitos dokumentų rengimas</t>
  </si>
  <si>
    <t>Parengta apskaitos, tyrimų dokumentų, vnt.</t>
  </si>
  <si>
    <t>7-4-1-7-2</t>
  </si>
  <si>
    <t>Savivaldybės nekilnojamojo kultūros paveldo vertinimo tarybos veiklos organizavimas</t>
  </si>
  <si>
    <t xml:space="preserve"> Vertinimo tarybos posėdžių skaičius, vnt.</t>
  </si>
  <si>
    <t>7-4-1-7-3</t>
  </si>
  <si>
    <t>Europos paveldo dienų organizavimas</t>
  </si>
  <si>
    <t>Suorganizuota Europos paveldo dienų renginių, vnt.</t>
  </si>
  <si>
    <t>7-4-1-7-7</t>
  </si>
  <si>
    <t>Kiti pagal poreikį atliekami išsaugojimo darbai</t>
  </si>
  <si>
    <t>7-4-2</t>
  </si>
  <si>
    <t>7-4-2-1</t>
  </si>
  <si>
    <t>7-4-2-1-2</t>
  </si>
  <si>
    <t>Veiviržėnų lurdo tvarkybos darbai ir skulptūros restauravimas</t>
  </si>
  <si>
    <t>7-4-2-1-3</t>
  </si>
  <si>
    <t>Koplytėlių/koplytstulpių atnaujinimas</t>
  </si>
  <si>
    <t>Atnaujintos koplytėlės/koplytstulpiai, vnt.</t>
  </si>
  <si>
    <t>7-4-2-1-4</t>
  </si>
  <si>
    <t>VBD(VIP)</t>
  </si>
  <si>
    <t>8-1 Uždavinys: Plėtoti sporto paslaugas ir vykdyti aktyvią sporto politiką</t>
  </si>
  <si>
    <t>8-1-2</t>
  </si>
  <si>
    <t>ŠSS, U. Tamošauskienė</t>
  </si>
  <si>
    <t>Sudaryta sutartis, vnt.
Surinktų ataskaitų skaičius, vnt.</t>
  </si>
  <si>
    <t>15
63</t>
  </si>
  <si>
    <t>8-1-6</t>
  </si>
  <si>
    <t>Sporto renginių finansavimas Klaipėdos rajone</t>
  </si>
  <si>
    <t>8.1.2.15.</t>
  </si>
  <si>
    <t>8-2 Uždavinys: Plėtoti fizinio aktyvumo veikloms palankią infrastruktūrą</t>
  </si>
  <si>
    <t>8-2-1</t>
  </si>
  <si>
    <t>Sporto ir laisvalaikio infrastruktūros priežiūra ir plėtra Klaipėdos rajone</t>
  </si>
  <si>
    <t>8-2-1-2</t>
  </si>
  <si>
    <t>8-2-2</t>
  </si>
  <si>
    <t>Daugiafunkcio sporto ir pramogų centro Gargžduose, Dariaus ir Girėno g. 4, statyba</t>
  </si>
  <si>
    <t>Atlikti daugiafunkcio sporto ir pramogų centro statybos darbai, proc.</t>
  </si>
  <si>
    <t>90</t>
  </si>
  <si>
    <t>9-1 Uždavinys: Efektyviai organizuoti Savivaldybės darbą, tinkamai įgyvendinant jos funkcijas</t>
  </si>
  <si>
    <t>9-1-1</t>
  </si>
  <si>
    <t>Klaipėdos rajono savivaldybės tarybos darbo organizavimas ir užtikrinimas</t>
  </si>
  <si>
    <t>Iš viso SB</t>
  </si>
  <si>
    <t>Iš viso VBD</t>
  </si>
  <si>
    <t>9-1-1-1</t>
  </si>
  <si>
    <t>CB, V. Bražinskienė, A. Andriejauskienė</t>
  </si>
  <si>
    <t>Pervesta lėšų, proc.</t>
  </si>
  <si>
    <t>CB,  A. Andriejauskienė</t>
  </si>
  <si>
    <t>Tarybos nariai</t>
  </si>
  <si>
    <t>CB, V. Bražinskienė</t>
  </si>
  <si>
    <t>9-1-2</t>
  </si>
  <si>
    <t>Savivaldybės tarnybų, administracijos veiklos ir funkcijų užtikrinimas</t>
  </si>
  <si>
    <t>Iš viso S</t>
  </si>
  <si>
    <t>9-1-2-1</t>
  </si>
  <si>
    <t>Administracijos darbo organizavimas (01.03.02.09.)</t>
  </si>
  <si>
    <t>CB, R. Petrauskienė ir A.Andriejauskienė</t>
  </si>
  <si>
    <t>Suskaičiuoti ir išmokėti Administracijai darbo užmokestį, apmokėti veiklos išlaidas</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</si>
  <si>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</si>
  <si>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</si>
  <si>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</si>
  <si>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</si>
  <si>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</si>
  <si>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</si>
  <si>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</si>
  <si>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</si>
  <si>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</si>
  <si>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</si>
  <si>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</si>
  <si>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</si>
  <si>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</si>
  <si>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</si>
  <si>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</si>
  <si>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</si>
  <si>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</si>
  <si>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</si>
  <si>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</si>
  <si>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</si>
  <si>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</si>
  <si>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</si>
  <si>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</si>
  <si>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</si>
  <si>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</si>
  <si>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</si>
  <si>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</si>
  <si>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9-1-2-10</t>
  </si>
  <si>
    <t>9-1-2-11</t>
  </si>
  <si>
    <t>K. Novikova</t>
  </si>
  <si>
    <t>9-1-2-12</t>
  </si>
  <si>
    <t>9-1-2-13</t>
  </si>
  <si>
    <t>9-1-2-14</t>
  </si>
  <si>
    <t>Viešinimo priemonės 01.03.02.09.</t>
  </si>
  <si>
    <t>R. Rapalienė</t>
  </si>
  <si>
    <t>Užtikrinta funkcija, vnt</t>
  </si>
  <si>
    <t>Viešinimo priemonės (gyventojo kortelė) 08.02.01.08.</t>
  </si>
  <si>
    <t>R.Zubienė</t>
  </si>
  <si>
    <t>9-1-3</t>
  </si>
  <si>
    <t>Savivaldybei perduotų funkcijų įgyvendinimo užtikrinimas</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</si>
  <si>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</si>
  <si>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</si>
  <si>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</si>
  <si>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</si>
  <si>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</si>
  <si>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</si>
  <si>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</si>
  <si>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</si>
  <si>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</si>
  <si>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</si>
  <si>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</si>
  <si>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</si>
  <si>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</si>
  <si>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</si>
  <si>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</si>
  <si>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</si>
  <si>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</si>
  <si>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</si>
  <si>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</si>
  <si>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</si>
  <si>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</si>
  <si>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</si>
  <si>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</si>
  <si>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</si>
  <si>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</si>
  <si>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</si>
  <si>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</si>
  <si>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</si>
  <si>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</si>
  <si>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</si>
  <si>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</si>
  <si>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</si>
  <si>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</si>
  <si>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</si>
  <si>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</si>
  <si>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</si>
  <si>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</si>
  <si>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</si>
  <si>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</si>
  <si>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</si>
  <si>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</si>
  <si>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</si>
  <si>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</si>
  <si>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</si>
  <si>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</si>
  <si>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</si>
  <si>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</si>
  <si>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</si>
  <si>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</si>
  <si>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</si>
  <si>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</si>
  <si>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</si>
  <si>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</si>
  <si>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</si>
  <si>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</si>
  <si>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</si>
  <si>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</si>
  <si>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</si>
  <si>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</si>
  <si>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</si>
  <si>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</si>
  <si>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</si>
  <si>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</si>
  <si>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</si>
  <si>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</si>
  <si>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</si>
  <si>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</si>
  <si>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</si>
  <si>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</si>
  <si>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</si>
  <si>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</si>
  <si>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</si>
  <si>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</si>
  <si>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</si>
  <si>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</si>
  <si>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</si>
  <si>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</si>
  <si>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</si>
  <si>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</si>
  <si>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</si>
  <si>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</si>
  <si>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</si>
  <si>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</si>
  <si>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</si>
  <si>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</si>
  <si>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</si>
  <si>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</si>
  <si>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</si>
  <si>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</si>
  <si>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</si>
  <si>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</si>
  <si>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</si>
  <si>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</si>
  <si>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</si>
  <si>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</si>
  <si>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</si>
  <si>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</si>
  <si>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</si>
  <si>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Savivaldybės paskolų valdymas ir aptarnavimas</t>
  </si>
  <si>
    <t>iš viso SB</t>
  </si>
  <si>
    <t>9-1-4-1</t>
  </si>
  <si>
    <t>BES, E. Pušinskienė</t>
  </si>
  <si>
    <t>9-1-4-2</t>
  </si>
  <si>
    <t>9-2 Uždavinys: Plėtoti Savivaldybės tarptautinį bendradarbiavimą bei bendradarbiavimą su kitomis Lietuvos savivaldybėmis, institucijomis ir vietos bendruomene</t>
  </si>
  <si>
    <t>9-2-1</t>
  </si>
  <si>
    <t>Santykių su vietos ir tarptautine bendruomene užtikrinimas ir parama</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</si>
  <si>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</si>
  <si>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</si>
  <si>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</si>
  <si>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</si>
  <si>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</si>
  <si>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</si>
  <si>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</si>
  <si>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</si>
  <si>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</si>
  <si>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</si>
  <si>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</si>
  <si>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</si>
  <si>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</si>
  <si>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</si>
  <si>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</si>
  <si>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100
2
2
1
10</t>
  </si>
  <si>
    <t>9-2-1-4</t>
  </si>
  <si>
    <t>SPPVS, M. Šatkus</t>
  </si>
  <si>
    <t>Sumokėtas mokestis, proc.</t>
  </si>
  <si>
    <t>9-2-1-5</t>
  </si>
  <si>
    <t>CB,V. Berenė</t>
  </si>
  <si>
    <t>9-2-1-6</t>
  </si>
  <si>
    <t>ATPS G.Kasperavičius, SKPS, A. Ronkus</t>
  </si>
  <si>
    <t>Įgyvendintų iniciatyvų, vnt.</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</si>
  <si>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</si>
  <si>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</si>
  <si>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</si>
  <si>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</si>
  <si>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</si>
  <si>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</si>
  <si>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</si>
  <si>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</si>
  <si>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</si>
  <si>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</si>
  <si>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</si>
  <si>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</si>
  <si>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</si>
  <si>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</si>
  <si>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</si>
  <si>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</si>
  <si>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</si>
  <si>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Savivaldybės turto valdymas ir plėtra</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</si>
  <si>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</si>
  <si>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</si>
  <si>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</si>
  <si>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</si>
  <si>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</si>
  <si>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</si>
  <si>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</si>
  <si>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</si>
  <si>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</si>
  <si>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</si>
  <si>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</si>
  <si>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</si>
  <si>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</si>
  <si>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</si>
  <si>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</si>
  <si>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</si>
  <si>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</si>
  <si>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</si>
  <si>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</si>
  <si>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</si>
  <si>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</si>
  <si>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</si>
  <si>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</si>
  <si>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</si>
  <si>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</si>
  <si>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</si>
  <si>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</si>
  <si>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 xml:space="preserve">Atnaujintos, sutvarkytos katilinės, vnt.
Sutvarkyta Judrėnų sen. šildymo sistema, vnt. </t>
  </si>
  <si>
    <t>7
1</t>
  </si>
  <si>
    <t>9-3-1-9</t>
  </si>
  <si>
    <t>KŪAS, R. Gabrilavičius</t>
  </si>
  <si>
    <t>9-3-1-10</t>
  </si>
  <si>
    <t>Gargždų autobusų stoties pastato projektavimas bei statyba ir dviejų autobusų stotelių įrengimas</t>
  </si>
  <si>
    <t>SPPVS. Kazlauskienė</t>
  </si>
  <si>
    <t>Parengtas ir pateiktas projekto investicinis planas ES finansavimui gauti, vnt.</t>
  </si>
  <si>
    <t>9-3-1-11</t>
  </si>
  <si>
    <t>Kompensuotos lėšos, proc.</t>
  </si>
  <si>
    <t>9-3-1-12</t>
  </si>
  <si>
    <t>Seniūnijų pastatų atnaujinimo ir sutvarkymo projektų rengimas</t>
  </si>
  <si>
    <t>9.1.1.20.</t>
  </si>
  <si>
    <r>
      <t xml:space="preserve">Gargždai KL7036 </t>
    </r>
    <r>
      <rPr>
        <b/>
        <sz val="8"/>
        <rFont val="Arial"/>
        <family val="2"/>
        <charset val="186"/>
      </rPr>
      <t>Kvietinių g</t>
    </r>
    <r>
      <rPr>
        <sz val="8"/>
        <rFont val="Arial"/>
        <family val="2"/>
        <charset val="186"/>
      </rPr>
      <t>. projektavimas ir remontas</t>
    </r>
  </si>
  <si>
    <t>Gautas statybą leidžiantis dokumentas, vnt.</t>
  </si>
  <si>
    <t>Nupirkta techninio projekto parengimo paslauga, vnt. 
Atlikti energetinį auditą, vnt.</t>
  </si>
  <si>
    <t>27</t>
  </si>
  <si>
    <t>J. Lankučio viešosios bibliotekos filialo Purmalių k. projektavimas ir statyba</t>
  </si>
  <si>
    <t>1 PROGRAMA</t>
  </si>
  <si>
    <t>2 PROGRAMA</t>
  </si>
  <si>
    <t>3 PROGRAMA</t>
  </si>
  <si>
    <t>4 PROGRAMA</t>
  </si>
  <si>
    <t>5 PROGRAMA</t>
  </si>
  <si>
    <t>6 PROGRAMA</t>
  </si>
  <si>
    <t>7 PROGRAMA</t>
  </si>
  <si>
    <t>8 PROGRAMA</t>
  </si>
  <si>
    <t>9 PROGRAMA</t>
  </si>
  <si>
    <t>Prisidėjimas prie AB "Via Lietuva" pirmumo teise įgyvendinamų projektų rajone ir techninių projektų parengimas</t>
  </si>
  <si>
    <t>s</t>
  </si>
  <si>
    <t xml:space="preserve">Suorganizuotas želdynų tvarkymas, vnt. </t>
  </si>
  <si>
    <t>Sendvario sen.</t>
  </si>
  <si>
    <t>Įvykdytas dokumentacijos pirkimas, vnt.</t>
  </si>
  <si>
    <t>V. Charunov</t>
  </si>
  <si>
    <t xml:space="preserve">Stovyklavietės namelių pirkimo techninės specifikacijos parengimas ir tiekėjų techninių pasiūlymų vertinimą viešojo pirkimo procedūrų metu, vnt. </t>
  </si>
  <si>
    <t>ENDR, R. Šiaulytienė</t>
  </si>
  <si>
    <t>Klaipėdos rajono savivaldybės administracijos metinis veiklos planas</t>
  </si>
  <si>
    <t>SPVVS, M.Šatkus</t>
  </si>
  <si>
    <t xml:space="preserve">Vykdyti įrangos įsigijimo darbai, proc. </t>
  </si>
  <si>
    <t>2.4.1.26.</t>
  </si>
  <si>
    <t>Pervestos lėšos, proc.
Gavėjų skaičius, vnt.</t>
  </si>
  <si>
    <t>100
112</t>
  </si>
  <si>
    <t>100
39</t>
  </si>
  <si>
    <t>Konkursų laureatų skaičius, vnt.
Mokymai, susitikimai, renginiai, vnt.</t>
  </si>
  <si>
    <t>10
10</t>
  </si>
  <si>
    <t xml:space="preserve">Vasaros laikotarpiu įdarbintų nepilnamečių  skaičius, vnt.
</t>
  </si>
  <si>
    <t>9.4.3.2.</t>
  </si>
  <si>
    <t xml:space="preserve">Paskirstytos lėšos įstaigoms turtui įsigyti, remontuoti, proc. </t>
  </si>
  <si>
    <t>2, 29, 26</t>
  </si>
  <si>
    <t>Įgytų būstų skaičius, vnt.</t>
  </si>
  <si>
    <t>Atlikti remonto darbai, vnt.</t>
  </si>
  <si>
    <t>Sulaikytos lėšos</t>
  </si>
  <si>
    <t>Sulaikytoms lėšoms</t>
  </si>
  <si>
    <t>Pastato – bendrabučio, esančio Klaipėdos g. 6, Priekulės mieste, paskirties pakeitimas į mokslo paskirties pastatą</t>
  </si>
  <si>
    <t>Pastato – parduotuvės, esančios Klaipėdos g. 34, Kretingalės miestelyje, paskirties pakeitimas į mokslo paskirties pastatą</t>
  </si>
  <si>
    <t>1-2-3-17</t>
  </si>
  <si>
    <t>1-2-3-20</t>
  </si>
  <si>
    <t>Pradėti pirkimai projektavimo darbų rangovo parinkimui, vnt.</t>
  </si>
  <si>
    <t>1-1-1-32</t>
  </si>
  <si>
    <t>Projekto „Švietimo pagalbos ir
koordinuotai teikiamų paslaugų modelio
diegimas ir sklaida “ įgyvendinimas</t>
  </si>
  <si>
    <t xml:space="preserve">1.1.3.23. </t>
  </si>
  <si>
    <t>Vaikų, gaunančių koordinuotai teikiamas paslaugas 2025 m., skaičius</t>
  </si>
  <si>
    <t>2025 m.
(tūkst. Eur)</t>
  </si>
  <si>
    <t>2-4-3-1-5</t>
  </si>
  <si>
    <t>Jakų parko sporto ir laisvalaikio erdvės projektavimas</t>
  </si>
  <si>
    <t>6-6-4</t>
  </si>
  <si>
    <t>Klaipėdos rajono savivaldybės išlaidos apmokant už vandentiekio ir buitinių nuotekų tinklų nuomą (UAB "Baltic casings")</t>
  </si>
  <si>
    <t>6.1.1.46.</t>
  </si>
  <si>
    <t>SKPS, F. Žemgulys</t>
  </si>
  <si>
    <t>Lėšų paskirstymas švietimo įstaigoms pagal pateiktus prašymus ir lėšų poreikį, įgyvendinta veikla, vnt.</t>
  </si>
  <si>
    <t>CB</t>
  </si>
  <si>
    <t xml:space="preserve">Įmokos mokėjimo įsigaliojimo faktas, vnt. </t>
  </si>
  <si>
    <t>Pareiškėjų skaičius, vnt. 
Verslumo renginiai, vnt.</t>
  </si>
  <si>
    <t>27
1</t>
  </si>
  <si>
    <t>Įgyvendintas remonto techninis projektas, atlikta darbų, proc.</t>
  </si>
  <si>
    <t>SPPVS</t>
  </si>
  <si>
    <t xml:space="preserve">Drevernos mokyklos vykdyti rangos darbai, proc.  </t>
  </si>
  <si>
    <t xml:space="preserve">
20</t>
  </si>
  <si>
    <t>Baigti rangos darbai, proc. (sulaikytos lėšos)</t>
  </si>
  <si>
    <t xml:space="preserve">Finansuotų sporto renginių skaičius vnt. </t>
  </si>
  <si>
    <t>Seniūnas</t>
  </si>
  <si>
    <t>Skaitmeninio įrankio įdiegimas, vnt.</t>
  </si>
  <si>
    <t xml:space="preserve">Parengta Dovilų seniūnijos pastato ekspertizė, vnt.
Judrėnų sen. projektas, vnt.  </t>
  </si>
  <si>
    <t>Sendvario "Saulės" mokyklos įveiklinimas</t>
  </si>
  <si>
    <t>2-3-2-14</t>
  </si>
  <si>
    <t>Projektas "Klaipėdos regiono turistinio patrauklumo didinimas"</t>
  </si>
  <si>
    <t>2.3.2.32.</t>
  </si>
  <si>
    <t>SPPVS, 
V. Kazlauskienė</t>
  </si>
  <si>
    <t>Pervestas prisidėjimo prie projekto mokestis, proc.</t>
  </si>
  <si>
    <t xml:space="preserve">Įvykdytas pirkimas, vnt. </t>
  </si>
  <si>
    <t>Žemėtvarkos, geodezijos ir GIS skyrius</t>
  </si>
  <si>
    <t>ŽGGS, J. Tarvydė</t>
  </si>
  <si>
    <t>ŽGGS</t>
  </si>
  <si>
    <t>BRS</t>
  </si>
  <si>
    <t>BES</t>
  </si>
  <si>
    <t>CVAS</t>
  </si>
  <si>
    <t>ŽGGS, G. Jurjonė</t>
  </si>
  <si>
    <t xml:space="preserve">
Priekulės seniūnija 
</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</si>
  <si>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</si>
  <si>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</si>
  <si>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</si>
  <si>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Priekulės seniūnija, 
D. Bliūdžiuvienė</t>
  </si>
  <si>
    <t>9-2-1-11</t>
  </si>
  <si>
    <t xml:space="preserve">Klaipėdos regiono plėtros tarybos dalyvio mokestis </t>
  </si>
  <si>
    <t>9.1.1.21.</t>
  </si>
  <si>
    <t>9-3-1-13</t>
  </si>
  <si>
    <t>Sendvario seniūnijos viešųjų paslaugų centro kūrimas</t>
  </si>
  <si>
    <t xml:space="preserve">9.1.1.22. </t>
  </si>
  <si>
    <t>Atliktas architektūrinio konkurso organizavimas, vnt.</t>
  </si>
  <si>
    <t>Dovilų seniūnija, 
SKPS, A. Ronkus</t>
  </si>
  <si>
    <t>VGF</t>
  </si>
  <si>
    <t>VTS, R. Jonelaitis</t>
  </si>
  <si>
    <t xml:space="preserve">Modernizuotos esamos priedangos, vnt. </t>
  </si>
  <si>
    <t>6-5-4</t>
  </si>
  <si>
    <t xml:space="preserve">Dviračių ir pėsčiųjų takų plėtra ir remontas </t>
  </si>
  <si>
    <t>6-5-4-1</t>
  </si>
  <si>
    <t>6-5-4-2</t>
  </si>
  <si>
    <t>Dviračių ir pėsčiųjų takų įrengimas pagal Ekonomikos gaivinimo ir atsparumo didinimo priemonės (EGADP) lėšas</t>
  </si>
  <si>
    <t>9, 9.1</t>
  </si>
  <si>
    <t>6.1.4.20.</t>
  </si>
  <si>
    <t>6-5-4-5</t>
  </si>
  <si>
    <t>Pajūrio regioninio parko teritorija einančios tarptautinės dviračių trasos "Eurovelo 10" dalies, esančios Klaipėdos r. sav. teritorijoje, paprastasis remontas</t>
  </si>
  <si>
    <t>6.1.4.23.</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</si>
  <si>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</si>
  <si>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</si>
  <si>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</si>
  <si>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</si>
  <si>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 xml:space="preserve">Atlikti remonto darbai, proc. </t>
  </si>
  <si>
    <t>Kretingalės seniūnija ir ATPS</t>
  </si>
  <si>
    <t>ŠSS, A. Petravičius</t>
  </si>
  <si>
    <t>ŠSS, N. Gotlibienė</t>
  </si>
  <si>
    <t>SKPS, V. Viršilas</t>
  </si>
  <si>
    <t>ŠSS, I. Barbšienė</t>
  </si>
  <si>
    <t>SKPS, R. Rudgalvienė</t>
  </si>
  <si>
    <t>Finansuojamų spec. reisų skaičius, vnt.</t>
  </si>
  <si>
    <t>KŪAS, V. Gabrilavičius</t>
  </si>
  <si>
    <t>Santrumpa</t>
  </si>
  <si>
    <t>Klaipėdos rajono savivaldybės administracija</t>
  </si>
  <si>
    <t>TVS</t>
  </si>
  <si>
    <t>PCMS</t>
  </si>
  <si>
    <t>ŽŪS</t>
  </si>
  <si>
    <t>KS</t>
  </si>
  <si>
    <t>SKPS</t>
  </si>
  <si>
    <t>IPS</t>
  </si>
  <si>
    <t>ŠSS</t>
  </si>
  <si>
    <t>TPS</t>
  </si>
  <si>
    <t>VTS</t>
  </si>
  <si>
    <t>VPS</t>
  </si>
  <si>
    <t>VRBS</t>
  </si>
  <si>
    <t>Vyriausioji specialistė (jaunimo reikalų koordinatorė)</t>
  </si>
  <si>
    <t>KUAS</t>
  </si>
  <si>
    <t>KRSA</t>
  </si>
  <si>
    <t>-*</t>
  </si>
  <si>
    <t>ITS</t>
  </si>
  <si>
    <t>-* nenaudojama santrumpa, naudojamas pilnas pavadinimas</t>
  </si>
  <si>
    <t xml:space="preserve">CB, D. Drungilaitė </t>
  </si>
  <si>
    <t>TIBK</t>
  </si>
  <si>
    <t>JRK</t>
  </si>
  <si>
    <t>LGK</t>
  </si>
  <si>
    <t>KAAK</t>
  </si>
  <si>
    <t>TIBK, T. Stonkė</t>
  </si>
  <si>
    <t>ŠSS, V. Gudzevičienė</t>
  </si>
  <si>
    <t>ŠSS, S. Muravjova</t>
  </si>
  <si>
    <t>SKPS, K. Jokubaitytė</t>
  </si>
  <si>
    <t>SKPS, R. Sarulienė, 
J. Blinstrubienė</t>
  </si>
  <si>
    <t>SKPS, R. Sarulienė</t>
  </si>
  <si>
    <t xml:space="preserve">SPPVS, M. Virbauskas </t>
  </si>
  <si>
    <t>ŽŪS, A. Bazilienė</t>
  </si>
  <si>
    <t>SPPVS, 
R. Grubliauskytė</t>
  </si>
  <si>
    <t>KŪAS, R. Bakaitienė, 
K. Lūžaitė</t>
  </si>
  <si>
    <t>Agluonėnų seniūnija,
A. Žilienė</t>
  </si>
  <si>
    <t>Dovilų seniūnija, 
N. Ilginienė</t>
  </si>
  <si>
    <t>Endriejavo seniūnija,
S. Bakšinskis</t>
  </si>
  <si>
    <t>Gargždų seniūnija, A.Srėbalienė, N. Verbaitė</t>
  </si>
  <si>
    <t>Judrėnų seniūnija,
Z. Siminauskas</t>
  </si>
  <si>
    <t>Kretingalės seniūnija,
A. Monstavičienė</t>
  </si>
  <si>
    <t>Priekulės seniūnija,
D. Bliūdžiuvienė, R. Narkienė</t>
  </si>
  <si>
    <t xml:space="preserve">Sendvario seniūnija,
V. Charunov      </t>
  </si>
  <si>
    <t>Veiviržėnų seniūnija,
R. Justa</t>
  </si>
  <si>
    <t>Vėžaičių seniūnija,
R. Bernotas</t>
  </si>
  <si>
    <t>SSAS, R. Stonkienė</t>
  </si>
  <si>
    <t xml:space="preserve">SSAS, G. Rekašienė, </t>
  </si>
  <si>
    <t xml:space="preserve"> SSAS, G. Rekašienė, </t>
  </si>
  <si>
    <t>SSAS,R. Stonkienė</t>
  </si>
  <si>
    <t>SSAS, R. Stonkienė,</t>
  </si>
  <si>
    <t xml:space="preserve"> SSAS, L. Bakšinskienė, </t>
  </si>
  <si>
    <t>SSAS, L. Pocienė</t>
  </si>
  <si>
    <t>SSAS, D. Skiotienė</t>
  </si>
  <si>
    <t>SSAS,D. Beržanskytė- Bučinskienė</t>
  </si>
  <si>
    <t xml:space="preserve">KŪAS, R. Gabrilavičius </t>
  </si>
  <si>
    <t>SSAS, I.Gailienė</t>
  </si>
  <si>
    <t>SSAS, I. Gailienė, S. Paulienė,
J. Papievienė,  L.Virkutienė,
S. Tverskienė</t>
  </si>
  <si>
    <t>SSAS, I. Vytienė</t>
  </si>
  <si>
    <t>KS, J. Dobrovolskienė</t>
  </si>
  <si>
    <t>Gargždų seniūnija, seniūnas</t>
  </si>
  <si>
    <t>Dauparų-Kvietinių seniūnija, seniūnas</t>
  </si>
  <si>
    <t>Kretingalės seniūnija, 
A. Monstavičienė</t>
  </si>
  <si>
    <t>Agluonėnų seniūnija, 
L. Tučienė</t>
  </si>
  <si>
    <t>Judrėnų seniūnija, 
Z. Siminauskas</t>
  </si>
  <si>
    <t>Endriejavo seniūnija, 
S. Bakšinskis</t>
  </si>
  <si>
    <t>Priekulės seniūnija,
D. Bliūdžiuvienė,
R. Narkienė</t>
  </si>
  <si>
    <t>Sendvario seniūnija,
V. Charunov</t>
  </si>
  <si>
    <t>Veiviržėnų seniūnija,
E. Sluckienė</t>
  </si>
  <si>
    <t>Vėžaičių seniūnija, 
R. Bernotas</t>
  </si>
  <si>
    <t>36, 38, 9.1</t>
  </si>
  <si>
    <t>TVS, E. Jasienė, ŽGGS, G. Jurjonė, IPS, A. Daukantienė, J. Jackus, Š. Čičinis</t>
  </si>
  <si>
    <t>SKPS, V. Ramanauskas</t>
  </si>
  <si>
    <t>SKPS, A. Ronkus, F. Žemgulys</t>
  </si>
  <si>
    <t>IPS, A. Daukantienė</t>
  </si>
  <si>
    <t>SKPS, E. Vasylienė</t>
  </si>
  <si>
    <t>Piekulės seniūnija, 
D. Bliūdžiuvienė</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</si>
  <si>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</si>
  <si>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Įvykdytas projekto ekspertizės pirkimas, vnt. </t>
  </si>
  <si>
    <t xml:space="preserve">Dauparų-Kvietinių seniūnija </t>
  </si>
  <si>
    <t>Atlikta ekspertizė, vnt.</t>
  </si>
  <si>
    <t>1-1-1-33</t>
  </si>
  <si>
    <t>Projekto "Ugdymo priemonės mokykloms" įgyvendinimas</t>
  </si>
  <si>
    <t>1.1.3.24.</t>
  </si>
  <si>
    <t>1-2-3-21</t>
  </si>
  <si>
    <t>Sendvario „Saulės“ mokyklos Agilos g. 12, Trušelių k., mokslo paskirties pastato projektavimas ir statyba</t>
  </si>
  <si>
    <t>1.3.3.26.</t>
  </si>
  <si>
    <t xml:space="preserve">Kapinių plėtros techniam projektui parengti 2025 m., vnt.
Vandentiekio įvedimo projektavimo ir rangos darbai Daukšaičių kapinėse, vnt. </t>
  </si>
  <si>
    <t>0
1</t>
  </si>
  <si>
    <t>36, 9, 9.1</t>
  </si>
  <si>
    <t>6-2-1-19</t>
  </si>
  <si>
    <t xml:space="preserve">Savivaldybės prisidėjimas prie fizinių ar juridinių asmenų, pageidaujančių skirti tikslinių lėšų Klaipėdos rajono vietinės reikšmės kelių juostoje esantiems kelių statiniams ir daugiabučių kiemams projektuoti, rekonstruoti, taisyti </t>
  </si>
  <si>
    <t>6.1.3.8.</t>
  </si>
  <si>
    <t>„Stančių Parkas“ Tvenkinių g. Stančių k.</t>
  </si>
  <si>
    <t>SKPS, J. Jackus</t>
  </si>
  <si>
    <t xml:space="preserve">Atliktas pirkimas, vnt. </t>
  </si>
  <si>
    <t xml:space="preserve">Administruotas projektas, vnt. </t>
  </si>
  <si>
    <t xml:space="preserve">ŠSS, R. Mickienė </t>
  </si>
  <si>
    <t>Įvykdytas projektinio pasiūlymo pirkimas, vnt.</t>
  </si>
  <si>
    <t>Š. Čičinis</t>
  </si>
  <si>
    <t>ŽŪS, A. Latakienė</t>
  </si>
  <si>
    <t>SKPS, V. Lengvinaitė</t>
  </si>
  <si>
    <t xml:space="preserve">Nupirkti projektavimo darbai, vnt. </t>
  </si>
  <si>
    <t>V. Lengvinaitė</t>
  </si>
  <si>
    <t>Paviršinių nuotekų šalinimo tinklų nauja statyba Agluonėnų mstl. Ievos Simonaitytės g. projekto parengimas</t>
  </si>
  <si>
    <t>J. Dobrovolskienė</t>
  </si>
  <si>
    <t xml:space="preserve">Analizės ir tyrimo parengimas bei veiksmų plano sudarymas (rinkinys), vnt.          </t>
  </si>
  <si>
    <t>1-1-1-34</t>
  </si>
  <si>
    <t>Visos dienos mokyklos paslaugų prieinamumo didinimas Klaipėdos rajono savivaldybėje</t>
  </si>
  <si>
    <t>1.1.3.25.</t>
  </si>
  <si>
    <t>Projekte dalyvaujančių mokinių skaičius, vnt.</t>
  </si>
  <si>
    <t>6.3.3.24.29.</t>
  </si>
  <si>
    <t>Atliktas pralaidos remontas, vnt.
Atliktas šachtinės pralaidos polių įrengimas, vnt.</t>
  </si>
  <si>
    <t>5-4-1-5</t>
  </si>
  <si>
    <t xml:space="preserve"> Projektas "Gebėjimų stiprinimas ir nevyriausybinių organizacijų veiklos internacionalizavimas Liepojos mieste ir Klaipėdos rajone"</t>
  </si>
  <si>
    <t>5.2.1.3.</t>
  </si>
  <si>
    <t>8-1-7</t>
  </si>
  <si>
    <t>Viešosios įstaigos krepšinio klubo „Gargždai“ 2025 metų programos „Gargždų „Gargždai“ krepšinio komandos dalyvavimas Lietuvos krepšinio lygoje“ dalinis finansavimas</t>
  </si>
  <si>
    <t>8.5.1.25.</t>
  </si>
  <si>
    <t>ŠSS, U.Tamošauskienė</t>
  </si>
  <si>
    <t xml:space="preserve">Finansuota programa, vnt. </t>
  </si>
  <si>
    <t>6.4.1.3.29.</t>
  </si>
  <si>
    <t>3.1.1.79.29.</t>
  </si>
  <si>
    <t>6-5-4-4</t>
  </si>
  <si>
    <t>Dviračių ir pėsčiųjų takų remontas ir statyba prie AB "Via Lietuva" kelių</t>
  </si>
  <si>
    <t xml:space="preserve">6.1.4.22. </t>
  </si>
  <si>
    <t>Parengti priešprojektiniai pasiūlymai dėl Vėžaičių mst. pėsčiųjų tako statybos Gargždų g. nuo Samališkės iki Užtvankos g., vnt.</t>
  </si>
  <si>
    <t>2.2.1.8.26.</t>
  </si>
  <si>
    <t>2.2.1.8.27.</t>
  </si>
  <si>
    <t>2.4.1.37.32.</t>
  </si>
  <si>
    <t>2.4.5.1.33.</t>
  </si>
  <si>
    <t>2.4.5.1.31.</t>
  </si>
  <si>
    <t>6.1.4.19.32.</t>
  </si>
  <si>
    <t>6.1.4.19.35.</t>
  </si>
  <si>
    <t>3.1.1.81.34.</t>
  </si>
  <si>
    <t>3.1.1.79.32.</t>
  </si>
  <si>
    <t>7.5.1.68.34.</t>
  </si>
  <si>
    <t>PATVIRTINTA 
Klaipėdos rajono savivaldybės administracijos 
direktoriaus 2025 m. kovo 19 d.
įsakymu Nr. AV-385 (Klaipėdos rajono savivaldybės administracijos direktoriaus 2025-09- įsakymo Nr. AV- redakcija)</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</si>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</sst>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86"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444444"/>
      <name val="Arial"/>
      <family val="2"/>
      <charset val="186"/>
    </font>
    <font>
      <sz val="11"/>
      <color theme="1"/>
      <name val="Calibri"/>
      <family val="2"/>
      <scheme val="minor"/>
    </font>
    <font>
      <b/>
      <sz val="8"/>
      <color theme="1"/>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8"/>
      <color rgb="FF00B050"/>
      <name val="Arial"/>
      <family val="2"/>
      <charset val="186"/>
    </font>
    <font>
      <sz val="11"/>
      <color indexed="8"/>
      <name val="Calibri"/>
      <family val="2"/>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sz val="8"/>
      <name val="Arial"/>
      <family val="2"/>
      <charset val="186"/>
    </font>
    <font>
      <sz val="8"/>
      <color rgb="FF000000"/>
      <name val="Arial"/>
      <family val="2"/>
      <charset val="186"/>
    </font>
    <font>
      <sz val="8"/>
      <color theme="0"/>
      <name val="Arial"/>
      <family val="2"/>
      <charset val="186"/>
    </font>
    <font>
      <sz val="8"/>
      <color rgb="FF000000"/>
      <name val="Arial"/>
      <family val="2"/>
      <charset val="186"/>
    </font>
    <font>
      <sz val="10"/>
      <color rgb="FF000000"/>
      <name val="Arial"/>
      <family val="2"/>
      <charset val="186"/>
    </font>
    <font>
      <b/>
      <sz val="8"/>
      <color rgb="FF6600CC"/>
      <name val="Arial"/>
      <family val="2"/>
      <charset val="186"/>
    </font>
    <font>
      <sz val="12"/>
      <color rgb="FF000000"/>
      <name val="Arial"/>
      <family val="2"/>
      <charset val="186"/>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rgb="FFFFDAB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
      <patternFill patternType="solid">
        <fgColor rgb="FF7030A0"/>
        <bgColor indexed="64"/>
      </patternFill>
    </fill>
  </fills>
  <borders count="5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89">
    <xf numFmtId="0" fontId="0" fillId="0" borderId="0"/>
    <xf numFmtId="0" fontId="32" fillId="0" borderId="1" applyNumberFormat="0" applyFill="0" applyAlignment="0" applyProtection="0"/>
    <xf numFmtId="0" fontId="33" fillId="0" borderId="2" applyNumberFormat="0" applyFill="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5" fillId="0" borderId="3" applyNumberFormat="0" applyFill="0" applyAlignment="0" applyProtection="0"/>
    <xf numFmtId="0" fontId="35" fillId="0" borderId="0" applyNumberFormat="0" applyFill="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7" fillId="0" borderId="0" applyNumberFormat="0" applyFill="0" applyBorder="0" applyAlignment="0" applyProtection="0"/>
    <xf numFmtId="0" fontId="38" fillId="3" borderId="0" applyNumberFormat="0" applyBorder="0" applyAlignment="0" applyProtection="0"/>
    <xf numFmtId="0" fontId="39" fillId="4" borderId="0" applyNumberFormat="0" applyBorder="0" applyAlignment="0" applyProtection="0"/>
    <xf numFmtId="0" fontId="41" fillId="20" borderId="6" applyNumberFormat="0" applyAlignment="0" applyProtection="0"/>
    <xf numFmtId="0" fontId="40" fillId="0" borderId="0" applyNumberFormat="0" applyFill="0" applyBorder="0" applyAlignment="0" applyProtection="0"/>
    <xf numFmtId="0" fontId="42" fillId="7" borderId="4" applyNumberFormat="0" applyAlignment="0" applyProtection="0"/>
    <xf numFmtId="0" fontId="43" fillId="22" borderId="0" applyNumberFormat="0" applyBorder="0" applyAlignment="0" applyProtection="0"/>
    <xf numFmtId="0" fontId="31" fillId="0" borderId="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44" fillId="23" borderId="8" applyNumberFormat="0" applyFont="0" applyAlignment="0" applyProtection="0"/>
    <xf numFmtId="0" fontId="45" fillId="0" borderId="0" applyNumberFormat="0" applyFill="0" applyBorder="0" applyAlignment="0" applyProtection="0"/>
    <xf numFmtId="0" fontId="46" fillId="20" borderId="4" applyNumberFormat="0" applyAlignment="0" applyProtection="0"/>
    <xf numFmtId="0" fontId="47" fillId="0" borderId="9" applyNumberFormat="0" applyFill="0" applyAlignment="0" applyProtection="0"/>
    <xf numFmtId="0" fontId="48" fillId="0" borderId="7" applyNumberFormat="0" applyFill="0" applyAlignment="0" applyProtection="0"/>
    <xf numFmtId="0" fontId="49" fillId="21" borderId="5" applyNumberFormat="0" applyAlignment="0" applyProtection="0"/>
    <xf numFmtId="0" fontId="44" fillId="0" borderId="0"/>
    <xf numFmtId="0" fontId="44" fillId="0" borderId="0"/>
    <xf numFmtId="0" fontId="31" fillId="23" borderId="8" applyNumberFormat="0" applyFont="0" applyAlignment="0" applyProtection="0"/>
    <xf numFmtId="0" fontId="31" fillId="0" borderId="0"/>
    <xf numFmtId="0" fontId="31" fillId="0" borderId="0"/>
    <xf numFmtId="0" fontId="30" fillId="0" borderId="0"/>
    <xf numFmtId="0" fontId="54" fillId="31" borderId="0" applyNumberFormat="0" applyBorder="0" applyAlignment="0" applyProtection="0"/>
    <xf numFmtId="0" fontId="34" fillId="0" borderId="0"/>
    <xf numFmtId="0" fontId="30" fillId="0" borderId="0"/>
    <xf numFmtId="0" fontId="34" fillId="0" borderId="0"/>
    <xf numFmtId="168" fontId="31" fillId="0" borderId="0" applyFont="0" applyFill="0" applyBorder="0" applyAlignment="0" applyProtection="0"/>
    <xf numFmtId="0" fontId="31" fillId="0" borderId="0"/>
    <xf numFmtId="43" fontId="31" fillId="0" borderId="0" applyFont="0" applyFill="0" applyBorder="0" applyAlignment="0" applyProtection="0"/>
    <xf numFmtId="0" fontId="29" fillId="0" borderId="0"/>
    <xf numFmtId="0" fontId="28" fillId="0" borderId="0"/>
    <xf numFmtId="0" fontId="27" fillId="0" borderId="0"/>
    <xf numFmtId="9" fontId="31" fillId="0" borderId="0" applyFont="0" applyFill="0" applyBorder="0" applyAlignment="0" applyProtection="0"/>
    <xf numFmtId="0" fontId="27" fillId="0" borderId="0"/>
    <xf numFmtId="0" fontId="26" fillId="0" borderId="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4" fillId="0" borderId="0"/>
    <xf numFmtId="9" fontId="24" fillId="0" borderId="0" applyFont="0" applyFill="0" applyBorder="0" applyAlignment="0" applyProtection="0"/>
    <xf numFmtId="0" fontId="61" fillId="0" borderId="0" applyNumberFormat="0" applyFill="0" applyBorder="0" applyAlignment="0" applyProtection="0"/>
    <xf numFmtId="0" fontId="64" fillId="0" borderId="0"/>
    <xf numFmtId="0" fontId="31" fillId="0" borderId="0"/>
    <xf numFmtId="0" fontId="23" fillId="0" borderId="0"/>
    <xf numFmtId="0" fontId="34" fillId="0" borderId="0"/>
    <xf numFmtId="0" fontId="23" fillId="0" borderId="0"/>
    <xf numFmtId="0" fontId="23" fillId="0" borderId="0"/>
    <xf numFmtId="0" fontId="31" fillId="0" borderId="0"/>
    <xf numFmtId="0" fontId="23" fillId="0" borderId="0"/>
    <xf numFmtId="0" fontId="31" fillId="0" borderId="0"/>
    <xf numFmtId="0" fontId="22" fillId="0" borderId="0"/>
    <xf numFmtId="0" fontId="22" fillId="0" borderId="0"/>
    <xf numFmtId="9" fontId="22"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cellStyleXfs>
  <cellXfs count="1279">
    <xf numFmtId="0" fontId="0" fillId="0" borderId="0" xfId="0"/>
    <xf numFmtId="0" fontId="51" fillId="0" borderId="0" xfId="0" applyFont="1"/>
    <xf numFmtId="0" fontId="0" fillId="0" borderId="0" xfId="0" applyAlignment="1">
      <alignment horizontal="left" vertical="center"/>
    </xf>
    <xf numFmtId="166" fontId="50" fillId="0" borderId="14" xfId="0" applyNumberFormat="1" applyFont="1" applyBorder="1" applyAlignment="1">
      <alignment horizontal="center" vertical="center" wrapText="1"/>
    </xf>
    <xf numFmtId="166" fontId="51" fillId="0" borderId="14" xfId="0" applyNumberFormat="1" applyFont="1" applyBorder="1" applyAlignment="1">
      <alignment horizontal="center" vertical="center" wrapText="1"/>
    </xf>
    <xf numFmtId="166" fontId="51" fillId="0" borderId="23" xfId="0" applyNumberFormat="1" applyFont="1" applyBorder="1" applyAlignment="1">
      <alignment horizontal="center" vertical="center"/>
    </xf>
    <xf numFmtId="166" fontId="51" fillId="0" borderId="14" xfId="46" applyNumberFormat="1" applyFont="1" applyBorder="1" applyAlignment="1">
      <alignment horizontal="center" vertical="center"/>
    </xf>
    <xf numFmtId="166" fontId="51" fillId="0" borderId="14" xfId="0" applyNumberFormat="1" applyFont="1" applyBorder="1" applyAlignment="1">
      <alignment horizontal="center" vertical="center"/>
    </xf>
    <xf numFmtId="166" fontId="50" fillId="0" borderId="14" xfId="0" applyNumberFormat="1" applyFont="1" applyBorder="1" applyAlignment="1">
      <alignment horizontal="center" vertical="center"/>
    </xf>
    <xf numFmtId="166" fontId="50" fillId="0" borderId="16" xfId="0" applyNumberFormat="1" applyFont="1" applyBorder="1" applyAlignment="1">
      <alignment horizontal="center" vertical="center"/>
    </xf>
    <xf numFmtId="166" fontId="0" fillId="0" borderId="0" xfId="0" applyNumberFormat="1"/>
    <xf numFmtId="166" fontId="50" fillId="27" borderId="14" xfId="0" applyNumberFormat="1" applyFont="1" applyFill="1" applyBorder="1" applyAlignment="1">
      <alignment horizontal="center" vertical="center"/>
    </xf>
    <xf numFmtId="166" fontId="51" fillId="0" borderId="23" xfId="46" applyNumberFormat="1" applyFont="1" applyBorder="1" applyAlignment="1">
      <alignment horizontal="center" vertical="center" wrapText="1"/>
    </xf>
    <xf numFmtId="166" fontId="51" fillId="27" borderId="23" xfId="46" applyNumberFormat="1" applyFont="1" applyFill="1" applyBorder="1" applyAlignment="1">
      <alignment horizontal="center" vertical="center" wrapText="1"/>
    </xf>
    <xf numFmtId="166" fontId="51" fillId="27" borderId="17" xfId="46" applyNumberFormat="1" applyFont="1" applyFill="1" applyBorder="1" applyAlignment="1">
      <alignment horizontal="center" vertical="center" wrapText="1"/>
    </xf>
    <xf numFmtId="166" fontId="51" fillId="27" borderId="14" xfId="46" applyNumberFormat="1" applyFont="1" applyFill="1" applyBorder="1" applyAlignment="1">
      <alignment horizontal="center" vertical="center" wrapText="1"/>
    </xf>
    <xf numFmtId="166" fontId="52" fillId="27" borderId="14" xfId="46" applyNumberFormat="1" applyFont="1" applyFill="1" applyBorder="1" applyAlignment="1">
      <alignment horizontal="center" vertical="center" wrapText="1"/>
    </xf>
    <xf numFmtId="166" fontId="51" fillId="27" borderId="31" xfId="46" applyNumberFormat="1" applyFont="1" applyFill="1" applyBorder="1" applyAlignment="1">
      <alignment horizontal="center" vertical="center" wrapText="1"/>
    </xf>
    <xf numFmtId="166" fontId="51" fillId="27" borderId="21" xfId="46" applyNumberFormat="1" applyFont="1" applyFill="1" applyBorder="1" applyAlignment="1">
      <alignment horizontal="center" vertical="center" wrapText="1"/>
    </xf>
    <xf numFmtId="166" fontId="51" fillId="0" borderId="10" xfId="46" applyNumberFormat="1" applyFont="1" applyBorder="1" applyAlignment="1">
      <alignment horizontal="center" vertical="center" wrapText="1"/>
    </xf>
    <xf numFmtId="165" fontId="51" fillId="0" borderId="14" xfId="46" quotePrefix="1" applyNumberFormat="1" applyFont="1" applyBorder="1" applyAlignment="1">
      <alignment horizontal="center" vertical="center" wrapText="1"/>
    </xf>
    <xf numFmtId="166" fontId="50" fillId="0" borderId="14" xfId="46" applyNumberFormat="1" applyFont="1" applyBorder="1" applyAlignment="1">
      <alignment horizontal="center" vertical="center" wrapText="1"/>
    </xf>
    <xf numFmtId="166" fontId="50" fillId="0" borderId="17" xfId="46" applyNumberFormat="1" applyFont="1" applyBorder="1" applyAlignment="1">
      <alignment horizontal="center" vertical="center" wrapText="1"/>
    </xf>
    <xf numFmtId="164" fontId="51" fillId="27" borderId="14" xfId="46" applyNumberFormat="1" applyFont="1" applyFill="1" applyBorder="1" applyAlignment="1">
      <alignment horizontal="center" vertical="center" wrapText="1"/>
    </xf>
    <xf numFmtId="166" fontId="50" fillId="0" borderId="26" xfId="46" applyNumberFormat="1" applyFont="1" applyBorder="1" applyAlignment="1">
      <alignment horizontal="center" vertical="center" wrapText="1"/>
    </xf>
    <xf numFmtId="166" fontId="51" fillId="0" borderId="16" xfId="46" applyNumberFormat="1" applyFont="1" applyBorder="1" applyAlignment="1">
      <alignment horizontal="center" vertical="center"/>
    </xf>
    <xf numFmtId="166" fontId="51" fillId="27" borderId="14" xfId="46" applyNumberFormat="1" applyFont="1" applyFill="1" applyBorder="1" applyAlignment="1">
      <alignment horizontal="center" vertical="center"/>
    </xf>
    <xf numFmtId="166" fontId="51" fillId="27" borderId="16" xfId="46" applyNumberFormat="1" applyFont="1" applyFill="1" applyBorder="1" applyAlignment="1">
      <alignment horizontal="center" vertical="center"/>
    </xf>
    <xf numFmtId="166" fontId="51" fillId="0" borderId="23" xfId="46" applyNumberFormat="1" applyFont="1" applyBorder="1" applyAlignment="1">
      <alignment horizontal="center" vertical="center"/>
    </xf>
    <xf numFmtId="166" fontId="51" fillId="0" borderId="10" xfId="46" applyNumberFormat="1" applyFont="1" applyBorder="1" applyAlignment="1">
      <alignment horizontal="center" vertical="center"/>
    </xf>
    <xf numFmtId="166" fontId="51" fillId="0" borderId="14" xfId="52" applyNumberFormat="1" applyFont="1" applyBorder="1" applyAlignment="1">
      <alignment horizontal="center" vertical="center" wrapText="1"/>
    </xf>
    <xf numFmtId="166" fontId="51" fillId="27" borderId="14" xfId="52" applyNumberFormat="1" applyFont="1" applyFill="1" applyBorder="1" applyAlignment="1">
      <alignment horizontal="center" vertical="center" wrapText="1"/>
    </xf>
    <xf numFmtId="0" fontId="51" fillId="0" borderId="14" xfId="52" quotePrefix="1" applyFont="1" applyBorder="1" applyAlignment="1">
      <alignment horizontal="center" vertical="center" wrapText="1"/>
    </xf>
    <xf numFmtId="0" fontId="51" fillId="27" borderId="14" xfId="52" applyFont="1" applyFill="1" applyBorder="1" applyAlignment="1">
      <alignment horizontal="center" vertical="center" wrapText="1"/>
    </xf>
    <xf numFmtId="166" fontId="51" fillId="27" borderId="16" xfId="46" applyNumberFormat="1" applyFont="1" applyFill="1" applyBorder="1" applyAlignment="1">
      <alignment horizontal="center" vertical="center" wrapText="1"/>
    </xf>
    <xf numFmtId="0" fontId="51" fillId="24" borderId="14" xfId="46" applyFont="1" applyFill="1" applyBorder="1" applyAlignment="1">
      <alignment vertical="center" wrapText="1"/>
    </xf>
    <xf numFmtId="0" fontId="51" fillId="27" borderId="14" xfId="46" applyFont="1" applyFill="1" applyBorder="1" applyAlignment="1">
      <alignment vertical="center" wrapText="1"/>
    </xf>
    <xf numFmtId="166" fontId="51" fillId="33" borderId="14" xfId="46" applyNumberFormat="1" applyFont="1" applyFill="1" applyBorder="1" applyAlignment="1">
      <alignment horizontal="center" vertical="center"/>
    </xf>
    <xf numFmtId="166" fontId="51" fillId="0" borderId="14" xfId="46" applyNumberFormat="1" applyFont="1" applyBorder="1" applyAlignment="1">
      <alignment horizontal="center" vertical="center" wrapText="1"/>
    </xf>
    <xf numFmtId="0" fontId="51" fillId="0" borderId="22" xfId="0" applyFont="1" applyBorder="1" applyAlignment="1">
      <alignment horizontal="center" vertical="center"/>
    </xf>
    <xf numFmtId="0" fontId="51" fillId="0" borderId="23" xfId="46" applyFont="1" applyBorder="1" applyAlignment="1">
      <alignment horizontal="center" vertical="center"/>
    </xf>
    <xf numFmtId="0" fontId="51" fillId="0" borderId="0" xfId="0" applyFont="1" applyAlignment="1">
      <alignment horizontal="center" vertical="center"/>
    </xf>
    <xf numFmtId="0" fontId="51" fillId="0" borderId="23" xfId="46" applyFont="1" applyBorder="1" applyAlignment="1">
      <alignment horizontal="center" vertical="center" wrapText="1"/>
    </xf>
    <xf numFmtId="0" fontId="51" fillId="0" borderId="14" xfId="46" applyFont="1" applyBorder="1" applyAlignment="1">
      <alignment horizontal="center" vertical="center" wrapText="1"/>
    </xf>
    <xf numFmtId="0" fontId="51" fillId="0" borderId="17" xfId="46" applyFont="1" applyBorder="1" applyAlignment="1">
      <alignment horizontal="center" vertical="center" wrapText="1"/>
    </xf>
    <xf numFmtId="49" fontId="51" fillId="0" borderId="16" xfId="46" applyNumberFormat="1" applyFont="1" applyBorder="1" applyAlignment="1">
      <alignment horizontal="center" vertical="center" wrapText="1"/>
    </xf>
    <xf numFmtId="0" fontId="51" fillId="0" borderId="16" xfId="46" applyFont="1" applyBorder="1" applyAlignment="1">
      <alignment horizontal="center" vertical="center" wrapText="1"/>
    </xf>
    <xf numFmtId="49" fontId="51" fillId="0" borderId="14" xfId="46" applyNumberFormat="1" applyFont="1" applyBorder="1" applyAlignment="1">
      <alignment horizontal="center" vertical="center" wrapText="1"/>
    </xf>
    <xf numFmtId="49" fontId="51" fillId="0" borderId="23" xfId="46" applyNumberFormat="1" applyFont="1" applyBorder="1" applyAlignment="1">
      <alignment horizontal="center" vertical="center" wrapText="1"/>
    </xf>
    <xf numFmtId="166" fontId="51" fillId="0" borderId="16" xfId="46" applyNumberFormat="1" applyFont="1" applyBorder="1" applyAlignment="1">
      <alignment horizontal="center" vertical="center" wrapText="1"/>
    </xf>
    <xf numFmtId="166" fontId="51" fillId="0" borderId="31" xfId="46" applyNumberFormat="1" applyFont="1" applyBorder="1" applyAlignment="1">
      <alignment horizontal="center" vertical="center" wrapText="1"/>
    </xf>
    <xf numFmtId="0" fontId="51" fillId="0" borderId="14" xfId="46" applyFont="1" applyBorder="1" applyAlignment="1">
      <alignment vertical="center" wrapText="1"/>
    </xf>
    <xf numFmtId="49" fontId="55" fillId="0" borderId="14" xfId="46" applyNumberFormat="1" applyFont="1" applyBorder="1" applyAlignment="1">
      <alignment horizontal="center" vertical="center"/>
    </xf>
    <xf numFmtId="0" fontId="51" fillId="0" borderId="14" xfId="52" applyFont="1" applyBorder="1" applyAlignment="1">
      <alignment horizontal="center" vertical="center" wrapText="1"/>
    </xf>
    <xf numFmtId="49" fontId="51" fillId="0" borderId="14" xfId="52" applyNumberFormat="1" applyFont="1" applyBorder="1" applyAlignment="1">
      <alignment horizontal="center" vertical="center" wrapText="1"/>
    </xf>
    <xf numFmtId="0" fontId="51" fillId="24" borderId="14" xfId="46" applyFont="1" applyFill="1" applyBorder="1" applyAlignment="1">
      <alignment horizontal="left" vertical="center" wrapText="1"/>
    </xf>
    <xf numFmtId="0" fontId="51" fillId="24" borderId="14" xfId="46" applyFont="1" applyFill="1" applyBorder="1" applyAlignment="1">
      <alignment horizontal="center" vertical="center" wrapText="1"/>
    </xf>
    <xf numFmtId="0" fontId="51" fillId="0" borderId="23" xfId="46" applyFont="1" applyBorder="1" applyAlignment="1">
      <alignment horizontal="left" vertical="center" wrapText="1"/>
    </xf>
    <xf numFmtId="166" fontId="50" fillId="0" borderId="16" xfId="46" applyNumberFormat="1" applyFont="1" applyBorder="1" applyAlignment="1">
      <alignment horizontal="center" vertical="center" wrapText="1"/>
    </xf>
    <xf numFmtId="0" fontId="51" fillId="0" borderId="38" xfId="0" applyFont="1" applyBorder="1"/>
    <xf numFmtId="164" fontId="0" fillId="0" borderId="0" xfId="0" applyNumberFormat="1"/>
    <xf numFmtId="166" fontId="51" fillId="27" borderId="14" xfId="0" applyNumberFormat="1" applyFont="1" applyFill="1" applyBorder="1" applyAlignment="1">
      <alignment horizontal="center" vertical="center"/>
    </xf>
    <xf numFmtId="0" fontId="51" fillId="0" borderId="17" xfId="46" applyFont="1" applyBorder="1" applyAlignment="1">
      <alignment vertical="center" wrapText="1"/>
    </xf>
    <xf numFmtId="0" fontId="51" fillId="27" borderId="23" xfId="46" applyFont="1" applyFill="1" applyBorder="1" applyAlignment="1">
      <alignment horizontal="center" vertical="center" wrapText="1"/>
    </xf>
    <xf numFmtId="0" fontId="51" fillId="27" borderId="14" xfId="46" applyFont="1" applyFill="1" applyBorder="1" applyAlignment="1">
      <alignment horizontal="center" vertical="center" wrapText="1"/>
    </xf>
    <xf numFmtId="1" fontId="51" fillId="0" borderId="14" xfId="46" applyNumberFormat="1" applyFont="1" applyBorder="1" applyAlignment="1">
      <alignment horizontal="center" vertical="center" wrapText="1"/>
    </xf>
    <xf numFmtId="49" fontId="51" fillId="0" borderId="17" xfId="46" applyNumberFormat="1" applyFont="1" applyBorder="1" applyAlignment="1">
      <alignment horizontal="center" vertical="center" wrapText="1"/>
    </xf>
    <xf numFmtId="0" fontId="51" fillId="0" borderId="14" xfId="46" applyFont="1" applyBorder="1" applyAlignment="1">
      <alignment horizontal="center" vertical="center"/>
    </xf>
    <xf numFmtId="0" fontId="51" fillId="0" borderId="14" xfId="46" applyFont="1" applyBorder="1" applyAlignment="1">
      <alignment horizontal="left" vertical="center" wrapText="1"/>
    </xf>
    <xf numFmtId="0" fontId="51" fillId="27" borderId="14" xfId="46" applyFont="1" applyFill="1" applyBorder="1" applyAlignment="1">
      <alignment horizontal="left" vertical="center" wrapText="1"/>
    </xf>
    <xf numFmtId="0" fontId="51" fillId="27" borderId="14" xfId="46" applyFont="1" applyFill="1" applyBorder="1" applyAlignment="1">
      <alignment horizontal="center" vertical="center"/>
    </xf>
    <xf numFmtId="0" fontId="55" fillId="0" borderId="14" xfId="46" applyFont="1" applyBorder="1" applyAlignment="1">
      <alignment horizontal="center" vertical="center" wrapText="1"/>
    </xf>
    <xf numFmtId="0" fontId="51" fillId="0" borderId="23" xfId="0" applyFont="1" applyBorder="1" applyAlignment="1">
      <alignment horizontal="left" vertical="center" wrapText="1"/>
    </xf>
    <xf numFmtId="0" fontId="51" fillId="0" borderId="14" xfId="52" applyFont="1" applyBorder="1" applyAlignment="1">
      <alignment horizontal="left" vertical="center" wrapText="1"/>
    </xf>
    <xf numFmtId="0" fontId="51" fillId="0" borderId="14" xfId="52" applyFont="1" applyBorder="1" applyAlignment="1">
      <alignment horizontal="center" vertical="center"/>
    </xf>
    <xf numFmtId="0" fontId="51" fillId="0" borderId="14" xfId="0" applyFont="1" applyBorder="1" applyAlignment="1">
      <alignment horizontal="center" vertical="center" wrapText="1"/>
    </xf>
    <xf numFmtId="0" fontId="51" fillId="0" borderId="14" xfId="0" applyFont="1" applyBorder="1" applyAlignment="1">
      <alignment vertical="center" wrapText="1"/>
    </xf>
    <xf numFmtId="0" fontId="51" fillId="32" borderId="14" xfId="0" applyFont="1" applyFill="1" applyBorder="1" applyAlignment="1">
      <alignment horizontal="center" vertical="center" wrapText="1"/>
    </xf>
    <xf numFmtId="0" fontId="51" fillId="0" borderId="23" xfId="0" applyFont="1" applyBorder="1" applyAlignment="1">
      <alignment horizontal="center" vertical="center" wrapText="1"/>
    </xf>
    <xf numFmtId="49" fontId="51" fillId="0" borderId="14" xfId="0" applyNumberFormat="1" applyFont="1" applyBorder="1" applyAlignment="1">
      <alignment horizontal="center" vertical="center" wrapText="1"/>
    </xf>
    <xf numFmtId="0" fontId="51" fillId="24" borderId="14" xfId="46" applyFont="1" applyFill="1" applyBorder="1" applyAlignment="1">
      <alignment horizontal="center" vertical="center"/>
    </xf>
    <xf numFmtId="49" fontId="55" fillId="27" borderId="14" xfId="46" applyNumberFormat="1" applyFont="1" applyFill="1" applyBorder="1" applyAlignment="1">
      <alignment horizontal="center" vertical="center"/>
    </xf>
    <xf numFmtId="0" fontId="51" fillId="27" borderId="14" xfId="0" applyFont="1" applyFill="1" applyBorder="1" applyAlignment="1">
      <alignment horizontal="center" vertical="center" wrapText="1"/>
    </xf>
    <xf numFmtId="0" fontId="51" fillId="0" borderId="14" xfId="0" applyFont="1" applyBorder="1" applyAlignment="1">
      <alignment horizontal="left" vertical="center" wrapText="1"/>
    </xf>
    <xf numFmtId="0" fontId="51" fillId="27" borderId="14" xfId="0" applyFont="1" applyFill="1" applyBorder="1" applyAlignment="1">
      <alignment horizontal="left" vertical="center" wrapText="1"/>
    </xf>
    <xf numFmtId="0" fontId="51" fillId="27" borderId="14" xfId="0" applyFont="1" applyFill="1" applyBorder="1" applyAlignment="1">
      <alignment vertical="center" wrapText="1"/>
    </xf>
    <xf numFmtId="0" fontId="50"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wrapText="1"/>
    </xf>
    <xf numFmtId="0" fontId="51" fillId="0" borderId="0" xfId="0" applyFont="1" applyAlignment="1">
      <alignment vertical="center"/>
    </xf>
    <xf numFmtId="164" fontId="51" fillId="0" borderId="0" xfId="0" applyNumberFormat="1" applyFont="1" applyAlignment="1">
      <alignment horizontal="center" vertical="center"/>
    </xf>
    <xf numFmtId="3" fontId="51" fillId="0" borderId="14" xfId="0" applyNumberFormat="1" applyFont="1" applyBorder="1" applyAlignment="1">
      <alignment horizontal="center" vertical="center" textRotation="90" wrapText="1"/>
    </xf>
    <xf numFmtId="3" fontId="51" fillId="0" borderId="14" xfId="0" applyNumberFormat="1" applyFont="1" applyBorder="1" applyAlignment="1">
      <alignment horizontal="center" vertical="center" wrapText="1"/>
    </xf>
    <xf numFmtId="0" fontId="51" fillId="35" borderId="14" xfId="0" applyFont="1" applyFill="1" applyBorder="1" applyAlignment="1">
      <alignment horizontal="center" vertical="center" textRotation="90" wrapText="1"/>
    </xf>
    <xf numFmtId="0" fontId="51" fillId="35" borderId="14" xfId="0" applyFont="1" applyFill="1" applyBorder="1" applyAlignment="1">
      <alignment vertical="center" wrapText="1"/>
    </xf>
    <xf numFmtId="3" fontId="51" fillId="35" borderId="14" xfId="0" applyNumberFormat="1" applyFont="1" applyFill="1" applyBorder="1" applyAlignment="1">
      <alignment horizontal="center" vertical="center" wrapText="1"/>
    </xf>
    <xf numFmtId="3" fontId="51" fillId="35" borderId="14" xfId="0" applyNumberFormat="1" applyFont="1" applyFill="1" applyBorder="1" applyAlignment="1">
      <alignment horizontal="center" vertical="center" textRotation="90" wrapText="1"/>
    </xf>
    <xf numFmtId="14" fontId="51" fillId="0" borderId="14" xfId="0" quotePrefix="1" applyNumberFormat="1" applyFont="1" applyBorder="1" applyAlignment="1">
      <alignment horizontal="center" vertical="center" wrapText="1"/>
    </xf>
    <xf numFmtId="166" fontId="51" fillId="39" borderId="14" xfId="46" applyNumberFormat="1" applyFont="1" applyFill="1" applyBorder="1" applyAlignment="1">
      <alignment horizontal="center" vertical="center" wrapText="1"/>
    </xf>
    <xf numFmtId="166" fontId="51" fillId="0" borderId="14" xfId="46" applyNumberFormat="1" applyFont="1" applyBorder="1" applyAlignment="1">
      <alignment vertical="center" wrapText="1"/>
    </xf>
    <xf numFmtId="164" fontId="51" fillId="40" borderId="14" xfId="0" applyNumberFormat="1" applyFont="1" applyFill="1" applyBorder="1" applyAlignment="1">
      <alignment horizontal="left" vertical="center" wrapText="1"/>
    </xf>
    <xf numFmtId="0" fontId="51" fillId="40" borderId="14" xfId="0" applyFont="1" applyFill="1" applyBorder="1" applyAlignment="1">
      <alignment horizontal="center" vertical="center" wrapText="1"/>
    </xf>
    <xf numFmtId="164" fontId="51" fillId="40" borderId="14" xfId="0" applyNumberFormat="1" applyFont="1" applyFill="1" applyBorder="1" applyAlignment="1">
      <alignment horizontal="center" vertical="center" wrapText="1"/>
    </xf>
    <xf numFmtId="0" fontId="51" fillId="41" borderId="14" xfId="0" applyFont="1" applyFill="1" applyBorder="1" applyAlignment="1">
      <alignment horizontal="center" vertical="center" wrapText="1"/>
    </xf>
    <xf numFmtId="166" fontId="50" fillId="41" borderId="14" xfId="46" applyNumberFormat="1" applyFont="1" applyFill="1" applyBorder="1" applyAlignment="1">
      <alignment horizontal="center" vertical="center" wrapText="1"/>
    </xf>
    <xf numFmtId="166" fontId="51" fillId="41" borderId="14" xfId="46" applyNumberFormat="1" applyFont="1" applyFill="1" applyBorder="1" applyAlignment="1">
      <alignment horizontal="center" vertical="center" wrapText="1"/>
    </xf>
    <xf numFmtId="166" fontId="51" fillId="29" borderId="14" xfId="46" applyNumberFormat="1" applyFont="1" applyFill="1" applyBorder="1" applyAlignment="1">
      <alignment horizontal="center" vertical="center" wrapText="1"/>
    </xf>
    <xf numFmtId="164" fontId="52" fillId="0" borderId="14" xfId="0" applyNumberFormat="1" applyFont="1" applyBorder="1" applyAlignment="1">
      <alignment horizontal="center" vertical="center" wrapText="1"/>
    </xf>
    <xf numFmtId="164" fontId="51" fillId="0" borderId="14" xfId="0" applyNumberFormat="1" applyFont="1" applyBorder="1" applyAlignment="1">
      <alignment horizontal="center" vertical="center" wrapText="1"/>
    </xf>
    <xf numFmtId="166" fontId="59" fillId="39" borderId="14" xfId="46" applyNumberFormat="1" applyFont="1" applyFill="1" applyBorder="1" applyAlignment="1">
      <alignment horizontal="center" vertical="center" wrapText="1"/>
    </xf>
    <xf numFmtId="49" fontId="51" fillId="0" borderId="14" xfId="46" applyNumberFormat="1" applyFont="1" applyBorder="1" applyAlignment="1">
      <alignment vertical="center" wrapText="1"/>
    </xf>
    <xf numFmtId="49" fontId="51" fillId="0" borderId="14" xfId="46" applyNumberFormat="1" applyFont="1" applyBorder="1" applyAlignment="1">
      <alignment horizontal="center" vertical="center"/>
    </xf>
    <xf numFmtId="49" fontId="51" fillId="44" borderId="14" xfId="0" quotePrefix="1" applyNumberFormat="1" applyFont="1" applyFill="1" applyBorder="1" applyAlignment="1">
      <alignment horizontal="center" vertical="center" wrapText="1"/>
    </xf>
    <xf numFmtId="166" fontId="50" fillId="39" borderId="14" xfId="46" applyNumberFormat="1" applyFont="1" applyFill="1" applyBorder="1" applyAlignment="1">
      <alignment horizontal="center" vertical="center" wrapText="1"/>
    </xf>
    <xf numFmtId="164" fontId="51" fillId="0" borderId="14" xfId="0" applyNumberFormat="1" applyFont="1" applyBorder="1" applyAlignment="1">
      <alignment horizontal="left" vertical="center" wrapText="1"/>
    </xf>
    <xf numFmtId="0" fontId="51" fillId="0" borderId="14" xfId="0" applyFont="1" applyBorder="1"/>
    <xf numFmtId="0" fontId="51" fillId="0" borderId="14" xfId="0" quotePrefix="1" applyFont="1" applyBorder="1" applyAlignment="1">
      <alignment horizontal="center" vertical="center" wrapText="1"/>
    </xf>
    <xf numFmtId="166" fontId="51" fillId="0" borderId="14" xfId="46" applyNumberFormat="1" applyFont="1" applyBorder="1" applyAlignment="1">
      <alignment horizontal="left" vertical="center" wrapText="1"/>
    </xf>
    <xf numFmtId="0" fontId="51" fillId="0" borderId="14" xfId="46" applyFont="1" applyBorder="1" applyAlignment="1">
      <alignment horizontal="right" vertical="center" wrapText="1"/>
    </xf>
    <xf numFmtId="49" fontId="51" fillId="0" borderId="14" xfId="0" quotePrefix="1" applyNumberFormat="1" applyFont="1" applyBorder="1" applyAlignment="1">
      <alignment horizontal="center" vertical="center" wrapText="1"/>
    </xf>
    <xf numFmtId="166" fontId="51" fillId="42" borderId="14" xfId="46" applyNumberFormat="1" applyFont="1" applyFill="1" applyBorder="1" applyAlignment="1">
      <alignment horizontal="center" vertical="center" wrapText="1"/>
    </xf>
    <xf numFmtId="0" fontId="51" fillId="0" borderId="14" xfId="0" applyFont="1" applyBorder="1" applyAlignment="1">
      <alignment horizontal="center"/>
    </xf>
    <xf numFmtId="166" fontId="59" fillId="0" borderId="14" xfId="0" applyNumberFormat="1" applyFont="1" applyBorder="1" applyAlignment="1">
      <alignment horizontal="center" vertical="center"/>
    </xf>
    <xf numFmtId="166" fontId="59" fillId="27" borderId="14" xfId="46" applyNumberFormat="1" applyFont="1" applyFill="1" applyBorder="1" applyAlignment="1">
      <alignment horizontal="center" vertical="center" wrapText="1"/>
    </xf>
    <xf numFmtId="166" fontId="51" fillId="39" borderId="14" xfId="0" applyNumberFormat="1" applyFont="1" applyFill="1" applyBorder="1" applyAlignment="1">
      <alignment horizontal="center" vertical="center"/>
    </xf>
    <xf numFmtId="166" fontId="51" fillId="39" borderId="16" xfId="46" applyNumberFormat="1" applyFont="1" applyFill="1" applyBorder="1" applyAlignment="1">
      <alignment horizontal="center" vertical="center" wrapText="1"/>
    </xf>
    <xf numFmtId="166" fontId="51" fillId="0" borderId="38" xfId="0" applyNumberFormat="1" applyFont="1" applyBorder="1" applyAlignment="1">
      <alignment horizontal="center"/>
    </xf>
    <xf numFmtId="166" fontId="51" fillId="27" borderId="38" xfId="46" applyNumberFormat="1" applyFont="1" applyFill="1" applyBorder="1" applyAlignment="1">
      <alignment horizontal="center" vertical="center" wrapText="1"/>
    </xf>
    <xf numFmtId="0" fontId="51" fillId="27" borderId="14" xfId="0" applyFont="1" applyFill="1" applyBorder="1" applyAlignment="1">
      <alignment horizontal="right" vertical="center" wrapText="1"/>
    </xf>
    <xf numFmtId="166" fontId="50" fillId="25" borderId="14" xfId="46" applyNumberFormat="1" applyFont="1" applyFill="1" applyBorder="1" applyAlignment="1">
      <alignment horizontal="center" vertical="center" wrapText="1"/>
    </xf>
    <xf numFmtId="3" fontId="51" fillId="0" borderId="14" xfId="72" applyNumberFormat="1" applyFont="1" applyBorder="1" applyAlignment="1">
      <alignment horizontal="left" vertical="center" wrapText="1"/>
    </xf>
    <xf numFmtId="3" fontId="51" fillId="0" borderId="14" xfId="72" applyNumberFormat="1" applyFont="1" applyBorder="1" applyAlignment="1">
      <alignment horizontal="center" vertical="center" wrapText="1"/>
    </xf>
    <xf numFmtId="0" fontId="51" fillId="38" borderId="14" xfId="0" applyFont="1" applyFill="1" applyBorder="1" applyAlignment="1">
      <alignment horizontal="left" vertical="center" wrapText="1"/>
    </xf>
    <xf numFmtId="0" fontId="51" fillId="0" borderId="14" xfId="0" applyFont="1" applyBorder="1" applyAlignment="1">
      <alignment horizontal="center" vertical="center"/>
    </xf>
    <xf numFmtId="164" fontId="59" fillId="47" borderId="14" xfId="0" applyNumberFormat="1" applyFont="1" applyFill="1" applyBorder="1" applyAlignment="1">
      <alignment horizontal="center" vertical="center" wrapText="1"/>
    </xf>
    <xf numFmtId="0" fontId="52" fillId="0" borderId="14" xfId="46" applyFont="1" applyBorder="1" applyAlignment="1">
      <alignment horizontal="left" vertical="center" wrapText="1"/>
    </xf>
    <xf numFmtId="0" fontId="51" fillId="47" borderId="14" xfId="0" applyFont="1" applyFill="1" applyBorder="1" applyAlignment="1">
      <alignment horizontal="center" vertical="center" wrapText="1"/>
    </xf>
    <xf numFmtId="0" fontId="59" fillId="0" borderId="14" xfId="0" applyFont="1" applyBorder="1" applyAlignment="1">
      <alignment horizontal="left" vertical="center" wrapText="1"/>
    </xf>
    <xf numFmtId="0" fontId="59" fillId="0" borderId="14" xfId="0" applyFont="1" applyBorder="1" applyAlignment="1">
      <alignment horizontal="center" vertical="center" wrapText="1"/>
    </xf>
    <xf numFmtId="0" fontId="59" fillId="0" borderId="14" xfId="0" applyFont="1" applyBorder="1" applyAlignment="1">
      <alignment vertical="center" wrapText="1"/>
    </xf>
    <xf numFmtId="0" fontId="59" fillId="48" borderId="14" xfId="0" applyFont="1" applyFill="1" applyBorder="1" applyAlignment="1">
      <alignment horizontal="center" vertical="center" wrapText="1"/>
    </xf>
    <xf numFmtId="0" fontId="59" fillId="0" borderId="17" xfId="0" applyFont="1" applyBorder="1" applyAlignment="1">
      <alignment horizontal="center" vertical="center" wrapText="1"/>
    </xf>
    <xf numFmtId="0" fontId="59" fillId="48" borderId="17" xfId="0" applyFont="1" applyFill="1" applyBorder="1" applyAlignment="1">
      <alignment horizontal="center" vertical="center" wrapText="1"/>
    </xf>
    <xf numFmtId="164" fontId="59" fillId="47" borderId="17" xfId="0" applyNumberFormat="1" applyFont="1" applyFill="1" applyBorder="1" applyAlignment="1">
      <alignment horizontal="center" vertical="center" wrapText="1"/>
    </xf>
    <xf numFmtId="49" fontId="51" fillId="0" borderId="41" xfId="46" applyNumberFormat="1" applyFont="1" applyBorder="1" applyAlignment="1">
      <alignment horizontal="center" vertical="center" wrapText="1"/>
    </xf>
    <xf numFmtId="0" fontId="59" fillId="0" borderId="41" xfId="0" applyFont="1" applyBorder="1" applyAlignment="1">
      <alignment vertical="top" wrapText="1"/>
    </xf>
    <xf numFmtId="0" fontId="59" fillId="0" borderId="41" xfId="0" applyFont="1" applyBorder="1" applyAlignment="1">
      <alignment horizontal="center" vertical="center" wrapText="1"/>
    </xf>
    <xf numFmtId="0" fontId="59" fillId="48" borderId="41" xfId="0" applyFont="1" applyFill="1" applyBorder="1" applyAlignment="1">
      <alignment horizontal="center" vertical="center" wrapText="1"/>
    </xf>
    <xf numFmtId="164" fontId="59" fillId="48" borderId="41" xfId="0" applyNumberFormat="1" applyFont="1" applyFill="1" applyBorder="1" applyAlignment="1">
      <alignment horizontal="center" vertical="center" wrapText="1"/>
    </xf>
    <xf numFmtId="0" fontId="51" fillId="0" borderId="41" xfId="0" applyFont="1" applyBorder="1" applyAlignment="1">
      <alignment horizontal="center" vertical="center"/>
    </xf>
    <xf numFmtId="164" fontId="59" fillId="47" borderId="41" xfId="0" applyNumberFormat="1" applyFont="1" applyFill="1" applyBorder="1" applyAlignment="1">
      <alignment horizontal="center" vertical="center" wrapText="1"/>
    </xf>
    <xf numFmtId="49" fontId="51" fillId="0" borderId="38" xfId="46" applyNumberFormat="1" applyFont="1" applyBorder="1" applyAlignment="1">
      <alignment horizontal="center" vertical="center" wrapText="1"/>
    </xf>
    <xf numFmtId="0" fontId="51" fillId="47" borderId="38" xfId="0" applyFont="1" applyFill="1" applyBorder="1" applyAlignment="1">
      <alignment horizontal="center" vertical="center" wrapText="1"/>
    </xf>
    <xf numFmtId="0" fontId="51" fillId="0" borderId="38" xfId="0" applyFont="1" applyBorder="1" applyAlignment="1">
      <alignment horizontal="center" vertical="center" wrapText="1"/>
    </xf>
    <xf numFmtId="0" fontId="59" fillId="47" borderId="38" xfId="0" applyFont="1" applyFill="1" applyBorder="1" applyAlignment="1">
      <alignment horizontal="center" vertical="center" wrapText="1"/>
    </xf>
    <xf numFmtId="0" fontId="51" fillId="0" borderId="38" xfId="0" applyFont="1" applyBorder="1" applyAlignment="1">
      <alignment horizontal="center" vertical="center"/>
    </xf>
    <xf numFmtId="0" fontId="59" fillId="0" borderId="38" xfId="0" applyFont="1" applyBorder="1" applyAlignment="1">
      <alignment horizontal="left" vertical="center" wrapText="1"/>
    </xf>
    <xf numFmtId="0" fontId="51" fillId="0" borderId="38" xfId="0" applyFont="1" applyBorder="1" applyAlignment="1">
      <alignment horizontal="left" vertical="center" wrapText="1"/>
    </xf>
    <xf numFmtId="0" fontId="51" fillId="0" borderId="38" xfId="46" applyFont="1" applyBorder="1" applyAlignment="1">
      <alignment horizontal="left" vertical="center" wrapText="1"/>
    </xf>
    <xf numFmtId="0" fontId="51" fillId="47" borderId="23" xfId="0" applyFont="1" applyFill="1" applyBorder="1" applyAlignment="1">
      <alignment horizontal="center" vertical="center" wrapText="1"/>
    </xf>
    <xf numFmtId="0" fontId="59" fillId="47" borderId="23" xfId="0" applyFont="1" applyFill="1" applyBorder="1" applyAlignment="1">
      <alignment horizontal="center" vertical="center" wrapText="1"/>
    </xf>
    <xf numFmtId="0" fontId="59" fillId="48" borderId="23" xfId="0" applyFont="1" applyFill="1" applyBorder="1" applyAlignment="1">
      <alignment horizontal="center" vertical="center" wrapText="1"/>
    </xf>
    <xf numFmtId="0" fontId="59" fillId="47" borderId="14" xfId="0" applyFont="1" applyFill="1" applyBorder="1" applyAlignment="1">
      <alignment horizontal="center" vertical="center" wrapText="1"/>
    </xf>
    <xf numFmtId="0" fontId="51" fillId="48" borderId="14" xfId="0" applyFont="1" applyFill="1" applyBorder="1" applyAlignment="1">
      <alignment horizontal="center" vertical="center" wrapText="1"/>
    </xf>
    <xf numFmtId="0" fontId="59" fillId="0" borderId="14" xfId="0" applyFont="1" applyBorder="1" applyAlignment="1">
      <alignment vertical="top" wrapText="1"/>
    </xf>
    <xf numFmtId="164" fontId="59" fillId="0" borderId="14" xfId="0" applyNumberFormat="1" applyFont="1" applyBorder="1" applyAlignment="1">
      <alignment horizontal="center" vertical="center" wrapText="1"/>
    </xf>
    <xf numFmtId="0" fontId="51" fillId="0" borderId="23" xfId="73" applyFont="1" applyBorder="1" applyAlignment="1">
      <alignment horizontal="center" vertical="center" wrapText="1"/>
    </xf>
    <xf numFmtId="0" fontId="59" fillId="47" borderId="14" xfId="73" applyFont="1" applyFill="1" applyBorder="1" applyAlignment="1">
      <alignment horizontal="center" vertical="center" wrapText="1"/>
    </xf>
    <xf numFmtId="0" fontId="59" fillId="0" borderId="14" xfId="73" applyFont="1" applyBorder="1" applyAlignment="1">
      <alignment horizontal="center" vertical="center" wrapText="1"/>
    </xf>
    <xf numFmtId="0" fontId="59" fillId="0" borderId="23" xfId="0" applyFont="1" applyBorder="1" applyAlignment="1">
      <alignment horizontal="center" vertical="center" wrapText="1"/>
    </xf>
    <xf numFmtId="49" fontId="59" fillId="0" borderId="23" xfId="46" applyNumberFormat="1" applyFont="1" applyBorder="1" applyAlignment="1">
      <alignment horizontal="center" vertical="center" wrapText="1"/>
    </xf>
    <xf numFmtId="0" fontId="59" fillId="0" borderId="23" xfId="46" applyFont="1" applyBorder="1" applyAlignment="1">
      <alignment horizontal="center" vertical="center" wrapText="1"/>
    </xf>
    <xf numFmtId="0" fontId="59" fillId="0" borderId="23" xfId="46" applyFont="1" applyBorder="1" applyAlignment="1">
      <alignment vertical="center" wrapText="1"/>
    </xf>
    <xf numFmtId="0" fontId="59" fillId="27" borderId="23" xfId="46" applyFont="1" applyFill="1" applyBorder="1" applyAlignment="1">
      <alignment horizontal="center" vertical="center" wrapText="1"/>
    </xf>
    <xf numFmtId="164" fontId="59" fillId="0" borderId="23" xfId="46" applyNumberFormat="1" applyFont="1" applyBorder="1" applyAlignment="1">
      <alignment horizontal="center" vertical="center" wrapText="1"/>
    </xf>
    <xf numFmtId="164" fontId="59" fillId="0" borderId="14" xfId="46" applyNumberFormat="1" applyFont="1" applyBorder="1" applyAlignment="1">
      <alignment horizontal="center" vertical="center" wrapText="1"/>
    </xf>
    <xf numFmtId="166" fontId="59" fillId="0" borderId="14" xfId="46" applyNumberFormat="1" applyFont="1" applyBorder="1" applyAlignment="1">
      <alignment horizontal="left" vertical="center" wrapText="1"/>
    </xf>
    <xf numFmtId="49" fontId="59" fillId="0" borderId="14" xfId="46" applyNumberFormat="1" applyFont="1" applyBorder="1" applyAlignment="1">
      <alignment horizontal="center" vertical="center" wrapText="1"/>
    </xf>
    <xf numFmtId="0" fontId="59" fillId="0" borderId="14" xfId="46" applyFont="1" applyBorder="1" applyAlignment="1">
      <alignment vertical="center" wrapText="1"/>
    </xf>
    <xf numFmtId="0" fontId="59" fillId="0" borderId="14" xfId="46" applyFont="1" applyBorder="1" applyAlignment="1">
      <alignment horizontal="center" vertical="center" wrapText="1"/>
    </xf>
    <xf numFmtId="0" fontId="59" fillId="41" borderId="14" xfId="0" applyFont="1" applyFill="1" applyBorder="1" applyAlignment="1">
      <alignment horizontal="center" vertical="center" wrapText="1"/>
    </xf>
    <xf numFmtId="166" fontId="59" fillId="41" borderId="14" xfId="46" applyNumberFormat="1" applyFont="1" applyFill="1" applyBorder="1" applyAlignment="1">
      <alignment horizontal="center" vertical="center" wrapText="1"/>
    </xf>
    <xf numFmtId="0" fontId="59" fillId="27" borderId="14" xfId="0" applyFont="1" applyFill="1" applyBorder="1" applyAlignment="1">
      <alignment horizontal="center" vertical="center" wrapText="1"/>
    </xf>
    <xf numFmtId="166" fontId="59" fillId="0" borderId="14" xfId="46" applyNumberFormat="1" applyFont="1" applyBorder="1" applyAlignment="1">
      <alignment horizontal="center" vertical="center" wrapText="1"/>
    </xf>
    <xf numFmtId="0" fontId="52" fillId="0" borderId="14" xfId="46" applyFont="1" applyBorder="1" applyAlignment="1">
      <alignment horizontal="center" vertical="center" wrapText="1"/>
    </xf>
    <xf numFmtId="0" fontId="51" fillId="27" borderId="14" xfId="0" applyFont="1" applyFill="1" applyBorder="1" applyAlignment="1">
      <alignment horizontal="center" vertical="center"/>
    </xf>
    <xf numFmtId="166" fontId="51" fillId="27" borderId="14" xfId="46" applyNumberFormat="1" applyFont="1" applyFill="1" applyBorder="1" applyAlignment="1">
      <alignment horizontal="left" vertical="center" wrapText="1"/>
    </xf>
    <xf numFmtId="166" fontId="51" fillId="27" borderId="14" xfId="0" applyNumberFormat="1" applyFont="1" applyFill="1" applyBorder="1" applyAlignment="1">
      <alignment horizontal="center" vertical="center" wrapText="1"/>
    </xf>
    <xf numFmtId="166" fontId="50" fillId="27" borderId="14" xfId="46" applyNumberFormat="1" applyFont="1" applyFill="1" applyBorder="1" applyAlignment="1">
      <alignment horizontal="center" vertical="center" wrapText="1"/>
    </xf>
    <xf numFmtId="166" fontId="52" fillId="0" borderId="14" xfId="46" applyNumberFormat="1" applyFont="1" applyBorder="1" applyAlignment="1">
      <alignment horizontal="left" vertical="center" wrapText="1"/>
    </xf>
    <xf numFmtId="0" fontId="51" fillId="27" borderId="14" xfId="0" applyFont="1" applyFill="1" applyBorder="1" applyAlignment="1">
      <alignment horizontal="right" vertical="top" wrapText="1"/>
    </xf>
    <xf numFmtId="0" fontId="59" fillId="0" borderId="14" xfId="0" applyFont="1" applyBorder="1" applyAlignment="1">
      <alignment horizontal="center" wrapText="1"/>
    </xf>
    <xf numFmtId="166" fontId="59" fillId="27" borderId="16" xfId="46" applyNumberFormat="1" applyFont="1" applyFill="1" applyBorder="1" applyAlignment="1">
      <alignment horizontal="center" vertical="center" wrapText="1"/>
    </xf>
    <xf numFmtId="166" fontId="50" fillId="0" borderId="38" xfId="46" applyNumberFormat="1" applyFont="1" applyBorder="1" applyAlignment="1">
      <alignment horizontal="center" vertical="center" wrapText="1"/>
    </xf>
    <xf numFmtId="0" fontId="51" fillId="0" borderId="38" xfId="0" applyFont="1" applyBorder="1" applyAlignment="1">
      <alignment horizontal="center"/>
    </xf>
    <xf numFmtId="0" fontId="51" fillId="0" borderId="31" xfId="46" applyFont="1" applyBorder="1" applyAlignment="1">
      <alignment horizontal="center" vertical="center" wrapText="1"/>
    </xf>
    <xf numFmtId="166" fontId="51" fillId="0" borderId="23" xfId="46" applyNumberFormat="1" applyFont="1" applyBorder="1" applyAlignment="1">
      <alignment horizontal="left" vertical="center" wrapText="1"/>
    </xf>
    <xf numFmtId="0" fontId="51" fillId="32" borderId="14" xfId="0" applyFont="1" applyFill="1" applyBorder="1" applyAlignment="1">
      <alignment horizontal="left" vertical="center" wrapText="1"/>
    </xf>
    <xf numFmtId="166" fontId="51" fillId="29" borderId="14" xfId="46" applyNumberFormat="1" applyFont="1" applyFill="1" applyBorder="1" applyAlignment="1">
      <alignment vertical="center" wrapText="1"/>
    </xf>
    <xf numFmtId="166" fontId="51" fillId="0" borderId="31" xfId="46" applyNumberFormat="1" applyFont="1" applyBorder="1" applyAlignment="1">
      <alignment vertical="center" wrapText="1"/>
    </xf>
    <xf numFmtId="0" fontId="51" fillId="27" borderId="38" xfId="0" applyFont="1" applyFill="1" applyBorder="1" applyAlignment="1">
      <alignment horizontal="center" vertical="center"/>
    </xf>
    <xf numFmtId="0" fontId="51" fillId="0" borderId="14" xfId="0" applyFont="1" applyBorder="1" applyAlignment="1">
      <alignment horizontal="right" wrapText="1"/>
    </xf>
    <xf numFmtId="166" fontId="51" fillId="0" borderId="42" xfId="46" applyNumberFormat="1" applyFont="1" applyBorder="1" applyAlignment="1">
      <alignment horizontal="center" vertical="center" wrapText="1"/>
    </xf>
    <xf numFmtId="0" fontId="51" fillId="0" borderId="14" xfId="0" applyFont="1" applyBorder="1" applyAlignment="1">
      <alignment horizontal="right" vertical="center" wrapText="1"/>
    </xf>
    <xf numFmtId="49" fontId="51" fillId="0" borderId="31" xfId="46" applyNumberFormat="1" applyFont="1" applyBorder="1" applyAlignment="1">
      <alignment horizontal="center" vertical="center" wrapText="1"/>
    </xf>
    <xf numFmtId="3" fontId="51" fillId="0" borderId="14" xfId="0" applyNumberFormat="1" applyFont="1" applyBorder="1" applyAlignment="1">
      <alignment horizontal="left" vertical="center" wrapText="1"/>
    </xf>
    <xf numFmtId="0" fontId="51" fillId="0" borderId="14" xfId="46" applyFont="1" applyBorder="1" applyAlignment="1">
      <alignment horizontal="left"/>
    </xf>
    <xf numFmtId="0" fontId="51" fillId="0" borderId="14" xfId="0" applyFont="1" applyBorder="1" applyAlignment="1">
      <alignment wrapText="1"/>
    </xf>
    <xf numFmtId="166" fontId="51" fillId="39" borderId="14" xfId="46" applyNumberFormat="1" applyFont="1" applyFill="1" applyBorder="1" applyAlignment="1">
      <alignment horizontal="center" vertical="center"/>
    </xf>
    <xf numFmtId="166" fontId="51" fillId="29" borderId="14" xfId="46" applyNumberFormat="1" applyFont="1" applyFill="1" applyBorder="1" applyAlignment="1">
      <alignment horizontal="center" vertical="center"/>
    </xf>
    <xf numFmtId="0" fontId="67" fillId="0" borderId="14" xfId="0" applyFont="1" applyBorder="1" applyAlignment="1">
      <alignment vertical="center" wrapText="1"/>
    </xf>
    <xf numFmtId="166" fontId="50" fillId="37" borderId="14" xfId="46" applyNumberFormat="1" applyFont="1" applyFill="1" applyBorder="1" applyAlignment="1">
      <alignment horizontal="center" vertical="center" wrapText="1"/>
    </xf>
    <xf numFmtId="0" fontId="55" fillId="39" borderId="14" xfId="46" applyFont="1" applyFill="1" applyBorder="1" applyAlignment="1">
      <alignment horizontal="center" vertical="center" wrapText="1"/>
    </xf>
    <xf numFmtId="49" fontId="51" fillId="39" borderId="14" xfId="46" applyNumberFormat="1" applyFont="1" applyFill="1" applyBorder="1" applyAlignment="1">
      <alignment horizontal="center" vertical="center"/>
    </xf>
    <xf numFmtId="0" fontId="51" fillId="39" borderId="14" xfId="0" applyFont="1" applyFill="1" applyBorder="1"/>
    <xf numFmtId="166" fontId="50" fillId="39" borderId="14" xfId="46" applyNumberFormat="1" applyFont="1" applyFill="1" applyBorder="1" applyAlignment="1">
      <alignment horizontal="center" vertical="center"/>
    </xf>
    <xf numFmtId="0" fontId="51" fillId="0" borderId="14" xfId="0" applyFont="1" applyBorder="1" applyAlignment="1">
      <alignment vertical="center"/>
    </xf>
    <xf numFmtId="0" fontId="51" fillId="27" borderId="14" xfId="0" applyFont="1" applyFill="1" applyBorder="1"/>
    <xf numFmtId="166" fontId="51" fillId="24" borderId="14" xfId="74" applyNumberFormat="1" applyFont="1" applyFill="1" applyBorder="1" applyAlignment="1">
      <alignment horizontal="center" vertical="center"/>
    </xf>
    <xf numFmtId="166" fontId="51" fillId="0" borderId="14" xfId="74" applyNumberFormat="1" applyFont="1" applyBorder="1" applyAlignment="1">
      <alignment horizontal="center" vertical="center" wrapText="1"/>
    </xf>
    <xf numFmtId="49" fontId="51" fillId="27" borderId="14" xfId="46" applyNumberFormat="1" applyFont="1" applyFill="1" applyBorder="1" applyAlignment="1">
      <alignment horizontal="center" vertical="center"/>
    </xf>
    <xf numFmtId="0" fontId="51" fillId="0" borderId="14" xfId="75" applyFont="1" applyBorder="1" applyAlignment="1">
      <alignment horizontal="center" vertical="center"/>
    </xf>
    <xf numFmtId="49" fontId="51" fillId="0" borderId="14" xfId="75" applyNumberFormat="1" applyFont="1" applyBorder="1" applyAlignment="1">
      <alignment horizontal="center" vertical="center"/>
    </xf>
    <xf numFmtId="0" fontId="51" fillId="0" borderId="14" xfId="75" applyFont="1" applyBorder="1" applyAlignment="1">
      <alignment vertical="center" wrapText="1"/>
    </xf>
    <xf numFmtId="166" fontId="55" fillId="0" borderId="14" xfId="75" applyNumberFormat="1" applyFont="1" applyBorder="1" applyAlignment="1">
      <alignment horizontal="center" vertical="center"/>
    </xf>
    <xf numFmtId="0" fontId="51" fillId="0" borderId="14" xfId="75" applyFont="1" applyBorder="1"/>
    <xf numFmtId="0" fontId="51" fillId="27" borderId="14" xfId="75" applyFont="1" applyFill="1" applyBorder="1" applyAlignment="1">
      <alignment vertical="center" wrapText="1"/>
    </xf>
    <xf numFmtId="166" fontId="51" fillId="29" borderId="14" xfId="75" applyNumberFormat="1" applyFont="1" applyFill="1" applyBorder="1" applyAlignment="1">
      <alignment horizontal="center" vertical="center"/>
    </xf>
    <xf numFmtId="0" fontId="68" fillId="27" borderId="14" xfId="75" applyFont="1" applyFill="1" applyBorder="1" applyAlignment="1">
      <alignment vertical="center" wrapText="1"/>
    </xf>
    <xf numFmtId="166" fontId="51" fillId="0" borderId="14" xfId="75" applyNumberFormat="1" applyFont="1" applyBorder="1" applyAlignment="1">
      <alignment horizontal="center" vertical="center"/>
    </xf>
    <xf numFmtId="0" fontId="51" fillId="0" borderId="14" xfId="75" applyFont="1" applyBorder="1" applyAlignment="1">
      <alignment horizontal="center" vertical="center" wrapText="1"/>
    </xf>
    <xf numFmtId="0" fontId="56" fillId="0" borderId="14" xfId="75" applyFont="1" applyBorder="1" applyAlignment="1">
      <alignment vertical="center" wrapText="1"/>
    </xf>
    <xf numFmtId="166" fontId="55" fillId="27" borderId="14" xfId="75" applyNumberFormat="1" applyFont="1" applyFill="1" applyBorder="1" applyAlignment="1">
      <alignment horizontal="center" vertical="center"/>
    </xf>
    <xf numFmtId="0" fontId="51" fillId="0" borderId="23" xfId="0" applyFont="1" applyBorder="1"/>
    <xf numFmtId="164" fontId="51" fillId="0" borderId="14" xfId="0" applyNumberFormat="1" applyFont="1" applyBorder="1" applyAlignment="1">
      <alignment horizontal="center" vertical="center"/>
    </xf>
    <xf numFmtId="0" fontId="0" fillId="0" borderId="14" xfId="0" applyBorder="1"/>
    <xf numFmtId="0" fontId="51" fillId="0" borderId="31" xfId="75" applyFont="1" applyBorder="1" applyAlignment="1">
      <alignment horizontal="center" vertical="center"/>
    </xf>
    <xf numFmtId="0" fontId="51" fillId="0" borderId="38" xfId="75" applyFont="1" applyBorder="1" applyAlignment="1">
      <alignment horizontal="left" vertical="center" wrapText="1"/>
    </xf>
    <xf numFmtId="166" fontId="51" fillId="41" borderId="41" xfId="46" applyNumberFormat="1" applyFont="1" applyFill="1" applyBorder="1" applyAlignment="1">
      <alignment horizontal="center" vertical="center" wrapText="1"/>
    </xf>
    <xf numFmtId="166" fontId="50" fillId="25" borderId="23" xfId="46" applyNumberFormat="1" applyFont="1" applyFill="1" applyBorder="1" applyAlignment="1">
      <alignment horizontal="center" vertical="center" wrapText="1"/>
    </xf>
    <xf numFmtId="166" fontId="51" fillId="41" borderId="0" xfId="46" applyNumberFormat="1" applyFont="1" applyFill="1" applyAlignment="1">
      <alignment horizontal="center" vertical="center" wrapText="1"/>
    </xf>
    <xf numFmtId="0" fontId="51" fillId="0" borderId="23" xfId="75" applyFont="1" applyBorder="1" applyAlignment="1">
      <alignment horizontal="left" vertical="center" wrapText="1"/>
    </xf>
    <xf numFmtId="49" fontId="51" fillId="35" borderId="14" xfId="0" applyNumberFormat="1" applyFont="1" applyFill="1" applyBorder="1" applyAlignment="1">
      <alignment horizontal="center" vertical="center" textRotation="90" wrapText="1"/>
    </xf>
    <xf numFmtId="49" fontId="51" fillId="37" borderId="14" xfId="46" applyNumberFormat="1" applyFont="1" applyFill="1" applyBorder="1" applyAlignment="1">
      <alignment horizontal="center" vertical="center" wrapText="1"/>
    </xf>
    <xf numFmtId="0" fontId="51" fillId="37" borderId="14" xfId="46" applyFont="1" applyFill="1" applyBorder="1" applyAlignment="1">
      <alignment vertical="center" wrapText="1"/>
    </xf>
    <xf numFmtId="1" fontId="51" fillId="0" borderId="14" xfId="46" quotePrefix="1" applyNumberFormat="1" applyFont="1" applyBorder="1" applyAlignment="1">
      <alignment horizontal="center" vertical="center" wrapText="1"/>
    </xf>
    <xf numFmtId="166" fontId="51" fillId="0" borderId="14" xfId="46" applyNumberFormat="1" applyFont="1" applyBorder="1"/>
    <xf numFmtId="0" fontId="51" fillId="0" borderId="14" xfId="46" quotePrefix="1" applyFont="1" applyBorder="1" applyAlignment="1">
      <alignment horizontal="center" vertical="center" wrapText="1"/>
    </xf>
    <xf numFmtId="0" fontId="51" fillId="0" borderId="14" xfId="46" applyFont="1" applyBorder="1" applyAlignment="1">
      <alignment vertical="top" wrapText="1"/>
    </xf>
    <xf numFmtId="164" fontId="51" fillId="0" borderId="14" xfId="46" applyNumberFormat="1" applyFont="1" applyBorder="1" applyAlignment="1">
      <alignment horizontal="center" vertical="center"/>
    </xf>
    <xf numFmtId="3" fontId="51" fillId="27" borderId="14" xfId="78" applyNumberFormat="1" applyFont="1" applyFill="1" applyBorder="1" applyAlignment="1">
      <alignment horizontal="left" vertical="center" wrapText="1"/>
    </xf>
    <xf numFmtId="0" fontId="51" fillId="27" borderId="14" xfId="78" applyFont="1" applyFill="1" applyBorder="1" applyAlignment="1">
      <alignment horizontal="center" vertical="center" wrapText="1"/>
    </xf>
    <xf numFmtId="166" fontId="51" fillId="0" borderId="14" xfId="79" applyNumberFormat="1" applyFont="1" applyBorder="1" applyAlignment="1">
      <alignment horizontal="center" vertical="center" wrapText="1"/>
    </xf>
    <xf numFmtId="0" fontId="51" fillId="27" borderId="14" xfId="72" applyFont="1" applyFill="1" applyBorder="1" applyAlignment="1">
      <alignment horizontal="left" vertical="center" wrapText="1"/>
    </xf>
    <xf numFmtId="0" fontId="51" fillId="0" borderId="14" xfId="72" applyFont="1" applyBorder="1" applyAlignment="1">
      <alignment horizontal="left" vertical="center" wrapText="1"/>
    </xf>
    <xf numFmtId="166" fontId="51" fillId="39" borderId="23" xfId="46" applyNumberFormat="1" applyFont="1" applyFill="1" applyBorder="1" applyAlignment="1">
      <alignment horizontal="center" vertical="center" wrapText="1"/>
    </xf>
    <xf numFmtId="166" fontId="50" fillId="41" borderId="14" xfId="79" applyNumberFormat="1" applyFont="1" applyFill="1" applyBorder="1" applyAlignment="1">
      <alignment horizontal="center" vertical="center" wrapText="1"/>
    </xf>
    <xf numFmtId="166" fontId="50" fillId="49" borderId="14" xfId="79" applyNumberFormat="1" applyFont="1" applyFill="1" applyBorder="1" applyAlignment="1">
      <alignment horizontal="center" vertical="center" wrapText="1"/>
    </xf>
    <xf numFmtId="166" fontId="69" fillId="0" borderId="14" xfId="79" applyNumberFormat="1" applyFont="1" applyBorder="1" applyAlignment="1">
      <alignment horizontal="left" vertical="center"/>
    </xf>
    <xf numFmtId="166" fontId="69" fillId="0" borderId="14" xfId="79" applyNumberFormat="1" applyFont="1" applyBorder="1" applyAlignment="1">
      <alignment horizontal="center" vertical="center"/>
    </xf>
    <xf numFmtId="166" fontId="50" fillId="0" borderId="14" xfId="79" applyNumberFormat="1" applyFont="1" applyBorder="1" applyAlignment="1">
      <alignment horizontal="center" vertical="center" wrapText="1"/>
    </xf>
    <xf numFmtId="166" fontId="51" fillId="41" borderId="14" xfId="79" applyNumberFormat="1" applyFont="1" applyFill="1" applyBorder="1" applyAlignment="1">
      <alignment horizontal="center" vertical="center"/>
    </xf>
    <xf numFmtId="14" fontId="51" fillId="27" borderId="14" xfId="0" applyNumberFormat="1" applyFont="1" applyFill="1" applyBorder="1" applyAlignment="1">
      <alignment wrapText="1"/>
    </xf>
    <xf numFmtId="0" fontId="51" fillId="27" borderId="31" xfId="0" applyFont="1" applyFill="1" applyBorder="1" applyAlignment="1">
      <alignment wrapText="1"/>
    </xf>
    <xf numFmtId="0" fontId="51" fillId="35" borderId="14" xfId="0" applyFont="1" applyFill="1" applyBorder="1" applyAlignment="1">
      <alignment horizontal="left" vertical="center" wrapText="1"/>
    </xf>
    <xf numFmtId="166" fontId="51" fillId="38" borderId="14" xfId="79" applyNumberFormat="1" applyFont="1" applyFill="1" applyBorder="1" applyAlignment="1">
      <alignment horizontal="center" vertical="center"/>
    </xf>
    <xf numFmtId="0" fontId="70" fillId="0" borderId="14" xfId="0" applyFont="1" applyBorder="1" applyAlignment="1">
      <alignment vertical="center" wrapText="1"/>
    </xf>
    <xf numFmtId="49" fontId="51" fillId="0" borderId="14" xfId="79" applyNumberFormat="1" applyFont="1" applyBorder="1" applyAlignment="1">
      <alignment horizontal="center" vertical="center" wrapText="1"/>
    </xf>
    <xf numFmtId="166" fontId="51" fillId="38" borderId="14" xfId="79" applyNumberFormat="1" applyFont="1" applyFill="1" applyBorder="1" applyAlignment="1">
      <alignment horizontal="center" vertical="center" wrapText="1"/>
    </xf>
    <xf numFmtId="0" fontId="50" fillId="38" borderId="14" xfId="0" applyFont="1" applyFill="1" applyBorder="1" applyAlignment="1">
      <alignment horizontal="center" wrapText="1"/>
    </xf>
    <xf numFmtId="166" fontId="50" fillId="38" borderId="14" xfId="0" applyNumberFormat="1" applyFont="1" applyFill="1" applyBorder="1" applyAlignment="1">
      <alignment horizontal="center" wrapText="1"/>
    </xf>
    <xf numFmtId="0" fontId="51" fillId="44" borderId="14" xfId="0" applyFont="1" applyFill="1" applyBorder="1" applyAlignment="1">
      <alignment horizontal="center" wrapText="1"/>
    </xf>
    <xf numFmtId="166" fontId="51" fillId="35" borderId="14" xfId="46" applyNumberFormat="1" applyFont="1" applyFill="1" applyBorder="1" applyAlignment="1">
      <alignment horizontal="center" vertical="center" wrapText="1"/>
    </xf>
    <xf numFmtId="0" fontId="51" fillId="0" borderId="14" xfId="52" applyFont="1" applyBorder="1" applyAlignment="1">
      <alignment horizontal="center" vertical="center" textRotation="90" wrapText="1"/>
    </xf>
    <xf numFmtId="0" fontId="51" fillId="0" borderId="14" xfId="52" applyFont="1" applyBorder="1" applyAlignment="1">
      <alignment vertical="center" wrapText="1"/>
    </xf>
    <xf numFmtId="0" fontId="51" fillId="0" borderId="14" xfId="52" applyFont="1" applyBorder="1"/>
    <xf numFmtId="166" fontId="51" fillId="24" borderId="14" xfId="52" applyNumberFormat="1" applyFont="1" applyFill="1" applyBorder="1" applyAlignment="1">
      <alignment horizontal="center" vertical="center" wrapText="1"/>
    </xf>
    <xf numFmtId="164" fontId="51" fillId="0" borderId="14" xfId="52" applyNumberFormat="1" applyFont="1" applyBorder="1" applyAlignment="1">
      <alignment horizontal="center" vertical="center" wrapText="1"/>
    </xf>
    <xf numFmtId="164" fontId="51" fillId="27" borderId="14" xfId="52" applyNumberFormat="1" applyFont="1" applyFill="1" applyBorder="1" applyAlignment="1">
      <alignment horizontal="center" vertical="center" wrapText="1"/>
    </xf>
    <xf numFmtId="49" fontId="51" fillId="0" borderId="14" xfId="52" quotePrefix="1" applyNumberFormat="1" applyFont="1" applyBorder="1" applyAlignment="1">
      <alignment horizontal="center" vertical="center" wrapText="1"/>
    </xf>
    <xf numFmtId="166" fontId="51" fillId="39" borderId="14" xfId="52" applyNumberFormat="1" applyFont="1" applyFill="1" applyBorder="1" applyAlignment="1">
      <alignment horizontal="center" vertical="center" wrapText="1"/>
    </xf>
    <xf numFmtId="166" fontId="51" fillId="0" borderId="14" xfId="52" applyNumberFormat="1" applyFont="1" applyBorder="1"/>
    <xf numFmtId="49" fontId="71" fillId="0" borderId="14" xfId="52" quotePrefix="1" applyNumberFormat="1" applyFont="1" applyBorder="1" applyAlignment="1">
      <alignment horizontal="center" vertical="center" wrapText="1"/>
    </xf>
    <xf numFmtId="0" fontId="51" fillId="37" borderId="14" xfId="0" applyFont="1" applyFill="1" applyBorder="1" applyAlignment="1">
      <alignment horizontal="left" vertical="center" wrapText="1"/>
    </xf>
    <xf numFmtId="0" fontId="57" fillId="0" borderId="14" xfId="52" applyFont="1" applyBorder="1" applyAlignment="1">
      <alignment horizontal="left" vertical="center" wrapText="1"/>
    </xf>
    <xf numFmtId="49" fontId="59" fillId="0" borderId="14" xfId="52" applyNumberFormat="1" applyFont="1" applyBorder="1" applyAlignment="1">
      <alignment horizontal="center" vertical="center" wrapText="1"/>
    </xf>
    <xf numFmtId="0" fontId="59" fillId="0" borderId="14" xfId="52" applyFont="1" applyBorder="1" applyAlignment="1">
      <alignment vertical="center" wrapText="1"/>
    </xf>
    <xf numFmtId="166" fontId="59" fillId="0" borderId="14" xfId="52" applyNumberFormat="1" applyFont="1" applyBorder="1" applyAlignment="1">
      <alignment horizontal="center" vertical="center" wrapText="1"/>
    </xf>
    <xf numFmtId="0" fontId="34" fillId="0" borderId="14" xfId="52" applyBorder="1"/>
    <xf numFmtId="0" fontId="57" fillId="0" borderId="14" xfId="52" applyFont="1" applyBorder="1" applyAlignment="1">
      <alignment vertical="center" wrapText="1"/>
    </xf>
    <xf numFmtId="0" fontId="57" fillId="0" borderId="14" xfId="52" applyFont="1" applyBorder="1" applyAlignment="1">
      <alignment horizontal="center" vertical="center"/>
    </xf>
    <xf numFmtId="0" fontId="57" fillId="0" borderId="14" xfId="52" applyFont="1" applyBorder="1"/>
    <xf numFmtId="0" fontId="57" fillId="0" borderId="14" xfId="52" quotePrefix="1" applyFont="1" applyBorder="1" applyAlignment="1">
      <alignment horizontal="center" vertical="center"/>
    </xf>
    <xf numFmtId="0" fontId="59" fillId="0" borderId="31" xfId="0" applyFont="1" applyBorder="1"/>
    <xf numFmtId="0" fontId="57" fillId="0" borderId="14" xfId="52" applyFont="1" applyBorder="1" applyAlignment="1">
      <alignment horizontal="center" vertical="center" wrapText="1"/>
    </xf>
    <xf numFmtId="0" fontId="59" fillId="0" borderId="14" xfId="52" quotePrefix="1" applyFont="1" applyBorder="1" applyAlignment="1">
      <alignment horizontal="center" vertical="center" wrapText="1"/>
    </xf>
    <xf numFmtId="0" fontId="59" fillId="0" borderId="14" xfId="52" applyFont="1" applyBorder="1" applyAlignment="1">
      <alignment horizontal="center" vertical="center" wrapText="1"/>
    </xf>
    <xf numFmtId="3" fontId="51" fillId="0" borderId="14" xfId="80" applyNumberFormat="1" applyFont="1" applyBorder="1" applyAlignment="1">
      <alignment horizontal="left" vertical="center" wrapText="1"/>
    </xf>
    <xf numFmtId="49" fontId="51" fillId="0" borderId="14" xfId="52" applyNumberFormat="1" applyFont="1" applyBorder="1" applyAlignment="1">
      <alignment horizontal="center" vertical="center"/>
    </xf>
    <xf numFmtId="166" fontId="51" fillId="50" borderId="14" xfId="52" applyNumberFormat="1" applyFont="1" applyFill="1" applyBorder="1" applyAlignment="1">
      <alignment horizontal="center" vertical="center" wrapText="1"/>
    </xf>
    <xf numFmtId="0" fontId="51" fillId="0" borderId="14" xfId="0" applyFont="1" applyBorder="1" applyAlignment="1">
      <alignment horizontal="center" vertical="center" textRotation="255" wrapText="1"/>
    </xf>
    <xf numFmtId="49" fontId="51" fillId="40" borderId="14" xfId="0" applyNumberFormat="1" applyFont="1" applyFill="1" applyBorder="1" applyAlignment="1">
      <alignment horizontal="center" vertical="center" wrapText="1"/>
    </xf>
    <xf numFmtId="49" fontId="51" fillId="27" borderId="14" xfId="0" quotePrefix="1" applyNumberFormat="1" applyFont="1" applyFill="1" applyBorder="1" applyAlignment="1">
      <alignment horizontal="center" vertical="center" wrapText="1"/>
    </xf>
    <xf numFmtId="1" fontId="51" fillId="0" borderId="14" xfId="0" quotePrefix="1" applyNumberFormat="1" applyFont="1" applyBorder="1" applyAlignment="1">
      <alignment horizontal="center" vertical="center" wrapText="1"/>
    </xf>
    <xf numFmtId="167" fontId="51" fillId="0" borderId="14" xfId="0" applyNumberFormat="1" applyFont="1" applyBorder="1" applyAlignment="1">
      <alignment horizontal="center" vertical="center"/>
    </xf>
    <xf numFmtId="0" fontId="73" fillId="0" borderId="14" xfId="71" applyFont="1" applyBorder="1" applyAlignment="1" applyProtection="1">
      <alignment vertical="center" wrapText="1"/>
    </xf>
    <xf numFmtId="0" fontId="51" fillId="0" borderId="14" xfId="71" applyFont="1" applyBorder="1" applyAlignment="1" applyProtection="1">
      <alignment vertical="center" wrapText="1"/>
    </xf>
    <xf numFmtId="164" fontId="51" fillId="27" borderId="14" xfId="0" applyNumberFormat="1" applyFont="1" applyFill="1" applyBorder="1" applyAlignment="1">
      <alignment horizontal="left" vertical="center" wrapText="1"/>
    </xf>
    <xf numFmtId="49" fontId="50" fillId="44" borderId="14" xfId="0" quotePrefix="1" applyNumberFormat="1" applyFont="1" applyFill="1" applyBorder="1" applyAlignment="1">
      <alignment horizontal="center" vertical="center" wrapText="1"/>
    </xf>
    <xf numFmtId="0" fontId="50" fillId="38" borderId="14" xfId="0" applyFont="1" applyFill="1" applyBorder="1" applyAlignment="1">
      <alignment horizontal="left" vertical="center" wrapText="1"/>
    </xf>
    <xf numFmtId="166" fontId="65" fillId="27" borderId="14" xfId="76" applyNumberFormat="1" applyFont="1" applyFill="1" applyBorder="1" applyAlignment="1">
      <alignment horizontal="center" vertical="center"/>
    </xf>
    <xf numFmtId="0" fontId="50" fillId="54" borderId="14" xfId="0" applyFont="1" applyFill="1" applyBorder="1" applyAlignment="1">
      <alignment horizontal="center" vertical="center" wrapText="1"/>
    </xf>
    <xf numFmtId="166" fontId="50" fillId="54" borderId="14" xfId="46" applyNumberFormat="1" applyFont="1" applyFill="1" applyBorder="1" applyAlignment="1">
      <alignment horizontal="center" vertical="center" wrapText="1"/>
    </xf>
    <xf numFmtId="0" fontId="51" fillId="24" borderId="14" xfId="46" applyFont="1" applyFill="1" applyBorder="1" applyAlignment="1">
      <alignment horizontal="right" vertical="center"/>
    </xf>
    <xf numFmtId="0" fontId="50" fillId="39" borderId="14" xfId="0" applyFont="1" applyFill="1" applyBorder="1" applyAlignment="1">
      <alignment horizontal="center" vertical="center" wrapText="1"/>
    </xf>
    <xf numFmtId="166" fontId="65" fillId="33" borderId="14" xfId="76" applyNumberFormat="1" applyFont="1" applyFill="1" applyBorder="1" applyAlignment="1">
      <alignment horizontal="center" vertical="center"/>
    </xf>
    <xf numFmtId="0" fontId="50" fillId="41" borderId="14" xfId="0" applyFont="1" applyFill="1" applyBorder="1" applyAlignment="1">
      <alignment horizontal="center" vertical="center" wrapText="1"/>
    </xf>
    <xf numFmtId="0" fontId="50" fillId="39" borderId="14" xfId="46" applyFont="1" applyFill="1" applyBorder="1" applyAlignment="1">
      <alignment horizontal="center" vertical="center" wrapText="1"/>
    </xf>
    <xf numFmtId="0" fontId="50" fillId="0" borderId="14" xfId="0" applyFont="1" applyBorder="1" applyAlignment="1">
      <alignment horizontal="center" vertical="center" wrapText="1"/>
    </xf>
    <xf numFmtId="0" fontId="50" fillId="0" borderId="14" xfId="0" applyFont="1" applyBorder="1" applyAlignment="1">
      <alignment horizontal="center" vertical="center"/>
    </xf>
    <xf numFmtId="166" fontId="51" fillId="34" borderId="14" xfId="46" applyNumberFormat="1" applyFont="1" applyFill="1" applyBorder="1" applyAlignment="1">
      <alignment horizontal="center" vertical="center" wrapText="1"/>
    </xf>
    <xf numFmtId="0" fontId="59" fillId="55" borderId="14" xfId="0" applyFont="1" applyFill="1" applyBorder="1" applyAlignment="1">
      <alignment horizontal="center" vertical="center" wrapText="1"/>
    </xf>
    <xf numFmtId="0" fontId="59" fillId="55" borderId="17" xfId="0" applyFont="1" applyFill="1" applyBorder="1" applyAlignment="1">
      <alignment horizontal="center" vertical="center" wrapText="1"/>
    </xf>
    <xf numFmtId="0" fontId="59" fillId="55" borderId="41" xfId="0" applyFont="1" applyFill="1" applyBorder="1" applyAlignment="1">
      <alignment horizontal="center" vertical="center" wrapText="1"/>
    </xf>
    <xf numFmtId="0" fontId="51" fillId="27" borderId="31" xfId="46" applyFont="1" applyFill="1" applyBorder="1" applyAlignment="1">
      <alignment horizontal="center" vertical="center" wrapText="1"/>
    </xf>
    <xf numFmtId="0" fontId="59" fillId="27" borderId="14" xfId="46" applyFont="1" applyFill="1" applyBorder="1" applyAlignment="1">
      <alignment horizontal="center" vertical="center" wrapText="1"/>
    </xf>
    <xf numFmtId="0" fontId="51" fillId="0" borderId="14" xfId="75" applyFont="1" applyBorder="1" applyAlignment="1">
      <alignment horizontal="left" vertical="center" wrapText="1"/>
    </xf>
    <xf numFmtId="0" fontId="51" fillId="0" borderId="14" xfId="0" applyFont="1" applyBorder="1" applyAlignment="1">
      <alignment horizontal="left" vertical="center"/>
    </xf>
    <xf numFmtId="166" fontId="51" fillId="0" borderId="17" xfId="79" applyNumberFormat="1" applyFont="1" applyBorder="1" applyAlignment="1">
      <alignment horizontal="left" vertical="center" wrapText="1"/>
    </xf>
    <xf numFmtId="0" fontId="51" fillId="0" borderId="17" xfId="0" applyFont="1" applyBorder="1" applyAlignment="1">
      <alignment horizontal="left" vertical="center"/>
    </xf>
    <xf numFmtId="166" fontId="51" fillId="27" borderId="38" xfId="79" applyNumberFormat="1" applyFont="1" applyFill="1" applyBorder="1" applyAlignment="1">
      <alignment horizontal="left" vertical="center" wrapText="1"/>
    </xf>
    <xf numFmtId="0" fontId="51" fillId="0" borderId="38" xfId="0" applyFont="1" applyBorder="1" applyAlignment="1">
      <alignment wrapText="1"/>
    </xf>
    <xf numFmtId="0" fontId="59" fillId="0" borderId="38" xfId="0" applyFont="1" applyBorder="1" applyAlignment="1">
      <alignment wrapText="1"/>
    </xf>
    <xf numFmtId="0" fontId="50" fillId="0" borderId="14" xfId="0" applyFont="1" applyBorder="1" applyAlignment="1">
      <alignment vertical="center" wrapText="1"/>
    </xf>
    <xf numFmtId="0" fontId="51" fillId="39" borderId="14" xfId="0" applyFont="1" applyFill="1" applyBorder="1" applyAlignment="1">
      <alignment vertical="center" wrapText="1"/>
    </xf>
    <xf numFmtId="4" fontId="50" fillId="0" borderId="22" xfId="0" applyNumberFormat="1" applyFont="1" applyBorder="1" applyAlignment="1">
      <alignment wrapText="1"/>
    </xf>
    <xf numFmtId="0" fontId="50" fillId="0" borderId="22" xfId="0" applyFont="1" applyBorder="1" applyAlignment="1">
      <alignment wrapText="1"/>
    </xf>
    <xf numFmtId="0" fontId="51" fillId="0" borderId="14" xfId="75" applyFont="1" applyBorder="1" applyAlignment="1">
      <alignment wrapText="1"/>
    </xf>
    <xf numFmtId="0" fontId="51" fillId="0" borderId="22" xfId="0" applyFont="1" applyBorder="1" applyAlignment="1">
      <alignment wrapText="1"/>
    </xf>
    <xf numFmtId="0" fontId="51" fillId="0" borderId="23" xfId="75" applyFont="1" applyBorder="1" applyAlignment="1">
      <alignment vertical="center" wrapText="1"/>
    </xf>
    <xf numFmtId="49" fontId="51" fillId="27" borderId="14" xfId="75" applyNumberFormat="1" applyFont="1" applyFill="1" applyBorder="1" applyAlignment="1">
      <alignment horizontal="center" vertical="center"/>
    </xf>
    <xf numFmtId="0" fontId="51" fillId="0" borderId="17" xfId="75" applyFont="1" applyBorder="1" applyAlignment="1">
      <alignment horizontal="center" vertical="center" wrapText="1"/>
    </xf>
    <xf numFmtId="166" fontId="51" fillId="0" borderId="17" xfId="75" applyNumberFormat="1" applyFont="1" applyBorder="1" applyAlignment="1">
      <alignment horizontal="center" vertical="center"/>
    </xf>
    <xf numFmtId="166" fontId="51" fillId="0" borderId="17" xfId="0" applyNumberFormat="1" applyFont="1" applyBorder="1" applyAlignment="1">
      <alignment horizontal="center" vertical="center"/>
    </xf>
    <xf numFmtId="0" fontId="51" fillId="0" borderId="39" xfId="75" applyFont="1" applyBorder="1" applyAlignment="1">
      <alignment horizontal="left" vertical="center" wrapText="1"/>
    </xf>
    <xf numFmtId="0" fontId="51" fillId="0" borderId="16" xfId="75" applyFont="1" applyBorder="1" applyAlignment="1">
      <alignment horizontal="center" vertical="center" wrapText="1"/>
    </xf>
    <xf numFmtId="166" fontId="51" fillId="0" borderId="38" xfId="75" applyNumberFormat="1" applyFont="1" applyBorder="1" applyAlignment="1">
      <alignment horizontal="center" vertical="center"/>
    </xf>
    <xf numFmtId="0" fontId="51" fillId="41" borderId="41" xfId="0" applyFont="1" applyFill="1" applyBorder="1" applyAlignment="1">
      <alignment horizontal="center" vertical="center" wrapText="1"/>
    </xf>
    <xf numFmtId="166" fontId="31" fillId="0" borderId="14" xfId="46" applyNumberFormat="1" applyBorder="1"/>
    <xf numFmtId="3" fontId="51" fillId="0" borderId="14" xfId="78" applyNumberFormat="1" applyFont="1" applyBorder="1" applyAlignment="1">
      <alignment horizontal="left" vertical="center" wrapText="1"/>
    </xf>
    <xf numFmtId="166" fontId="51" fillId="34" borderId="14" xfId="46" applyNumberFormat="1" applyFont="1" applyFill="1" applyBorder="1" applyAlignment="1">
      <alignment horizontal="center" vertical="center"/>
    </xf>
    <xf numFmtId="0" fontId="51" fillId="0" borderId="16" xfId="46" applyFont="1" applyBorder="1" applyAlignment="1">
      <alignment horizontal="center" vertical="center"/>
    </xf>
    <xf numFmtId="0" fontId="0" fillId="27" borderId="0" xfId="0" applyFill="1"/>
    <xf numFmtId="0" fontId="51" fillId="0" borderId="38" xfId="46" applyFont="1" applyBorder="1" applyAlignment="1">
      <alignment horizontal="left"/>
    </xf>
    <xf numFmtId="0" fontId="0" fillId="0" borderId="38" xfId="0" applyBorder="1"/>
    <xf numFmtId="164" fontId="51" fillId="40" borderId="38" xfId="0" applyNumberFormat="1" applyFont="1" applyFill="1" applyBorder="1" applyAlignment="1">
      <alignment horizontal="left" vertical="center" wrapText="1"/>
    </xf>
    <xf numFmtId="166" fontId="51" fillId="0" borderId="38" xfId="46" applyNumberFormat="1" applyFont="1" applyBorder="1" applyAlignment="1">
      <alignment horizontal="left" vertical="center"/>
    </xf>
    <xf numFmtId="166" fontId="51" fillId="0" borderId="38" xfId="46" applyNumberFormat="1" applyFont="1" applyBorder="1" applyAlignment="1">
      <alignment horizontal="left" vertical="center" wrapText="1"/>
    </xf>
    <xf numFmtId="166" fontId="51" fillId="27" borderId="38" xfId="46" applyNumberFormat="1" applyFont="1" applyFill="1" applyBorder="1" applyAlignment="1">
      <alignment horizontal="left" vertical="center"/>
    </xf>
    <xf numFmtId="0" fontId="51" fillId="40" borderId="16" xfId="0" applyFont="1" applyFill="1" applyBorder="1" applyAlignment="1">
      <alignment horizontal="center" vertical="center" wrapText="1"/>
    </xf>
    <xf numFmtId="49" fontId="51" fillId="0" borderId="16" xfId="52" applyNumberFormat="1" applyFont="1" applyBorder="1" applyAlignment="1">
      <alignment horizontal="center" vertical="center" wrapText="1"/>
    </xf>
    <xf numFmtId="0" fontId="51" fillId="0" borderId="38" xfId="52" applyFont="1" applyBorder="1"/>
    <xf numFmtId="0" fontId="34" fillId="0" borderId="38" xfId="52" applyBorder="1"/>
    <xf numFmtId="0" fontId="51" fillId="0" borderId="16" xfId="52" applyFont="1" applyBorder="1" applyAlignment="1">
      <alignment horizontal="center" vertical="center"/>
    </xf>
    <xf numFmtId="0" fontId="51" fillId="0" borderId="17" xfId="52" applyFont="1" applyBorder="1"/>
    <xf numFmtId="0" fontId="34" fillId="0" borderId="23" xfId="52" applyBorder="1"/>
    <xf numFmtId="0" fontId="72" fillId="0" borderId="38" xfId="52" applyFont="1" applyBorder="1"/>
    <xf numFmtId="0" fontId="51" fillId="0" borderId="16" xfId="52" quotePrefix="1" applyFont="1" applyBorder="1" applyAlignment="1">
      <alignment horizontal="center" vertical="center"/>
    </xf>
    <xf numFmtId="0" fontId="57" fillId="0" borderId="16" xfId="52" applyFont="1" applyBorder="1" applyAlignment="1">
      <alignment horizontal="center" vertical="center"/>
    </xf>
    <xf numFmtId="0" fontId="51" fillId="0" borderId="17" xfId="52" applyFont="1" applyBorder="1" applyAlignment="1">
      <alignment horizontal="center" vertical="center"/>
    </xf>
    <xf numFmtId="0" fontId="51" fillId="0" borderId="31" xfId="0" applyFont="1" applyBorder="1" applyAlignment="1">
      <alignment horizontal="center" vertical="center"/>
    </xf>
    <xf numFmtId="0" fontId="51" fillId="27" borderId="38" xfId="46" applyFont="1" applyFill="1" applyBorder="1" applyAlignment="1">
      <alignment vertical="center" wrapText="1"/>
    </xf>
    <xf numFmtId="0" fontId="75" fillId="0" borderId="0" xfId="0" applyFont="1" applyAlignment="1">
      <alignment wrapText="1"/>
    </xf>
    <xf numFmtId="166" fontId="51" fillId="56" borderId="14" xfId="0" applyNumberFormat="1" applyFont="1" applyFill="1" applyBorder="1" applyAlignment="1">
      <alignment horizontal="center" vertical="center"/>
    </xf>
    <xf numFmtId="166" fontId="51" fillId="39" borderId="17" xfId="46" applyNumberFormat="1" applyFont="1" applyFill="1" applyBorder="1" applyAlignment="1">
      <alignment horizontal="center" vertical="center" wrapText="1"/>
    </xf>
    <xf numFmtId="166" fontId="51" fillId="27" borderId="17" xfId="0" applyNumberFormat="1" applyFont="1" applyFill="1" applyBorder="1" applyAlignment="1">
      <alignment horizontal="center" vertical="center"/>
    </xf>
    <xf numFmtId="0" fontId="0" fillId="0" borderId="0" xfId="0" applyAlignment="1">
      <alignment horizontal="center"/>
    </xf>
    <xf numFmtId="0" fontId="51" fillId="27" borderId="31" xfId="0" applyFont="1" applyFill="1" applyBorder="1" applyAlignment="1">
      <alignment horizontal="center" vertical="center" wrapText="1"/>
    </xf>
    <xf numFmtId="166" fontId="51" fillId="29" borderId="0" xfId="46" applyNumberFormat="1" applyFont="1" applyFill="1" applyAlignment="1">
      <alignment horizontal="center" vertical="center" wrapText="1"/>
    </xf>
    <xf numFmtId="0" fontId="51" fillId="0" borderId="43" xfId="0" applyFont="1" applyBorder="1" applyAlignment="1">
      <alignment horizontal="center" vertical="center"/>
    </xf>
    <xf numFmtId="0" fontId="51" fillId="27" borderId="23" xfId="0" applyFont="1" applyFill="1" applyBorder="1" applyAlignment="1">
      <alignment horizontal="center" vertical="center" wrapText="1"/>
    </xf>
    <xf numFmtId="166" fontId="51" fillId="27" borderId="14" xfId="0" applyNumberFormat="1" applyFont="1" applyFill="1" applyBorder="1" applyAlignment="1">
      <alignment horizontal="center" wrapText="1"/>
    </xf>
    <xf numFmtId="166" fontId="51" fillId="27" borderId="31" xfId="0" applyNumberFormat="1" applyFont="1" applyFill="1" applyBorder="1" applyAlignment="1">
      <alignment horizontal="center" wrapText="1"/>
    </xf>
    <xf numFmtId="0" fontId="51" fillId="27" borderId="14" xfId="0" applyFont="1" applyFill="1" applyBorder="1" applyAlignment="1">
      <alignment wrapText="1"/>
    </xf>
    <xf numFmtId="0" fontId="50" fillId="27" borderId="38" xfId="0" applyFont="1" applyFill="1" applyBorder="1" applyAlignment="1">
      <alignment wrapText="1"/>
    </xf>
    <xf numFmtId="4" fontId="50" fillId="27" borderId="38" xfId="0" applyNumberFormat="1" applyFont="1" applyFill="1" applyBorder="1" applyAlignment="1">
      <alignment wrapText="1"/>
    </xf>
    <xf numFmtId="4" fontId="50" fillId="27" borderId="36" xfId="0" applyNumberFormat="1" applyFont="1" applyFill="1" applyBorder="1" applyAlignment="1">
      <alignment wrapText="1"/>
    </xf>
    <xf numFmtId="166" fontId="69" fillId="0" borderId="17" xfId="79" applyNumberFormat="1" applyFont="1" applyBorder="1" applyAlignment="1">
      <alignment horizontal="left" vertical="center"/>
    </xf>
    <xf numFmtId="0" fontId="51" fillId="0" borderId="17" xfId="46" applyFont="1" applyBorder="1" applyAlignment="1">
      <alignment horizontal="center" vertical="center"/>
    </xf>
    <xf numFmtId="0" fontId="51" fillId="0" borderId="16" xfId="46" applyFont="1" applyBorder="1" applyAlignment="1">
      <alignment vertical="center" wrapText="1"/>
    </xf>
    <xf numFmtId="0" fontId="51" fillId="41" borderId="31" xfId="0" applyFont="1" applyFill="1" applyBorder="1" applyAlignment="1">
      <alignment horizontal="center" vertical="center" wrapText="1"/>
    </xf>
    <xf numFmtId="0" fontId="51" fillId="39" borderId="23" xfId="46" applyFont="1" applyFill="1" applyBorder="1" applyAlignment="1">
      <alignment horizontal="center" vertical="center"/>
    </xf>
    <xf numFmtId="0" fontId="51" fillId="39" borderId="23" xfId="46" applyFont="1" applyFill="1" applyBorder="1" applyAlignment="1">
      <alignment horizontal="center" vertical="center" wrapText="1"/>
    </xf>
    <xf numFmtId="0" fontId="51" fillId="0" borderId="48" xfId="46" applyFont="1" applyBorder="1" applyAlignment="1">
      <alignment horizontal="center" vertical="center"/>
    </xf>
    <xf numFmtId="0" fontId="51" fillId="0" borderId="36" xfId="46" applyFont="1" applyBorder="1" applyAlignment="1">
      <alignment horizontal="center" vertical="center"/>
    </xf>
    <xf numFmtId="0" fontId="51" fillId="0" borderId="41" xfId="46" applyFont="1" applyBorder="1" applyAlignment="1">
      <alignment horizontal="center" vertical="center"/>
    </xf>
    <xf numFmtId="166" fontId="51" fillId="0" borderId="31" xfId="46" applyNumberFormat="1" applyFont="1" applyBorder="1" applyAlignment="1">
      <alignment horizontal="left" vertical="center" wrapText="1"/>
    </xf>
    <xf numFmtId="166" fontId="51" fillId="0" borderId="17" xfId="46" applyNumberFormat="1" applyFont="1" applyBorder="1" applyAlignment="1">
      <alignment horizontal="left" vertical="center" wrapText="1"/>
    </xf>
    <xf numFmtId="0" fontId="51" fillId="27" borderId="0" xfId="0" applyFont="1" applyFill="1" applyAlignment="1">
      <alignment wrapText="1"/>
    </xf>
    <xf numFmtId="166" fontId="51" fillId="27" borderId="38" xfId="0" applyNumberFormat="1" applyFont="1" applyFill="1" applyBorder="1" applyAlignment="1">
      <alignment horizontal="center" vertical="center"/>
    </xf>
    <xf numFmtId="0" fontId="51" fillId="41" borderId="38" xfId="0" applyFont="1" applyFill="1" applyBorder="1" applyAlignment="1">
      <alignment horizontal="center" vertical="center" wrapText="1"/>
    </xf>
    <xf numFmtId="166" fontId="51" fillId="41" borderId="38" xfId="46" applyNumberFormat="1" applyFont="1" applyFill="1" applyBorder="1" applyAlignment="1">
      <alignment horizontal="center" vertical="center" wrapText="1"/>
    </xf>
    <xf numFmtId="166" fontId="51" fillId="0" borderId="41" xfId="75" applyNumberFormat="1" applyFont="1" applyBorder="1" applyAlignment="1">
      <alignment horizontal="center" vertical="center"/>
    </xf>
    <xf numFmtId="166" fontId="51" fillId="0" borderId="41" xfId="0" applyNumberFormat="1" applyFont="1" applyBorder="1" applyAlignment="1">
      <alignment horizontal="center"/>
    </xf>
    <xf numFmtId="0" fontId="51" fillId="50" borderId="14" xfId="0" applyFont="1" applyFill="1" applyBorder="1" applyAlignment="1">
      <alignment vertical="center" wrapText="1"/>
    </xf>
    <xf numFmtId="0" fontId="51" fillId="50" borderId="14" xfId="0" applyFont="1" applyFill="1" applyBorder="1" applyAlignment="1">
      <alignment horizontal="center" vertical="center" wrapText="1"/>
    </xf>
    <xf numFmtId="164" fontId="50" fillId="0" borderId="14" xfId="0" quotePrefix="1" applyNumberFormat="1" applyFont="1" applyBorder="1" applyAlignment="1">
      <alignment horizontal="center" vertical="center" wrapText="1"/>
    </xf>
    <xf numFmtId="166" fontId="59" fillId="27" borderId="14" xfId="0" applyNumberFormat="1" applyFont="1" applyFill="1" applyBorder="1" applyAlignment="1">
      <alignment horizontal="center" vertical="center"/>
    </xf>
    <xf numFmtId="166" fontId="52" fillId="0" borderId="31" xfId="46" applyNumberFormat="1" applyFont="1" applyBorder="1" applyAlignment="1">
      <alignment horizontal="left" vertical="center" wrapText="1"/>
    </xf>
    <xf numFmtId="0" fontId="51" fillId="0" borderId="31" xfId="46" applyFont="1" applyBorder="1" applyAlignment="1">
      <alignment horizontal="left" vertical="center" wrapText="1"/>
    </xf>
    <xf numFmtId="166" fontId="52" fillId="0" borderId="23" xfId="46" applyNumberFormat="1" applyFont="1" applyBorder="1" applyAlignment="1">
      <alignment horizontal="left" vertical="center" wrapText="1"/>
    </xf>
    <xf numFmtId="0" fontId="50" fillId="27" borderId="14" xfId="0" applyFont="1" applyFill="1" applyBorder="1" applyAlignment="1">
      <alignment horizontal="center" vertical="center"/>
    </xf>
    <xf numFmtId="164" fontId="50" fillId="41" borderId="14" xfId="79" applyNumberFormat="1" applyFont="1" applyFill="1" applyBorder="1" applyAlignment="1">
      <alignment horizontal="center" vertical="center" wrapText="1"/>
    </xf>
    <xf numFmtId="164" fontId="50" fillId="49" borderId="14" xfId="79" applyNumberFormat="1" applyFont="1" applyFill="1" applyBorder="1" applyAlignment="1">
      <alignment horizontal="center" vertical="center" wrapText="1"/>
    </xf>
    <xf numFmtId="164" fontId="51" fillId="0" borderId="14" xfId="79" applyNumberFormat="1" applyFont="1" applyBorder="1" applyAlignment="1">
      <alignment horizontal="center" vertical="center" wrapText="1"/>
    </xf>
    <xf numFmtId="164" fontId="50" fillId="0" borderId="14" xfId="79" applyNumberFormat="1" applyFont="1" applyBorder="1" applyAlignment="1">
      <alignment horizontal="center" vertical="center" wrapText="1"/>
    </xf>
    <xf numFmtId="164" fontId="50" fillId="38" borderId="14" xfId="0" applyNumberFormat="1" applyFont="1" applyFill="1" applyBorder="1" applyAlignment="1">
      <alignment horizontal="center" wrapText="1"/>
    </xf>
    <xf numFmtId="166" fontId="51" fillId="27" borderId="30" xfId="46" applyNumberFormat="1" applyFont="1" applyFill="1" applyBorder="1" applyAlignment="1">
      <alignment horizontal="center" vertical="center" wrapText="1"/>
    </xf>
    <xf numFmtId="0" fontId="51" fillId="24" borderId="17" xfId="46" applyFont="1" applyFill="1" applyBorder="1" applyAlignment="1">
      <alignment horizontal="left" vertical="center" wrapText="1"/>
    </xf>
    <xf numFmtId="164" fontId="50" fillId="41" borderId="16" xfId="79" applyNumberFormat="1" applyFont="1" applyFill="1" applyBorder="1" applyAlignment="1">
      <alignment horizontal="center" vertical="center" wrapText="1"/>
    </xf>
    <xf numFmtId="164" fontId="50" fillId="49" borderId="16" xfId="79" applyNumberFormat="1" applyFont="1" applyFill="1" applyBorder="1" applyAlignment="1">
      <alignment horizontal="center" vertical="center" wrapText="1"/>
    </xf>
    <xf numFmtId="164" fontId="50" fillId="0" borderId="16" xfId="79" applyNumberFormat="1" applyFont="1" applyBorder="1" applyAlignment="1">
      <alignment horizontal="center" vertical="center" wrapText="1"/>
    </xf>
    <xf numFmtId="164" fontId="50" fillId="38" borderId="16" xfId="0" applyNumberFormat="1" applyFont="1" applyFill="1" applyBorder="1" applyAlignment="1">
      <alignment horizontal="center" wrapText="1"/>
    </xf>
    <xf numFmtId="0" fontId="59" fillId="0" borderId="14" xfId="0" applyFont="1" applyBorder="1" applyAlignment="1">
      <alignment horizontal="center"/>
    </xf>
    <xf numFmtId="49" fontId="51" fillId="47" borderId="14" xfId="0" applyNumberFormat="1" applyFont="1" applyFill="1" applyBorder="1" applyAlignment="1">
      <alignment horizontal="center"/>
    </xf>
    <xf numFmtId="49" fontId="51" fillId="0" borderId="14" xfId="0" applyNumberFormat="1" applyFont="1" applyBorder="1" applyAlignment="1">
      <alignment horizontal="center"/>
    </xf>
    <xf numFmtId="164" fontId="51" fillId="0" borderId="24" xfId="0" applyNumberFormat="1" applyFont="1" applyBorder="1" applyAlignment="1">
      <alignment horizontal="center" vertical="center"/>
    </xf>
    <xf numFmtId="0" fontId="51" fillId="0" borderId="24" xfId="0" applyFont="1" applyBorder="1"/>
    <xf numFmtId="3" fontId="51" fillId="0" borderId="16" xfId="0" applyNumberFormat="1" applyFont="1" applyBorder="1" applyAlignment="1">
      <alignment horizontal="center" vertical="center" wrapText="1"/>
    </xf>
    <xf numFmtId="3" fontId="51" fillId="35" borderId="16" xfId="0" applyNumberFormat="1" applyFont="1" applyFill="1" applyBorder="1" applyAlignment="1">
      <alignment horizontal="center" vertical="center" wrapText="1"/>
    </xf>
    <xf numFmtId="0" fontId="59" fillId="0" borderId="14" xfId="0" applyFont="1" applyBorder="1" applyAlignment="1">
      <alignment horizontal="center" vertical="center"/>
    </xf>
    <xf numFmtId="166" fontId="51" fillId="29" borderId="23" xfId="46" applyNumberFormat="1" applyFont="1" applyFill="1" applyBorder="1" applyAlignment="1">
      <alignment horizontal="center" vertical="center" wrapText="1"/>
    </xf>
    <xf numFmtId="49" fontId="51" fillId="44" borderId="23" xfId="0" quotePrefix="1" applyNumberFormat="1" applyFont="1" applyFill="1" applyBorder="1" applyAlignment="1">
      <alignment horizontal="center" vertical="center" wrapText="1"/>
    </xf>
    <xf numFmtId="0" fontId="51" fillId="38" borderId="23" xfId="0" applyFont="1" applyFill="1" applyBorder="1" applyAlignment="1">
      <alignment horizontal="left" vertical="center" wrapText="1"/>
    </xf>
    <xf numFmtId="0" fontId="51" fillId="0" borderId="23" xfId="0" quotePrefix="1" applyFont="1" applyBorder="1" applyAlignment="1">
      <alignment horizontal="center" vertical="center" wrapText="1"/>
    </xf>
    <xf numFmtId="0" fontId="51" fillId="27" borderId="23" xfId="0" applyFont="1" applyFill="1" applyBorder="1" applyAlignment="1">
      <alignment horizontal="center" vertical="center"/>
    </xf>
    <xf numFmtId="166" fontId="50" fillId="39" borderId="23" xfId="46" applyNumberFormat="1" applyFont="1" applyFill="1" applyBorder="1" applyAlignment="1">
      <alignment horizontal="center" vertical="center" wrapText="1"/>
    </xf>
    <xf numFmtId="0" fontId="51" fillId="0" borderId="0" xfId="0" applyFont="1" applyAlignment="1" applyProtection="1">
      <alignment horizontal="left" vertical="center" wrapText="1"/>
      <protection locked="0"/>
    </xf>
    <xf numFmtId="0" fontId="0" fillId="0" borderId="0" xfId="0" applyProtection="1">
      <protection locked="0"/>
    </xf>
    <xf numFmtId="0" fontId="51" fillId="0" borderId="14" xfId="0" applyFont="1" applyBorder="1" applyAlignment="1" applyProtection="1">
      <alignment horizontal="left" vertical="center" wrapText="1"/>
      <protection locked="0"/>
    </xf>
    <xf numFmtId="0" fontId="51" fillId="0" borderId="14" xfId="0" applyFont="1" applyBorder="1" applyAlignment="1" applyProtection="1">
      <alignment horizontal="center" vertical="center" wrapText="1"/>
      <protection locked="0"/>
    </xf>
    <xf numFmtId="0" fontId="51" fillId="0" borderId="23" xfId="0" applyFont="1" applyBorder="1" applyAlignment="1">
      <alignment horizontal="center" vertical="center"/>
    </xf>
    <xf numFmtId="0" fontId="51" fillId="27" borderId="17" xfId="0" applyFont="1" applyFill="1" applyBorder="1" applyAlignment="1">
      <alignment horizontal="center" vertical="center" wrapText="1"/>
    </xf>
    <xf numFmtId="0" fontId="20" fillId="0" borderId="17" xfId="46" applyFont="1" applyBorder="1" applyAlignment="1">
      <alignment horizontal="left" vertical="center" wrapText="1"/>
    </xf>
    <xf numFmtId="0" fontId="20" fillId="0" borderId="23" xfId="46" applyFont="1" applyBorder="1" applyAlignment="1">
      <alignment horizontal="left" vertical="center" wrapText="1"/>
    </xf>
    <xf numFmtId="0" fontId="59" fillId="38" borderId="14" xfId="0" applyFont="1" applyFill="1" applyBorder="1" applyAlignment="1">
      <alignment horizontal="left" vertical="center" wrapText="1"/>
    </xf>
    <xf numFmtId="0" fontId="20" fillId="47" borderId="14" xfId="0" applyFont="1" applyFill="1" applyBorder="1" applyAlignment="1">
      <alignment horizontal="center" vertical="center" wrapText="1"/>
    </xf>
    <xf numFmtId="0" fontId="20" fillId="0" borderId="39" xfId="0" applyFont="1" applyBorder="1" applyAlignment="1">
      <alignment vertical="center" wrapText="1"/>
    </xf>
    <xf numFmtId="0" fontId="20" fillId="0" borderId="14" xfId="0" applyFont="1" applyBorder="1" applyAlignment="1">
      <alignment horizontal="center" vertical="center" wrapText="1"/>
    </xf>
    <xf numFmtId="0" fontId="20" fillId="0" borderId="14" xfId="0" applyFont="1" applyBorder="1" applyAlignment="1">
      <alignment vertical="center" wrapText="1"/>
    </xf>
    <xf numFmtId="0" fontId="20" fillId="55" borderId="14" xfId="0" applyFont="1" applyFill="1" applyBorder="1" applyAlignment="1">
      <alignment horizontal="center" vertical="center" wrapText="1"/>
    </xf>
    <xf numFmtId="0" fontId="20" fillId="48" borderId="14" xfId="0" applyFont="1" applyFill="1" applyBorder="1" applyAlignment="1">
      <alignment horizontal="center" vertical="center" wrapText="1"/>
    </xf>
    <xf numFmtId="0" fontId="20" fillId="47" borderId="17" xfId="0" applyFont="1" applyFill="1" applyBorder="1" applyAlignment="1">
      <alignment horizontal="center" vertical="center" wrapText="1"/>
    </xf>
    <xf numFmtId="0" fontId="59" fillId="0" borderId="0" xfId="0" applyFont="1" applyAlignment="1">
      <alignment vertical="top" wrapText="1"/>
    </xf>
    <xf numFmtId="0" fontId="20" fillId="47" borderId="41" xfId="0" applyFont="1" applyFill="1" applyBorder="1" applyAlignment="1">
      <alignment horizontal="center" vertical="center" wrapText="1"/>
    </xf>
    <xf numFmtId="0" fontId="20" fillId="0" borderId="38" xfId="0" applyFont="1" applyBorder="1" applyAlignment="1">
      <alignment vertical="center" wrapText="1"/>
    </xf>
    <xf numFmtId="0" fontId="20" fillId="48" borderId="38" xfId="0" applyFont="1" applyFill="1" applyBorder="1" applyAlignment="1">
      <alignment horizontal="center" vertical="center" wrapText="1"/>
    </xf>
    <xf numFmtId="164" fontId="20" fillId="47" borderId="38" xfId="0" applyNumberFormat="1" applyFont="1" applyFill="1" applyBorder="1" applyAlignment="1">
      <alignment horizontal="center" vertical="center" wrapText="1"/>
    </xf>
    <xf numFmtId="0" fontId="20" fillId="0" borderId="23" xfId="0" applyFont="1" applyBorder="1" applyAlignment="1">
      <alignment wrapText="1"/>
    </xf>
    <xf numFmtId="164" fontId="20" fillId="47" borderId="23" xfId="0" applyNumberFormat="1" applyFont="1" applyFill="1" applyBorder="1" applyAlignment="1">
      <alignment horizontal="center" vertical="center" wrapText="1"/>
    </xf>
    <xf numFmtId="0" fontId="20" fillId="0" borderId="14" xfId="0" applyFont="1" applyBorder="1" applyAlignment="1">
      <alignment vertical="top" wrapText="1"/>
    </xf>
    <xf numFmtId="164" fontId="20" fillId="0" borderId="14" xfId="0" applyNumberFormat="1" applyFont="1" applyBorder="1" applyAlignment="1">
      <alignment horizontal="center" vertical="center" wrapText="1"/>
    </xf>
    <xf numFmtId="0" fontId="20" fillId="0" borderId="14" xfId="0" applyFont="1" applyBorder="1" applyAlignment="1">
      <alignment horizontal="right"/>
    </xf>
    <xf numFmtId="0" fontId="20" fillId="0" borderId="14" xfId="0" applyFont="1" applyBorder="1" applyAlignment="1">
      <alignment horizontal="right" wrapText="1"/>
    </xf>
    <xf numFmtId="0" fontId="20" fillId="0" borderId="14" xfId="0" applyFont="1" applyBorder="1" applyAlignment="1">
      <alignment horizontal="left"/>
    </xf>
    <xf numFmtId="0" fontId="20" fillId="27" borderId="14" xfId="0" applyFont="1" applyFill="1" applyBorder="1" applyAlignment="1">
      <alignment horizontal="left"/>
    </xf>
    <xf numFmtId="0" fontId="59" fillId="27" borderId="14" xfId="0" applyFont="1" applyFill="1" applyBorder="1" applyAlignment="1">
      <alignment horizontal="right" vertical="center" wrapText="1"/>
    </xf>
    <xf numFmtId="0" fontId="59" fillId="0" borderId="17" xfId="46" applyFont="1" applyBorder="1" applyAlignment="1">
      <alignment horizontal="right" vertical="center" wrapText="1"/>
    </xf>
    <xf numFmtId="0" fontId="59" fillId="0" borderId="38" xfId="46" applyFont="1" applyBorder="1" applyAlignment="1">
      <alignment horizontal="right" vertical="center" wrapText="1"/>
    </xf>
    <xf numFmtId="49" fontId="20" fillId="0" borderId="14" xfId="46" applyNumberFormat="1" applyFont="1" applyBorder="1" applyAlignment="1">
      <alignment horizontal="center" vertical="center"/>
    </xf>
    <xf numFmtId="1" fontId="51" fillId="0" borderId="14" xfId="79" applyNumberFormat="1" applyFont="1" applyBorder="1" applyAlignment="1">
      <alignment horizontal="center" vertical="center" wrapText="1"/>
    </xf>
    <xf numFmtId="49" fontId="31" fillId="35" borderId="14" xfId="0" applyNumberFormat="1" applyFont="1" applyFill="1" applyBorder="1" applyAlignment="1">
      <alignment horizontal="center" vertical="center" textRotation="90" wrapText="1"/>
    </xf>
    <xf numFmtId="3" fontId="31" fillId="35" borderId="14" xfId="0" applyNumberFormat="1" applyFont="1" applyFill="1" applyBorder="1" applyAlignment="1">
      <alignment horizontal="center" vertical="center" textRotation="90" wrapText="1"/>
    </xf>
    <xf numFmtId="3" fontId="31" fillId="35" borderId="14" xfId="0" applyNumberFormat="1" applyFont="1" applyFill="1" applyBorder="1" applyAlignment="1">
      <alignment horizontal="center" vertical="center" wrapText="1"/>
    </xf>
    <xf numFmtId="164" fontId="31" fillId="35" borderId="14" xfId="0" applyNumberFormat="1" applyFont="1" applyFill="1" applyBorder="1" applyAlignment="1">
      <alignment horizontal="center" vertical="center" wrapText="1"/>
    </xf>
    <xf numFmtId="164" fontId="31" fillId="35" borderId="14" xfId="46" applyNumberFormat="1" applyFill="1" applyBorder="1" applyAlignment="1">
      <alignment horizontal="center" vertical="center" wrapText="1"/>
    </xf>
    <xf numFmtId="164" fontId="31" fillId="35" borderId="16" xfId="46" applyNumberFormat="1" applyFill="1" applyBorder="1" applyAlignment="1">
      <alignment horizontal="center" vertical="center" wrapText="1"/>
    </xf>
    <xf numFmtId="0" fontId="31" fillId="0" borderId="14" xfId="0" applyFont="1" applyBorder="1" applyAlignment="1">
      <alignment horizontal="center" vertical="center"/>
    </xf>
    <xf numFmtId="49" fontId="51" fillId="44" borderId="14" xfId="0" quotePrefix="1" applyNumberFormat="1" applyFont="1" applyFill="1" applyBorder="1" applyAlignment="1">
      <alignment horizontal="left" vertical="center" wrapText="1"/>
    </xf>
    <xf numFmtId="49" fontId="51" fillId="44" borderId="14" xfId="0" applyNumberFormat="1" applyFont="1" applyFill="1" applyBorder="1" applyAlignment="1">
      <alignment horizontal="center" vertical="center" wrapText="1"/>
    </xf>
    <xf numFmtId="164" fontId="51" fillId="44" borderId="14" xfId="0" applyNumberFormat="1" applyFont="1" applyFill="1" applyBorder="1" applyAlignment="1">
      <alignment horizontal="center" vertical="center" wrapText="1"/>
    </xf>
    <xf numFmtId="164" fontId="51" fillId="44" borderId="16" xfId="0" applyNumberFormat="1" applyFont="1" applyFill="1" applyBorder="1" applyAlignment="1">
      <alignment horizontal="center" vertical="center" wrapText="1"/>
    </xf>
    <xf numFmtId="49" fontId="20" fillId="0" borderId="14" xfId="77" applyNumberFormat="1" applyFont="1" applyBorder="1" applyAlignment="1">
      <alignment horizontal="center"/>
    </xf>
    <xf numFmtId="166" fontId="51" fillId="0" borderId="14" xfId="79" applyNumberFormat="1" applyFont="1" applyBorder="1" applyAlignment="1">
      <alignment horizontal="left" vertical="center" wrapText="1"/>
    </xf>
    <xf numFmtId="1" fontId="51" fillId="0" borderId="14" xfId="79" applyNumberFormat="1" applyFont="1" applyBorder="1" applyAlignment="1">
      <alignment horizontal="center" wrapText="1"/>
    </xf>
    <xf numFmtId="166" fontId="51" fillId="29" borderId="14" xfId="79" applyNumberFormat="1" applyFont="1" applyFill="1" applyBorder="1" applyAlignment="1">
      <alignment horizontal="center" vertical="center" wrapText="1"/>
    </xf>
    <xf numFmtId="164" fontId="59" fillId="27" borderId="14" xfId="79" applyNumberFormat="1" applyFont="1" applyFill="1" applyBorder="1" applyAlignment="1">
      <alignment horizontal="center" vertical="center" wrapText="1"/>
    </xf>
    <xf numFmtId="164" fontId="59" fillId="27" borderId="16" xfId="79" applyNumberFormat="1" applyFont="1" applyFill="1" applyBorder="1" applyAlignment="1">
      <alignment horizontal="center" vertical="center" wrapText="1"/>
    </xf>
    <xf numFmtId="166" fontId="51" fillId="27" borderId="14" xfId="79" applyNumberFormat="1" applyFont="1" applyFill="1" applyBorder="1" applyAlignment="1">
      <alignment horizontal="center" vertical="center" wrapText="1"/>
    </xf>
    <xf numFmtId="164" fontId="51" fillId="27" borderId="14" xfId="79" applyNumberFormat="1" applyFont="1" applyFill="1" applyBorder="1" applyAlignment="1">
      <alignment horizontal="center" vertical="center" wrapText="1"/>
    </xf>
    <xf numFmtId="164" fontId="51" fillId="27" borderId="16" xfId="79" applyNumberFormat="1" applyFont="1" applyFill="1" applyBorder="1" applyAlignment="1">
      <alignment horizontal="center" vertical="center" wrapText="1"/>
    </xf>
    <xf numFmtId="164" fontId="51" fillId="41" borderId="14" xfId="46" applyNumberFormat="1" applyFont="1" applyFill="1" applyBorder="1" applyAlignment="1">
      <alignment horizontal="center" vertical="center" wrapText="1"/>
    </xf>
    <xf numFmtId="164" fontId="51" fillId="41" borderId="16" xfId="46" applyNumberFormat="1" applyFont="1" applyFill="1" applyBorder="1" applyAlignment="1">
      <alignment horizontal="center" vertical="center" wrapText="1"/>
    </xf>
    <xf numFmtId="164" fontId="59" fillId="41" borderId="14" xfId="46" applyNumberFormat="1" applyFont="1" applyFill="1" applyBorder="1" applyAlignment="1">
      <alignment horizontal="center" vertical="center" wrapText="1"/>
    </xf>
    <xf numFmtId="49" fontId="51" fillId="0" borderId="14" xfId="79" applyNumberFormat="1" applyFont="1" applyBorder="1" applyAlignment="1">
      <alignment horizontal="center" vertical="center"/>
    </xf>
    <xf numFmtId="0" fontId="51" fillId="0" borderId="0" xfId="0" applyFont="1" applyAlignment="1">
      <alignment vertical="top" wrapText="1"/>
    </xf>
    <xf numFmtId="164" fontId="50" fillId="27" borderId="14" xfId="79" applyNumberFormat="1" applyFont="1" applyFill="1" applyBorder="1" applyAlignment="1">
      <alignment horizontal="center" vertical="center" wrapText="1"/>
    </xf>
    <xf numFmtId="164" fontId="50" fillId="27" borderId="16" xfId="79" applyNumberFormat="1" applyFont="1" applyFill="1" applyBorder="1" applyAlignment="1">
      <alignment horizontal="center" vertical="center" wrapText="1"/>
    </xf>
    <xf numFmtId="166" fontId="31" fillId="35" borderId="14" xfId="79" applyNumberFormat="1" applyFont="1" applyFill="1" applyBorder="1" applyAlignment="1">
      <alignment horizontal="center" vertical="center" wrapText="1"/>
    </xf>
    <xf numFmtId="166" fontId="31" fillId="35" borderId="14" xfId="79" applyNumberFormat="1" applyFont="1" applyFill="1" applyBorder="1" applyAlignment="1">
      <alignment horizontal="center" vertical="center"/>
    </xf>
    <xf numFmtId="164" fontId="31" fillId="35" borderId="14" xfId="79" applyNumberFormat="1" applyFont="1" applyFill="1" applyBorder="1" applyAlignment="1">
      <alignment horizontal="center" vertical="center"/>
    </xf>
    <xf numFmtId="164" fontId="31" fillId="35" borderId="16" xfId="79" applyNumberFormat="1" applyFont="1" applyFill="1" applyBorder="1" applyAlignment="1">
      <alignment horizontal="center" vertical="center"/>
    </xf>
    <xf numFmtId="0" fontId="59" fillId="27" borderId="14" xfId="0" applyFont="1" applyFill="1" applyBorder="1" applyAlignment="1">
      <alignment horizontal="center" vertical="center"/>
    </xf>
    <xf numFmtId="0" fontId="59" fillId="27" borderId="23" xfId="0" applyFont="1" applyFill="1" applyBorder="1" applyAlignment="1">
      <alignment horizontal="center" vertical="center"/>
    </xf>
    <xf numFmtId="166" fontId="51" fillId="34" borderId="14" xfId="0" applyNumberFormat="1" applyFont="1" applyFill="1" applyBorder="1" applyAlignment="1">
      <alignment horizontal="center" vertical="center"/>
    </xf>
    <xf numFmtId="166" fontId="51" fillId="0" borderId="14" xfId="79" applyNumberFormat="1" applyFont="1" applyBorder="1" applyAlignment="1">
      <alignment horizontal="center" vertical="center"/>
    </xf>
    <xf numFmtId="164" fontId="51" fillId="0" borderId="14" xfId="46" applyNumberFormat="1" applyFont="1" applyBorder="1" applyAlignment="1">
      <alignment horizontal="center" vertical="center" wrapText="1"/>
    </xf>
    <xf numFmtId="164" fontId="51" fillId="0" borderId="30" xfId="46" applyNumberFormat="1" applyFont="1" applyBorder="1" applyAlignment="1">
      <alignment horizontal="center" vertical="center" wrapText="1"/>
    </xf>
    <xf numFmtId="164" fontId="51" fillId="0" borderId="16" xfId="46" applyNumberFormat="1" applyFont="1" applyBorder="1" applyAlignment="1">
      <alignment horizontal="center" vertical="center" wrapText="1"/>
    </xf>
    <xf numFmtId="164" fontId="51" fillId="0" borderId="42" xfId="46" applyNumberFormat="1" applyFont="1" applyBorder="1" applyAlignment="1">
      <alignment horizontal="center" vertical="center" wrapText="1"/>
    </xf>
    <xf numFmtId="164" fontId="51" fillId="0" borderId="10" xfId="46" applyNumberFormat="1" applyFont="1" applyBorder="1" applyAlignment="1">
      <alignment horizontal="center" vertical="center" wrapText="1"/>
    </xf>
    <xf numFmtId="164" fontId="51" fillId="27" borderId="16" xfId="46" applyNumberFormat="1" applyFont="1" applyFill="1" applyBorder="1" applyAlignment="1">
      <alignment horizontal="center" vertical="center" wrapText="1"/>
    </xf>
    <xf numFmtId="49" fontId="51" fillId="0" borderId="17" xfId="79" applyNumberFormat="1" applyFont="1" applyBorder="1" applyAlignment="1">
      <alignment horizontal="center" vertical="center" wrapText="1"/>
    </xf>
    <xf numFmtId="1" fontId="51" fillId="0" borderId="17" xfId="79" applyNumberFormat="1" applyFont="1" applyBorder="1" applyAlignment="1">
      <alignment horizontal="center" vertical="center" wrapText="1"/>
    </xf>
    <xf numFmtId="0" fontId="51" fillId="27" borderId="35" xfId="0" applyFont="1" applyFill="1" applyBorder="1" applyAlignment="1">
      <alignment horizontal="center" vertical="center"/>
    </xf>
    <xf numFmtId="0" fontId="51" fillId="0" borderId="17" xfId="0" applyFont="1" applyBorder="1" applyAlignment="1">
      <alignment horizontal="center" vertical="center"/>
    </xf>
    <xf numFmtId="164" fontId="51" fillId="27" borderId="17" xfId="46" applyNumberFormat="1" applyFont="1" applyFill="1" applyBorder="1" applyAlignment="1">
      <alignment horizontal="center" vertical="center" wrapText="1"/>
    </xf>
    <xf numFmtId="164" fontId="51" fillId="27" borderId="30" xfId="46" applyNumberFormat="1" applyFont="1" applyFill="1" applyBorder="1" applyAlignment="1">
      <alignment horizontal="center" vertical="center" wrapText="1"/>
    </xf>
    <xf numFmtId="49" fontId="51" fillId="0" borderId="38" xfId="79" applyNumberFormat="1" applyFont="1" applyBorder="1" applyAlignment="1">
      <alignment horizontal="center" vertical="center" wrapText="1"/>
    </xf>
    <xf numFmtId="1" fontId="51" fillId="0" borderId="38" xfId="79" applyNumberFormat="1" applyFont="1" applyBorder="1" applyAlignment="1">
      <alignment horizontal="center" vertical="center" wrapText="1"/>
    </xf>
    <xf numFmtId="166" fontId="51" fillId="0" borderId="38" xfId="0" applyNumberFormat="1" applyFont="1" applyBorder="1" applyAlignment="1">
      <alignment horizontal="center" vertical="center"/>
    </xf>
    <xf numFmtId="164" fontId="51" fillId="27" borderId="38" xfId="46" applyNumberFormat="1" applyFont="1" applyFill="1" applyBorder="1" applyAlignment="1">
      <alignment horizontal="center" vertical="center" wrapText="1"/>
    </xf>
    <xf numFmtId="164" fontId="51" fillId="27" borderId="42" xfId="46" applyNumberFormat="1" applyFont="1" applyFill="1" applyBorder="1" applyAlignment="1">
      <alignment horizontal="center" vertical="center" wrapText="1"/>
    </xf>
    <xf numFmtId="166" fontId="51" fillId="0" borderId="38" xfId="79" applyNumberFormat="1" applyFont="1" applyBorder="1" applyAlignment="1">
      <alignment horizontal="center" vertical="center" wrapText="1"/>
    </xf>
    <xf numFmtId="166" fontId="51" fillId="0" borderId="38" xfId="79" applyNumberFormat="1" applyFont="1" applyBorder="1" applyAlignment="1">
      <alignment horizontal="center" vertical="center"/>
    </xf>
    <xf numFmtId="166" fontId="52" fillId="29" borderId="38" xfId="79" applyNumberFormat="1" applyFont="1" applyFill="1" applyBorder="1" applyAlignment="1">
      <alignment horizontal="center" vertical="center" wrapText="1"/>
    </xf>
    <xf numFmtId="164" fontId="51" fillId="27" borderId="38" xfId="79" applyNumberFormat="1" applyFont="1" applyFill="1" applyBorder="1" applyAlignment="1">
      <alignment horizontal="center" vertical="center" wrapText="1"/>
    </xf>
    <xf numFmtId="164" fontId="51" fillId="27" borderId="42" xfId="79" applyNumberFormat="1" applyFont="1" applyFill="1" applyBorder="1" applyAlignment="1">
      <alignment horizontal="center" vertical="center" wrapText="1"/>
    </xf>
    <xf numFmtId="0" fontId="20" fillId="0" borderId="17" xfId="0" applyFont="1" applyBorder="1" applyAlignment="1">
      <alignment horizontal="left" vertical="center" wrapText="1"/>
    </xf>
    <xf numFmtId="0" fontId="51" fillId="0" borderId="17" xfId="0" applyFont="1" applyBorder="1" applyAlignment="1">
      <alignment horizontal="center" vertical="center" wrapText="1"/>
    </xf>
    <xf numFmtId="166" fontId="51" fillId="0" borderId="17" xfId="79" applyNumberFormat="1" applyFont="1" applyBorder="1" applyAlignment="1">
      <alignment horizontal="center" vertical="center"/>
    </xf>
    <xf numFmtId="164" fontId="51" fillId="0" borderId="17" xfId="46" applyNumberFormat="1" applyFont="1" applyBorder="1" applyAlignment="1">
      <alignment horizontal="center" vertical="center" wrapText="1"/>
    </xf>
    <xf numFmtId="49" fontId="51" fillId="0" borderId="16" xfId="79" applyNumberFormat="1" applyFont="1" applyBorder="1" applyAlignment="1">
      <alignment horizontal="center" vertical="center" wrapText="1"/>
    </xf>
    <xf numFmtId="0" fontId="59" fillId="27" borderId="38" xfId="0" applyFont="1" applyFill="1" applyBorder="1" applyAlignment="1">
      <alignment horizontal="center" vertical="center" wrapText="1"/>
    </xf>
    <xf numFmtId="164" fontId="51" fillId="0" borderId="38" xfId="46" applyNumberFormat="1" applyFont="1" applyBorder="1" applyAlignment="1">
      <alignment horizontal="center" vertical="center" wrapText="1"/>
    </xf>
    <xf numFmtId="0" fontId="51" fillId="27" borderId="43" xfId="0" applyFont="1" applyFill="1" applyBorder="1" applyAlignment="1">
      <alignment horizontal="center" vertical="center"/>
    </xf>
    <xf numFmtId="49" fontId="51" fillId="0" borderId="10" xfId="79" applyNumberFormat="1" applyFont="1" applyBorder="1" applyAlignment="1">
      <alignment horizontal="center" vertical="center" wrapText="1"/>
    </xf>
    <xf numFmtId="1" fontId="51" fillId="0" borderId="43" xfId="79" applyNumberFormat="1" applyFont="1" applyBorder="1" applyAlignment="1">
      <alignment horizontal="center" vertical="center" wrapText="1"/>
    </xf>
    <xf numFmtId="166" fontId="51" fillId="0" borderId="43" xfId="79" applyNumberFormat="1" applyFont="1" applyBorder="1" applyAlignment="1">
      <alignment horizontal="center" vertical="center"/>
    </xf>
    <xf numFmtId="166" fontId="51" fillId="26" borderId="43" xfId="79" applyNumberFormat="1" applyFont="1" applyFill="1" applyBorder="1" applyAlignment="1">
      <alignment horizontal="center" vertical="center"/>
    </xf>
    <xf numFmtId="164" fontId="59" fillId="0" borderId="43" xfId="46" applyNumberFormat="1" applyFont="1" applyBorder="1" applyAlignment="1">
      <alignment horizontal="center" vertical="center" wrapText="1"/>
    </xf>
    <xf numFmtId="164" fontId="52" fillId="0" borderId="49" xfId="46" applyNumberFormat="1" applyFont="1" applyBorder="1" applyAlignment="1">
      <alignment horizontal="center" vertical="center" wrapText="1"/>
    </xf>
    <xf numFmtId="166" fontId="51" fillId="26" borderId="38" xfId="79" applyNumberFormat="1" applyFont="1" applyFill="1" applyBorder="1" applyAlignment="1">
      <alignment horizontal="center" vertical="center"/>
    </xf>
    <xf numFmtId="164" fontId="52" fillId="0" borderId="38" xfId="46" applyNumberFormat="1" applyFont="1" applyBorder="1" applyAlignment="1">
      <alignment horizontal="center" vertical="center" wrapText="1"/>
    </xf>
    <xf numFmtId="164" fontId="52" fillId="0" borderId="42" xfId="46" applyNumberFormat="1" applyFont="1" applyBorder="1" applyAlignment="1">
      <alignment horizontal="center" vertical="center" wrapText="1"/>
    </xf>
    <xf numFmtId="164" fontId="20" fillId="27" borderId="38" xfId="46" applyNumberFormat="1" applyFont="1" applyFill="1" applyBorder="1" applyAlignment="1">
      <alignment horizontal="center" vertical="center" wrapText="1"/>
    </xf>
    <xf numFmtId="166" fontId="51" fillId="27" borderId="38" xfId="79" applyNumberFormat="1" applyFont="1" applyFill="1" applyBorder="1" applyAlignment="1">
      <alignment horizontal="center" vertical="center"/>
    </xf>
    <xf numFmtId="164" fontId="59" fillId="27" borderId="38" xfId="46" applyNumberFormat="1" applyFont="1" applyFill="1" applyBorder="1" applyAlignment="1">
      <alignment horizontal="center" vertical="center" wrapText="1"/>
    </xf>
    <xf numFmtId="49" fontId="51" fillId="0" borderId="42" xfId="79" applyNumberFormat="1" applyFont="1" applyBorder="1" applyAlignment="1">
      <alignment horizontal="center" vertical="center" wrapText="1"/>
    </xf>
    <xf numFmtId="0" fontId="51" fillId="0" borderId="38" xfId="77" applyFont="1" applyBorder="1" applyAlignment="1">
      <alignment horizontal="center" vertical="center"/>
    </xf>
    <xf numFmtId="0" fontId="59" fillId="0" borderId="43" xfId="0" applyFont="1" applyBorder="1" applyAlignment="1">
      <alignment wrapText="1"/>
    </xf>
    <xf numFmtId="1" fontId="51" fillId="0" borderId="22" xfId="79" applyNumberFormat="1" applyFont="1" applyBorder="1" applyAlignment="1">
      <alignment horizontal="center" vertical="center" wrapText="1"/>
    </xf>
    <xf numFmtId="0" fontId="51" fillId="0" borderId="23" xfId="77" applyFont="1" applyBorder="1" applyAlignment="1">
      <alignment horizontal="center" vertical="center"/>
    </xf>
    <xf numFmtId="164" fontId="51" fillId="0" borderId="49" xfId="46" applyNumberFormat="1" applyFont="1" applyBorder="1" applyAlignment="1">
      <alignment horizontal="center" vertical="center" wrapText="1"/>
    </xf>
    <xf numFmtId="1" fontId="51" fillId="0" borderId="31" xfId="79" applyNumberFormat="1" applyFont="1" applyBorder="1" applyAlignment="1">
      <alignment horizontal="center" vertical="center" wrapText="1"/>
    </xf>
    <xf numFmtId="164" fontId="51" fillId="0" borderId="16" xfId="0" applyNumberFormat="1" applyFont="1" applyBorder="1" applyAlignment="1">
      <alignment horizontal="center" vertical="center"/>
    </xf>
    <xf numFmtId="164" fontId="51" fillId="0" borderId="42" xfId="0" applyNumberFormat="1" applyFont="1" applyBorder="1" applyAlignment="1">
      <alignment horizontal="center" vertical="center"/>
    </xf>
    <xf numFmtId="164" fontId="59" fillId="0" borderId="14" xfId="0" applyNumberFormat="1" applyFont="1" applyBorder="1" applyAlignment="1">
      <alignment horizontal="center" vertical="center"/>
    </xf>
    <xf numFmtId="164" fontId="51" fillId="0" borderId="16" xfId="79" applyNumberFormat="1" applyFont="1" applyBorder="1" applyAlignment="1">
      <alignment horizontal="center" vertical="center" wrapText="1"/>
    </xf>
    <xf numFmtId="166" fontId="51" fillId="26" borderId="14" xfId="79" applyNumberFormat="1" applyFont="1" applyFill="1" applyBorder="1" applyAlignment="1">
      <alignment horizontal="center" vertical="center"/>
    </xf>
    <xf numFmtId="166" fontId="51" fillId="0" borderId="16" xfId="79" applyNumberFormat="1" applyFont="1" applyBorder="1" applyAlignment="1">
      <alignment horizontal="center" vertical="center"/>
    </xf>
    <xf numFmtId="49" fontId="51" fillId="44" borderId="23" xfId="0" applyNumberFormat="1" applyFont="1" applyFill="1" applyBorder="1" applyAlignment="1">
      <alignment horizontal="center" vertical="center" wrapText="1"/>
    </xf>
    <xf numFmtId="49" fontId="51" fillId="27" borderId="23" xfId="0" quotePrefix="1" applyNumberFormat="1" applyFont="1" applyFill="1" applyBorder="1" applyAlignment="1">
      <alignment horizontal="center" vertical="center" wrapText="1"/>
    </xf>
    <xf numFmtId="49" fontId="50" fillId="27" borderId="23" xfId="0" quotePrefix="1" applyNumberFormat="1" applyFont="1" applyFill="1" applyBorder="1" applyAlignment="1">
      <alignment horizontal="left" vertical="center" wrapText="1"/>
    </xf>
    <xf numFmtId="1" fontId="51" fillId="27" borderId="23" xfId="79" applyNumberFormat="1" applyFont="1" applyFill="1" applyBorder="1" applyAlignment="1">
      <alignment horizontal="center" vertical="center" wrapText="1"/>
    </xf>
    <xf numFmtId="166" fontId="51" fillId="27" borderId="23" xfId="79" applyNumberFormat="1" applyFont="1" applyFill="1" applyBorder="1" applyAlignment="1">
      <alignment horizontal="center" vertical="center" wrapText="1"/>
    </xf>
    <xf numFmtId="166" fontId="51" fillId="41" borderId="23" xfId="79" applyNumberFormat="1" applyFont="1" applyFill="1" applyBorder="1" applyAlignment="1">
      <alignment horizontal="center" vertical="center"/>
    </xf>
    <xf numFmtId="166" fontId="51" fillId="41" borderId="23" xfId="79" applyNumberFormat="1" applyFont="1" applyFill="1" applyBorder="1" applyAlignment="1">
      <alignment horizontal="center" vertical="center" wrapText="1"/>
    </xf>
    <xf numFmtId="166" fontId="59" fillId="41" borderId="23" xfId="79" applyNumberFormat="1" applyFont="1" applyFill="1" applyBorder="1" applyAlignment="1">
      <alignment horizontal="center" vertical="center" wrapText="1"/>
    </xf>
    <xf numFmtId="164" fontId="59" fillId="41" borderId="23" xfId="79" applyNumberFormat="1" applyFont="1" applyFill="1" applyBorder="1" applyAlignment="1">
      <alignment horizontal="center" vertical="center" wrapText="1"/>
    </xf>
    <xf numFmtId="164" fontId="59" fillId="41" borderId="10" xfId="79" applyNumberFormat="1" applyFont="1" applyFill="1" applyBorder="1" applyAlignment="1">
      <alignment horizontal="center" vertical="center" wrapText="1"/>
    </xf>
    <xf numFmtId="49" fontId="51" fillId="27" borderId="14" xfId="79" applyNumberFormat="1" applyFont="1" applyFill="1" applyBorder="1" applyAlignment="1">
      <alignment horizontal="center" vertical="center" wrapText="1"/>
    </xf>
    <xf numFmtId="1" fontId="51" fillId="27" borderId="14" xfId="79" applyNumberFormat="1" applyFont="1" applyFill="1" applyBorder="1" applyAlignment="1">
      <alignment horizontal="center" vertical="center" wrapText="1"/>
    </xf>
    <xf numFmtId="166" fontId="51" fillId="41" borderId="14" xfId="79" applyNumberFormat="1" applyFont="1" applyFill="1" applyBorder="1" applyAlignment="1">
      <alignment horizontal="center" vertical="center" wrapText="1"/>
    </xf>
    <xf numFmtId="164" fontId="51" fillId="41" borderId="14" xfId="79" applyNumberFormat="1" applyFont="1" applyFill="1" applyBorder="1" applyAlignment="1">
      <alignment horizontal="center" vertical="center" wrapText="1"/>
    </xf>
    <xf numFmtId="164" fontId="51" fillId="41" borderId="16" xfId="79" applyNumberFormat="1" applyFont="1" applyFill="1" applyBorder="1" applyAlignment="1">
      <alignment horizontal="center" vertical="center" wrapText="1"/>
    </xf>
    <xf numFmtId="49" fontId="51" fillId="27" borderId="31" xfId="79" applyNumberFormat="1" applyFont="1" applyFill="1" applyBorder="1" applyAlignment="1">
      <alignment horizontal="center" vertical="center" wrapText="1"/>
    </xf>
    <xf numFmtId="164" fontId="59" fillId="27" borderId="14" xfId="46" applyNumberFormat="1" applyFont="1" applyFill="1" applyBorder="1" applyAlignment="1">
      <alignment horizontal="center" vertical="center" wrapText="1"/>
    </xf>
    <xf numFmtId="164" fontId="59" fillId="27" borderId="16" xfId="46" applyNumberFormat="1" applyFont="1" applyFill="1" applyBorder="1" applyAlignment="1">
      <alignment horizontal="center" vertical="center" wrapText="1"/>
    </xf>
    <xf numFmtId="164" fontId="59" fillId="27" borderId="14" xfId="0" applyNumberFormat="1" applyFont="1" applyFill="1" applyBorder="1" applyAlignment="1">
      <alignment horizontal="center" vertical="center"/>
    </xf>
    <xf numFmtId="49" fontId="59" fillId="0" borderId="14" xfId="79" applyNumberFormat="1" applyFont="1" applyBorder="1" applyAlignment="1">
      <alignment horizontal="center" vertical="center" wrapText="1"/>
    </xf>
    <xf numFmtId="1" fontId="59" fillId="0" borderId="14" xfId="79" applyNumberFormat="1" applyFont="1" applyBorder="1" applyAlignment="1">
      <alignment horizontal="center" vertical="center" wrapText="1"/>
    </xf>
    <xf numFmtId="0" fontId="59" fillId="27" borderId="23" xfId="0" applyFont="1" applyFill="1" applyBorder="1" applyAlignment="1">
      <alignment horizontal="center" vertical="center" wrapText="1"/>
    </xf>
    <xf numFmtId="164" fontId="59"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4" xfId="0" applyNumberFormat="1" applyFont="1" applyBorder="1" applyAlignment="1">
      <alignment horizontal="center" vertical="center"/>
    </xf>
    <xf numFmtId="0" fontId="59" fillId="0" borderId="0" xfId="0" applyFont="1" applyAlignment="1">
      <alignment wrapText="1"/>
    </xf>
    <xf numFmtId="49" fontId="51" fillId="27" borderId="14" xfId="0" quotePrefix="1" applyNumberFormat="1" applyFont="1" applyFill="1" applyBorder="1" applyAlignment="1">
      <alignment horizontal="left" vertical="center" wrapText="1"/>
    </xf>
    <xf numFmtId="164" fontId="20" fillId="0" borderId="14" xfId="79" applyNumberFormat="1" applyFont="1" applyBorder="1" applyAlignment="1">
      <alignment horizontal="center" vertical="center" wrapText="1"/>
    </xf>
    <xf numFmtId="164" fontId="20" fillId="0" borderId="16" xfId="79" applyNumberFormat="1" applyFont="1" applyBorder="1" applyAlignment="1">
      <alignment horizontal="center" vertical="center" wrapText="1"/>
    </xf>
    <xf numFmtId="164" fontId="51" fillId="39" borderId="14" xfId="46" applyNumberFormat="1" applyFont="1" applyFill="1" applyBorder="1" applyAlignment="1">
      <alignment horizontal="center" vertical="center" wrapText="1"/>
    </xf>
    <xf numFmtId="164" fontId="51" fillId="39" borderId="16" xfId="46" applyNumberFormat="1" applyFont="1" applyFill="1" applyBorder="1" applyAlignment="1">
      <alignment horizontal="center" vertical="center" wrapText="1"/>
    </xf>
    <xf numFmtId="166" fontId="51" fillId="0" borderId="14" xfId="79" applyNumberFormat="1" applyFont="1" applyBorder="1" applyAlignment="1">
      <alignment horizontal="right" vertical="center" wrapText="1"/>
    </xf>
    <xf numFmtId="166" fontId="31" fillId="35" borderId="14" xfId="46" applyNumberFormat="1" applyFill="1" applyBorder="1" applyAlignment="1">
      <alignment horizontal="center" vertical="center" wrapText="1"/>
    </xf>
    <xf numFmtId="49" fontId="51" fillId="38" borderId="14" xfId="0" applyNumberFormat="1" applyFont="1" applyFill="1" applyBorder="1" applyAlignment="1">
      <alignment horizontal="center" vertical="center" wrapText="1"/>
    </xf>
    <xf numFmtId="166" fontId="51" fillId="27" borderId="14" xfId="79" applyNumberFormat="1" applyFont="1" applyFill="1" applyBorder="1" applyAlignment="1">
      <alignment horizontal="center" wrapText="1"/>
    </xf>
    <xf numFmtId="166" fontId="50" fillId="38" borderId="14" xfId="46" applyNumberFormat="1" applyFont="1" applyFill="1" applyBorder="1" applyAlignment="1">
      <alignment horizontal="center" vertical="center" wrapText="1"/>
    </xf>
    <xf numFmtId="164" fontId="50" fillId="38" borderId="14" xfId="46" applyNumberFormat="1" applyFont="1" applyFill="1" applyBorder="1" applyAlignment="1">
      <alignment horizontal="center" vertical="center" wrapText="1"/>
    </xf>
    <xf numFmtId="164" fontId="50" fillId="38" borderId="16" xfId="46" applyNumberFormat="1" applyFont="1" applyFill="1" applyBorder="1" applyAlignment="1">
      <alignment horizontal="center" vertical="center" wrapText="1"/>
    </xf>
    <xf numFmtId="166" fontId="51" fillId="27" borderId="14" xfId="79" applyNumberFormat="1" applyFont="1" applyFill="1" applyBorder="1" applyAlignment="1">
      <alignment horizontal="left" vertical="center" wrapText="1"/>
    </xf>
    <xf numFmtId="166" fontId="51" fillId="29" borderId="14" xfId="79" applyNumberFormat="1" applyFont="1" applyFill="1" applyBorder="1" applyAlignment="1">
      <alignment horizontal="center" vertical="center"/>
    </xf>
    <xf numFmtId="164" fontId="51" fillId="0" borderId="14" xfId="79" applyNumberFormat="1" applyFont="1" applyBorder="1" applyAlignment="1">
      <alignment horizontal="center" vertical="center"/>
    </xf>
    <xf numFmtId="164" fontId="51" fillId="0" borderId="16" xfId="79" applyNumberFormat="1" applyFont="1" applyBorder="1" applyAlignment="1">
      <alignment horizontal="center" vertical="center"/>
    </xf>
    <xf numFmtId="1" fontId="51" fillId="0" borderId="14" xfId="79" applyNumberFormat="1" applyFont="1" applyBorder="1" applyAlignment="1">
      <alignment horizontal="center" vertical="center"/>
    </xf>
    <xf numFmtId="164" fontId="20" fillId="27" borderId="14" xfId="79" applyNumberFormat="1" applyFont="1" applyFill="1" applyBorder="1" applyAlignment="1">
      <alignment horizontal="center" vertical="center" wrapText="1"/>
    </xf>
    <xf numFmtId="164" fontId="20" fillId="27" borderId="16" xfId="79" applyNumberFormat="1" applyFont="1" applyFill="1" applyBorder="1" applyAlignment="1">
      <alignment horizontal="center" vertical="center" wrapText="1"/>
    </xf>
    <xf numFmtId="1" fontId="51" fillId="27" borderId="14" xfId="79" applyNumberFormat="1" applyFont="1" applyFill="1" applyBorder="1" applyAlignment="1">
      <alignment horizontal="center" vertical="center"/>
    </xf>
    <xf numFmtId="166" fontId="51" fillId="27" borderId="14" xfId="79" applyNumberFormat="1" applyFont="1" applyFill="1" applyBorder="1" applyAlignment="1">
      <alignment horizontal="center" vertical="center"/>
    </xf>
    <xf numFmtId="49" fontId="51" fillId="27" borderId="14" xfId="79" applyNumberFormat="1" applyFont="1" applyFill="1" applyBorder="1" applyAlignment="1">
      <alignment horizontal="center" vertical="center"/>
    </xf>
    <xf numFmtId="166" fontId="51" fillId="0" borderId="14" xfId="79" applyNumberFormat="1" applyFont="1" applyBorder="1" applyAlignment="1">
      <alignment horizontal="left" vertical="center" wrapText="1" shrinkToFit="1"/>
    </xf>
    <xf numFmtId="0" fontId="51" fillId="51" borderId="14" xfId="0" applyFont="1" applyFill="1" applyBorder="1" applyAlignment="1">
      <alignment wrapText="1"/>
    </xf>
    <xf numFmtId="166" fontId="31" fillId="35" borderId="17" xfId="79" applyNumberFormat="1" applyFont="1" applyFill="1" applyBorder="1" applyAlignment="1">
      <alignment horizontal="center" vertical="center" wrapText="1"/>
    </xf>
    <xf numFmtId="166" fontId="31" fillId="35" borderId="17" xfId="79" applyNumberFormat="1" applyFont="1" applyFill="1" applyBorder="1" applyAlignment="1">
      <alignment horizontal="center" vertical="center"/>
    </xf>
    <xf numFmtId="166" fontId="31" fillId="35" borderId="17" xfId="46" applyNumberFormat="1" applyFill="1" applyBorder="1" applyAlignment="1">
      <alignment horizontal="center" vertical="center" wrapText="1"/>
    </xf>
    <xf numFmtId="164" fontId="31" fillId="35" borderId="17" xfId="79" applyNumberFormat="1" applyFont="1" applyFill="1" applyBorder="1" applyAlignment="1">
      <alignment horizontal="center" vertical="center"/>
    </xf>
    <xf numFmtId="164" fontId="31" fillId="35" borderId="30" xfId="79" applyNumberFormat="1" applyFont="1" applyFill="1" applyBorder="1" applyAlignment="1">
      <alignment horizontal="center" vertical="center"/>
    </xf>
    <xf numFmtId="49" fontId="51" fillId="27" borderId="14" xfId="0" quotePrefix="1" applyNumberFormat="1" applyFont="1" applyFill="1" applyBorder="1" applyAlignment="1">
      <alignment horizontal="center" wrapText="1"/>
    </xf>
    <xf numFmtId="49" fontId="51" fillId="27" borderId="14" xfId="0" applyNumberFormat="1" applyFont="1" applyFill="1" applyBorder="1" applyAlignment="1">
      <alignment horizontal="center" wrapText="1"/>
    </xf>
    <xf numFmtId="49" fontId="59" fillId="0" borderId="14" xfId="0" applyNumberFormat="1" applyFont="1" applyBorder="1" applyAlignment="1">
      <alignment horizontal="center"/>
    </xf>
    <xf numFmtId="164" fontId="59" fillId="0" borderId="14" xfId="0" applyNumberFormat="1" applyFont="1" applyBorder="1" applyAlignment="1">
      <alignment horizontal="center" wrapText="1"/>
    </xf>
    <xf numFmtId="164" fontId="52" fillId="0" borderId="16" xfId="0" applyNumberFormat="1" applyFont="1" applyBorder="1" applyAlignment="1">
      <alignment horizontal="center" wrapText="1"/>
    </xf>
    <xf numFmtId="164" fontId="51" fillId="0" borderId="16" xfId="0" applyNumberFormat="1" applyFont="1" applyBorder="1" applyAlignment="1">
      <alignment horizontal="center" wrapText="1"/>
    </xf>
    <xf numFmtId="164" fontId="52" fillId="0" borderId="14" xfId="0" applyNumberFormat="1" applyFont="1" applyBorder="1" applyAlignment="1">
      <alignment horizontal="center" wrapText="1"/>
    </xf>
    <xf numFmtId="164" fontId="59" fillId="0" borderId="16" xfId="0" applyNumberFormat="1" applyFont="1" applyBorder="1" applyAlignment="1">
      <alignment horizontal="center" wrapText="1"/>
    </xf>
    <xf numFmtId="49" fontId="59" fillId="0" borderId="17" xfId="0" applyNumberFormat="1" applyFont="1" applyBorder="1" applyAlignment="1">
      <alignment horizontal="center"/>
    </xf>
    <xf numFmtId="164" fontId="59" fillId="0" borderId="30" xfId="0" applyNumberFormat="1" applyFont="1" applyBorder="1" applyAlignment="1">
      <alignment horizontal="center" wrapText="1"/>
    </xf>
    <xf numFmtId="0" fontId="59" fillId="0" borderId="17" xfId="0" applyFont="1" applyBorder="1" applyAlignment="1">
      <alignment horizontal="center" wrapText="1"/>
    </xf>
    <xf numFmtId="164" fontId="59" fillId="0" borderId="17" xfId="0" applyNumberFormat="1" applyFont="1" applyBorder="1" applyAlignment="1">
      <alignment horizontal="center" wrapText="1"/>
    </xf>
    <xf numFmtId="49" fontId="59" fillId="0" borderId="38" xfId="0" applyNumberFormat="1" applyFont="1" applyBorder="1" applyAlignment="1">
      <alignment horizontal="center"/>
    </xf>
    <xf numFmtId="0" fontId="59" fillId="0" borderId="38" xfId="0" applyFont="1" applyBorder="1" applyAlignment="1">
      <alignment horizontal="center" wrapText="1"/>
    </xf>
    <xf numFmtId="164" fontId="59" fillId="0" borderId="38" xfId="0" applyNumberFormat="1" applyFont="1" applyBorder="1" applyAlignment="1">
      <alignment horizontal="center" wrapText="1"/>
    </xf>
    <xf numFmtId="164" fontId="59" fillId="0" borderId="42" xfId="0" applyNumberFormat="1" applyFont="1" applyBorder="1" applyAlignment="1">
      <alignment horizontal="center" wrapText="1"/>
    </xf>
    <xf numFmtId="49" fontId="59" fillId="0" borderId="41" xfId="0" applyNumberFormat="1" applyFont="1" applyBorder="1" applyAlignment="1">
      <alignment horizontal="center"/>
    </xf>
    <xf numFmtId="0" fontId="59" fillId="0" borderId="41" xfId="0" applyFont="1" applyBorder="1" applyAlignment="1">
      <alignment horizontal="center" wrapText="1"/>
    </xf>
    <xf numFmtId="164" fontId="59" fillId="0" borderId="41" xfId="0" applyNumberFormat="1" applyFont="1" applyBorder="1" applyAlignment="1">
      <alignment horizontal="center" wrapText="1"/>
    </xf>
    <xf numFmtId="164" fontId="59" fillId="0" borderId="46" xfId="0" applyNumberFormat="1" applyFont="1" applyBorder="1" applyAlignment="1">
      <alignment horizontal="center" wrapText="1"/>
    </xf>
    <xf numFmtId="49" fontId="59" fillId="0" borderId="42" xfId="0" applyNumberFormat="1" applyFont="1" applyBorder="1" applyAlignment="1">
      <alignment horizontal="center"/>
    </xf>
    <xf numFmtId="49" fontId="59" fillId="0" borderId="46" xfId="0" applyNumberFormat="1" applyFont="1" applyBorder="1" applyAlignment="1">
      <alignment horizontal="center"/>
    </xf>
    <xf numFmtId="49" fontId="51" fillId="0" borderId="38" xfId="0" applyNumberFormat="1" applyFont="1" applyBorder="1" applyAlignment="1">
      <alignment horizontal="center"/>
    </xf>
    <xf numFmtId="164" fontId="51" fillId="0" borderId="38" xfId="0" applyNumberFormat="1" applyFont="1" applyBorder="1" applyAlignment="1">
      <alignment horizontal="center"/>
    </xf>
    <xf numFmtId="164" fontId="51" fillId="0" borderId="42" xfId="0" applyNumberFormat="1" applyFont="1" applyBorder="1" applyAlignment="1">
      <alignment horizontal="center"/>
    </xf>
    <xf numFmtId="0" fontId="51" fillId="0" borderId="41" xfId="0" applyFont="1" applyBorder="1" applyAlignment="1">
      <alignment horizontal="center"/>
    </xf>
    <xf numFmtId="164" fontId="51" fillId="0" borderId="41" xfId="0" applyNumberFormat="1" applyFont="1" applyBorder="1" applyAlignment="1">
      <alignment horizontal="center"/>
    </xf>
    <xf numFmtId="164" fontId="51" fillId="0" borderId="46" xfId="0" applyNumberFormat="1" applyFont="1" applyBorder="1" applyAlignment="1">
      <alignment horizontal="center"/>
    </xf>
    <xf numFmtId="49" fontId="51" fillId="44" borderId="14" xfId="0" applyNumberFormat="1" applyFont="1" applyFill="1" applyBorder="1" applyAlignment="1">
      <alignment horizontal="center" wrapText="1"/>
    </xf>
    <xf numFmtId="0" fontId="59" fillId="44" borderId="14" xfId="0" applyFont="1" applyFill="1" applyBorder="1" applyAlignment="1">
      <alignment wrapText="1"/>
    </xf>
    <xf numFmtId="166" fontId="50" fillId="44" borderId="14" xfId="0" applyNumberFormat="1" applyFont="1" applyFill="1" applyBorder="1" applyAlignment="1">
      <alignment horizontal="center" wrapText="1"/>
    </xf>
    <xf numFmtId="164" fontId="50" fillId="44" borderId="14" xfId="0" applyNumberFormat="1" applyFont="1" applyFill="1" applyBorder="1" applyAlignment="1">
      <alignment horizontal="center" wrapText="1"/>
    </xf>
    <xf numFmtId="164" fontId="50" fillId="44" borderId="16" xfId="0" applyNumberFormat="1" applyFont="1" applyFill="1" applyBorder="1" applyAlignment="1">
      <alignment horizontal="center" wrapText="1"/>
    </xf>
    <xf numFmtId="0" fontId="51" fillId="44" borderId="14" xfId="0" applyFont="1" applyFill="1" applyBorder="1" applyAlignment="1">
      <alignment wrapText="1"/>
    </xf>
    <xf numFmtId="0" fontId="52" fillId="52" borderId="14" xfId="0" applyFont="1" applyFill="1" applyBorder="1" applyAlignment="1">
      <alignment horizontal="center"/>
    </xf>
    <xf numFmtId="164" fontId="51" fillId="0" borderId="14" xfId="0" applyNumberFormat="1" applyFont="1" applyBorder="1" applyAlignment="1">
      <alignment horizontal="center"/>
    </xf>
    <xf numFmtId="164" fontId="51" fillId="0" borderId="16" xfId="0" applyNumberFormat="1" applyFont="1" applyBorder="1" applyAlignment="1">
      <alignment horizontal="center"/>
    </xf>
    <xf numFmtId="49" fontId="51" fillId="50" borderId="14" xfId="0" applyNumberFormat="1" applyFont="1" applyFill="1" applyBorder="1" applyAlignment="1">
      <alignment horizontal="center"/>
    </xf>
    <xf numFmtId="0" fontId="51" fillId="50" borderId="14" xfId="0" applyFont="1" applyFill="1" applyBorder="1" applyAlignment="1">
      <alignment wrapText="1"/>
    </xf>
    <xf numFmtId="0" fontId="51" fillId="50" borderId="14" xfId="0" applyFont="1" applyFill="1" applyBorder="1" applyAlignment="1">
      <alignment horizontal="center"/>
    </xf>
    <xf numFmtId="164" fontId="51" fillId="50" borderId="14" xfId="0" applyNumberFormat="1" applyFont="1" applyFill="1" applyBorder="1" applyAlignment="1">
      <alignment horizontal="center" wrapText="1"/>
    </xf>
    <xf numFmtId="164" fontId="51" fillId="50" borderId="16" xfId="0" applyNumberFormat="1" applyFont="1" applyFill="1" applyBorder="1" applyAlignment="1">
      <alignment horizontal="center" wrapText="1"/>
    </xf>
    <xf numFmtId="0" fontId="51" fillId="53" borderId="14" xfId="0" applyFont="1" applyFill="1" applyBorder="1" applyAlignment="1">
      <alignment horizontal="center" wrapText="1"/>
    </xf>
    <xf numFmtId="164" fontId="51" fillId="0" borderId="14" xfId="0" applyNumberFormat="1" applyFont="1" applyBorder="1" applyAlignment="1">
      <alignment horizontal="center" wrapText="1"/>
    </xf>
    <xf numFmtId="0" fontId="59" fillId="0" borderId="14" xfId="0" applyFont="1" applyBorder="1" applyAlignment="1">
      <alignment horizontal="right" wrapText="1"/>
    </xf>
    <xf numFmtId="0" fontId="59" fillId="53" borderId="14" xfId="0" applyFont="1" applyFill="1" applyBorder="1" applyAlignment="1">
      <alignment horizontal="center" wrapText="1"/>
    </xf>
    <xf numFmtId="0" fontId="51" fillId="0" borderId="0" xfId="0" applyFont="1" applyAlignment="1">
      <alignment horizontal="right" wrapText="1"/>
    </xf>
    <xf numFmtId="49" fontId="51" fillId="0" borderId="14" xfId="0" applyNumberFormat="1" applyFont="1" applyBorder="1" applyAlignment="1">
      <alignment horizontal="center" wrapText="1"/>
    </xf>
    <xf numFmtId="0" fontId="51" fillId="52" borderId="14" xfId="0" applyFont="1" applyFill="1" applyBorder="1" applyAlignment="1">
      <alignment horizontal="center" wrapText="1"/>
    </xf>
    <xf numFmtId="0" fontId="51" fillId="27" borderId="14" xfId="77" applyFont="1" applyFill="1" applyBorder="1" applyAlignment="1">
      <alignment horizontal="center" vertical="center"/>
    </xf>
    <xf numFmtId="164" fontId="51" fillId="27" borderId="17" xfId="0" applyNumberFormat="1" applyFont="1" applyFill="1" applyBorder="1" applyAlignment="1">
      <alignment horizontal="center" wrapText="1"/>
    </xf>
    <xf numFmtId="164" fontId="51" fillId="27" borderId="30" xfId="0" applyNumberFormat="1" applyFont="1" applyFill="1" applyBorder="1" applyAlignment="1">
      <alignment horizontal="center" wrapText="1"/>
    </xf>
    <xf numFmtId="164" fontId="51" fillId="27" borderId="38" xfId="0" applyNumberFormat="1" applyFont="1" applyFill="1" applyBorder="1" applyAlignment="1">
      <alignment horizontal="center"/>
    </xf>
    <xf numFmtId="164" fontId="51" fillId="27" borderId="42" xfId="0" applyNumberFormat="1" applyFont="1" applyFill="1" applyBorder="1" applyAlignment="1">
      <alignment horizontal="center"/>
    </xf>
    <xf numFmtId="164" fontId="50" fillId="25" borderId="14" xfId="46" applyNumberFormat="1" applyFont="1" applyFill="1" applyBorder="1" applyAlignment="1">
      <alignment horizontal="center" vertical="center" wrapText="1"/>
    </xf>
    <xf numFmtId="164" fontId="50" fillId="25" borderId="16" xfId="46" applyNumberFormat="1" applyFont="1" applyFill="1" applyBorder="1" applyAlignment="1">
      <alignment horizontal="center" vertical="center" wrapText="1"/>
    </xf>
    <xf numFmtId="164" fontId="50" fillId="0" borderId="14" xfId="46" applyNumberFormat="1" applyFont="1" applyBorder="1" applyAlignment="1">
      <alignment horizontal="center" vertical="center" wrapText="1"/>
    </xf>
    <xf numFmtId="164" fontId="50" fillId="0" borderId="16" xfId="46" applyNumberFormat="1" applyFont="1" applyBorder="1" applyAlignment="1">
      <alignment horizontal="center" vertical="center" wrapText="1"/>
    </xf>
    <xf numFmtId="0" fontId="59" fillId="0" borderId="43" xfId="0" applyFont="1" applyBorder="1" applyAlignment="1">
      <alignment horizontal="left" vertical="center" wrapText="1"/>
    </xf>
    <xf numFmtId="0" fontId="20" fillId="0" borderId="14" xfId="71" applyFont="1" applyBorder="1" applyAlignment="1" applyProtection="1">
      <alignment vertical="center" wrapText="1"/>
    </xf>
    <xf numFmtId="0" fontId="20" fillId="0" borderId="14" xfId="76" applyFont="1" applyBorder="1" applyAlignment="1">
      <alignment horizontal="center" vertical="center"/>
    </xf>
    <xf numFmtId="49" fontId="20" fillId="0" borderId="14" xfId="76" applyNumberFormat="1" applyFont="1" applyBorder="1"/>
    <xf numFmtId="0" fontId="20" fillId="0" borderId="14" xfId="76" applyFont="1" applyBorder="1" applyAlignment="1">
      <alignment vertical="center" wrapText="1"/>
    </xf>
    <xf numFmtId="0" fontId="20" fillId="27" borderId="14" xfId="76" applyFont="1" applyFill="1" applyBorder="1" applyAlignment="1">
      <alignment horizontal="center" vertical="center"/>
    </xf>
    <xf numFmtId="166" fontId="20" fillId="27" borderId="14" xfId="76" applyNumberFormat="1" applyFont="1" applyFill="1" applyBorder="1" applyAlignment="1">
      <alignment horizontal="center" vertical="center"/>
    </xf>
    <xf numFmtId="166" fontId="20" fillId="0" borderId="14" xfId="76" applyNumberFormat="1" applyFont="1" applyBorder="1" applyAlignment="1">
      <alignment horizontal="center" vertical="center"/>
    </xf>
    <xf numFmtId="0" fontId="20" fillId="0" borderId="14" xfId="76" applyFont="1" applyBorder="1" applyAlignment="1">
      <alignment vertical="center"/>
    </xf>
    <xf numFmtId="166" fontId="20" fillId="33" borderId="14" xfId="76" applyNumberFormat="1" applyFont="1" applyFill="1" applyBorder="1" applyAlignment="1">
      <alignment horizontal="center" vertical="center"/>
    </xf>
    <xf numFmtId="166" fontId="20" fillId="34" borderId="14" xfId="76" applyNumberFormat="1" applyFont="1" applyFill="1" applyBorder="1" applyAlignment="1">
      <alignment horizontal="center" vertical="center"/>
    </xf>
    <xf numFmtId="0" fontId="20" fillId="0" borderId="14" xfId="76" applyFont="1" applyBorder="1" applyAlignment="1">
      <alignment horizontal="right" vertical="center" wrapText="1"/>
    </xf>
    <xf numFmtId="49" fontId="20" fillId="0" borderId="14" xfId="76" applyNumberFormat="1" applyFont="1" applyBorder="1" applyAlignment="1">
      <alignment horizontal="center" vertical="center"/>
    </xf>
    <xf numFmtId="0" fontId="20" fillId="0" borderId="14" xfId="76" applyFont="1" applyBorder="1"/>
    <xf numFmtId="0" fontId="20" fillId="0" borderId="14" xfId="46" applyFont="1" applyBorder="1" applyAlignment="1">
      <alignment horizontal="center" vertical="center" wrapText="1"/>
    </xf>
    <xf numFmtId="0" fontId="20" fillId="0" borderId="14"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4" xfId="46" applyFont="1" applyBorder="1" applyAlignment="1">
      <alignment horizontal="left" vertical="center" wrapText="1"/>
    </xf>
    <xf numFmtId="0" fontId="20" fillId="0" borderId="30" xfId="0" applyFont="1" applyBorder="1" applyAlignment="1">
      <alignment horizontal="center" vertical="center" wrapText="1"/>
    </xf>
    <xf numFmtId="0" fontId="20" fillId="0" borderId="41" xfId="0" applyFont="1" applyBorder="1" applyAlignment="1">
      <alignment horizontal="left" vertical="center" wrapText="1"/>
    </xf>
    <xf numFmtId="0" fontId="20" fillId="0" borderId="41" xfId="46" applyFont="1" applyBorder="1" applyAlignment="1">
      <alignment horizontal="left" vertical="center" wrapText="1"/>
    </xf>
    <xf numFmtId="0" fontId="20" fillId="0" borderId="38" xfId="0" applyFont="1" applyBorder="1" applyAlignment="1">
      <alignment horizontal="center" vertical="center" wrapText="1"/>
    </xf>
    <xf numFmtId="0" fontId="20" fillId="0" borderId="23" xfId="0" applyFont="1" applyBorder="1" applyAlignment="1">
      <alignment horizontal="center" vertical="center" wrapText="1"/>
    </xf>
    <xf numFmtId="166" fontId="59" fillId="0" borderId="23" xfId="46" applyNumberFormat="1" applyFont="1" applyBorder="1" applyAlignment="1">
      <alignment horizontal="left" vertical="center" wrapText="1"/>
    </xf>
    <xf numFmtId="0" fontId="20" fillId="0" borderId="23" xfId="46" applyFont="1" applyBorder="1" applyAlignment="1">
      <alignment horizontal="center" vertical="center" wrapText="1"/>
    </xf>
    <xf numFmtId="166" fontId="20" fillId="0" borderId="14" xfId="46" applyNumberFormat="1" applyFont="1" applyBorder="1" applyAlignment="1">
      <alignment horizontal="left" vertical="center" wrapText="1"/>
    </xf>
    <xf numFmtId="0" fontId="31" fillId="0" borderId="14" xfId="0" applyFont="1" applyBorder="1" applyAlignment="1">
      <alignment horizontal="left" vertical="center" wrapText="1"/>
    </xf>
    <xf numFmtId="49" fontId="31" fillId="0" borderId="14" xfId="0" applyNumberFormat="1" applyFont="1" applyBorder="1" applyAlignment="1">
      <alignment horizontal="center" vertical="center" wrapText="1"/>
    </xf>
    <xf numFmtId="166" fontId="65" fillId="0" borderId="14" xfId="79" applyNumberFormat="1" applyFont="1" applyBorder="1" applyAlignment="1">
      <alignment horizontal="left" vertical="center" wrapText="1"/>
    </xf>
    <xf numFmtId="166" fontId="20" fillId="0" borderId="14" xfId="79" applyNumberFormat="1" applyFont="1" applyBorder="1" applyAlignment="1">
      <alignment horizontal="center" vertical="center" wrapText="1"/>
    </xf>
    <xf numFmtId="166" fontId="20" fillId="0" borderId="14" xfId="79" applyNumberFormat="1" applyFont="1" applyBorder="1" applyAlignment="1">
      <alignment horizontal="left" vertical="center" wrapText="1"/>
    </xf>
    <xf numFmtId="3" fontId="20" fillId="0" borderId="14" xfId="79" applyNumberFormat="1" applyFont="1" applyBorder="1" applyAlignment="1">
      <alignment horizontal="center" vertical="center" wrapText="1"/>
    </xf>
    <xf numFmtId="166" fontId="20" fillId="0" borderId="14" xfId="79" applyNumberFormat="1" applyFont="1" applyBorder="1" applyAlignment="1">
      <alignment horizontal="left" vertical="center"/>
    </xf>
    <xf numFmtId="166" fontId="20" fillId="0" borderId="14" xfId="79" applyNumberFormat="1" applyFont="1" applyBorder="1" applyAlignment="1">
      <alignment horizontal="center" vertical="center"/>
    </xf>
    <xf numFmtId="166" fontId="20" fillId="0" borderId="17" xfId="79" applyNumberFormat="1" applyFont="1" applyBorder="1" applyAlignment="1">
      <alignment horizontal="left" vertical="center"/>
    </xf>
    <xf numFmtId="166" fontId="20" fillId="0" borderId="23" xfId="79" applyNumberFormat="1" applyFont="1" applyBorder="1" applyAlignment="1">
      <alignment horizontal="left" vertical="center" wrapText="1"/>
    </xf>
    <xf numFmtId="166" fontId="65" fillId="27" borderId="17" xfId="79" applyNumberFormat="1" applyFont="1" applyFill="1" applyBorder="1" applyAlignment="1">
      <alignment horizontal="left" vertical="center" wrapText="1"/>
    </xf>
    <xf numFmtId="166" fontId="20" fillId="27" borderId="38" xfId="79" applyNumberFormat="1" applyFont="1" applyFill="1" applyBorder="1" applyAlignment="1">
      <alignment horizontal="left" vertical="center" wrapText="1"/>
    </xf>
    <xf numFmtId="166" fontId="20" fillId="0" borderId="38" xfId="79" applyNumberFormat="1" applyFont="1" applyBorder="1" applyAlignment="1">
      <alignment horizontal="left" vertical="center" wrapText="1"/>
    </xf>
    <xf numFmtId="166" fontId="65" fillId="27" borderId="38" xfId="79" applyNumberFormat="1" applyFont="1" applyFill="1" applyBorder="1" applyAlignment="1">
      <alignment horizontal="center" vertical="center" wrapText="1"/>
    </xf>
    <xf numFmtId="166" fontId="20" fillId="0" borderId="22" xfId="79" applyNumberFormat="1" applyFont="1" applyBorder="1" applyAlignment="1">
      <alignment horizontal="left" vertical="center" wrapText="1"/>
    </xf>
    <xf numFmtId="166" fontId="20" fillId="0" borderId="16" xfId="79" applyNumberFormat="1" applyFont="1" applyBorder="1" applyAlignment="1">
      <alignment horizontal="left" vertical="center" wrapText="1"/>
    </xf>
    <xf numFmtId="166" fontId="20" fillId="0" borderId="31" xfId="79" applyNumberFormat="1" applyFont="1" applyBorder="1" applyAlignment="1">
      <alignment horizontal="left" vertical="center" wrapText="1"/>
    </xf>
    <xf numFmtId="3" fontId="51" fillId="0" borderId="14" xfId="79" applyNumberFormat="1" applyFont="1" applyBorder="1" applyAlignment="1">
      <alignment horizontal="center" vertical="center"/>
    </xf>
    <xf numFmtId="0" fontId="51" fillId="0" borderId="14" xfId="0" applyFont="1" applyBorder="1" applyAlignment="1">
      <alignment horizontal="left"/>
    </xf>
    <xf numFmtId="3" fontId="20" fillId="0" borderId="14" xfId="79" applyNumberFormat="1" applyFont="1" applyBorder="1" applyAlignment="1">
      <alignment horizontal="center" vertical="center"/>
    </xf>
    <xf numFmtId="166" fontId="20" fillId="0" borderId="17" xfId="79" applyNumberFormat="1" applyFont="1" applyBorder="1" applyAlignment="1">
      <alignment vertical="center"/>
    </xf>
    <xf numFmtId="166" fontId="20" fillId="0" borderId="38" xfId="79" applyNumberFormat="1" applyFont="1" applyBorder="1" applyAlignment="1">
      <alignment horizontal="left" vertical="center"/>
    </xf>
    <xf numFmtId="3" fontId="20" fillId="0" borderId="38" xfId="79" applyNumberFormat="1" applyFont="1" applyBorder="1" applyAlignment="1">
      <alignment horizontal="center" vertical="center"/>
    </xf>
    <xf numFmtId="0" fontId="51" fillId="0" borderId="38" xfId="0" applyFont="1" applyBorder="1" applyAlignment="1">
      <alignment horizontal="left"/>
    </xf>
    <xf numFmtId="166" fontId="20" fillId="0" borderId="23" xfId="79" applyNumberFormat="1" applyFont="1" applyBorder="1" applyAlignment="1">
      <alignment horizontal="left" vertical="center"/>
    </xf>
    <xf numFmtId="0" fontId="59" fillId="0" borderId="48" xfId="0" applyFont="1" applyBorder="1"/>
    <xf numFmtId="0" fontId="59" fillId="0" borderId="14" xfId="0" applyFont="1" applyBorder="1" applyAlignment="1">
      <alignment horizontal="left"/>
    </xf>
    <xf numFmtId="166" fontId="20" fillId="27" borderId="38" xfId="79" applyNumberFormat="1" applyFont="1" applyFill="1" applyBorder="1" applyAlignment="1">
      <alignment horizontal="left" vertical="center"/>
    </xf>
    <xf numFmtId="166" fontId="65" fillId="0" borderId="14" xfId="79" applyNumberFormat="1" applyFont="1" applyBorder="1" applyAlignment="1">
      <alignment horizontal="center" vertical="center" wrapText="1"/>
    </xf>
    <xf numFmtId="166" fontId="59" fillId="0" borderId="14" xfId="79" applyNumberFormat="1" applyFont="1" applyBorder="1" applyAlignment="1">
      <alignment horizontal="left" vertical="center"/>
    </xf>
    <xf numFmtId="166" fontId="59" fillId="0" borderId="14" xfId="79" applyNumberFormat="1" applyFont="1" applyBorder="1" applyAlignment="1">
      <alignment horizontal="center" vertical="center"/>
    </xf>
    <xf numFmtId="166" fontId="59" fillId="0" borderId="14" xfId="79" quotePrefix="1" applyNumberFormat="1" applyFont="1" applyBorder="1" applyAlignment="1">
      <alignment horizontal="center" vertical="center"/>
    </xf>
    <xf numFmtId="3" fontId="59" fillId="0" borderId="14" xfId="79" applyNumberFormat="1" applyFont="1" applyBorder="1" applyAlignment="1">
      <alignment horizontal="center" vertical="center"/>
    </xf>
    <xf numFmtId="166" fontId="20" fillId="0" borderId="30" xfId="79" applyNumberFormat="1" applyFont="1" applyBorder="1" applyAlignment="1">
      <alignment horizontal="left" vertical="center"/>
    </xf>
    <xf numFmtId="0" fontId="51" fillId="0" borderId="31" xfId="0" applyFont="1" applyBorder="1" applyAlignment="1">
      <alignment horizontal="left"/>
    </xf>
    <xf numFmtId="166" fontId="59" fillId="0" borderId="30" xfId="79" applyNumberFormat="1" applyFont="1" applyBorder="1" applyAlignment="1">
      <alignment horizontal="left" vertical="center"/>
    </xf>
    <xf numFmtId="0" fontId="59" fillId="0" borderId="31" xfId="0" applyFont="1" applyBorder="1" applyAlignment="1">
      <alignment horizontal="left" vertical="center"/>
    </xf>
    <xf numFmtId="3" fontId="20" fillId="0" borderId="23" xfId="79" applyNumberFormat="1" applyFont="1" applyBorder="1" applyAlignment="1">
      <alignment horizontal="center" vertical="center" wrapText="1"/>
    </xf>
    <xf numFmtId="166" fontId="65" fillId="0" borderId="14" xfId="79" applyNumberFormat="1" applyFont="1" applyBorder="1" applyAlignment="1">
      <alignment horizontal="left" vertical="center"/>
    </xf>
    <xf numFmtId="0" fontId="59" fillId="0" borderId="14" xfId="0" applyFont="1" applyBorder="1"/>
    <xf numFmtId="0" fontId="59" fillId="0" borderId="23" xfId="0" applyFont="1" applyBorder="1"/>
    <xf numFmtId="0" fontId="59" fillId="0" borderId="17" xfId="0" applyFont="1" applyBorder="1"/>
    <xf numFmtId="0" fontId="59" fillId="0" borderId="38" xfId="0" applyFont="1" applyBorder="1"/>
    <xf numFmtId="0" fontId="59" fillId="0" borderId="41" xfId="0" applyFont="1" applyBorder="1"/>
    <xf numFmtId="0" fontId="51" fillId="0" borderId="41" xfId="0" applyFont="1" applyBorder="1"/>
    <xf numFmtId="0" fontId="59" fillId="0" borderId="14" xfId="0" applyFont="1" applyBorder="1" applyAlignment="1">
      <alignment wrapText="1"/>
    </xf>
    <xf numFmtId="166" fontId="20" fillId="27" borderId="14" xfId="79" applyNumberFormat="1" applyFont="1" applyFill="1" applyBorder="1" applyAlignment="1">
      <alignment horizontal="left" vertical="center" wrapText="1"/>
    </xf>
    <xf numFmtId="166" fontId="20" fillId="0" borderId="14" xfId="46" applyNumberFormat="1" applyFont="1" applyBorder="1" applyAlignment="1">
      <alignment horizontal="left" vertical="center"/>
    </xf>
    <xf numFmtId="3" fontId="20" fillId="0" borderId="14" xfId="46" applyNumberFormat="1" applyFont="1" applyBorder="1" applyAlignment="1">
      <alignment horizontal="center" vertical="center"/>
    </xf>
    <xf numFmtId="0" fontId="20" fillId="0" borderId="14" xfId="76" applyFont="1" applyBorder="1" applyAlignment="1">
      <alignment horizontal="center" vertical="center" wrapText="1"/>
    </xf>
    <xf numFmtId="0" fontId="20" fillId="0" borderId="14" xfId="76" applyFont="1" applyBorder="1" applyAlignment="1">
      <alignment horizontal="left" vertical="center"/>
    </xf>
    <xf numFmtId="0" fontId="51" fillId="27" borderId="17" xfId="46" applyFont="1" applyFill="1" applyBorder="1" applyAlignment="1">
      <alignment horizontal="center" vertical="center" wrapText="1"/>
    </xf>
    <xf numFmtId="49" fontId="51" fillId="27" borderId="14" xfId="46" applyNumberFormat="1" applyFont="1" applyFill="1" applyBorder="1" applyAlignment="1">
      <alignment horizontal="center" vertical="center" wrapText="1"/>
    </xf>
    <xf numFmtId="0" fontId="57" fillId="0" borderId="23" xfId="52" applyFont="1" applyBorder="1" applyAlignment="1">
      <alignment horizontal="left" vertical="center" wrapText="1"/>
    </xf>
    <xf numFmtId="166" fontId="51" fillId="0" borderId="16" xfId="52" applyNumberFormat="1" applyFont="1" applyBorder="1" applyAlignment="1">
      <alignment horizontal="center" vertical="center" wrapText="1"/>
    </xf>
    <xf numFmtId="0" fontId="51" fillId="0" borderId="14" xfId="0" applyFont="1" applyBorder="1" applyAlignment="1">
      <alignment horizontal="center" vertical="center" textRotation="90" wrapText="1"/>
    </xf>
    <xf numFmtId="0" fontId="51" fillId="0" borderId="31" xfId="0" applyFont="1" applyBorder="1" applyAlignment="1">
      <alignment horizontal="left" vertical="center" wrapText="1"/>
    </xf>
    <xf numFmtId="166" fontId="59" fillId="0" borderId="38" xfId="79" applyNumberFormat="1" applyFont="1" applyBorder="1" applyAlignment="1">
      <alignment horizontal="left" vertical="center" wrapText="1"/>
    </xf>
    <xf numFmtId="49" fontId="51" fillId="36" borderId="14" xfId="0" quotePrefix="1" applyNumberFormat="1" applyFont="1" applyFill="1" applyBorder="1" applyAlignment="1">
      <alignment horizontal="center" vertical="center" wrapText="1"/>
    </xf>
    <xf numFmtId="0" fontId="51" fillId="37" borderId="14" xfId="0" applyFont="1" applyFill="1" applyBorder="1" applyAlignment="1">
      <alignment vertical="center" wrapText="1"/>
    </xf>
    <xf numFmtId="3" fontId="51" fillId="38" borderId="14" xfId="0" applyNumberFormat="1" applyFont="1" applyFill="1" applyBorder="1" applyAlignment="1">
      <alignment horizontal="center" vertical="center" textRotation="90" wrapText="1"/>
    </xf>
    <xf numFmtId="166" fontId="50" fillId="0" borderId="16" xfId="0" applyNumberFormat="1" applyFont="1" applyBorder="1" applyAlignment="1">
      <alignment horizontal="center" vertical="center" wrapText="1"/>
    </xf>
    <xf numFmtId="164" fontId="51" fillId="41" borderId="16" xfId="0" applyNumberFormat="1" applyFont="1" applyFill="1" applyBorder="1" applyAlignment="1">
      <alignment horizontal="center" vertical="center" wrapText="1"/>
    </xf>
    <xf numFmtId="166" fontId="51" fillId="41" borderId="16" xfId="46" applyNumberFormat="1" applyFont="1" applyFill="1" applyBorder="1" applyAlignment="1">
      <alignment horizontal="center" vertical="center" wrapText="1"/>
    </xf>
    <xf numFmtId="0" fontId="51" fillId="30" borderId="14" xfId="46" applyFont="1" applyFill="1" applyBorder="1" applyAlignment="1">
      <alignment horizontal="center" vertical="center" wrapText="1"/>
    </xf>
    <xf numFmtId="166" fontId="51" fillId="30" borderId="14" xfId="46" applyNumberFormat="1" applyFont="1" applyFill="1" applyBorder="1" applyAlignment="1">
      <alignment horizontal="center" vertical="center" wrapText="1"/>
    </xf>
    <xf numFmtId="166" fontId="51" fillId="30" borderId="16" xfId="46" applyNumberFormat="1" applyFont="1" applyFill="1" applyBorder="1" applyAlignment="1">
      <alignment horizontal="center" vertical="center" wrapText="1"/>
    </xf>
    <xf numFmtId="164" fontId="51" fillId="40" borderId="31" xfId="0" applyNumberFormat="1" applyFont="1" applyFill="1" applyBorder="1" applyAlignment="1">
      <alignment horizontal="left" vertical="center" wrapText="1"/>
    </xf>
    <xf numFmtId="166" fontId="59" fillId="29" borderId="14" xfId="46" applyNumberFormat="1" applyFont="1" applyFill="1" applyBorder="1" applyAlignment="1">
      <alignment horizontal="center" vertical="center" wrapText="1"/>
    </xf>
    <xf numFmtId="1" fontId="51" fillId="24" borderId="14" xfId="46" applyNumberFormat="1" applyFont="1" applyFill="1" applyBorder="1" applyAlignment="1">
      <alignment horizontal="center" vertical="center" wrapText="1"/>
    </xf>
    <xf numFmtId="164" fontId="51" fillId="47" borderId="31" xfId="0" applyNumberFormat="1" applyFont="1" applyFill="1" applyBorder="1" applyAlignment="1">
      <alignment horizontal="center" vertical="center" wrapText="1"/>
    </xf>
    <xf numFmtId="164" fontId="51" fillId="47" borderId="26" xfId="0" applyNumberFormat="1" applyFont="1" applyFill="1" applyBorder="1" applyAlignment="1">
      <alignment horizontal="center" vertical="center" wrapText="1"/>
    </xf>
    <xf numFmtId="164" fontId="51" fillId="41" borderId="14" xfId="0" applyNumberFormat="1" applyFont="1" applyFill="1" applyBorder="1" applyAlignment="1">
      <alignment horizontal="center" vertical="center" wrapText="1"/>
    </xf>
    <xf numFmtId="0" fontId="51" fillId="38" borderId="14" xfId="0" applyFont="1" applyFill="1" applyBorder="1" applyAlignment="1">
      <alignment vertical="center" wrapText="1"/>
    </xf>
    <xf numFmtId="1" fontId="51" fillId="24" borderId="14" xfId="46" quotePrefix="1" applyNumberFormat="1" applyFont="1" applyFill="1" applyBorder="1" applyAlignment="1">
      <alignment horizontal="center" vertical="center" wrapText="1"/>
    </xf>
    <xf numFmtId="166" fontId="51" fillId="47" borderId="31" xfId="0" applyNumberFormat="1" applyFont="1" applyFill="1" applyBorder="1" applyAlignment="1">
      <alignment horizontal="center" wrapText="1"/>
    </xf>
    <xf numFmtId="166" fontId="51" fillId="47" borderId="26" xfId="0" applyNumberFormat="1" applyFont="1" applyFill="1" applyBorder="1" applyAlignment="1">
      <alignment horizontal="center" wrapText="1"/>
    </xf>
    <xf numFmtId="0" fontId="51" fillId="35" borderId="16" xfId="0" applyFont="1" applyFill="1" applyBorder="1" applyAlignment="1">
      <alignment vertical="center" wrapText="1"/>
    </xf>
    <xf numFmtId="166" fontId="51" fillId="37" borderId="14" xfId="46" applyNumberFormat="1" applyFont="1" applyFill="1" applyBorder="1" applyAlignment="1">
      <alignment horizontal="center" vertical="center" wrapText="1"/>
    </xf>
    <xf numFmtId="166" fontId="51" fillId="46" borderId="14" xfId="46" applyNumberFormat="1" applyFont="1" applyFill="1" applyBorder="1" applyAlignment="1">
      <alignment horizontal="center" vertical="center" wrapText="1"/>
    </xf>
    <xf numFmtId="0" fontId="51" fillId="45" borderId="14" xfId="46" applyFont="1" applyFill="1" applyBorder="1" applyAlignment="1">
      <alignment horizontal="center" vertical="center" wrapText="1"/>
    </xf>
    <xf numFmtId="49" fontId="51" fillId="0" borderId="14" xfId="0" quotePrefix="1" applyNumberFormat="1" applyFont="1" applyBorder="1" applyAlignment="1">
      <alignment horizontal="left" vertical="center" wrapText="1"/>
    </xf>
    <xf numFmtId="14" fontId="51" fillId="27" borderId="14" xfId="46" applyNumberFormat="1" applyFont="1" applyFill="1" applyBorder="1" applyAlignment="1">
      <alignment horizontal="center" vertical="center" wrapText="1"/>
    </xf>
    <xf numFmtId="166" fontId="63" fillId="29" borderId="14" xfId="0" applyNumberFormat="1" applyFont="1" applyFill="1" applyBorder="1" applyAlignment="1">
      <alignment horizontal="center" vertical="center"/>
    </xf>
    <xf numFmtId="166" fontId="51" fillId="29" borderId="14" xfId="0" applyNumberFormat="1" applyFont="1" applyFill="1" applyBorder="1" applyAlignment="1">
      <alignment horizontal="center" vertical="center"/>
    </xf>
    <xf numFmtId="166" fontId="59" fillId="27" borderId="16" xfId="0" applyNumberFormat="1" applyFont="1" applyFill="1" applyBorder="1" applyAlignment="1">
      <alignment horizontal="center" vertical="center"/>
    </xf>
    <xf numFmtId="166" fontId="51" fillId="29" borderId="14" xfId="0" applyNumberFormat="1" applyFont="1" applyFill="1" applyBorder="1" applyAlignment="1">
      <alignment horizontal="center" vertical="center" wrapText="1"/>
    </xf>
    <xf numFmtId="164" fontId="51" fillId="27" borderId="31" xfId="0" applyNumberFormat="1" applyFont="1" applyFill="1" applyBorder="1" applyAlignment="1">
      <alignment horizontal="left" vertical="center" wrapText="1"/>
    </xf>
    <xf numFmtId="166" fontId="51" fillId="27" borderId="42" xfId="46" applyNumberFormat="1" applyFont="1" applyFill="1" applyBorder="1" applyAlignment="1">
      <alignment horizontal="center" vertical="center" wrapText="1"/>
    </xf>
    <xf numFmtId="166" fontId="51" fillId="41" borderId="23" xfId="46" applyNumberFormat="1" applyFont="1" applyFill="1" applyBorder="1" applyAlignment="1">
      <alignment horizontal="center" vertical="center" wrapText="1"/>
    </xf>
    <xf numFmtId="166" fontId="51" fillId="41" borderId="10" xfId="46" applyNumberFormat="1" applyFont="1" applyFill="1" applyBorder="1" applyAlignment="1">
      <alignment horizontal="center" vertical="center" wrapText="1"/>
    </xf>
    <xf numFmtId="0" fontId="51" fillId="40" borderId="17" xfId="0" applyFont="1" applyFill="1" applyBorder="1" applyAlignment="1">
      <alignment horizontal="center" vertical="center" wrapText="1"/>
    </xf>
    <xf numFmtId="0" fontId="51" fillId="32" borderId="17" xfId="0" applyFont="1" applyFill="1" applyBorder="1" applyAlignment="1">
      <alignment horizontal="center" vertical="center" wrapText="1"/>
    </xf>
    <xf numFmtId="0" fontId="51" fillId="34" borderId="14" xfId="0" applyFont="1" applyFill="1" applyBorder="1" applyAlignment="1">
      <alignment vertical="center" wrapText="1"/>
    </xf>
    <xf numFmtId="0" fontId="81" fillId="40" borderId="17" xfId="0" applyFont="1" applyFill="1" applyBorder="1" applyAlignment="1">
      <alignment horizontal="center" vertical="center" wrapText="1"/>
    </xf>
    <xf numFmtId="0" fontId="81" fillId="40" borderId="14" xfId="0" applyFont="1" applyFill="1" applyBorder="1" applyAlignment="1">
      <alignment horizontal="center" vertical="center" wrapText="1"/>
    </xf>
    <xf numFmtId="166" fontId="50" fillId="25" borderId="16" xfId="46" applyNumberFormat="1" applyFont="1" applyFill="1" applyBorder="1" applyAlignment="1">
      <alignment horizontal="center" vertical="center" wrapText="1"/>
    </xf>
    <xf numFmtId="166" fontId="50" fillId="27" borderId="40" xfId="46" applyNumberFormat="1" applyFont="1" applyFill="1" applyBorder="1" applyAlignment="1">
      <alignment horizontal="center" vertical="center" wrapText="1"/>
    </xf>
    <xf numFmtId="166" fontId="59" fillId="0" borderId="16" xfId="0" applyNumberFormat="1" applyFont="1" applyBorder="1" applyAlignment="1">
      <alignment horizontal="center" vertical="center"/>
    </xf>
    <xf numFmtId="166" fontId="51" fillId="0" borderId="16" xfId="0" applyNumberFormat="1" applyFont="1" applyBorder="1" applyAlignment="1">
      <alignment horizontal="center" vertical="center"/>
    </xf>
    <xf numFmtId="166" fontId="50" fillId="27" borderId="16" xfId="46" applyNumberFormat="1" applyFont="1" applyFill="1" applyBorder="1" applyAlignment="1">
      <alignment horizontal="center" vertical="center" wrapText="1"/>
    </xf>
    <xf numFmtId="166" fontId="79" fillId="0" borderId="14" xfId="46" applyNumberFormat="1" applyFont="1" applyBorder="1" applyAlignment="1">
      <alignment horizontal="left" vertical="center" wrapText="1"/>
    </xf>
    <xf numFmtId="164" fontId="59" fillId="47" borderId="16" xfId="0" applyNumberFormat="1" applyFont="1" applyFill="1" applyBorder="1" applyAlignment="1">
      <alignment horizontal="center" vertical="center" wrapText="1"/>
    </xf>
    <xf numFmtId="0" fontId="59" fillId="0" borderId="31" xfId="0" applyFont="1" applyBorder="1" applyAlignment="1">
      <alignment horizontal="left" vertical="center" wrapText="1"/>
    </xf>
    <xf numFmtId="0" fontId="20" fillId="0" borderId="31" xfId="0" applyFont="1" applyBorder="1" applyAlignment="1">
      <alignment horizontal="left" vertical="center" wrapText="1"/>
    </xf>
    <xf numFmtId="164" fontId="59" fillId="47" borderId="30" xfId="0" applyNumberFormat="1" applyFont="1" applyFill="1" applyBorder="1" applyAlignment="1">
      <alignment horizontal="center" vertical="center" wrapText="1"/>
    </xf>
    <xf numFmtId="0" fontId="20" fillId="0" borderId="36" xfId="0" applyFont="1" applyBorder="1" applyAlignment="1">
      <alignment horizontal="left" vertical="center" wrapText="1"/>
    </xf>
    <xf numFmtId="0" fontId="20" fillId="0" borderId="47" xfId="0" applyFont="1" applyBorder="1" applyAlignment="1">
      <alignment horizontal="left" vertical="center" wrapText="1"/>
    </xf>
    <xf numFmtId="164" fontId="59" fillId="47" borderId="46" xfId="0" applyNumberFormat="1" applyFont="1" applyFill="1" applyBorder="1" applyAlignment="1">
      <alignment horizontal="center" vertical="center" wrapText="1"/>
    </xf>
    <xf numFmtId="164" fontId="20" fillId="47" borderId="42" xfId="0" applyNumberFormat="1" applyFont="1" applyFill="1" applyBorder="1" applyAlignment="1">
      <alignment horizontal="center" vertical="center" wrapText="1"/>
    </xf>
    <xf numFmtId="0" fontId="59" fillId="0" borderId="48" xfId="0" applyFont="1" applyBorder="1" applyAlignment="1">
      <alignment horizontal="left" vertical="center" wrapText="1"/>
    </xf>
    <xf numFmtId="164" fontId="20" fillId="47" borderId="10" xfId="0" applyNumberFormat="1" applyFont="1" applyFill="1" applyBorder="1" applyAlignment="1">
      <alignment horizontal="center" vertical="center" wrapText="1"/>
    </xf>
    <xf numFmtId="0" fontId="59" fillId="0" borderId="22" xfId="0" applyFont="1" applyBorder="1" applyAlignment="1">
      <alignment horizontal="left" vertical="center" wrapText="1"/>
    </xf>
    <xf numFmtId="164" fontId="20" fillId="0" borderId="16" xfId="0" applyNumberFormat="1" applyFont="1" applyBorder="1" applyAlignment="1">
      <alignment horizontal="center" vertical="center" wrapText="1"/>
    </xf>
    <xf numFmtId="0" fontId="59" fillId="0" borderId="16" xfId="0" applyFont="1" applyBorder="1" applyAlignment="1">
      <alignment horizontal="center" vertical="center" wrapText="1"/>
    </xf>
    <xf numFmtId="164" fontId="59" fillId="0" borderId="16" xfId="0" applyNumberFormat="1" applyFont="1" applyBorder="1" applyAlignment="1">
      <alignment horizontal="center" vertical="center" wrapText="1"/>
    </xf>
    <xf numFmtId="164" fontId="66" fillId="0" borderId="10" xfId="46" applyNumberFormat="1" applyFont="1" applyBorder="1" applyAlignment="1">
      <alignment horizontal="center" vertical="center" wrapText="1"/>
    </xf>
    <xf numFmtId="164" fontId="59" fillId="0" borderId="22" xfId="46" applyNumberFormat="1" applyFont="1" applyBorder="1" applyAlignment="1">
      <alignment horizontal="left" vertical="center" wrapText="1"/>
    </xf>
    <xf numFmtId="164" fontId="66" fillId="0" borderId="16" xfId="46" applyNumberFormat="1" applyFont="1" applyBorder="1" applyAlignment="1">
      <alignment horizontal="center" vertical="center" wrapText="1"/>
    </xf>
    <xf numFmtId="166" fontId="59" fillId="41" borderId="16" xfId="46" applyNumberFormat="1" applyFont="1" applyFill="1" applyBorder="1" applyAlignment="1">
      <alignment horizontal="center" vertical="center" wrapText="1"/>
    </xf>
    <xf numFmtId="166" fontId="66" fillId="0" borderId="16" xfId="46" applyNumberFormat="1" applyFont="1" applyBorder="1" applyAlignment="1">
      <alignment horizontal="center" vertical="center" wrapText="1"/>
    </xf>
    <xf numFmtId="166" fontId="50" fillId="39" borderId="16" xfId="46" applyNumberFormat="1" applyFont="1" applyFill="1" applyBorder="1" applyAlignment="1">
      <alignment horizontal="center" vertical="center" wrapText="1"/>
    </xf>
    <xf numFmtId="166" fontId="59" fillId="0" borderId="16" xfId="46" applyNumberFormat="1" applyFont="1" applyBorder="1" applyAlignment="1">
      <alignment horizontal="center" vertical="center" wrapText="1"/>
    </xf>
    <xf numFmtId="166" fontId="59" fillId="0" borderId="31" xfId="46" applyNumberFormat="1" applyFont="1" applyBorder="1" applyAlignment="1">
      <alignment horizontal="left" vertical="center" wrapText="1"/>
    </xf>
    <xf numFmtId="0" fontId="51" fillId="34" borderId="14" xfId="46" applyFont="1" applyFill="1" applyBorder="1" applyAlignment="1">
      <alignment vertical="center" wrapText="1"/>
    </xf>
    <xf numFmtId="0" fontId="51" fillId="34" borderId="17" xfId="46" applyFont="1" applyFill="1" applyBorder="1" applyAlignment="1">
      <alignment vertical="center" wrapText="1"/>
    </xf>
    <xf numFmtId="0" fontId="51" fillId="34" borderId="35" xfId="46" applyFont="1" applyFill="1" applyBorder="1" applyAlignment="1">
      <alignment vertical="center" wrapText="1"/>
    </xf>
    <xf numFmtId="166" fontId="80" fillId="0" borderId="14" xfId="46" applyNumberFormat="1" applyFont="1" applyBorder="1" applyAlignment="1">
      <alignment horizontal="left" vertical="center" wrapText="1"/>
    </xf>
    <xf numFmtId="0" fontId="51" fillId="34" borderId="23" xfId="46" applyFont="1" applyFill="1" applyBorder="1" applyAlignment="1">
      <alignment vertical="center" wrapText="1"/>
    </xf>
    <xf numFmtId="166" fontId="59" fillId="27" borderId="14" xfId="46" applyNumberFormat="1" applyFont="1" applyFill="1" applyBorder="1" applyAlignment="1">
      <alignment horizontal="left" vertical="center" wrapText="1"/>
    </xf>
    <xf numFmtId="166" fontId="51" fillId="0" borderId="16" xfId="0" applyNumberFormat="1" applyFont="1" applyBorder="1" applyAlignment="1">
      <alignment horizontal="center" vertical="center" wrapText="1"/>
    </xf>
    <xf numFmtId="166" fontId="51" fillId="0" borderId="49" xfId="46" applyNumberFormat="1" applyFont="1" applyBorder="1" applyAlignment="1">
      <alignment horizontal="center" vertical="center" wrapText="1"/>
    </xf>
    <xf numFmtId="166" fontId="51" fillId="0" borderId="46" xfId="46" applyNumberFormat="1" applyFont="1" applyBorder="1" applyAlignment="1">
      <alignment horizontal="center" vertical="center" wrapText="1"/>
    </xf>
    <xf numFmtId="0" fontId="51" fillId="27" borderId="38" xfId="46" applyFont="1" applyFill="1" applyBorder="1" applyAlignment="1">
      <alignment horizontal="center" vertical="center" wrapText="1"/>
    </xf>
    <xf numFmtId="0" fontId="51" fillId="34" borderId="10" xfId="46" applyFont="1" applyFill="1" applyBorder="1" applyAlignment="1">
      <alignment vertical="center" wrapText="1"/>
    </xf>
    <xf numFmtId="3" fontId="51" fillId="0" borderId="31" xfId="0" applyNumberFormat="1" applyFont="1" applyBorder="1" applyAlignment="1">
      <alignment horizontal="left" vertical="center" wrapText="1"/>
    </xf>
    <xf numFmtId="166" fontId="51" fillId="27" borderId="31" xfId="46" applyNumberFormat="1" applyFont="1" applyFill="1" applyBorder="1" applyAlignment="1">
      <alignment horizontal="left" vertical="center" wrapText="1"/>
    </xf>
    <xf numFmtId="166" fontId="51" fillId="0" borderId="26" xfId="46" applyNumberFormat="1" applyFont="1" applyBorder="1" applyAlignment="1">
      <alignment horizontal="left" vertical="center" wrapText="1"/>
    </xf>
    <xf numFmtId="0" fontId="51" fillId="0" borderId="31" xfId="46" applyFont="1" applyBorder="1" applyAlignment="1">
      <alignment horizontal="left"/>
    </xf>
    <xf numFmtId="166" fontId="50" fillId="39" borderId="16" xfId="46" applyNumberFormat="1" applyFont="1" applyFill="1" applyBorder="1" applyAlignment="1">
      <alignment horizontal="center" vertical="center"/>
    </xf>
    <xf numFmtId="49" fontId="20" fillId="27" borderId="14" xfId="46" applyNumberFormat="1" applyFont="1" applyFill="1" applyBorder="1" applyAlignment="1">
      <alignment horizontal="center" vertical="center"/>
    </xf>
    <xf numFmtId="166" fontId="55" fillId="0" borderId="16" xfId="75" applyNumberFormat="1" applyFont="1" applyBorder="1" applyAlignment="1">
      <alignment horizontal="center" vertical="center"/>
    </xf>
    <xf numFmtId="0" fontId="51" fillId="0" borderId="31" xfId="75" applyFont="1" applyBorder="1" applyAlignment="1">
      <alignment horizontal="left" vertical="center" wrapText="1"/>
    </xf>
    <xf numFmtId="0" fontId="51" fillId="27" borderId="31" xfId="75" applyFont="1" applyFill="1" applyBorder="1" applyAlignment="1">
      <alignment horizontal="left" vertical="center" wrapText="1"/>
    </xf>
    <xf numFmtId="166" fontId="51" fillId="0" borderId="30" xfId="0" applyNumberFormat="1" applyFont="1" applyBorder="1" applyAlignment="1">
      <alignment horizontal="center" vertical="center"/>
    </xf>
    <xf numFmtId="166" fontId="51" fillId="0" borderId="42" xfId="0" applyNumberFormat="1" applyFont="1" applyBorder="1" applyAlignment="1">
      <alignment horizontal="center"/>
    </xf>
    <xf numFmtId="166" fontId="51" fillId="41" borderId="46" xfId="46" applyNumberFormat="1" applyFont="1" applyFill="1" applyBorder="1" applyAlignment="1">
      <alignment horizontal="center" vertical="center" wrapText="1"/>
    </xf>
    <xf numFmtId="166" fontId="51" fillId="0" borderId="46" xfId="0" applyNumberFormat="1" applyFont="1" applyBorder="1" applyAlignment="1">
      <alignment horizontal="center"/>
    </xf>
    <xf numFmtId="166" fontId="51" fillId="41" borderId="42" xfId="46" applyNumberFormat="1" applyFont="1" applyFill="1" applyBorder="1" applyAlignment="1">
      <alignment horizontal="center" vertical="center" wrapText="1"/>
    </xf>
    <xf numFmtId="166" fontId="50" fillId="25" borderId="10" xfId="46" applyNumberFormat="1" applyFont="1" applyFill="1" applyBorder="1" applyAlignment="1">
      <alignment horizontal="center" vertical="center" wrapText="1"/>
    </xf>
    <xf numFmtId="166" fontId="51" fillId="27" borderId="26" xfId="0" applyNumberFormat="1" applyFont="1" applyFill="1" applyBorder="1" applyAlignment="1">
      <alignment horizontal="center" wrapText="1"/>
    </xf>
    <xf numFmtId="164" fontId="51" fillId="0" borderId="16" xfId="46" applyNumberFormat="1" applyFont="1" applyBorder="1" applyAlignment="1">
      <alignment horizontal="center" vertical="center"/>
    </xf>
    <xf numFmtId="166" fontId="51" fillId="0" borderId="16" xfId="79" applyNumberFormat="1" applyFont="1" applyBorder="1" applyAlignment="1">
      <alignment horizontal="center" vertical="center" wrapText="1"/>
    </xf>
    <xf numFmtId="166" fontId="51" fillId="39" borderId="30" xfId="46" applyNumberFormat="1" applyFont="1" applyFill="1" applyBorder="1" applyAlignment="1">
      <alignment horizontal="center" vertical="center" wrapText="1"/>
    </xf>
    <xf numFmtId="166" fontId="31" fillId="27" borderId="14" xfId="46" applyNumberFormat="1" applyFill="1" applyBorder="1"/>
    <xf numFmtId="166" fontId="59" fillId="0" borderId="10" xfId="79" applyNumberFormat="1" applyFont="1" applyBorder="1" applyAlignment="1">
      <alignment horizontal="left" vertical="center"/>
    </xf>
    <xf numFmtId="166" fontId="59" fillId="0" borderId="16" xfId="79" applyNumberFormat="1" applyFont="1" applyBorder="1" applyAlignment="1">
      <alignment horizontal="left" vertical="center" wrapText="1"/>
    </xf>
    <xf numFmtId="166" fontId="59" fillId="0" borderId="14" xfId="79" applyNumberFormat="1" applyFont="1" applyBorder="1" applyAlignment="1">
      <alignment horizontal="left" vertical="center" wrapText="1"/>
    </xf>
    <xf numFmtId="166" fontId="59" fillId="0" borderId="38" xfId="79" applyNumberFormat="1" applyFont="1" applyBorder="1" applyAlignment="1">
      <alignment horizontal="left" vertical="center"/>
    </xf>
    <xf numFmtId="1" fontId="51" fillId="27" borderId="38" xfId="79" applyNumberFormat="1" applyFont="1" applyFill="1" applyBorder="1" applyAlignment="1">
      <alignment horizontal="center" vertical="center" wrapText="1"/>
    </xf>
    <xf numFmtId="166" fontId="59" fillId="0" borderId="31" xfId="79" applyNumberFormat="1" applyFont="1" applyBorder="1" applyAlignment="1">
      <alignment horizontal="left" vertical="center"/>
    </xf>
    <xf numFmtId="166" fontId="60" fillId="0" borderId="23" xfId="79" applyNumberFormat="1" applyFont="1" applyBorder="1" applyAlignment="1">
      <alignment horizontal="left" vertical="center" wrapText="1"/>
    </xf>
    <xf numFmtId="166" fontId="20" fillId="27" borderId="14" xfId="79" applyNumberFormat="1" applyFont="1" applyFill="1" applyBorder="1" applyAlignment="1">
      <alignment horizontal="left" vertical="center"/>
    </xf>
    <xf numFmtId="0" fontId="59" fillId="0" borderId="47" xfId="0" applyFont="1" applyBorder="1"/>
    <xf numFmtId="166" fontId="51" fillId="35" borderId="16" xfId="46" applyNumberFormat="1" applyFont="1" applyFill="1" applyBorder="1" applyAlignment="1">
      <alignment horizontal="center" vertical="center" wrapText="1"/>
    </xf>
    <xf numFmtId="0" fontId="51" fillId="0" borderId="31" xfId="52" applyFont="1" applyBorder="1" applyAlignment="1">
      <alignment horizontal="left" vertical="center" wrapText="1"/>
    </xf>
    <xf numFmtId="0" fontId="51" fillId="49" borderId="14" xfId="46" applyFont="1" applyFill="1" applyBorder="1" applyAlignment="1">
      <alignment vertical="center" wrapText="1"/>
    </xf>
    <xf numFmtId="166" fontId="51" fillId="24" borderId="16" xfId="52" applyNumberFormat="1" applyFont="1" applyFill="1" applyBorder="1" applyAlignment="1">
      <alignment horizontal="center" vertical="center" wrapText="1"/>
    </xf>
    <xf numFmtId="164" fontId="51" fillId="27" borderId="16" xfId="52" applyNumberFormat="1" applyFont="1" applyFill="1" applyBorder="1" applyAlignment="1">
      <alignment horizontal="center" vertical="center" wrapText="1"/>
    </xf>
    <xf numFmtId="166" fontId="51" fillId="0" borderId="31" xfId="52" applyNumberFormat="1" applyFont="1" applyBorder="1" applyAlignment="1">
      <alignment horizontal="left" vertical="center" wrapText="1"/>
    </xf>
    <xf numFmtId="166" fontId="51" fillId="39" borderId="16" xfId="52" applyNumberFormat="1" applyFont="1" applyFill="1" applyBorder="1" applyAlignment="1">
      <alignment horizontal="center" vertical="center" wrapText="1"/>
    </xf>
    <xf numFmtId="0" fontId="51" fillId="27" borderId="31" xfId="52" applyFont="1" applyFill="1" applyBorder="1" applyAlignment="1">
      <alignment horizontal="left" vertical="center" wrapText="1"/>
    </xf>
    <xf numFmtId="166" fontId="51" fillId="27" borderId="16" xfId="0" applyNumberFormat="1" applyFont="1" applyFill="1" applyBorder="1" applyAlignment="1">
      <alignment horizontal="center" vertical="center"/>
    </xf>
    <xf numFmtId="0" fontId="51" fillId="0" borderId="36" xfId="52" applyFont="1" applyBorder="1" applyAlignment="1">
      <alignment horizontal="left" vertical="center" wrapText="1"/>
    </xf>
    <xf numFmtId="166" fontId="51" fillId="0" borderId="17" xfId="52" applyNumberFormat="1" applyFont="1" applyBorder="1" applyAlignment="1">
      <alignment horizontal="left" vertical="center" wrapText="1"/>
    </xf>
    <xf numFmtId="166" fontId="51" fillId="27" borderId="16" xfId="52" applyNumberFormat="1" applyFont="1" applyFill="1" applyBorder="1" applyAlignment="1">
      <alignment horizontal="center" vertical="center" wrapText="1"/>
    </xf>
    <xf numFmtId="0" fontId="51" fillId="0" borderId="16" xfId="0" applyFont="1" applyBorder="1" applyAlignment="1">
      <alignment horizontal="center" vertical="center"/>
    </xf>
    <xf numFmtId="166" fontId="59" fillId="0" borderId="16" xfId="52" applyNumberFormat="1" applyFont="1" applyBorder="1" applyAlignment="1">
      <alignment horizontal="center" vertical="center" wrapText="1"/>
    </xf>
    <xf numFmtId="0" fontId="57" fillId="0" borderId="22" xfId="52" applyFont="1" applyBorder="1" applyAlignment="1">
      <alignment horizontal="left" vertical="center" wrapText="1"/>
    </xf>
    <xf numFmtId="0" fontId="57" fillId="0" borderId="31" xfId="52" applyFont="1" applyBorder="1" applyAlignment="1">
      <alignment horizontal="left" vertical="center" wrapText="1"/>
    </xf>
    <xf numFmtId="164" fontId="59" fillId="0" borderId="26" xfId="0" applyNumberFormat="1" applyFont="1" applyBorder="1" applyAlignment="1">
      <alignment horizontal="center" vertical="center" wrapText="1"/>
    </xf>
    <xf numFmtId="0" fontId="51" fillId="0" borderId="38" xfId="52" applyFont="1" applyBorder="1" applyAlignment="1">
      <alignment horizontal="left" vertical="center"/>
    </xf>
    <xf numFmtId="0" fontId="31" fillId="0" borderId="43" xfId="52" applyFont="1" applyBorder="1"/>
    <xf numFmtId="164" fontId="50" fillId="0" borderId="16" xfId="0" quotePrefix="1" applyNumberFormat="1" applyFont="1" applyBorder="1" applyAlignment="1">
      <alignment horizontal="center" vertical="center" wrapText="1"/>
    </xf>
    <xf numFmtId="1" fontId="51" fillId="27" borderId="14" xfId="0" quotePrefix="1" applyNumberFormat="1" applyFont="1" applyFill="1" applyBorder="1" applyAlignment="1">
      <alignment horizontal="center" vertical="center" wrapText="1"/>
    </xf>
    <xf numFmtId="166" fontId="50" fillId="54" borderId="16" xfId="46" applyNumberFormat="1" applyFont="1" applyFill="1" applyBorder="1" applyAlignment="1">
      <alignment horizontal="center" vertical="center" wrapText="1"/>
    </xf>
    <xf numFmtId="166" fontId="20" fillId="27" borderId="16" xfId="76" applyNumberFormat="1" applyFont="1" applyFill="1" applyBorder="1" applyAlignment="1">
      <alignment horizontal="center" vertical="center"/>
    </xf>
    <xf numFmtId="166" fontId="20" fillId="0" borderId="16" xfId="76" applyNumberFormat="1" applyFont="1" applyBorder="1" applyAlignment="1">
      <alignment horizontal="center" vertical="center"/>
    </xf>
    <xf numFmtId="166" fontId="50" fillId="41" borderId="16" xfId="46" applyNumberFormat="1" applyFont="1" applyFill="1" applyBorder="1" applyAlignment="1">
      <alignment horizontal="center" vertical="center" wrapText="1"/>
    </xf>
    <xf numFmtId="166" fontId="52" fillId="27" borderId="14" xfId="0" applyNumberFormat="1" applyFont="1" applyFill="1" applyBorder="1" applyAlignment="1">
      <alignment vertical="center"/>
    </xf>
    <xf numFmtId="164" fontId="20" fillId="55" borderId="14" xfId="0" applyNumberFormat="1" applyFont="1" applyFill="1" applyBorder="1" applyAlignment="1">
      <alignment horizontal="center" vertical="center" wrapText="1"/>
    </xf>
    <xf numFmtId="164" fontId="59" fillId="55" borderId="14" xfId="0" applyNumberFormat="1" applyFont="1" applyFill="1" applyBorder="1" applyAlignment="1">
      <alignment horizontal="center" vertical="center" wrapText="1"/>
    </xf>
    <xf numFmtId="164" fontId="59" fillId="55" borderId="17" xfId="0" applyNumberFormat="1" applyFont="1" applyFill="1" applyBorder="1" applyAlignment="1">
      <alignment horizontal="center" vertical="center" wrapText="1"/>
    </xf>
    <xf numFmtId="164" fontId="59" fillId="55" borderId="41" xfId="0" applyNumberFormat="1" applyFont="1" applyFill="1" applyBorder="1" applyAlignment="1">
      <alignment horizontal="center" vertical="center" wrapText="1"/>
    </xf>
    <xf numFmtId="164" fontId="20" fillId="55" borderId="38" xfId="0" applyNumberFormat="1" applyFont="1" applyFill="1" applyBorder="1" applyAlignment="1">
      <alignment horizontal="center" vertical="center" wrapText="1"/>
    </xf>
    <xf numFmtId="164" fontId="59" fillId="55" borderId="23" xfId="0" applyNumberFormat="1" applyFont="1" applyFill="1" applyBorder="1" applyAlignment="1">
      <alignment horizontal="center" vertical="center" wrapText="1"/>
    </xf>
    <xf numFmtId="164" fontId="51" fillId="55" borderId="14" xfId="0" applyNumberFormat="1" applyFont="1" applyFill="1" applyBorder="1" applyAlignment="1">
      <alignment horizontal="center" vertical="center" wrapText="1"/>
    </xf>
    <xf numFmtId="164" fontId="59" fillId="27" borderId="23" xfId="46" applyNumberFormat="1" applyFont="1" applyFill="1" applyBorder="1" applyAlignment="1">
      <alignment horizontal="center" vertical="center" wrapText="1"/>
    </xf>
    <xf numFmtId="166" fontId="59" fillId="55" borderId="14" xfId="0" applyNumberFormat="1" applyFont="1" applyFill="1" applyBorder="1" applyAlignment="1">
      <alignment horizontal="center" vertical="center" wrapText="1"/>
    </xf>
    <xf numFmtId="0" fontId="59" fillId="49" borderId="23" xfId="46" applyFont="1" applyFill="1" applyBorder="1" applyAlignment="1">
      <alignment vertical="center" wrapText="1"/>
    </xf>
    <xf numFmtId="166" fontId="50" fillId="27" borderId="23" xfId="46" applyNumberFormat="1" applyFont="1" applyFill="1" applyBorder="1" applyAlignment="1">
      <alignment horizontal="center" vertical="center" wrapText="1"/>
    </xf>
    <xf numFmtId="166" fontId="51" fillId="27" borderId="14" xfId="75" applyNumberFormat="1" applyFont="1" applyFill="1" applyBorder="1" applyAlignment="1">
      <alignment horizontal="center" vertical="center"/>
    </xf>
    <xf numFmtId="166" fontId="51" fillId="27" borderId="17" xfId="75" applyNumberFormat="1" applyFont="1" applyFill="1" applyBorder="1" applyAlignment="1">
      <alignment horizontal="center" vertical="center"/>
    </xf>
    <xf numFmtId="166" fontId="51" fillId="27" borderId="38" xfId="75" applyNumberFormat="1" applyFont="1" applyFill="1" applyBorder="1" applyAlignment="1">
      <alignment horizontal="center" vertical="center"/>
    </xf>
    <xf numFmtId="166" fontId="51" fillId="27" borderId="41" xfId="75" applyNumberFormat="1" applyFont="1" applyFill="1" applyBorder="1" applyAlignment="1">
      <alignment horizontal="center" vertical="center"/>
    </xf>
    <xf numFmtId="166" fontId="50" fillId="27" borderId="14" xfId="79" applyNumberFormat="1" applyFont="1" applyFill="1" applyBorder="1" applyAlignment="1">
      <alignment horizontal="center" vertical="center" wrapText="1"/>
    </xf>
    <xf numFmtId="166" fontId="59" fillId="27" borderId="38" xfId="79" applyNumberFormat="1" applyFont="1" applyFill="1" applyBorder="1" applyAlignment="1">
      <alignment horizontal="center" vertical="center" wrapText="1"/>
    </xf>
    <xf numFmtId="166" fontId="51" fillId="27" borderId="43" xfId="46" applyNumberFormat="1" applyFont="1" applyFill="1" applyBorder="1" applyAlignment="1">
      <alignment horizontal="center" vertical="center" wrapText="1"/>
    </xf>
    <xf numFmtId="166" fontId="51" fillId="27" borderId="23" xfId="0" applyNumberFormat="1" applyFont="1" applyFill="1" applyBorder="1" applyAlignment="1">
      <alignment horizontal="center" vertical="center"/>
    </xf>
    <xf numFmtId="166" fontId="51" fillId="27" borderId="41" xfId="46" applyNumberFormat="1" applyFont="1" applyFill="1" applyBorder="1" applyAlignment="1">
      <alignment horizontal="center" vertical="center" wrapText="1"/>
    </xf>
    <xf numFmtId="166" fontId="59" fillId="27" borderId="14" xfId="0" applyNumberFormat="1" applyFont="1" applyFill="1" applyBorder="1" applyAlignment="1">
      <alignment horizontal="center" wrapText="1"/>
    </xf>
    <xf numFmtId="166" fontId="59" fillId="27" borderId="17" xfId="0" applyNumberFormat="1" applyFont="1" applyFill="1" applyBorder="1" applyAlignment="1">
      <alignment horizontal="center" wrapText="1"/>
    </xf>
    <xf numFmtId="166" fontId="59" fillId="27" borderId="38" xfId="0" applyNumberFormat="1" applyFont="1" applyFill="1" applyBorder="1" applyAlignment="1">
      <alignment horizontal="center" wrapText="1"/>
    </xf>
    <xf numFmtId="166" fontId="59" fillId="27" borderId="41" xfId="0" applyNumberFormat="1" applyFont="1" applyFill="1" applyBorder="1" applyAlignment="1">
      <alignment horizontal="center" wrapText="1"/>
    </xf>
    <xf numFmtId="166" fontId="51" fillId="27" borderId="38" xfId="0" applyNumberFormat="1" applyFont="1" applyFill="1" applyBorder="1" applyAlignment="1">
      <alignment horizontal="center" wrapText="1"/>
    </xf>
    <xf numFmtId="166" fontId="51" fillId="27" borderId="41" xfId="0" applyNumberFormat="1" applyFont="1" applyFill="1" applyBorder="1" applyAlignment="1">
      <alignment horizontal="center" wrapText="1"/>
    </xf>
    <xf numFmtId="0" fontId="51" fillId="35" borderId="14" xfId="52" applyFont="1" applyFill="1" applyBorder="1" applyAlignment="1">
      <alignment horizontal="center" vertical="center"/>
    </xf>
    <xf numFmtId="49" fontId="50" fillId="40" borderId="14" xfId="0" quotePrefix="1" applyNumberFormat="1" applyFont="1" applyFill="1" applyBorder="1" applyAlignment="1">
      <alignment horizontal="center" vertical="center" wrapText="1"/>
    </xf>
    <xf numFmtId="0" fontId="50" fillId="27" borderId="14" xfId="0" applyFont="1" applyFill="1" applyBorder="1" applyAlignment="1">
      <alignment horizontal="left" vertical="center" wrapText="1"/>
    </xf>
    <xf numFmtId="3" fontId="51" fillId="27" borderId="14" xfId="80" applyNumberFormat="1" applyFont="1" applyFill="1" applyBorder="1" applyAlignment="1">
      <alignment horizontal="left" vertical="center" wrapText="1"/>
    </xf>
    <xf numFmtId="49" fontId="18" fillId="0" borderId="14" xfId="76" applyNumberFormat="1" applyFont="1" applyBorder="1"/>
    <xf numFmtId="49" fontId="18" fillId="0" borderId="14" xfId="76" applyNumberFormat="1" applyFont="1" applyBorder="1" applyAlignment="1">
      <alignment horizontal="center" vertical="center"/>
    </xf>
    <xf numFmtId="0" fontId="18" fillId="0" borderId="14" xfId="76" applyFont="1" applyBorder="1" applyAlignment="1">
      <alignment vertical="center" wrapText="1"/>
    </xf>
    <xf numFmtId="0" fontId="18" fillId="0" borderId="14" xfId="76" applyFont="1" applyBorder="1" applyAlignment="1">
      <alignment horizontal="center" vertical="center"/>
    </xf>
    <xf numFmtId="0" fontId="51" fillId="0" borderId="24" xfId="0" applyFont="1" applyBorder="1" applyAlignment="1">
      <alignment wrapText="1"/>
    </xf>
    <xf numFmtId="3" fontId="62" fillId="57" borderId="14" xfId="0" applyNumberFormat="1" applyFont="1" applyFill="1" applyBorder="1" applyAlignment="1">
      <alignment horizontal="center" vertical="center" wrapText="1"/>
    </xf>
    <xf numFmtId="3" fontId="84" fillId="57" borderId="23" xfId="0" applyNumberFormat="1" applyFont="1" applyFill="1" applyBorder="1" applyAlignment="1">
      <alignment horizontal="center" vertical="center" wrapText="1"/>
    </xf>
    <xf numFmtId="3" fontId="62" fillId="57" borderId="16" xfId="0" applyNumberFormat="1" applyFont="1" applyFill="1" applyBorder="1" applyAlignment="1">
      <alignment horizontal="center" vertical="center" wrapText="1"/>
    </xf>
    <xf numFmtId="3" fontId="62" fillId="57" borderId="23" xfId="0" applyNumberFormat="1" applyFont="1" applyFill="1" applyBorder="1" applyAlignment="1">
      <alignment horizontal="center" vertical="center" wrapText="1"/>
    </xf>
    <xf numFmtId="0" fontId="51" fillId="38" borderId="23" xfId="0" applyFont="1" applyFill="1" applyBorder="1" applyAlignment="1">
      <alignment vertical="center" wrapText="1"/>
    </xf>
    <xf numFmtId="0" fontId="51" fillId="0" borderId="17" xfId="52" applyFont="1" applyBorder="1" applyAlignment="1">
      <alignment horizontal="left" vertical="center" wrapText="1"/>
    </xf>
    <xf numFmtId="166" fontId="50" fillId="27" borderId="10" xfId="46" applyNumberFormat="1" applyFont="1" applyFill="1" applyBorder="1" applyAlignment="1">
      <alignment horizontal="center" vertical="center" wrapText="1"/>
    </xf>
    <xf numFmtId="166" fontId="50" fillId="27" borderId="49" xfId="46" applyNumberFormat="1" applyFont="1" applyFill="1" applyBorder="1" applyAlignment="1">
      <alignment horizontal="center" vertical="center" wrapText="1"/>
    </xf>
    <xf numFmtId="49" fontId="51" fillId="40" borderId="14" xfId="0" quotePrefix="1" applyNumberFormat="1" applyFont="1" applyFill="1" applyBorder="1" applyAlignment="1">
      <alignment horizontal="center" vertical="center" wrapText="1"/>
    </xf>
    <xf numFmtId="166" fontId="50" fillId="27" borderId="14" xfId="0" applyNumberFormat="1" applyFont="1" applyFill="1" applyBorder="1" applyAlignment="1">
      <alignment horizontal="center" vertical="center" wrapText="1"/>
    </xf>
    <xf numFmtId="166" fontId="50" fillId="27" borderId="16" xfId="0" applyNumberFormat="1" applyFont="1" applyFill="1" applyBorder="1" applyAlignment="1">
      <alignment horizontal="center" vertical="center" wrapText="1"/>
    </xf>
    <xf numFmtId="49" fontId="50" fillId="27" borderId="14" xfId="46" applyNumberFormat="1" applyFont="1" applyFill="1" applyBorder="1" applyAlignment="1">
      <alignment horizontal="center" vertical="center" wrapText="1"/>
    </xf>
    <xf numFmtId="0" fontId="50" fillId="27" borderId="14" xfId="0" applyFont="1" applyFill="1" applyBorder="1" applyAlignment="1">
      <alignment horizontal="center" vertical="center" wrapText="1"/>
    </xf>
    <xf numFmtId="3" fontId="62" fillId="27" borderId="31" xfId="0" applyNumberFormat="1" applyFont="1" applyFill="1" applyBorder="1" applyAlignment="1">
      <alignment horizontal="center" vertical="center" wrapText="1"/>
    </xf>
    <xf numFmtId="3" fontId="62" fillId="27" borderId="14" xfId="0" applyNumberFormat="1" applyFont="1" applyFill="1" applyBorder="1" applyAlignment="1" applyProtection="1">
      <alignment horizontal="center" vertical="center" wrapText="1"/>
      <protection locked="0"/>
    </xf>
    <xf numFmtId="3" fontId="51" fillId="0" borderId="23" xfId="80" applyNumberFormat="1" applyFont="1" applyBorder="1" applyAlignment="1">
      <alignment horizontal="left" vertical="center" wrapText="1"/>
    </xf>
    <xf numFmtId="0" fontId="51" fillId="0" borderId="43" xfId="52" applyFont="1" applyBorder="1" applyAlignment="1">
      <alignment horizontal="left" vertical="center"/>
    </xf>
    <xf numFmtId="166" fontId="13" fillId="0" borderId="14" xfId="79" applyNumberFormat="1" applyFont="1" applyBorder="1" applyAlignment="1">
      <alignment horizontal="left" vertical="center"/>
    </xf>
    <xf numFmtId="166" fontId="13" fillId="27" borderId="14" xfId="79" applyNumberFormat="1" applyFont="1" applyFill="1" applyBorder="1" applyAlignment="1">
      <alignment horizontal="left" vertical="center"/>
    </xf>
    <xf numFmtId="0" fontId="51" fillId="27" borderId="36" xfId="46" applyFont="1" applyFill="1" applyBorder="1" applyAlignment="1">
      <alignment horizontal="center" vertical="center" wrapText="1"/>
    </xf>
    <xf numFmtId="0" fontId="51" fillId="0" borderId="10" xfId="0" applyFont="1" applyBorder="1" applyAlignment="1">
      <alignment vertical="center" wrapText="1"/>
    </xf>
    <xf numFmtId="0" fontId="51" fillId="0" borderId="52" xfId="0" applyFont="1" applyBorder="1" applyAlignment="1">
      <alignment horizontal="center" vertical="center" wrapText="1"/>
    </xf>
    <xf numFmtId="0" fontId="51" fillId="28" borderId="22" xfId="0" applyFont="1" applyFill="1" applyBorder="1" applyAlignment="1">
      <alignment horizontal="center" vertical="center" textRotation="90" wrapText="1"/>
    </xf>
    <xf numFmtId="3" fontId="51" fillId="0" borderId="23" xfId="0" applyNumberFormat="1" applyFont="1" applyBorder="1" applyAlignment="1">
      <alignment horizontal="center" vertical="center" textRotation="90" wrapText="1"/>
    </xf>
    <xf numFmtId="14" fontId="51" fillId="0" borderId="23" xfId="0" quotePrefix="1" applyNumberFormat="1" applyFont="1" applyBorder="1" applyAlignment="1">
      <alignment horizontal="center" vertical="center" wrapText="1"/>
    </xf>
    <xf numFmtId="49" fontId="51" fillId="0" borderId="23" xfId="46" applyNumberFormat="1" applyFont="1" applyBorder="1" applyAlignment="1">
      <alignment horizontal="center" vertical="center"/>
    </xf>
    <xf numFmtId="0" fontId="59" fillId="0" borderId="14" xfId="46" applyFont="1" applyBorder="1" applyAlignment="1">
      <alignment horizontal="right" vertical="center" wrapText="1"/>
    </xf>
    <xf numFmtId="0" fontId="51" fillId="27" borderId="49" xfId="46" applyFont="1" applyFill="1" applyBorder="1" applyAlignment="1">
      <alignment horizontal="center" vertical="center" wrapText="1"/>
    </xf>
    <xf numFmtId="0" fontId="51" fillId="0" borderId="41" xfId="46" applyFont="1" applyBorder="1" applyAlignment="1">
      <alignment horizontal="center" vertical="center" wrapText="1"/>
    </xf>
    <xf numFmtId="164" fontId="51" fillId="27" borderId="0" xfId="0" applyNumberFormat="1" applyFont="1" applyFill="1" applyAlignment="1">
      <alignment horizontal="center"/>
    </xf>
    <xf numFmtId="166" fontId="12" fillId="27" borderId="14" xfId="79" applyNumberFormat="1" applyFont="1" applyFill="1" applyBorder="1" applyAlignment="1">
      <alignment horizontal="left" vertical="center" wrapText="1"/>
    </xf>
    <xf numFmtId="49" fontId="51" fillId="27" borderId="14" xfId="0" applyNumberFormat="1" applyFont="1" applyFill="1" applyBorder="1" applyAlignment="1">
      <alignment horizontal="center" vertical="center" wrapText="1"/>
    </xf>
    <xf numFmtId="0" fontId="12" fillId="0" borderId="41" xfId="0" applyFont="1" applyBorder="1" applyAlignment="1">
      <alignment horizontal="center" vertical="center" wrapText="1"/>
    </xf>
    <xf numFmtId="0" fontId="51" fillId="0" borderId="31" xfId="0" applyFont="1" applyBorder="1" applyAlignment="1">
      <alignment horizontal="center" vertical="center" wrapText="1"/>
    </xf>
    <xf numFmtId="0" fontId="51" fillId="43" borderId="23" xfId="0" applyFont="1" applyFill="1" applyBorder="1" applyAlignment="1">
      <alignment horizontal="center" vertical="center" wrapText="1"/>
    </xf>
    <xf numFmtId="0" fontId="0" fillId="0" borderId="38" xfId="0" applyBorder="1" applyAlignment="1">
      <alignment horizontal="center" vertical="center"/>
    </xf>
    <xf numFmtId="166" fontId="59" fillId="0" borderId="14" xfId="79" applyNumberFormat="1" applyFont="1" applyBorder="1" applyAlignment="1">
      <alignment horizontal="center" vertical="center" wrapText="1"/>
    </xf>
    <xf numFmtId="3" fontId="59" fillId="0" borderId="14" xfId="79" applyNumberFormat="1" applyFont="1" applyBorder="1" applyAlignment="1">
      <alignment horizontal="center" vertical="center" wrapText="1"/>
    </xf>
    <xf numFmtId="3" fontId="59" fillId="0" borderId="16" xfId="79" applyNumberFormat="1" applyFont="1" applyBorder="1" applyAlignment="1">
      <alignment horizontal="center" vertical="center" wrapText="1"/>
    </xf>
    <xf numFmtId="0" fontId="50" fillId="27" borderId="17" xfId="0" applyFont="1" applyFill="1" applyBorder="1" applyAlignment="1">
      <alignment horizontal="center" vertical="center" wrapText="1"/>
    </xf>
    <xf numFmtId="0" fontId="50" fillId="27" borderId="38" xfId="0" applyFont="1" applyFill="1" applyBorder="1" applyAlignment="1">
      <alignment horizontal="center" vertical="center" wrapText="1"/>
    </xf>
    <xf numFmtId="166" fontId="59" fillId="0" borderId="43" xfId="79" applyNumberFormat="1" applyFont="1" applyBorder="1" applyAlignment="1">
      <alignment horizontal="center" vertical="center" wrapText="1"/>
    </xf>
    <xf numFmtId="166" fontId="59" fillId="0" borderId="38" xfId="79" applyNumberFormat="1" applyFont="1" applyBorder="1" applyAlignment="1">
      <alignment horizontal="center" vertical="center" wrapText="1"/>
    </xf>
    <xf numFmtId="0" fontId="83" fillId="0" borderId="14" xfId="0" applyFont="1" applyBorder="1" applyAlignment="1">
      <alignment horizontal="center" vertical="center"/>
    </xf>
    <xf numFmtId="169" fontId="59" fillId="27" borderId="14" xfId="79" applyNumberFormat="1" applyFont="1" applyFill="1" applyBorder="1" applyAlignment="1">
      <alignment horizontal="center" vertical="center"/>
    </xf>
    <xf numFmtId="3" fontId="59" fillId="27" borderId="14" xfId="79" applyNumberFormat="1" applyFont="1" applyFill="1" applyBorder="1" applyAlignment="1">
      <alignment horizontal="center" vertical="center"/>
    </xf>
    <xf numFmtId="3" fontId="59" fillId="27" borderId="14" xfId="79" applyNumberFormat="1" applyFont="1" applyFill="1" applyBorder="1" applyAlignment="1">
      <alignment horizontal="center" vertical="center" wrapText="1"/>
    </xf>
    <xf numFmtId="3" fontId="59" fillId="27" borderId="17" xfId="79" applyNumberFormat="1" applyFont="1" applyFill="1" applyBorder="1" applyAlignment="1">
      <alignment horizontal="center" vertical="center"/>
    </xf>
    <xf numFmtId="3" fontId="59" fillId="27" borderId="38" xfId="79" applyNumberFormat="1" applyFont="1" applyFill="1" applyBorder="1" applyAlignment="1">
      <alignment horizontal="center" vertical="center"/>
    </xf>
    <xf numFmtId="166" fontId="59" fillId="27" borderId="23" xfId="79" applyNumberFormat="1" applyFont="1" applyFill="1" applyBorder="1" applyAlignment="1">
      <alignment horizontal="center" vertical="center"/>
    </xf>
    <xf numFmtId="0" fontId="59" fillId="0" borderId="31" xfId="0" applyFont="1" applyBorder="1" applyAlignment="1">
      <alignment horizontal="center" vertical="center" wrapText="1"/>
    </xf>
    <xf numFmtId="0" fontId="59" fillId="0" borderId="31" xfId="0" applyFont="1" applyBorder="1" applyAlignment="1">
      <alignment horizontal="center" vertical="center"/>
    </xf>
    <xf numFmtId="3" fontId="59" fillId="0" borderId="38" xfId="79" applyNumberFormat="1" applyFont="1" applyBorder="1" applyAlignment="1">
      <alignment horizontal="center" vertical="center"/>
    </xf>
    <xf numFmtId="0" fontId="60" fillId="0" borderId="23" xfId="0" applyFont="1" applyBorder="1" applyAlignment="1">
      <alignment horizontal="center" vertical="center"/>
    </xf>
    <xf numFmtId="0" fontId="50" fillId="0" borderId="23" xfId="0" applyFont="1" applyBorder="1" applyAlignment="1">
      <alignment horizontal="center" vertical="center"/>
    </xf>
    <xf numFmtId="0" fontId="59" fillId="0" borderId="38" xfId="0" applyFont="1" applyBorder="1" applyAlignment="1">
      <alignment horizontal="center" vertical="center"/>
    </xf>
    <xf numFmtId="0" fontId="59" fillId="0" borderId="17" xfId="0" applyFont="1" applyBorder="1" applyAlignment="1">
      <alignment horizontal="center" vertical="center"/>
    </xf>
    <xf numFmtId="0" fontId="59" fillId="0" borderId="41" xfId="0" applyFont="1" applyBorder="1" applyAlignment="1">
      <alignment horizontal="center" vertical="center"/>
    </xf>
    <xf numFmtId="0" fontId="59" fillId="0" borderId="23" xfId="0" applyFont="1" applyBorder="1" applyAlignment="1">
      <alignment horizontal="center" vertical="center"/>
    </xf>
    <xf numFmtId="0" fontId="51" fillId="0" borderId="26" xfId="52" applyFont="1" applyBorder="1" applyAlignment="1">
      <alignment horizontal="center" vertical="center"/>
    </xf>
    <xf numFmtId="0" fontId="51" fillId="0" borderId="10" xfId="52" applyFont="1" applyBorder="1" applyAlignment="1">
      <alignment horizontal="center" vertical="center"/>
    </xf>
    <xf numFmtId="0" fontId="0" fillId="0" borderId="14" xfId="0" applyBorder="1" applyAlignment="1">
      <alignment horizontal="center" vertical="center"/>
    </xf>
    <xf numFmtId="0" fontId="17" fillId="0" borderId="14" xfId="84" applyFont="1" applyBorder="1" applyAlignment="1">
      <alignment horizontal="center" vertical="center"/>
    </xf>
    <xf numFmtId="0" fontId="23" fillId="0" borderId="14" xfId="76" applyBorder="1" applyAlignment="1">
      <alignment horizontal="center" vertical="center"/>
    </xf>
    <xf numFmtId="0" fontId="0" fillId="0" borderId="0" xfId="0" applyAlignment="1" applyProtection="1">
      <alignment horizontal="center" vertical="center"/>
      <protection locked="0"/>
    </xf>
    <xf numFmtId="0" fontId="20" fillId="0" borderId="14" xfId="77" applyFont="1" applyBorder="1" applyAlignment="1">
      <alignment horizontal="center" vertical="center"/>
    </xf>
    <xf numFmtId="0" fontId="59" fillId="0" borderId="38" xfId="0" applyFont="1" applyBorder="1" applyAlignment="1">
      <alignment horizontal="center" vertical="center" wrapText="1"/>
    </xf>
    <xf numFmtId="0" fontId="0" fillId="0" borderId="0" xfId="0" applyAlignment="1" applyProtection="1">
      <alignment horizontal="left" vertical="center"/>
      <protection locked="0"/>
    </xf>
    <xf numFmtId="3" fontId="62" fillId="27" borderId="14" xfId="0" applyNumberFormat="1" applyFont="1" applyFill="1" applyBorder="1" applyAlignment="1" applyProtection="1">
      <alignment horizontal="left" vertical="center" wrapText="1"/>
      <protection locked="0"/>
    </xf>
    <xf numFmtId="0" fontId="51" fillId="43" borderId="31" xfId="0" applyFont="1" applyFill="1" applyBorder="1" applyAlignment="1">
      <alignment horizontal="left" vertical="center" wrapText="1"/>
    </xf>
    <xf numFmtId="0" fontId="0" fillId="0" borderId="38" xfId="0" applyBorder="1" applyAlignment="1">
      <alignment horizontal="left" vertical="center"/>
    </xf>
    <xf numFmtId="166" fontId="50" fillId="0" borderId="14" xfId="0" applyNumberFormat="1" applyFont="1" applyBorder="1" applyAlignment="1">
      <alignment horizontal="left" vertical="center"/>
    </xf>
    <xf numFmtId="4" fontId="79" fillId="0" borderId="38" xfId="0" applyNumberFormat="1" applyFont="1" applyBorder="1" applyAlignment="1">
      <alignment horizontal="left" vertical="center" wrapText="1"/>
    </xf>
    <xf numFmtId="4" fontId="74" fillId="0" borderId="38" xfId="0" applyNumberFormat="1" applyFont="1" applyBorder="1" applyAlignment="1">
      <alignment horizontal="left" vertical="center"/>
    </xf>
    <xf numFmtId="4" fontId="74" fillId="0" borderId="41" xfId="0" applyNumberFormat="1" applyFont="1" applyBorder="1" applyAlignment="1">
      <alignment horizontal="left" vertical="center"/>
    </xf>
    <xf numFmtId="0" fontId="20" fillId="0" borderId="14" xfId="77" applyFont="1" applyBorder="1" applyAlignment="1">
      <alignment horizontal="left" vertical="center"/>
    </xf>
    <xf numFmtId="0" fontId="83" fillId="0" borderId="14" xfId="0" applyFont="1" applyBorder="1" applyAlignment="1">
      <alignment horizontal="left" vertical="center"/>
    </xf>
    <xf numFmtId="0" fontId="60" fillId="0" borderId="14" xfId="0" applyFont="1" applyBorder="1" applyAlignment="1">
      <alignment horizontal="left" vertical="center"/>
    </xf>
    <xf numFmtId="0" fontId="59" fillId="27" borderId="31" xfId="0" applyFont="1" applyFill="1" applyBorder="1" applyAlignment="1">
      <alignment horizontal="left" vertical="center"/>
    </xf>
    <xf numFmtId="0" fontId="59" fillId="27" borderId="36" xfId="0" applyFont="1" applyFill="1" applyBorder="1" applyAlignment="1">
      <alignment horizontal="left" vertical="center"/>
    </xf>
    <xf numFmtId="0" fontId="59" fillId="0" borderId="36" xfId="0" applyFont="1" applyBorder="1" applyAlignment="1">
      <alignment horizontal="left" vertical="center"/>
    </xf>
    <xf numFmtId="0" fontId="59" fillId="0" borderId="41" xfId="0" applyFont="1" applyBorder="1" applyAlignment="1">
      <alignment horizontal="left" vertical="center"/>
    </xf>
    <xf numFmtId="0" fontId="59" fillId="0" borderId="41" xfId="0" applyFont="1" applyBorder="1" applyAlignment="1">
      <alignment horizontal="left" vertical="center" wrapText="1"/>
    </xf>
    <xf numFmtId="0" fontId="59" fillId="0" borderId="36" xfId="0" applyFont="1" applyBorder="1" applyAlignment="1">
      <alignment horizontal="left" vertical="center" wrapText="1"/>
    </xf>
    <xf numFmtId="0" fontId="59" fillId="0" borderId="38" xfId="0" applyFont="1" applyBorder="1" applyAlignment="1">
      <alignment horizontal="left" vertical="center"/>
    </xf>
    <xf numFmtId="0" fontId="0" fillId="27" borderId="38" xfId="0" applyFill="1" applyBorder="1" applyAlignment="1">
      <alignment horizontal="left" vertical="center"/>
    </xf>
    <xf numFmtId="0" fontId="59" fillId="0" borderId="23" xfId="0" applyFont="1" applyBorder="1" applyAlignment="1">
      <alignment horizontal="left" vertical="center"/>
    </xf>
    <xf numFmtId="0" fontId="59" fillId="0" borderId="14" xfId="0" applyFont="1" applyBorder="1" applyAlignment="1">
      <alignment horizontal="left" vertical="center"/>
    </xf>
    <xf numFmtId="0" fontId="59" fillId="27" borderId="14" xfId="0" applyFont="1" applyFill="1" applyBorder="1" applyAlignment="1">
      <alignment horizontal="left" vertical="center" wrapText="1"/>
    </xf>
    <xf numFmtId="0" fontId="0" fillId="0" borderId="14" xfId="0" applyBorder="1" applyAlignment="1">
      <alignment horizontal="left" vertical="center"/>
    </xf>
    <xf numFmtId="0" fontId="85" fillId="0" borderId="0" xfId="0" applyFont="1" applyAlignment="1">
      <alignment horizontal="left" vertical="center"/>
    </xf>
    <xf numFmtId="0" fontId="20" fillId="0" borderId="14" xfId="76" applyFont="1" applyBorder="1" applyAlignment="1">
      <alignment horizontal="left" vertical="center" wrapText="1"/>
    </xf>
    <xf numFmtId="166" fontId="20" fillId="0" borderId="14" xfId="76" applyNumberFormat="1" applyFont="1" applyBorder="1" applyAlignment="1">
      <alignment horizontal="left" vertical="center" wrapText="1"/>
    </xf>
    <xf numFmtId="0" fontId="17" fillId="0" borderId="14" xfId="84" applyFont="1" applyBorder="1" applyAlignment="1">
      <alignment horizontal="left" vertical="center" wrapText="1"/>
    </xf>
    <xf numFmtId="0" fontId="23" fillId="0" borderId="14" xfId="76" applyBorder="1" applyAlignment="1">
      <alignment horizontal="left" vertical="center" wrapText="1"/>
    </xf>
    <xf numFmtId="0" fontId="18" fillId="0" borderId="14" xfId="76" applyFont="1" applyBorder="1" applyAlignment="1">
      <alignment horizontal="left" vertical="center" wrapText="1"/>
    </xf>
    <xf numFmtId="0" fontId="20" fillId="27" borderId="14" xfId="76" applyFont="1" applyFill="1" applyBorder="1" applyAlignment="1">
      <alignment horizontal="left" vertical="center" wrapText="1"/>
    </xf>
    <xf numFmtId="166" fontId="0" fillId="0" borderId="14" xfId="0" applyNumberFormat="1" applyBorder="1" applyAlignment="1">
      <alignment horizontal="left" vertical="center"/>
    </xf>
    <xf numFmtId="166" fontId="11" fillId="0" borderId="14" xfId="79" applyNumberFormat="1" applyFont="1" applyBorder="1" applyAlignment="1">
      <alignment horizontal="left" vertical="center" wrapText="1"/>
    </xf>
    <xf numFmtId="166" fontId="11" fillId="0" borderId="14" xfId="79" applyNumberFormat="1" applyFont="1" applyBorder="1" applyAlignment="1">
      <alignment horizontal="left" vertical="center"/>
    </xf>
    <xf numFmtId="3" fontId="51" fillId="0" borderId="31" xfId="0" applyNumberFormat="1" applyFont="1" applyBorder="1" applyAlignment="1" applyProtection="1">
      <alignment horizontal="left" vertical="center" wrapText="1"/>
      <protection locked="0"/>
    </xf>
    <xf numFmtId="3" fontId="62" fillId="27" borderId="31" xfId="0" applyNumberFormat="1" applyFont="1" applyFill="1" applyBorder="1" applyAlignment="1" applyProtection="1">
      <alignment horizontal="left" vertical="center" wrapText="1"/>
      <protection locked="0"/>
    </xf>
    <xf numFmtId="3" fontId="51" fillId="0" borderId="26" xfId="0" applyNumberFormat="1" applyFont="1" applyBorder="1" applyAlignment="1">
      <alignment horizontal="left" vertical="center" wrapText="1"/>
    </xf>
    <xf numFmtId="166" fontId="51" fillId="30" borderId="31" xfId="46" applyNumberFormat="1" applyFont="1" applyFill="1" applyBorder="1" applyAlignment="1">
      <alignment horizontal="left" vertical="center" wrapText="1"/>
    </xf>
    <xf numFmtId="166" fontId="51" fillId="0" borderId="36" xfId="46" applyNumberFormat="1" applyFont="1" applyBorder="1" applyAlignment="1">
      <alignment horizontal="left" vertical="center" wrapText="1"/>
    </xf>
    <xf numFmtId="164" fontId="59" fillId="0" borderId="31" xfId="46" applyNumberFormat="1" applyFont="1" applyBorder="1" applyAlignment="1">
      <alignment horizontal="left" vertical="center" wrapText="1"/>
    </xf>
    <xf numFmtId="166" fontId="59" fillId="27" borderId="31" xfId="46" applyNumberFormat="1" applyFont="1" applyFill="1" applyBorder="1" applyAlignment="1">
      <alignment horizontal="left" vertical="center" wrapText="1"/>
    </xf>
    <xf numFmtId="166" fontId="51" fillId="0" borderId="22" xfId="46" applyNumberFormat="1" applyFont="1" applyBorder="1" applyAlignment="1">
      <alignment horizontal="left" vertical="center" wrapText="1"/>
    </xf>
    <xf numFmtId="0" fontId="82" fillId="0" borderId="0" xfId="0" applyFont="1" applyAlignment="1">
      <alignment horizontal="left" vertical="center" wrapText="1"/>
    </xf>
    <xf numFmtId="166" fontId="51" fillId="0" borderId="48" xfId="46" applyNumberFormat="1" applyFont="1" applyBorder="1" applyAlignment="1">
      <alignment horizontal="left" vertical="center" wrapText="1"/>
    </xf>
    <xf numFmtId="0" fontId="51" fillId="27" borderId="31" xfId="0" applyFont="1" applyFill="1" applyBorder="1" applyAlignment="1">
      <alignment horizontal="left" vertical="center" wrapText="1"/>
    </xf>
    <xf numFmtId="166" fontId="51" fillId="27" borderId="47" xfId="46" applyNumberFormat="1" applyFont="1" applyFill="1" applyBorder="1" applyAlignment="1">
      <alignment horizontal="left" vertical="center" wrapText="1"/>
    </xf>
    <xf numFmtId="0" fontId="51" fillId="0" borderId="22" xfId="0" applyFont="1" applyBorder="1" applyAlignment="1">
      <alignment horizontal="left" vertical="center" wrapText="1"/>
    </xf>
    <xf numFmtId="0" fontId="31" fillId="0" borderId="31" xfId="0" applyFont="1" applyBorder="1" applyAlignment="1">
      <alignment horizontal="left" vertical="center" wrapText="1"/>
    </xf>
    <xf numFmtId="166" fontId="16" fillId="0" borderId="31" xfId="79" applyNumberFormat="1" applyFont="1" applyBorder="1" applyAlignment="1">
      <alignment horizontal="left" vertical="center" wrapText="1"/>
    </xf>
    <xf numFmtId="166" fontId="51" fillId="0" borderId="31" xfId="79" applyNumberFormat="1" applyFont="1" applyBorder="1" applyAlignment="1">
      <alignment horizontal="left" vertical="center" wrapText="1"/>
    </xf>
    <xf numFmtId="166" fontId="20" fillId="0" borderId="26" xfId="79" applyNumberFormat="1" applyFont="1" applyBorder="1" applyAlignment="1">
      <alignment horizontal="left" vertical="center" wrapText="1"/>
    </xf>
    <xf numFmtId="166" fontId="59" fillId="0" borderId="31" xfId="79" applyNumberFormat="1" applyFont="1" applyBorder="1" applyAlignment="1">
      <alignment horizontal="left" vertical="center" wrapText="1"/>
    </xf>
    <xf numFmtId="166" fontId="59" fillId="0" borderId="48" xfId="79" applyNumberFormat="1" applyFont="1" applyBorder="1" applyAlignment="1">
      <alignment horizontal="left" vertical="center" wrapText="1"/>
    </xf>
    <xf numFmtId="166" fontId="59" fillId="0" borderId="22" xfId="79" applyNumberFormat="1" applyFont="1" applyBorder="1" applyAlignment="1">
      <alignment horizontal="left" vertical="center" wrapText="1"/>
    </xf>
    <xf numFmtId="0" fontId="59" fillId="27" borderId="48" xfId="0" applyFont="1" applyFill="1" applyBorder="1" applyAlignment="1">
      <alignment horizontal="left" vertical="center" wrapText="1"/>
    </xf>
    <xf numFmtId="0" fontId="59" fillId="27" borderId="47" xfId="0" applyFont="1" applyFill="1" applyBorder="1" applyAlignment="1">
      <alignment horizontal="left" vertical="center" wrapText="1"/>
    </xf>
    <xf numFmtId="0" fontId="59" fillId="0" borderId="47" xfId="0" applyFont="1" applyBorder="1" applyAlignment="1">
      <alignment horizontal="left" vertical="center" wrapText="1"/>
    </xf>
    <xf numFmtId="0" fontId="59" fillId="0" borderId="39" xfId="0" applyFont="1" applyBorder="1" applyAlignment="1">
      <alignment horizontal="left" vertical="center" wrapText="1"/>
    </xf>
    <xf numFmtId="166" fontId="12" fillId="0" borderId="14" xfId="79" applyNumberFormat="1" applyFont="1" applyBorder="1" applyAlignment="1">
      <alignment horizontal="left" vertical="center" wrapText="1"/>
    </xf>
    <xf numFmtId="0" fontId="51" fillId="27" borderId="22" xfId="0" applyFont="1" applyFill="1" applyBorder="1" applyAlignment="1">
      <alignment horizontal="left" vertical="center" wrapText="1"/>
    </xf>
    <xf numFmtId="0" fontId="20" fillId="0" borderId="31" xfId="76" applyFont="1" applyBorder="1" applyAlignment="1">
      <alignment horizontal="left" vertical="center" wrapText="1"/>
    </xf>
    <xf numFmtId="0" fontId="15" fillId="0" borderId="31" xfId="76" applyFont="1" applyBorder="1" applyAlignment="1">
      <alignment horizontal="left" vertical="center" wrapText="1"/>
    </xf>
    <xf numFmtId="0" fontId="20" fillId="27" borderId="31" xfId="76" applyFont="1" applyFill="1" applyBorder="1" applyAlignment="1">
      <alignment horizontal="left" vertical="center" wrapText="1"/>
    </xf>
    <xf numFmtId="3" fontId="51" fillId="0" borderId="31" xfId="46" applyNumberFormat="1" applyFont="1" applyBorder="1" applyAlignment="1">
      <alignment horizontal="left" vertical="center" wrapText="1"/>
    </xf>
    <xf numFmtId="0" fontId="14" fillId="0" borderId="31" xfId="0" applyFont="1" applyBorder="1" applyAlignment="1">
      <alignment horizontal="left" vertical="center" wrapText="1"/>
    </xf>
    <xf numFmtId="3" fontId="51" fillId="27" borderId="31" xfId="0" applyNumberFormat="1" applyFont="1" applyFill="1" applyBorder="1" applyAlignment="1">
      <alignment horizontal="left" vertical="center" wrapText="1"/>
    </xf>
    <xf numFmtId="3" fontId="51" fillId="27" borderId="31" xfId="46" applyNumberFormat="1" applyFont="1" applyFill="1" applyBorder="1" applyAlignment="1">
      <alignment horizontal="left" vertical="center" wrapText="1"/>
    </xf>
    <xf numFmtId="3" fontId="51" fillId="0" borderId="31" xfId="73" applyNumberFormat="1" applyFont="1" applyBorder="1" applyAlignment="1">
      <alignment horizontal="left" vertical="center" wrapText="1"/>
    </xf>
    <xf numFmtId="3" fontId="51" fillId="0" borderId="31" xfId="80" applyNumberFormat="1" applyFont="1" applyBorder="1" applyAlignment="1">
      <alignment horizontal="left" vertical="center" wrapText="1"/>
    </xf>
    <xf numFmtId="3" fontId="51" fillId="0" borderId="31" xfId="72" applyNumberFormat="1" applyFont="1" applyBorder="1" applyAlignment="1">
      <alignment horizontal="left" vertical="center" wrapText="1"/>
    </xf>
    <xf numFmtId="0" fontId="51" fillId="27" borderId="31" xfId="72" applyFont="1" applyFill="1" applyBorder="1" applyAlignment="1">
      <alignment horizontal="left" vertical="center" wrapText="1"/>
    </xf>
    <xf numFmtId="3" fontId="59" fillId="0" borderId="31" xfId="78" applyNumberFormat="1" applyFont="1" applyBorder="1" applyAlignment="1">
      <alignment horizontal="left" vertical="center" wrapText="1"/>
    </xf>
    <xf numFmtId="3" fontId="20" fillId="0" borderId="31" xfId="78" applyNumberFormat="1" applyFont="1" applyBorder="1" applyAlignment="1">
      <alignment horizontal="left" vertical="center" wrapText="1"/>
    </xf>
    <xf numFmtId="0" fontId="18" fillId="0" borderId="31" xfId="76" applyFont="1" applyBorder="1" applyAlignment="1">
      <alignment horizontal="left" vertical="center" wrapText="1"/>
    </xf>
    <xf numFmtId="3" fontId="20" fillId="0" borderId="31" xfId="0" applyNumberFormat="1" applyFont="1" applyBorder="1" applyAlignment="1">
      <alignment horizontal="left" vertical="center" wrapText="1"/>
    </xf>
    <xf numFmtId="0" fontId="17" fillId="0" borderId="31" xfId="76" applyFont="1" applyBorder="1" applyAlignment="1">
      <alignment horizontal="left" vertical="center" wrapText="1"/>
    </xf>
    <xf numFmtId="0" fontId="23" fillId="0" borderId="31" xfId="76" applyBorder="1" applyAlignment="1">
      <alignment horizontal="left" vertical="center" wrapText="1"/>
    </xf>
    <xf numFmtId="0" fontId="50" fillId="38" borderId="14" xfId="0" applyFont="1" applyFill="1" applyBorder="1" applyAlignment="1">
      <alignment horizontal="center" vertical="center"/>
    </xf>
    <xf numFmtId="0" fontId="60" fillId="38" borderId="14" xfId="0" applyFont="1" applyFill="1" applyBorder="1" applyAlignment="1">
      <alignment horizontal="center" vertical="center" wrapText="1"/>
    </xf>
    <xf numFmtId="0" fontId="50" fillId="38" borderId="14" xfId="0" applyFont="1" applyFill="1" applyBorder="1" applyAlignment="1">
      <alignment horizontal="center" vertical="center" wrapText="1"/>
    </xf>
    <xf numFmtId="0" fontId="59" fillId="47" borderId="17" xfId="0" applyFont="1" applyFill="1" applyBorder="1" applyAlignment="1">
      <alignment horizontal="center" vertical="center" wrapText="1"/>
    </xf>
    <xf numFmtId="0" fontId="59" fillId="47" borderId="41" xfId="0" applyFont="1" applyFill="1" applyBorder="1" applyAlignment="1">
      <alignment horizontal="center" vertical="center" wrapText="1"/>
    </xf>
    <xf numFmtId="0" fontId="51" fillId="0" borderId="41" xfId="0" applyFont="1" applyBorder="1" applyAlignment="1">
      <alignment horizontal="center" vertical="center" wrapText="1"/>
    </xf>
    <xf numFmtId="0" fontId="51" fillId="44" borderId="14" xfId="0" applyFont="1" applyFill="1" applyBorder="1" applyAlignment="1">
      <alignment horizontal="center" vertical="center" wrapText="1"/>
    </xf>
    <xf numFmtId="0" fontId="51" fillId="50" borderId="14" xfId="0" applyFont="1" applyFill="1" applyBorder="1" applyAlignment="1">
      <alignment horizontal="center" vertical="center"/>
    </xf>
    <xf numFmtId="0" fontId="31" fillId="35" borderId="14" xfId="0" applyFont="1" applyFill="1" applyBorder="1" applyAlignment="1">
      <alignment horizontal="center" vertical="center" textRotation="90" wrapText="1"/>
    </xf>
    <xf numFmtId="166" fontId="51" fillId="24" borderId="14" xfId="79" applyNumberFormat="1" applyFont="1" applyFill="1" applyBorder="1" applyAlignment="1">
      <alignment horizontal="center" vertical="center" wrapText="1"/>
    </xf>
    <xf numFmtId="0" fontId="51" fillId="47" borderId="22" xfId="0" applyFont="1" applyFill="1" applyBorder="1" applyAlignment="1">
      <alignment horizontal="center" vertical="center"/>
    </xf>
    <xf numFmtId="0" fontId="31" fillId="35" borderId="14" xfId="52" applyFont="1" applyFill="1" applyBorder="1" applyAlignment="1">
      <alignment horizontal="center" vertical="center"/>
    </xf>
    <xf numFmtId="1" fontId="31" fillId="35" borderId="14" xfId="79" applyNumberFormat="1" applyFont="1" applyFill="1" applyBorder="1" applyAlignment="1">
      <alignment horizontal="center" vertical="center" wrapText="1"/>
    </xf>
    <xf numFmtId="0" fontId="59" fillId="27" borderId="17" xfId="0" applyFont="1" applyFill="1" applyBorder="1" applyAlignment="1">
      <alignment horizontal="center" vertical="center"/>
    </xf>
    <xf numFmtId="0" fontId="59" fillId="27" borderId="38" xfId="0" applyFont="1" applyFill="1" applyBorder="1" applyAlignment="1">
      <alignment horizontal="center" vertical="center"/>
    </xf>
    <xf numFmtId="0" fontId="59" fillId="27" borderId="41" xfId="0" applyFont="1" applyFill="1" applyBorder="1" applyAlignment="1">
      <alignment horizontal="center" vertical="center"/>
    </xf>
    <xf numFmtId="0" fontId="51" fillId="0" borderId="47" xfId="0" applyFont="1" applyBorder="1" applyAlignment="1">
      <alignment horizontal="center" vertical="center"/>
    </xf>
    <xf numFmtId="0" fontId="51" fillId="47" borderId="14" xfId="0" applyFont="1" applyFill="1" applyBorder="1" applyAlignment="1">
      <alignment horizontal="center" vertical="center"/>
    </xf>
    <xf numFmtId="0" fontId="19" fillId="27" borderId="14" xfId="76" applyFont="1" applyFill="1" applyBorder="1" applyAlignment="1">
      <alignment horizontal="center" vertical="center"/>
    </xf>
    <xf numFmtId="0" fontId="51" fillId="27" borderId="14" xfId="46" applyFont="1" applyFill="1" applyBorder="1" applyAlignment="1">
      <alignment horizontal="center" vertical="center" shrinkToFit="1"/>
    </xf>
    <xf numFmtId="0" fontId="18" fillId="27" borderId="14" xfId="76" applyFont="1" applyFill="1" applyBorder="1" applyAlignment="1">
      <alignment horizontal="center" vertical="center"/>
    </xf>
    <xf numFmtId="0" fontId="51" fillId="27" borderId="14" xfId="76" applyFont="1" applyFill="1" applyBorder="1" applyAlignment="1">
      <alignment horizontal="center" vertical="center"/>
    </xf>
    <xf numFmtId="3" fontId="12" fillId="0" borderId="14" xfId="79" applyNumberFormat="1" applyFont="1" applyBorder="1" applyAlignment="1">
      <alignment horizontal="center" vertical="center" wrapText="1"/>
    </xf>
    <xf numFmtId="0" fontId="11" fillId="0" borderId="31" xfId="76" applyFont="1" applyBorder="1" applyAlignment="1">
      <alignment horizontal="left" vertical="center" wrapText="1"/>
    </xf>
    <xf numFmtId="0" fontId="11" fillId="0" borderId="14" xfId="84" applyFont="1" applyBorder="1" applyAlignment="1">
      <alignment vertical="center" wrapText="1"/>
    </xf>
    <xf numFmtId="0" fontId="11" fillId="0" borderId="14" xfId="84" applyFont="1" applyBorder="1" applyAlignment="1">
      <alignment horizontal="center" vertical="center"/>
    </xf>
    <xf numFmtId="0" fontId="11" fillId="0" borderId="14" xfId="76" applyFont="1" applyBorder="1" applyAlignment="1">
      <alignment horizontal="left" vertical="center" wrapText="1"/>
    </xf>
    <xf numFmtId="0" fontId="11" fillId="0" borderId="14" xfId="76" applyFont="1" applyBorder="1" applyAlignment="1">
      <alignment horizontal="center" vertical="center" wrapText="1"/>
    </xf>
    <xf numFmtId="166" fontId="51" fillId="39" borderId="16" xfId="46" applyNumberFormat="1" applyFont="1" applyFill="1" applyBorder="1" applyAlignment="1">
      <alignment horizontal="left" vertical="center" wrapText="1"/>
    </xf>
    <xf numFmtId="0" fontId="10" fillId="0" borderId="31" xfId="76" applyFont="1" applyBorder="1" applyAlignment="1">
      <alignment horizontal="left" vertical="center" wrapText="1"/>
    </xf>
    <xf numFmtId="166" fontId="51" fillId="27" borderId="47" xfId="46" applyNumberFormat="1" applyFont="1" applyFill="1" applyBorder="1" applyAlignment="1">
      <alignment horizontal="left" wrapText="1"/>
    </xf>
    <xf numFmtId="49" fontId="9" fillId="0" borderId="14" xfId="84" applyNumberFormat="1" applyFont="1" applyBorder="1" applyAlignment="1">
      <alignment horizontal="center" vertical="center"/>
    </xf>
    <xf numFmtId="0" fontId="9" fillId="27" borderId="14" xfId="84" applyFont="1" applyFill="1" applyBorder="1" applyAlignment="1">
      <alignment vertical="center" wrapText="1"/>
    </xf>
    <xf numFmtId="0" fontId="9" fillId="0" borderId="14" xfId="84" applyFont="1" applyBorder="1" applyAlignment="1">
      <alignment horizontal="center" vertical="center"/>
    </xf>
    <xf numFmtId="0" fontId="9" fillId="0" borderId="14" xfId="84" applyFont="1" applyBorder="1" applyAlignment="1">
      <alignment vertical="center" wrapText="1"/>
    </xf>
    <xf numFmtId="0" fontId="9" fillId="0" borderId="17" xfId="84" applyFont="1" applyBorder="1" applyAlignment="1">
      <alignment horizontal="center" vertical="center"/>
    </xf>
    <xf numFmtId="0" fontId="9" fillId="27" borderId="14" xfId="84" applyFont="1" applyFill="1" applyBorder="1" applyAlignment="1">
      <alignment horizontal="center" vertical="center"/>
    </xf>
    <xf numFmtId="0" fontId="9" fillId="0" borderId="31" xfId="76" applyFont="1" applyBorder="1" applyAlignment="1">
      <alignment horizontal="left" vertical="center" wrapText="1"/>
    </xf>
    <xf numFmtId="0" fontId="9" fillId="27" borderId="14" xfId="76" applyFont="1" applyFill="1" applyBorder="1" applyAlignment="1">
      <alignment horizontal="center" vertical="center"/>
    </xf>
    <xf numFmtId="166" fontId="59" fillId="0" borderId="37" xfId="79" applyNumberFormat="1" applyFont="1" applyBorder="1" applyAlignment="1">
      <alignment horizontal="left" vertical="center"/>
    </xf>
    <xf numFmtId="3" fontId="59" fillId="0" borderId="35" xfId="79" applyNumberFormat="1" applyFont="1" applyBorder="1" applyAlignment="1">
      <alignment horizontal="center" vertical="center"/>
    </xf>
    <xf numFmtId="0" fontId="59" fillId="0" borderId="17" xfId="0" applyFont="1" applyBorder="1" applyAlignment="1">
      <alignment horizontal="left"/>
    </xf>
    <xf numFmtId="49" fontId="51" fillId="0" borderId="41" xfId="79" applyNumberFormat="1" applyFont="1" applyBorder="1" applyAlignment="1">
      <alignment horizontal="center" vertical="center" wrapText="1"/>
    </xf>
    <xf numFmtId="49" fontId="51" fillId="0" borderId="43" xfId="79" applyNumberFormat="1" applyFont="1" applyBorder="1" applyAlignment="1">
      <alignment horizontal="center" vertical="center" wrapText="1"/>
    </xf>
    <xf numFmtId="49" fontId="51" fillId="0" borderId="31" xfId="79" applyNumberFormat="1" applyFont="1" applyBorder="1" applyAlignment="1">
      <alignment horizontal="center" vertical="center" wrapText="1"/>
    </xf>
    <xf numFmtId="166" fontId="20" fillId="0" borderId="16" xfId="79" applyNumberFormat="1" applyFont="1" applyBorder="1" applyAlignment="1">
      <alignment horizontal="left" vertical="center"/>
    </xf>
    <xf numFmtId="3" fontId="20" fillId="0" borderId="43" xfId="79" applyNumberFormat="1" applyFont="1" applyBorder="1" applyAlignment="1">
      <alignment horizontal="center" vertical="center"/>
    </xf>
    <xf numFmtId="164" fontId="51" fillId="50" borderId="14" xfId="0" applyNumberFormat="1" applyFont="1" applyFill="1" applyBorder="1" applyAlignment="1">
      <alignment horizontal="center" vertical="center" wrapText="1"/>
    </xf>
    <xf numFmtId="166" fontId="51" fillId="29" borderId="17" xfId="79" applyNumberFormat="1" applyFont="1" applyFill="1" applyBorder="1" applyAlignment="1">
      <alignment horizontal="center" vertical="center" wrapText="1"/>
    </xf>
    <xf numFmtId="164" fontId="51" fillId="0" borderId="17" xfId="79" applyNumberFormat="1" applyFont="1" applyBorder="1" applyAlignment="1">
      <alignment horizontal="center" vertical="center" wrapText="1"/>
    </xf>
    <xf numFmtId="164" fontId="51" fillId="0" borderId="30" xfId="79" applyNumberFormat="1" applyFont="1" applyBorder="1" applyAlignment="1">
      <alignment horizontal="center" vertical="center" wrapText="1"/>
    </xf>
    <xf numFmtId="49" fontId="51" fillId="40" borderId="17" xfId="0" quotePrefix="1" applyNumberFormat="1" applyFont="1" applyFill="1" applyBorder="1" applyAlignment="1">
      <alignment horizontal="left" vertical="center" wrapText="1"/>
    </xf>
    <xf numFmtId="49" fontId="51" fillId="40" borderId="23" xfId="0" applyNumberFormat="1" applyFont="1" applyFill="1" applyBorder="1" applyAlignment="1">
      <alignment horizontal="center" vertical="center" wrapText="1"/>
    </xf>
    <xf numFmtId="0" fontId="59" fillId="38" borderId="14" xfId="0" applyFont="1" applyFill="1" applyBorder="1" applyAlignment="1">
      <alignment horizontal="center" wrapText="1"/>
    </xf>
    <xf numFmtId="0" fontId="51" fillId="38" borderId="14" xfId="0" applyFont="1" applyFill="1" applyBorder="1" applyAlignment="1">
      <alignment horizontal="center"/>
    </xf>
    <xf numFmtId="166" fontId="51" fillId="27" borderId="17" xfId="79" applyNumberFormat="1" applyFont="1" applyFill="1" applyBorder="1" applyAlignment="1">
      <alignment horizontal="left" vertical="center" wrapText="1"/>
    </xf>
    <xf numFmtId="166" fontId="51" fillId="38" borderId="14" xfId="0" applyNumberFormat="1" applyFont="1" applyFill="1" applyBorder="1" applyAlignment="1">
      <alignment horizontal="center" wrapText="1"/>
    </xf>
    <xf numFmtId="166" fontId="9" fillId="0" borderId="14" xfId="88" applyNumberFormat="1" applyFont="1" applyBorder="1" applyAlignment="1">
      <alignment horizontal="left" vertical="center" wrapText="1"/>
    </xf>
    <xf numFmtId="166" fontId="9" fillId="27" borderId="14" xfId="88" applyNumberFormat="1" applyFont="1" applyFill="1" applyBorder="1" applyAlignment="1">
      <alignment horizontal="center" vertical="center"/>
    </xf>
    <xf numFmtId="166" fontId="9" fillId="0" borderId="14" xfId="88" applyNumberFormat="1" applyFont="1" applyBorder="1" applyAlignment="1">
      <alignment horizontal="center" vertical="center"/>
    </xf>
    <xf numFmtId="166" fontId="51" fillId="41" borderId="17" xfId="46" applyNumberFormat="1" applyFont="1" applyFill="1" applyBorder="1" applyAlignment="1">
      <alignment horizontal="center" vertical="center" wrapText="1"/>
    </xf>
    <xf numFmtId="166" fontId="51" fillId="39" borderId="14" xfId="88" applyNumberFormat="1" applyFont="1" applyFill="1" applyBorder="1" applyAlignment="1">
      <alignment horizontal="center" vertical="center" wrapText="1"/>
    </xf>
    <xf numFmtId="166" fontId="9" fillId="0" borderId="16" xfId="88" applyNumberFormat="1" applyFont="1" applyBorder="1" applyAlignment="1">
      <alignment horizontal="left" vertical="center"/>
    </xf>
    <xf numFmtId="166" fontId="9" fillId="0" borderId="36" xfId="88" applyNumberFormat="1" applyFont="1" applyBorder="1" applyAlignment="1">
      <alignment horizontal="left" vertical="center"/>
    </xf>
    <xf numFmtId="166" fontId="59" fillId="0" borderId="31" xfId="88" applyNumberFormat="1" applyFont="1" applyBorder="1" applyAlignment="1">
      <alignment vertical="center" wrapText="1"/>
    </xf>
    <xf numFmtId="166" fontId="9" fillId="0" borderId="14" xfId="88" applyNumberFormat="1" applyFont="1" applyBorder="1" applyAlignment="1">
      <alignment horizontal="left" vertical="center"/>
    </xf>
    <xf numFmtId="166" fontId="9" fillId="0" borderId="17" xfId="88" applyNumberFormat="1" applyFont="1" applyBorder="1" applyAlignment="1">
      <alignment horizontal="left" vertical="center"/>
    </xf>
    <xf numFmtId="166" fontId="9" fillId="0" borderId="36" xfId="88" applyNumberFormat="1" applyFont="1" applyBorder="1" applyAlignment="1">
      <alignment vertical="center" wrapText="1"/>
    </xf>
    <xf numFmtId="0" fontId="76" fillId="0" borderId="14" xfId="0" applyFont="1" applyBorder="1" applyAlignment="1">
      <alignment horizontal="center" wrapText="1"/>
    </xf>
    <xf numFmtId="0" fontId="0" fillId="0" borderId="14" xfId="0" applyBorder="1" applyAlignment="1">
      <alignment horizontal="center"/>
    </xf>
    <xf numFmtId="0" fontId="77" fillId="0" borderId="11" xfId="0" applyFont="1" applyBorder="1" applyAlignment="1">
      <alignment wrapText="1"/>
    </xf>
    <xf numFmtId="0" fontId="31" fillId="0" borderId="20" xfId="0" applyFont="1" applyBorder="1" applyAlignment="1">
      <alignment horizontal="center"/>
    </xf>
    <xf numFmtId="0" fontId="76" fillId="0" borderId="11" xfId="0" applyFont="1" applyBorder="1" applyAlignment="1">
      <alignment wrapText="1"/>
    </xf>
    <xf numFmtId="0" fontId="78" fillId="0" borderId="11" xfId="0" applyFont="1" applyBorder="1" applyAlignment="1">
      <alignment wrapText="1"/>
    </xf>
    <xf numFmtId="0" fontId="76" fillId="0" borderId="32" xfId="0" applyFont="1" applyBorder="1" applyAlignment="1">
      <alignment wrapText="1"/>
    </xf>
    <xf numFmtId="0" fontId="0" fillId="0" borderId="21" xfId="0" applyBorder="1" applyAlignment="1">
      <alignment horizontal="center"/>
    </xf>
    <xf numFmtId="0" fontId="31" fillId="0" borderId="25" xfId="0" applyFont="1" applyBorder="1" applyAlignment="1">
      <alignment horizontal="center"/>
    </xf>
    <xf numFmtId="0" fontId="76" fillId="0" borderId="33" xfId="0" applyFont="1" applyBorder="1" applyAlignment="1">
      <alignment wrapText="1"/>
    </xf>
    <xf numFmtId="0" fontId="76" fillId="0" borderId="13" xfId="0" applyFont="1" applyBorder="1" applyAlignment="1">
      <alignment horizontal="center" wrapText="1"/>
    </xf>
    <xf numFmtId="0" fontId="76" fillId="0" borderId="34" xfId="0" applyFont="1" applyBorder="1" applyAlignment="1">
      <alignment horizontal="center" vertical="center" wrapText="1"/>
    </xf>
    <xf numFmtId="0" fontId="76" fillId="0" borderId="15" xfId="0" applyFont="1" applyBorder="1" applyAlignment="1">
      <alignment wrapText="1"/>
    </xf>
    <xf numFmtId="0" fontId="76" fillId="0" borderId="23" xfId="0" applyFont="1" applyBorder="1" applyAlignment="1">
      <alignment horizontal="center" wrapText="1"/>
    </xf>
    <xf numFmtId="0" fontId="77" fillId="0" borderId="18" xfId="0" applyFont="1" applyBorder="1" applyAlignment="1">
      <alignment wrapText="1"/>
    </xf>
    <xf numFmtId="0" fontId="77" fillId="0" borderId="12" xfId="0" applyFont="1" applyBorder="1" applyAlignment="1">
      <alignment horizontal="center" wrapText="1"/>
    </xf>
    <xf numFmtId="0" fontId="0" fillId="0" borderId="19" xfId="0" applyBorder="1" applyAlignment="1">
      <alignment horizontal="center"/>
    </xf>
    <xf numFmtId="49" fontId="31" fillId="0" borderId="20" xfId="0" applyNumberFormat="1" applyFont="1" applyBorder="1" applyAlignment="1">
      <alignment horizontal="center"/>
    </xf>
    <xf numFmtId="49" fontId="31" fillId="0" borderId="20" xfId="0" applyNumberFormat="1" applyFont="1" applyBorder="1" applyAlignment="1">
      <alignment horizontal="center" wrapText="1"/>
    </xf>
    <xf numFmtId="166" fontId="8" fillId="0" borderId="31" xfId="79" applyNumberFormat="1" applyFont="1" applyBorder="1" applyAlignment="1">
      <alignment horizontal="left" vertical="center" wrapText="1"/>
    </xf>
    <xf numFmtId="0" fontId="51" fillId="0" borderId="48" xfId="0" applyFont="1" applyBorder="1" applyAlignment="1">
      <alignment horizontal="left" vertical="center" wrapText="1"/>
    </xf>
    <xf numFmtId="0" fontId="51" fillId="0" borderId="22" xfId="75" applyFont="1" applyBorder="1" applyAlignment="1">
      <alignment horizontal="left" vertical="center" wrapText="1"/>
    </xf>
    <xf numFmtId="0" fontId="51" fillId="0" borderId="48" xfId="75" applyFont="1" applyBorder="1" applyAlignment="1">
      <alignment horizontal="left" vertical="center" wrapText="1"/>
    </xf>
    <xf numFmtId="0" fontId="51" fillId="0" borderId="0" xfId="75" applyFont="1" applyAlignment="1">
      <alignment horizontal="left" vertical="center" wrapText="1"/>
    </xf>
    <xf numFmtId="166" fontId="50" fillId="0" borderId="31" xfId="0" applyNumberFormat="1" applyFont="1" applyBorder="1" applyAlignment="1">
      <alignment horizontal="left" vertical="center" wrapText="1"/>
    </xf>
    <xf numFmtId="0" fontId="51" fillId="0" borderId="26" xfId="75" applyFont="1" applyBorder="1" applyAlignment="1">
      <alignment horizontal="left" vertical="center" wrapText="1"/>
    </xf>
    <xf numFmtId="0" fontId="51" fillId="0" borderId="31" xfId="77" applyFont="1" applyBorder="1" applyAlignment="1">
      <alignment horizontal="left" vertical="center" wrapText="1"/>
    </xf>
    <xf numFmtId="166" fontId="69" fillId="0" borderId="31" xfId="79" applyNumberFormat="1" applyFont="1" applyBorder="1" applyAlignment="1">
      <alignment horizontal="left" vertical="center" wrapText="1"/>
    </xf>
    <xf numFmtId="0" fontId="59" fillId="0" borderId="50" xfId="0" applyFont="1" applyBorder="1" applyAlignment="1">
      <alignment horizontal="left" vertical="center" wrapText="1"/>
    </xf>
    <xf numFmtId="0" fontId="59" fillId="0" borderId="47" xfId="77" applyFont="1" applyBorder="1" applyAlignment="1">
      <alignment horizontal="left" vertical="center" wrapText="1"/>
    </xf>
    <xf numFmtId="0" fontId="20" fillId="0" borderId="31" xfId="77" applyFont="1" applyBorder="1" applyAlignment="1">
      <alignment horizontal="left" vertical="center" wrapText="1"/>
    </xf>
    <xf numFmtId="0" fontId="59" fillId="0" borderId="31" xfId="77" applyFont="1" applyBorder="1" applyAlignment="1">
      <alignment horizontal="left" vertical="center" wrapText="1"/>
    </xf>
    <xf numFmtId="0" fontId="59" fillId="0" borderId="36" xfId="77" applyFont="1" applyBorder="1" applyAlignment="1">
      <alignment horizontal="left" vertical="center" wrapText="1"/>
    </xf>
    <xf numFmtId="166" fontId="9" fillId="0" borderId="14" xfId="88" applyNumberFormat="1" applyFont="1" applyBorder="1" applyAlignment="1">
      <alignment vertical="center" wrapText="1"/>
    </xf>
    <xf numFmtId="166" fontId="69" fillId="0" borderId="36" xfId="79" applyNumberFormat="1" applyFont="1" applyBorder="1" applyAlignment="1">
      <alignment horizontal="left" vertical="center" wrapText="1"/>
    </xf>
    <xf numFmtId="0" fontId="51" fillId="0" borderId="51" xfId="0" applyFont="1" applyBorder="1" applyAlignment="1">
      <alignment horizontal="left" vertical="center" wrapText="1"/>
    </xf>
    <xf numFmtId="166" fontId="20" fillId="0" borderId="31" xfId="46" applyNumberFormat="1" applyFont="1" applyBorder="1" applyAlignment="1">
      <alignment horizontal="left" vertical="center" wrapText="1"/>
    </xf>
    <xf numFmtId="166" fontId="51" fillId="0" borderId="31" xfId="0" applyNumberFormat="1" applyFont="1" applyBorder="1" applyAlignment="1">
      <alignment horizontal="left" vertical="center" wrapText="1"/>
    </xf>
    <xf numFmtId="0" fontId="59" fillId="47" borderId="23" xfId="73" applyFont="1" applyFill="1" applyBorder="1" applyAlignment="1">
      <alignment horizontal="center" vertical="center" wrapText="1"/>
    </xf>
    <xf numFmtId="0" fontId="59" fillId="0" borderId="23" xfId="73" applyFont="1" applyBorder="1" applyAlignment="1">
      <alignment horizontal="center" vertical="center" wrapText="1"/>
    </xf>
    <xf numFmtId="164" fontId="59" fillId="0" borderId="10" xfId="0" applyNumberFormat="1" applyFont="1" applyBorder="1" applyAlignment="1">
      <alignment horizontal="center" vertical="center" wrapText="1"/>
    </xf>
    <xf numFmtId="0" fontId="7" fillId="0" borderId="36" xfId="0" applyFont="1" applyBorder="1" applyAlignment="1">
      <alignment horizontal="left" vertical="center" wrapText="1"/>
    </xf>
    <xf numFmtId="0" fontId="51" fillId="27" borderId="23" xfId="46" applyFont="1" applyFill="1" applyBorder="1" applyAlignment="1">
      <alignment horizontal="left" vertical="center" wrapText="1"/>
    </xf>
    <xf numFmtId="0" fontId="51" fillId="0" borderId="23" xfId="0" applyFont="1" applyBorder="1" applyAlignment="1">
      <alignment vertical="center" wrapText="1"/>
    </xf>
    <xf numFmtId="1" fontId="51" fillId="24" borderId="23" xfId="46" applyNumberFormat="1" applyFont="1" applyFill="1" applyBorder="1" applyAlignment="1">
      <alignment horizontal="center" vertical="center" wrapText="1"/>
    </xf>
    <xf numFmtId="0" fontId="51" fillId="0" borderId="16" xfId="46" quotePrefix="1" applyFont="1" applyBorder="1" applyAlignment="1">
      <alignment horizontal="center" vertical="center" wrapText="1"/>
    </xf>
    <xf numFmtId="0" fontId="51" fillId="0" borderId="14" xfId="0" applyFont="1" applyBorder="1" applyAlignment="1">
      <alignment horizontal="center" wrapText="1"/>
    </xf>
    <xf numFmtId="166" fontId="51" fillId="0" borderId="14" xfId="88" applyNumberFormat="1" applyFont="1" applyBorder="1" applyAlignment="1">
      <alignment horizontal="center" wrapText="1"/>
    </xf>
    <xf numFmtId="166" fontId="51" fillId="34" borderId="14" xfId="0" applyNumberFormat="1" applyFont="1" applyFill="1" applyBorder="1" applyAlignment="1">
      <alignment horizontal="center" wrapText="1"/>
    </xf>
    <xf numFmtId="166" fontId="51" fillId="0" borderId="31" xfId="88" applyNumberFormat="1" applyFont="1" applyBorder="1" applyAlignment="1">
      <alignment vertical="center" wrapText="1"/>
    </xf>
    <xf numFmtId="166" fontId="6" fillId="0" borderId="14" xfId="88" applyNumberFormat="1" applyFont="1" applyBorder="1" applyAlignment="1">
      <alignment horizontal="left" vertical="center" wrapText="1"/>
    </xf>
    <xf numFmtId="3" fontId="6" fillId="0" borderId="14" xfId="88" applyNumberFormat="1" applyFont="1" applyBorder="1" applyAlignment="1">
      <alignment horizontal="center" vertical="center" wrapText="1"/>
    </xf>
    <xf numFmtId="166" fontId="51" fillId="27" borderId="0" xfId="0" applyNumberFormat="1" applyFont="1" applyFill="1" applyAlignment="1">
      <alignment horizontal="center" vertical="center"/>
    </xf>
    <xf numFmtId="166" fontId="59" fillId="0" borderId="50" xfId="79" applyNumberFormat="1" applyFont="1" applyBorder="1" applyAlignment="1">
      <alignment horizontal="left" vertical="center" wrapText="1"/>
    </xf>
    <xf numFmtId="166" fontId="59" fillId="27" borderId="43" xfId="79" applyNumberFormat="1" applyFont="1" applyFill="1" applyBorder="1" applyAlignment="1">
      <alignment horizontal="left" vertical="center" wrapText="1"/>
    </xf>
    <xf numFmtId="3" fontId="59" fillId="27" borderId="43" xfId="79" applyNumberFormat="1" applyFont="1" applyFill="1" applyBorder="1" applyAlignment="1">
      <alignment horizontal="center" vertical="center" wrapText="1"/>
    </xf>
    <xf numFmtId="166" fontId="20" fillId="27" borderId="43" xfId="79" applyNumberFormat="1" applyFont="1" applyFill="1" applyBorder="1" applyAlignment="1">
      <alignment horizontal="left" vertical="center"/>
    </xf>
    <xf numFmtId="166" fontId="8" fillId="0" borderId="14" xfId="79" applyNumberFormat="1" applyFont="1" applyBorder="1" applyAlignment="1">
      <alignment horizontal="left" vertical="center" wrapText="1"/>
    </xf>
    <xf numFmtId="0" fontId="51" fillId="0" borderId="17" xfId="0" applyFont="1" applyBorder="1" applyAlignment="1">
      <alignment horizontal="right" vertical="center" wrapText="1"/>
    </xf>
    <xf numFmtId="166" fontId="6" fillId="0" borderId="14" xfId="79" applyNumberFormat="1" applyFont="1" applyBorder="1" applyAlignment="1">
      <alignment horizontal="left" vertical="center" wrapText="1"/>
    </xf>
    <xf numFmtId="0" fontId="51" fillId="27" borderId="14" xfId="52" applyFont="1" applyFill="1" applyBorder="1" applyAlignment="1">
      <alignment horizontal="left" vertical="center" wrapText="1"/>
    </xf>
    <xf numFmtId="49" fontId="51" fillId="27" borderId="14" xfId="52" applyNumberFormat="1" applyFont="1" applyFill="1" applyBorder="1" applyAlignment="1">
      <alignment horizontal="center" vertical="center" wrapText="1"/>
    </xf>
    <xf numFmtId="0" fontId="51" fillId="27" borderId="14" xfId="0" applyFont="1" applyFill="1" applyBorder="1" applyAlignment="1">
      <alignment horizontal="center" wrapText="1"/>
    </xf>
    <xf numFmtId="0" fontId="51" fillId="27" borderId="14" xfId="75" applyFont="1" applyFill="1" applyBorder="1" applyAlignment="1">
      <alignment horizontal="center" vertical="center" wrapText="1"/>
    </xf>
    <xf numFmtId="0" fontId="59" fillId="55" borderId="23" xfId="73" applyFont="1" applyFill="1" applyBorder="1" applyAlignment="1">
      <alignment horizontal="center" vertical="center" wrapText="1"/>
    </xf>
    <xf numFmtId="0" fontId="59" fillId="27" borderId="23" xfId="0" applyFont="1" applyFill="1" applyBorder="1" applyAlignment="1">
      <alignment horizontal="left" vertical="center" wrapText="1"/>
    </xf>
    <xf numFmtId="0" fontId="20" fillId="27" borderId="23" xfId="0" applyFont="1" applyFill="1" applyBorder="1" applyAlignment="1">
      <alignment horizontal="center" vertical="center" wrapText="1"/>
    </xf>
    <xf numFmtId="0" fontId="7" fillId="27" borderId="17" xfId="0" applyFont="1" applyFill="1" applyBorder="1" applyAlignment="1">
      <alignment horizontal="left" vertical="center" wrapText="1"/>
    </xf>
    <xf numFmtId="166" fontId="51" fillId="27" borderId="14" xfId="46" applyNumberFormat="1" applyFont="1" applyFill="1" applyBorder="1" applyAlignment="1">
      <alignment vertical="center" wrapText="1"/>
    </xf>
    <xf numFmtId="0" fontId="5" fillId="0" borderId="36" xfId="77" applyFont="1" applyBorder="1"/>
    <xf numFmtId="0" fontId="5" fillId="0" borderId="31" xfId="76" applyFont="1" applyBorder="1" applyAlignment="1">
      <alignment horizontal="left" vertical="center" wrapText="1"/>
    </xf>
    <xf numFmtId="166" fontId="4" fillId="0" borderId="31" xfId="88" applyNumberFormat="1" applyFont="1" applyBorder="1" applyAlignment="1">
      <alignment vertical="center"/>
    </xf>
    <xf numFmtId="0" fontId="55" fillId="27" borderId="14" xfId="46" applyFont="1" applyFill="1" applyBorder="1" applyAlignment="1">
      <alignment horizontal="center" vertical="center" wrapText="1"/>
    </xf>
    <xf numFmtId="0" fontId="51" fillId="0" borderId="50" xfId="75" applyFont="1" applyBorder="1" applyAlignment="1">
      <alignment horizontal="left" vertical="center" wrapText="1"/>
    </xf>
    <xf numFmtId="0" fontId="51" fillId="0" borderId="43" xfId="75" applyFont="1" applyBorder="1" applyAlignment="1">
      <alignment horizontal="left" vertical="center" wrapText="1"/>
    </xf>
    <xf numFmtId="0" fontId="51" fillId="0" borderId="22" xfId="75" applyFont="1" applyBorder="1" applyAlignment="1">
      <alignment horizontal="center" vertical="center"/>
    </xf>
    <xf numFmtId="0" fontId="51" fillId="0" borderId="23" xfId="75" applyFont="1" applyBorder="1"/>
    <xf numFmtId="0" fontId="51" fillId="27" borderId="14" xfId="75" applyFont="1" applyFill="1" applyBorder="1" applyAlignment="1">
      <alignment horizontal="left" vertical="center" wrapText="1"/>
    </xf>
    <xf numFmtId="166" fontId="51" fillId="0" borderId="14" xfId="46" applyNumberFormat="1" applyFont="1" applyBorder="1" applyAlignment="1">
      <alignment vertical="center"/>
    </xf>
    <xf numFmtId="0" fontId="51" fillId="0" borderId="14" xfId="72" applyFont="1" applyBorder="1" applyAlignment="1">
      <alignment horizontal="center" vertical="center" wrapText="1"/>
    </xf>
    <xf numFmtId="166" fontId="59" fillId="0" borderId="36" xfId="88" applyNumberFormat="1" applyFont="1" applyBorder="1" applyAlignment="1">
      <alignment vertical="center" wrapText="1"/>
    </xf>
    <xf numFmtId="166" fontId="9" fillId="0" borderId="36" xfId="88" applyNumberFormat="1" applyFont="1" applyBorder="1" applyAlignment="1">
      <alignment horizontal="left" vertical="center" wrapText="1"/>
    </xf>
    <xf numFmtId="1" fontId="51" fillId="0" borderId="14" xfId="88" applyNumberFormat="1" applyFont="1" applyBorder="1" applyAlignment="1">
      <alignment horizontal="center" vertical="center" wrapText="1"/>
    </xf>
    <xf numFmtId="49" fontId="51" fillId="0" borderId="14" xfId="88" applyNumberFormat="1" applyFont="1" applyBorder="1" applyAlignment="1">
      <alignment horizontal="center" vertical="center" wrapText="1"/>
    </xf>
    <xf numFmtId="166" fontId="51" fillId="0" borderId="14" xfId="88" applyNumberFormat="1" applyFont="1" applyBorder="1" applyAlignment="1">
      <alignment horizontal="left" vertical="center" wrapText="1"/>
    </xf>
    <xf numFmtId="166" fontId="51" fillId="27" borderId="14" xfId="88" applyNumberFormat="1" applyFont="1" applyFill="1" applyBorder="1" applyAlignment="1">
      <alignment horizontal="center" vertical="center" wrapText="1"/>
    </xf>
    <xf numFmtId="1" fontId="51" fillId="0" borderId="14" xfId="88" applyNumberFormat="1" applyFont="1" applyBorder="1" applyAlignment="1">
      <alignment horizontal="center" wrapText="1"/>
    </xf>
    <xf numFmtId="166" fontId="51" fillId="27" borderId="14" xfId="88" applyNumberFormat="1" applyFont="1" applyFill="1" applyBorder="1" applyAlignment="1">
      <alignment horizontal="center" wrapText="1"/>
    </xf>
    <xf numFmtId="166" fontId="3" fillId="0" borderId="14" xfId="88" applyNumberFormat="1" applyFont="1" applyBorder="1" applyAlignment="1">
      <alignment vertical="center"/>
    </xf>
    <xf numFmtId="166" fontId="3" fillId="0" borderId="14" xfId="88" applyNumberFormat="1" applyFont="1" applyBorder="1" applyAlignment="1">
      <alignment horizontal="left" vertical="center" wrapText="1"/>
    </xf>
    <xf numFmtId="3" fontId="3" fillId="0" borderId="14" xfId="88" applyNumberFormat="1" applyFont="1" applyBorder="1" applyAlignment="1">
      <alignment horizontal="center" vertical="center"/>
    </xf>
    <xf numFmtId="166" fontId="59" fillId="0" borderId="30" xfId="88" applyNumberFormat="1" applyFont="1" applyBorder="1" applyAlignment="1">
      <alignment horizontal="left" vertical="center" wrapText="1"/>
    </xf>
    <xf numFmtId="3" fontId="59" fillId="0" borderId="52" xfId="88" applyNumberFormat="1" applyFont="1" applyBorder="1" applyAlignment="1">
      <alignment horizontal="center" vertical="center" wrapText="1"/>
    </xf>
    <xf numFmtId="166" fontId="59" fillId="0" borderId="14" xfId="88" applyNumberFormat="1" applyFont="1" applyBorder="1" applyAlignment="1">
      <alignment horizontal="left" vertical="center" wrapText="1"/>
    </xf>
    <xf numFmtId="3" fontId="59" fillId="0" borderId="14" xfId="88" applyNumberFormat="1" applyFont="1" applyBorder="1" applyAlignment="1">
      <alignment horizontal="center" vertical="center" wrapText="1"/>
    </xf>
    <xf numFmtId="164" fontId="51" fillId="38" borderId="14" xfId="46" applyNumberFormat="1" applyFont="1" applyFill="1" applyBorder="1" applyAlignment="1">
      <alignment horizontal="center" vertical="center" wrapText="1"/>
    </xf>
    <xf numFmtId="164" fontId="51" fillId="40" borderId="22" xfId="0" applyNumberFormat="1" applyFont="1" applyFill="1" applyBorder="1" applyAlignment="1">
      <alignment horizontal="left" vertical="center" wrapText="1"/>
    </xf>
    <xf numFmtId="0" fontId="2" fillId="27" borderId="14" xfId="76" applyFont="1" applyFill="1" applyBorder="1" applyAlignment="1">
      <alignment horizontal="center" vertical="center"/>
    </xf>
    <xf numFmtId="0" fontId="51" fillId="0" borderId="17" xfId="0" applyFont="1" applyBorder="1" applyAlignment="1">
      <alignment horizontal="left" vertical="center" wrapText="1"/>
    </xf>
    <xf numFmtId="0" fontId="51" fillId="0" borderId="35" xfId="0" applyFont="1" applyBorder="1" applyAlignment="1">
      <alignment horizontal="left" vertical="center" wrapText="1"/>
    </xf>
    <xf numFmtId="0" fontId="51" fillId="0" borderId="23" xfId="0" applyFont="1" applyBorder="1" applyAlignment="1">
      <alignment horizontal="left" vertical="center" wrapText="1"/>
    </xf>
    <xf numFmtId="166" fontId="50" fillId="0" borderId="53" xfId="46" applyNumberFormat="1" applyFont="1" applyBorder="1" applyAlignment="1">
      <alignment horizontal="center" vertical="center" wrapText="1"/>
    </xf>
    <xf numFmtId="0" fontId="51" fillId="0" borderId="0" xfId="46" applyFont="1" applyAlignment="1" applyProtection="1">
      <alignment horizontal="left" wrapText="1"/>
      <protection locked="0"/>
    </xf>
    <xf numFmtId="0" fontId="51" fillId="27" borderId="24" xfId="0" applyFont="1" applyFill="1" applyBorder="1" applyAlignment="1" applyProtection="1">
      <alignment horizontal="left" wrapText="1"/>
      <protection locked="0"/>
    </xf>
    <xf numFmtId="0" fontId="50" fillId="49" borderId="27" xfId="0" applyFont="1" applyFill="1" applyBorder="1" applyAlignment="1">
      <alignment horizontal="center" vertical="center" wrapText="1"/>
    </xf>
    <xf numFmtId="0" fontId="50" fillId="49" borderId="28" xfId="0" applyFont="1" applyFill="1" applyBorder="1" applyAlignment="1">
      <alignment horizontal="center" vertical="center" wrapText="1"/>
    </xf>
    <xf numFmtId="0" fontId="50" fillId="49" borderId="29" xfId="0" applyFont="1" applyFill="1" applyBorder="1" applyAlignment="1">
      <alignment horizontal="center" vertical="center" wrapText="1"/>
    </xf>
    <xf numFmtId="0" fontId="51" fillId="0" borderId="17" xfId="46" applyFont="1" applyBorder="1" applyAlignment="1">
      <alignment horizontal="left" vertical="center" wrapText="1"/>
    </xf>
    <xf numFmtId="0" fontId="51" fillId="0" borderId="35" xfId="46" applyFont="1" applyBorder="1" applyAlignment="1">
      <alignment horizontal="left" vertical="center" wrapText="1"/>
    </xf>
    <xf numFmtId="0" fontId="51" fillId="0" borderId="23" xfId="46" applyFont="1" applyBorder="1" applyAlignment="1">
      <alignment horizontal="left" vertical="center" wrapText="1"/>
    </xf>
    <xf numFmtId="0" fontId="51" fillId="0" borderId="14" xfId="46" applyFont="1" applyBorder="1" applyAlignment="1">
      <alignment horizontal="left" vertical="center" wrapText="1"/>
    </xf>
    <xf numFmtId="0" fontId="51" fillId="27" borderId="17" xfId="46" applyFont="1" applyFill="1" applyBorder="1" applyAlignment="1">
      <alignment horizontal="left" vertical="center" wrapText="1"/>
    </xf>
    <xf numFmtId="0" fontId="51" fillId="27" borderId="35" xfId="46" applyFont="1" applyFill="1" applyBorder="1" applyAlignment="1">
      <alignment horizontal="left" vertical="center" wrapText="1"/>
    </xf>
    <xf numFmtId="0" fontId="51" fillId="27" borderId="23" xfId="46" applyFont="1" applyFill="1" applyBorder="1" applyAlignment="1">
      <alignment horizontal="left" vertical="center" wrapText="1"/>
    </xf>
    <xf numFmtId="0" fontId="59" fillId="0" borderId="17" xfId="0" applyFont="1" applyBorder="1" applyAlignment="1">
      <alignment horizontal="left" vertical="center" wrapText="1"/>
    </xf>
    <xf numFmtId="0" fontId="59" fillId="0" borderId="23" xfId="0" applyFont="1" applyBorder="1" applyAlignment="1">
      <alignment horizontal="left" vertical="center" wrapText="1"/>
    </xf>
    <xf numFmtId="0" fontId="59" fillId="0" borderId="55" xfId="0" applyFont="1" applyBorder="1" applyAlignment="1">
      <alignment horizontal="left" vertical="top" wrapText="1"/>
    </xf>
    <xf numFmtId="0" fontId="59" fillId="0" borderId="23" xfId="0" applyFont="1" applyBorder="1" applyAlignment="1">
      <alignment horizontal="left" vertical="top" wrapText="1"/>
    </xf>
    <xf numFmtId="0" fontId="59" fillId="0" borderId="38" xfId="0" applyFont="1" applyBorder="1" applyAlignment="1">
      <alignment horizontal="left" vertical="center" wrapText="1"/>
    </xf>
    <xf numFmtId="0" fontId="52" fillId="0" borderId="38" xfId="0" applyFont="1" applyBorder="1" applyAlignment="1">
      <alignment horizontal="left" vertical="center" wrapText="1"/>
    </xf>
    <xf numFmtId="166" fontId="59" fillId="0" borderId="43" xfId="79" applyNumberFormat="1" applyFont="1" applyBorder="1" applyAlignment="1">
      <alignment horizontal="left" vertical="center" wrapText="1"/>
    </xf>
    <xf numFmtId="166" fontId="59" fillId="0" borderId="38" xfId="79" applyNumberFormat="1" applyFont="1" applyBorder="1" applyAlignment="1">
      <alignment horizontal="left" vertical="center" wrapText="1"/>
    </xf>
    <xf numFmtId="0" fontId="51" fillId="0" borderId="17" xfId="0" applyFont="1" applyBorder="1" applyAlignment="1">
      <alignment vertical="center" wrapText="1"/>
    </xf>
    <xf numFmtId="0" fontId="51" fillId="0" borderId="35" xfId="0" applyFont="1" applyBorder="1" applyAlignment="1">
      <alignment vertical="center" wrapText="1"/>
    </xf>
    <xf numFmtId="0" fontId="51" fillId="0" borderId="23" xfId="0" applyFont="1" applyBorder="1" applyAlignment="1">
      <alignment vertical="center" wrapText="1"/>
    </xf>
    <xf numFmtId="1" fontId="51" fillId="0" borderId="17" xfId="46" applyNumberFormat="1" applyFont="1" applyBorder="1" applyAlignment="1">
      <alignment horizontal="center" vertical="center" wrapText="1"/>
    </xf>
    <xf numFmtId="1" fontId="51" fillId="0" borderId="23" xfId="46" applyNumberFormat="1" applyFont="1" applyBorder="1" applyAlignment="1">
      <alignment horizontal="center" vertical="center" wrapText="1"/>
    </xf>
    <xf numFmtId="0" fontId="51" fillId="0" borderId="14" xfId="0" applyFont="1" applyBorder="1" applyAlignment="1">
      <alignment vertical="center" wrapText="1"/>
    </xf>
    <xf numFmtId="0" fontId="51" fillId="27" borderId="14" xfId="0" applyFont="1" applyFill="1" applyBorder="1" applyAlignment="1">
      <alignment vertical="center" wrapText="1"/>
    </xf>
    <xf numFmtId="0" fontId="51" fillId="0" borderId="17" xfId="0" applyFont="1" applyBorder="1" applyAlignment="1">
      <alignment horizontal="left" wrapText="1"/>
    </xf>
    <xf numFmtId="0" fontId="51" fillId="0" borderId="23" xfId="0" applyFont="1" applyBorder="1" applyAlignment="1">
      <alignment horizontal="left" wrapText="1"/>
    </xf>
    <xf numFmtId="0" fontId="59" fillId="0" borderId="54" xfId="0" applyFont="1" applyBorder="1" applyAlignment="1">
      <alignment horizontal="left" wrapText="1"/>
    </xf>
    <xf numFmtId="0" fontId="59" fillId="0" borderId="24" xfId="0" applyFont="1" applyBorder="1" applyAlignment="1">
      <alignment horizontal="left" wrapText="1"/>
    </xf>
    <xf numFmtId="166" fontId="51" fillId="0" borderId="17" xfId="79" applyNumberFormat="1" applyFont="1" applyBorder="1" applyAlignment="1">
      <alignment horizontal="left" vertical="center" wrapText="1"/>
    </xf>
    <xf numFmtId="166" fontId="51" fillId="0" borderId="23" xfId="79" applyNumberFormat="1" applyFont="1" applyBorder="1" applyAlignment="1">
      <alignment horizontal="left" vertical="center" wrapText="1"/>
    </xf>
    <xf numFmtId="0" fontId="51" fillId="0" borderId="41" xfId="0" applyFont="1" applyBorder="1" applyAlignment="1">
      <alignment horizontal="left" vertical="center" wrapText="1"/>
    </xf>
    <xf numFmtId="0" fontId="51" fillId="0" borderId="43" xfId="0" applyFont="1" applyBorder="1" applyAlignment="1">
      <alignment horizontal="left" vertical="center" wrapText="1"/>
    </xf>
    <xf numFmtId="0" fontId="59" fillId="0" borderId="30" xfId="0" applyFont="1" applyBorder="1" applyAlignment="1">
      <alignment horizontal="left" vertical="center" wrapText="1"/>
    </xf>
    <xf numFmtId="0" fontId="59" fillId="0" borderId="44" xfId="0" applyFont="1" applyBorder="1" applyAlignment="1">
      <alignment horizontal="left" vertical="center" wrapText="1"/>
    </xf>
    <xf numFmtId="0" fontId="51" fillId="0" borderId="45" xfId="0" applyFont="1" applyBorder="1" applyAlignment="1">
      <alignment horizontal="left" vertical="center" wrapText="1"/>
    </xf>
    <xf numFmtId="0" fontId="51" fillId="0" borderId="44" xfId="0" applyFont="1" applyBorder="1" applyAlignment="1">
      <alignment horizontal="left" vertical="center" wrapText="1"/>
    </xf>
  </cellXfs>
  <cellStyles count="89">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3" xfId="82" xr:uid="{00000000-0005-0000-0000-00001E000000}"/>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3" xfId="87" xr:uid="{00000000-0005-0000-0000-000024000000}"/>
    <cellStyle name="Įprastas 2 4" xfId="64" xr:uid="{00000000-0005-0000-0000-000025000000}"/>
    <cellStyle name="Įprastas 2 5" xfId="81" xr:uid="{00000000-0005-0000-0000-000026000000}"/>
    <cellStyle name="Įprastas 2 6" xfId="86" xr:uid="{00000000-0005-0000-0000-000027000000}"/>
    <cellStyle name="Įprastas 3" xfId="48" xr:uid="{00000000-0005-0000-0000-000028000000}"/>
    <cellStyle name="Įprastas 3 2" xfId="66" xr:uid="{00000000-0005-0000-0000-000029000000}"/>
    <cellStyle name="Įprastas 3 3" xfId="80" xr:uid="{00000000-0005-0000-0000-00002A000000}"/>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88" xr:uid="{19150984-37A0-47EA-A399-F0BF5704F7F7}"/>
    <cellStyle name="Įprastas 4 2 2 2 3" xfId="74" xr:uid="{00000000-0005-0000-0000-000031000000}"/>
    <cellStyle name="Įprastas 4 2 2 3" xfId="60" xr:uid="{00000000-0005-0000-0000-000032000000}"/>
    <cellStyle name="Įprastas 4 2 3" xfId="75" xr:uid="{00000000-0005-0000-0000-000033000000}"/>
    <cellStyle name="Įprastas 4 3" xfId="78" xr:uid="{00000000-0005-0000-0000-000034000000}"/>
    <cellStyle name="Įprastas 5" xfId="58" xr:uid="{00000000-0005-0000-0000-000035000000}"/>
    <cellStyle name="Įprastas 5 2" xfId="72" xr:uid="{00000000-0005-0000-0000-000036000000}"/>
    <cellStyle name="Įprastas 6" xfId="61" xr:uid="{00000000-0005-0000-0000-000037000000}"/>
    <cellStyle name="Įprastas 6 2" xfId="73" xr:uid="{00000000-0005-0000-0000-000038000000}"/>
    <cellStyle name="Įprastas 7" xfId="62" xr:uid="{00000000-0005-0000-0000-000039000000}"/>
    <cellStyle name="Įprastas 8" xfId="69" xr:uid="{00000000-0005-0000-0000-00003A00000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3" xfId="83" xr:uid="{00000000-0005-0000-0000-000052000000}"/>
    <cellStyle name="Procentai 2 4" xfId="85" xr:uid="{00000000-0005-0000-0000-000053000000}"/>
    <cellStyle name="Procentai 3" xfId="65" xr:uid="{00000000-0005-0000-0000-000054000000}"/>
    <cellStyle name="Procentai 4" xfId="70" xr:uid="{00000000-0005-0000-0000-00005500000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6600CC"/>
      <color rgb="FF000000"/>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9"/>
  <sheetViews>
    <sheetView topLeftCell="A61" zoomScaleNormal="100" workbookViewId="0">
      <selection activeCell="G11" sqref="G11"/>
    </sheetView>
  </sheetViews>
  <sheetFormatPr defaultRowHeight="12.75" x14ac:dyDescent="0.2"/>
  <cols>
    <col min="2" max="2" width="47.28515625" customWidth="1"/>
    <col min="3" max="3" width="12.85546875" style="378" customWidth="1"/>
    <col min="4" max="4" width="25" style="378" customWidth="1"/>
  </cols>
  <sheetData>
    <row r="1" spans="2:4" ht="13.5" thickBot="1" x14ac:dyDescent="0.25"/>
    <row r="2" spans="2:4" ht="37.5" customHeight="1" thickBot="1" x14ac:dyDescent="0.3">
      <c r="B2" s="1147" t="s">
        <v>498</v>
      </c>
      <c r="C2" s="1148" t="s">
        <v>1</v>
      </c>
      <c r="D2" s="1149" t="s">
        <v>1965</v>
      </c>
    </row>
    <row r="3" spans="2:4" ht="14.25" x14ac:dyDescent="0.2">
      <c r="B3" s="1152"/>
      <c r="C3" s="1153"/>
      <c r="D3" s="1154"/>
    </row>
    <row r="4" spans="2:4" ht="24.75" customHeight="1" x14ac:dyDescent="0.25">
      <c r="B4" s="1140" t="s">
        <v>1966</v>
      </c>
      <c r="C4" s="1138">
        <v>1</v>
      </c>
      <c r="D4" s="1141" t="s">
        <v>1980</v>
      </c>
    </row>
    <row r="5" spans="2:4" ht="25.5" customHeight="1" x14ac:dyDescent="0.25">
      <c r="B5" s="1142" t="s">
        <v>499</v>
      </c>
      <c r="C5" s="1138">
        <v>2</v>
      </c>
      <c r="D5" s="1141" t="s">
        <v>882</v>
      </c>
    </row>
    <row r="6" spans="2:4" ht="25.5" customHeight="1" x14ac:dyDescent="0.25">
      <c r="B6" s="1142" t="s">
        <v>500</v>
      </c>
      <c r="C6" s="1138">
        <v>3</v>
      </c>
      <c r="D6" s="1141" t="s">
        <v>1922</v>
      </c>
    </row>
    <row r="7" spans="2:4" ht="25.5" customHeight="1" x14ac:dyDescent="0.25">
      <c r="B7" s="1142" t="s">
        <v>501</v>
      </c>
      <c r="C7" s="1138">
        <v>4</v>
      </c>
      <c r="D7" s="1141" t="s">
        <v>1923</v>
      </c>
    </row>
    <row r="8" spans="2:4" ht="25.5" customHeight="1" x14ac:dyDescent="0.25">
      <c r="B8" s="1142" t="s">
        <v>502</v>
      </c>
      <c r="C8" s="1138">
        <v>5</v>
      </c>
      <c r="D8" s="1141" t="s">
        <v>1924</v>
      </c>
    </row>
    <row r="9" spans="2:4" ht="25.5" customHeight="1" x14ac:dyDescent="0.25">
      <c r="B9" s="1142" t="s">
        <v>503</v>
      </c>
      <c r="C9" s="1138">
        <v>6</v>
      </c>
      <c r="D9" s="1141" t="s">
        <v>1899</v>
      </c>
    </row>
    <row r="10" spans="2:4" ht="25.5" customHeight="1" x14ac:dyDescent="0.25">
      <c r="B10" s="1142" t="s">
        <v>504</v>
      </c>
      <c r="C10" s="1138">
        <v>7</v>
      </c>
      <c r="D10" s="1141" t="s">
        <v>1017</v>
      </c>
    </row>
    <row r="11" spans="2:4" ht="25.5" customHeight="1" x14ac:dyDescent="0.25">
      <c r="B11" s="1142" t="s">
        <v>505</v>
      </c>
      <c r="C11" s="1138" t="s">
        <v>323</v>
      </c>
      <c r="D11" s="1155" t="s">
        <v>1981</v>
      </c>
    </row>
    <row r="12" spans="2:4" ht="25.5" customHeight="1" x14ac:dyDescent="0.25">
      <c r="B12" s="1150" t="s">
        <v>506</v>
      </c>
      <c r="C12" s="1151" t="s">
        <v>322</v>
      </c>
      <c r="D12" s="1155" t="s">
        <v>1981</v>
      </c>
    </row>
    <row r="13" spans="2:4" ht="25.5" customHeight="1" x14ac:dyDescent="0.25">
      <c r="B13" s="1142" t="s">
        <v>507</v>
      </c>
      <c r="C13" s="1138" t="s">
        <v>327</v>
      </c>
      <c r="D13" s="1155" t="s">
        <v>1981</v>
      </c>
    </row>
    <row r="14" spans="2:4" ht="25.5" customHeight="1" x14ac:dyDescent="0.25">
      <c r="B14" s="1142" t="s">
        <v>508</v>
      </c>
      <c r="C14" s="1138" t="s">
        <v>317</v>
      </c>
      <c r="D14" s="1155" t="s">
        <v>1981</v>
      </c>
    </row>
    <row r="15" spans="2:4" ht="25.5" customHeight="1" x14ac:dyDescent="0.25">
      <c r="B15" s="1142" t="s">
        <v>509</v>
      </c>
      <c r="C15" s="1138" t="s">
        <v>318</v>
      </c>
      <c r="D15" s="1155" t="s">
        <v>1981</v>
      </c>
    </row>
    <row r="16" spans="2:4" ht="25.5" customHeight="1" x14ac:dyDescent="0.25">
      <c r="B16" s="1142" t="s">
        <v>510</v>
      </c>
      <c r="C16" s="1138" t="s">
        <v>319</v>
      </c>
      <c r="D16" s="1155" t="s">
        <v>1981</v>
      </c>
    </row>
    <row r="17" spans="2:4" ht="25.5" customHeight="1" x14ac:dyDescent="0.25">
      <c r="B17" s="1142" t="s">
        <v>511</v>
      </c>
      <c r="C17" s="1138" t="s">
        <v>320</v>
      </c>
      <c r="D17" s="1155" t="s">
        <v>1981</v>
      </c>
    </row>
    <row r="18" spans="2:4" ht="25.5" customHeight="1" x14ac:dyDescent="0.25">
      <c r="B18" s="1142" t="s">
        <v>512</v>
      </c>
      <c r="C18" s="1138" t="s">
        <v>321</v>
      </c>
      <c r="D18" s="1155" t="s">
        <v>1981</v>
      </c>
    </row>
    <row r="19" spans="2:4" ht="25.5" customHeight="1" x14ac:dyDescent="0.25">
      <c r="B19" s="1142" t="s">
        <v>513</v>
      </c>
      <c r="C19" s="1138" t="s">
        <v>164</v>
      </c>
      <c r="D19" s="1155" t="s">
        <v>1981</v>
      </c>
    </row>
    <row r="20" spans="2:4" ht="25.5" customHeight="1" x14ac:dyDescent="0.25">
      <c r="B20" s="1142" t="s">
        <v>514</v>
      </c>
      <c r="C20" s="1138" t="s">
        <v>149</v>
      </c>
      <c r="D20" s="1155" t="s">
        <v>1981</v>
      </c>
    </row>
    <row r="21" spans="2:4" ht="25.5" customHeight="1" x14ac:dyDescent="0.25">
      <c r="B21" s="1142" t="s">
        <v>515</v>
      </c>
      <c r="C21" s="1138">
        <v>8</v>
      </c>
      <c r="D21" s="1141" t="s">
        <v>1970</v>
      </c>
    </row>
    <row r="22" spans="2:4" ht="25.5" customHeight="1" x14ac:dyDescent="0.25">
      <c r="B22" s="1142" t="s">
        <v>516</v>
      </c>
      <c r="C22" s="1138" t="s">
        <v>517</v>
      </c>
      <c r="D22" s="1155" t="s">
        <v>1981</v>
      </c>
    </row>
    <row r="23" spans="2:4" ht="25.5" customHeight="1" x14ac:dyDescent="0.25">
      <c r="B23" s="1142" t="s">
        <v>518</v>
      </c>
      <c r="C23" s="1138" t="s">
        <v>519</v>
      </c>
      <c r="D23" s="1155" t="s">
        <v>1981</v>
      </c>
    </row>
    <row r="24" spans="2:4" ht="25.5" customHeight="1" x14ac:dyDescent="0.25">
      <c r="B24" s="1142" t="s">
        <v>520</v>
      </c>
      <c r="C24" s="1138" t="s">
        <v>521</v>
      </c>
      <c r="D24" s="1155" t="s">
        <v>1981</v>
      </c>
    </row>
    <row r="25" spans="2:4" ht="25.5" customHeight="1" x14ac:dyDescent="0.25">
      <c r="B25" s="1142" t="s">
        <v>522</v>
      </c>
      <c r="C25" s="1138" t="s">
        <v>523</v>
      </c>
      <c r="D25" s="1155" t="s">
        <v>1981</v>
      </c>
    </row>
    <row r="26" spans="2:4" ht="25.5" customHeight="1" x14ac:dyDescent="0.25">
      <c r="B26" s="1142" t="s">
        <v>524</v>
      </c>
      <c r="C26" s="1138" t="s">
        <v>525</v>
      </c>
      <c r="D26" s="1155" t="s">
        <v>1981</v>
      </c>
    </row>
    <row r="27" spans="2:4" ht="25.5" customHeight="1" x14ac:dyDescent="0.25">
      <c r="B27" s="1142" t="s">
        <v>526</v>
      </c>
      <c r="C27" s="1138" t="s">
        <v>527</v>
      </c>
      <c r="D27" s="1155" t="s">
        <v>1981</v>
      </c>
    </row>
    <row r="28" spans="2:4" ht="25.5" customHeight="1" x14ac:dyDescent="0.25">
      <c r="B28" s="1142" t="s">
        <v>528</v>
      </c>
      <c r="C28" s="1138" t="s">
        <v>529</v>
      </c>
      <c r="D28" s="1155" t="s">
        <v>1981</v>
      </c>
    </row>
    <row r="29" spans="2:4" ht="25.5" customHeight="1" x14ac:dyDescent="0.25">
      <c r="B29" s="1142" t="s">
        <v>530</v>
      </c>
      <c r="C29" s="1138" t="s">
        <v>531</v>
      </c>
      <c r="D29" s="1155" t="s">
        <v>1981</v>
      </c>
    </row>
    <row r="30" spans="2:4" ht="25.5" customHeight="1" x14ac:dyDescent="0.25">
      <c r="B30" s="1142" t="s">
        <v>532</v>
      </c>
      <c r="C30" s="1138">
        <v>9</v>
      </c>
      <c r="D30" s="1141" t="s">
        <v>1971</v>
      </c>
    </row>
    <row r="31" spans="2:4" ht="25.5" customHeight="1" x14ac:dyDescent="0.25">
      <c r="B31" s="1142" t="s">
        <v>533</v>
      </c>
      <c r="C31" s="1138" t="s">
        <v>534</v>
      </c>
      <c r="D31" s="1141" t="s">
        <v>1972</v>
      </c>
    </row>
    <row r="32" spans="2:4" ht="25.5" customHeight="1" x14ac:dyDescent="0.25">
      <c r="B32" s="1142" t="s">
        <v>535</v>
      </c>
      <c r="C32" s="1138" t="s">
        <v>103</v>
      </c>
      <c r="D32" s="1155" t="s">
        <v>1981</v>
      </c>
    </row>
    <row r="33" spans="2:4" ht="25.5" customHeight="1" x14ac:dyDescent="0.25">
      <c r="B33" s="1142" t="s">
        <v>536</v>
      </c>
      <c r="C33" s="1138" t="s">
        <v>106</v>
      </c>
      <c r="D33" s="1155" t="s">
        <v>1981</v>
      </c>
    </row>
    <row r="34" spans="2:4" ht="25.5" customHeight="1" x14ac:dyDescent="0.25">
      <c r="B34" s="1143" t="s">
        <v>537</v>
      </c>
      <c r="C34" s="1138">
        <v>10</v>
      </c>
      <c r="D34" s="1141" t="s">
        <v>1904</v>
      </c>
    </row>
    <row r="35" spans="2:4" ht="25.5" customHeight="1" x14ac:dyDescent="0.25">
      <c r="B35" s="1142" t="s">
        <v>538</v>
      </c>
      <c r="C35" s="1138">
        <v>11</v>
      </c>
      <c r="D35" s="1141" t="s">
        <v>1973</v>
      </c>
    </row>
    <row r="36" spans="2:4" ht="25.5" customHeight="1" x14ac:dyDescent="0.25">
      <c r="B36" s="1142" t="s">
        <v>539</v>
      </c>
      <c r="C36" s="1138" t="s">
        <v>6</v>
      </c>
      <c r="D36" s="1155" t="s">
        <v>1981</v>
      </c>
    </row>
    <row r="37" spans="2:4" ht="25.5" customHeight="1" x14ac:dyDescent="0.25">
      <c r="B37" s="1142" t="s">
        <v>540</v>
      </c>
      <c r="C37" s="1138" t="s">
        <v>12</v>
      </c>
      <c r="D37" s="1155" t="s">
        <v>1981</v>
      </c>
    </row>
    <row r="38" spans="2:4" ht="25.5" customHeight="1" x14ac:dyDescent="0.25">
      <c r="B38" s="1142" t="s">
        <v>541</v>
      </c>
      <c r="C38" s="1138" t="s">
        <v>14</v>
      </c>
      <c r="D38" s="1155" t="s">
        <v>1981</v>
      </c>
    </row>
    <row r="39" spans="2:4" ht="25.5" customHeight="1" x14ac:dyDescent="0.25">
      <c r="B39" s="1142" t="s">
        <v>542</v>
      </c>
      <c r="C39" s="1138" t="s">
        <v>15</v>
      </c>
      <c r="D39" s="1155" t="s">
        <v>1981</v>
      </c>
    </row>
    <row r="40" spans="2:4" ht="25.5" customHeight="1" x14ac:dyDescent="0.25">
      <c r="B40" s="1142" t="s">
        <v>543</v>
      </c>
      <c r="C40" s="1138" t="s">
        <v>16</v>
      </c>
      <c r="D40" s="1155" t="s">
        <v>1981</v>
      </c>
    </row>
    <row r="41" spans="2:4" ht="25.5" customHeight="1" x14ac:dyDescent="0.25">
      <c r="B41" s="1142" t="s">
        <v>544</v>
      </c>
      <c r="C41" s="1138" t="s">
        <v>13</v>
      </c>
      <c r="D41" s="1155" t="s">
        <v>1981</v>
      </c>
    </row>
    <row r="42" spans="2:4" ht="25.5" customHeight="1" x14ac:dyDescent="0.25">
      <c r="B42" s="1142" t="s">
        <v>545</v>
      </c>
      <c r="C42" s="1138" t="s">
        <v>17</v>
      </c>
      <c r="D42" s="1155" t="s">
        <v>1981</v>
      </c>
    </row>
    <row r="43" spans="2:4" ht="25.5" customHeight="1" x14ac:dyDescent="0.25">
      <c r="B43" s="1142" t="s">
        <v>546</v>
      </c>
      <c r="C43" s="1138" t="s">
        <v>18</v>
      </c>
      <c r="D43" s="1155" t="s">
        <v>1981</v>
      </c>
    </row>
    <row r="44" spans="2:4" ht="25.5" customHeight="1" x14ac:dyDescent="0.25">
      <c r="B44" s="1142" t="s">
        <v>547</v>
      </c>
      <c r="C44" s="1138" t="s">
        <v>19</v>
      </c>
      <c r="D44" s="1155" t="s">
        <v>1981</v>
      </c>
    </row>
    <row r="45" spans="2:4" ht="25.5" customHeight="1" x14ac:dyDescent="0.25">
      <c r="B45" s="1142" t="s">
        <v>548</v>
      </c>
      <c r="C45" s="1138" t="s">
        <v>549</v>
      </c>
      <c r="D45" s="1155" t="s">
        <v>1981</v>
      </c>
    </row>
    <row r="46" spans="2:4" ht="25.5" customHeight="1" x14ac:dyDescent="0.25">
      <c r="B46" s="1142" t="s">
        <v>550</v>
      </c>
      <c r="C46" s="1138" t="s">
        <v>551</v>
      </c>
      <c r="D46" s="1155" t="s">
        <v>1981</v>
      </c>
    </row>
    <row r="47" spans="2:4" ht="25.5" customHeight="1" x14ac:dyDescent="0.25">
      <c r="B47" s="1142" t="s">
        <v>552</v>
      </c>
      <c r="C47" s="1138" t="s">
        <v>20</v>
      </c>
      <c r="D47" s="1155" t="s">
        <v>1981</v>
      </c>
    </row>
    <row r="48" spans="2:4" ht="25.5" customHeight="1" x14ac:dyDescent="0.25">
      <c r="B48" s="1142" t="s">
        <v>553</v>
      </c>
      <c r="C48" s="1138" t="s">
        <v>21</v>
      </c>
      <c r="D48" s="1155" t="s">
        <v>1981</v>
      </c>
    </row>
    <row r="49" spans="2:4" ht="25.5" customHeight="1" x14ac:dyDescent="0.25">
      <c r="B49" s="1142" t="s">
        <v>554</v>
      </c>
      <c r="C49" s="1138" t="s">
        <v>22</v>
      </c>
      <c r="D49" s="1155" t="s">
        <v>1981</v>
      </c>
    </row>
    <row r="50" spans="2:4" ht="25.5" customHeight="1" x14ac:dyDescent="0.25">
      <c r="B50" s="1142" t="s">
        <v>555</v>
      </c>
      <c r="C50" s="1138" t="s">
        <v>556</v>
      </c>
      <c r="D50" s="1155" t="s">
        <v>1981</v>
      </c>
    </row>
    <row r="51" spans="2:4" ht="25.5" customHeight="1" x14ac:dyDescent="0.25">
      <c r="B51" s="1142" t="s">
        <v>557</v>
      </c>
      <c r="C51" s="1138" t="s">
        <v>23</v>
      </c>
      <c r="D51" s="1155" t="s">
        <v>1981</v>
      </c>
    </row>
    <row r="52" spans="2:4" ht="25.5" customHeight="1" x14ac:dyDescent="0.25">
      <c r="B52" s="1142" t="s">
        <v>558</v>
      </c>
      <c r="C52" s="1138" t="s">
        <v>65</v>
      </c>
      <c r="D52" s="1155" t="s">
        <v>1981</v>
      </c>
    </row>
    <row r="53" spans="2:4" ht="25.5" customHeight="1" x14ac:dyDescent="0.25">
      <c r="B53" s="1142" t="s">
        <v>559</v>
      </c>
      <c r="C53" s="1138" t="s">
        <v>24</v>
      </c>
      <c r="D53" s="1155" t="s">
        <v>1981</v>
      </c>
    </row>
    <row r="54" spans="2:4" ht="25.5" customHeight="1" x14ac:dyDescent="0.25">
      <c r="B54" s="1142" t="s">
        <v>560</v>
      </c>
      <c r="C54" s="1138" t="s">
        <v>25</v>
      </c>
      <c r="D54" s="1155" t="s">
        <v>1981</v>
      </c>
    </row>
    <row r="55" spans="2:4" ht="25.5" customHeight="1" x14ac:dyDescent="0.25">
      <c r="B55" s="1142" t="s">
        <v>561</v>
      </c>
      <c r="C55" s="1138" t="s">
        <v>26</v>
      </c>
      <c r="D55" s="1155" t="s">
        <v>1981</v>
      </c>
    </row>
    <row r="56" spans="2:4" ht="25.5" customHeight="1" x14ac:dyDescent="0.25">
      <c r="B56" s="1142" t="s">
        <v>562</v>
      </c>
      <c r="C56" s="1138" t="s">
        <v>27</v>
      </c>
      <c r="D56" s="1155" t="s">
        <v>1981</v>
      </c>
    </row>
    <row r="57" spans="2:4" ht="25.5" customHeight="1" x14ac:dyDescent="0.25">
      <c r="B57" s="1142" t="s">
        <v>563</v>
      </c>
      <c r="C57" s="1138" t="s">
        <v>28</v>
      </c>
      <c r="D57" s="1155" t="s">
        <v>1981</v>
      </c>
    </row>
    <row r="58" spans="2:4" ht="25.5" customHeight="1" x14ac:dyDescent="0.25">
      <c r="B58" s="1142" t="s">
        <v>564</v>
      </c>
      <c r="C58" s="1138" t="s">
        <v>61</v>
      </c>
      <c r="D58" s="1155" t="s">
        <v>1981</v>
      </c>
    </row>
    <row r="59" spans="2:4" ht="25.5" customHeight="1" x14ac:dyDescent="0.25">
      <c r="B59" s="1142" t="s">
        <v>565</v>
      </c>
      <c r="C59" s="1138" t="s">
        <v>66</v>
      </c>
      <c r="D59" s="1155" t="s">
        <v>1981</v>
      </c>
    </row>
    <row r="60" spans="2:4" ht="25.5" customHeight="1" x14ac:dyDescent="0.25">
      <c r="B60" s="1142" t="s">
        <v>566</v>
      </c>
      <c r="C60" s="1138" t="s">
        <v>67</v>
      </c>
      <c r="D60" s="1155" t="s">
        <v>1981</v>
      </c>
    </row>
    <row r="61" spans="2:4" ht="25.5" customHeight="1" x14ac:dyDescent="0.25">
      <c r="B61" s="1142" t="s">
        <v>567</v>
      </c>
      <c r="C61" s="1138" t="s">
        <v>29</v>
      </c>
      <c r="D61" s="1155" t="s">
        <v>1981</v>
      </c>
    </row>
    <row r="62" spans="2:4" ht="25.5" customHeight="1" x14ac:dyDescent="0.25">
      <c r="B62" s="1142" t="s">
        <v>568</v>
      </c>
      <c r="C62" s="1138" t="s">
        <v>569</v>
      </c>
      <c r="D62" s="1155" t="s">
        <v>1981</v>
      </c>
    </row>
    <row r="63" spans="2:4" ht="25.5" customHeight="1" x14ac:dyDescent="0.25">
      <c r="B63" s="1142" t="s">
        <v>570</v>
      </c>
      <c r="C63" s="1138">
        <v>12</v>
      </c>
      <c r="D63" s="1141" t="s">
        <v>1974</v>
      </c>
    </row>
    <row r="64" spans="2:4" ht="25.5" customHeight="1" x14ac:dyDescent="0.25">
      <c r="B64" s="1142" t="s">
        <v>571</v>
      </c>
      <c r="C64" s="1138">
        <v>13</v>
      </c>
      <c r="D64" s="1141" t="s">
        <v>1975</v>
      </c>
    </row>
    <row r="65" spans="2:4" ht="25.5" customHeight="1" x14ac:dyDescent="0.25">
      <c r="B65" s="1142" t="s">
        <v>572</v>
      </c>
      <c r="C65" s="1138">
        <v>14</v>
      </c>
      <c r="D65" s="1141" t="s">
        <v>1976</v>
      </c>
    </row>
    <row r="66" spans="2:4" ht="25.5" customHeight="1" x14ac:dyDescent="0.25">
      <c r="B66" s="1142" t="s">
        <v>573</v>
      </c>
      <c r="C66" s="1138">
        <v>15</v>
      </c>
      <c r="D66" s="1141" t="s">
        <v>1977</v>
      </c>
    </row>
    <row r="67" spans="2:4" ht="25.5" customHeight="1" x14ac:dyDescent="0.25">
      <c r="B67" s="1142" t="s">
        <v>574</v>
      </c>
      <c r="C67" s="1138" t="s">
        <v>86</v>
      </c>
      <c r="D67" s="1155" t="s">
        <v>1981</v>
      </c>
    </row>
    <row r="68" spans="2:4" ht="25.5" customHeight="1" x14ac:dyDescent="0.25">
      <c r="B68" s="1142" t="s">
        <v>1978</v>
      </c>
      <c r="C68" s="1138">
        <v>16</v>
      </c>
      <c r="D68" s="1155" t="s">
        <v>1986</v>
      </c>
    </row>
    <row r="69" spans="2:4" ht="25.5" customHeight="1" x14ac:dyDescent="0.25">
      <c r="B69" s="1142" t="s">
        <v>575</v>
      </c>
      <c r="C69" s="1138" t="s">
        <v>208</v>
      </c>
      <c r="D69" s="1155" t="s">
        <v>1981</v>
      </c>
    </row>
    <row r="70" spans="2:4" ht="25.5" customHeight="1" x14ac:dyDescent="0.25">
      <c r="B70" s="1142" t="s">
        <v>576</v>
      </c>
      <c r="C70" s="1138">
        <v>17</v>
      </c>
      <c r="D70" s="1155" t="s">
        <v>1985</v>
      </c>
    </row>
    <row r="71" spans="2:4" ht="25.5" customHeight="1" x14ac:dyDescent="0.25">
      <c r="B71" s="1142" t="s">
        <v>577</v>
      </c>
      <c r="C71" s="1138">
        <v>18</v>
      </c>
      <c r="D71" s="1141" t="s">
        <v>1979</v>
      </c>
    </row>
    <row r="72" spans="2:4" ht="25.5" customHeight="1" x14ac:dyDescent="0.25">
      <c r="B72" s="1142" t="s">
        <v>578</v>
      </c>
      <c r="C72" s="1138" t="s">
        <v>117</v>
      </c>
      <c r="D72" s="1155" t="s">
        <v>1981</v>
      </c>
    </row>
    <row r="73" spans="2:4" ht="25.5" customHeight="1" x14ac:dyDescent="0.25">
      <c r="B73" s="1142" t="s">
        <v>579</v>
      </c>
      <c r="C73" s="1138">
        <v>19</v>
      </c>
      <c r="D73" s="1155" t="s">
        <v>1981</v>
      </c>
    </row>
    <row r="74" spans="2:4" ht="25.5" customHeight="1" x14ac:dyDescent="0.25">
      <c r="B74" s="1142" t="s">
        <v>580</v>
      </c>
      <c r="C74" s="1138">
        <v>20</v>
      </c>
      <c r="D74" s="1155" t="s">
        <v>1981</v>
      </c>
    </row>
    <row r="75" spans="2:4" ht="25.5" customHeight="1" x14ac:dyDescent="0.25">
      <c r="B75" s="1142" t="s">
        <v>581</v>
      </c>
      <c r="C75" s="1138">
        <v>21</v>
      </c>
      <c r="D75" s="1155" t="s">
        <v>1981</v>
      </c>
    </row>
    <row r="76" spans="2:4" ht="25.5" customHeight="1" x14ac:dyDescent="0.25">
      <c r="B76" s="1142" t="s">
        <v>582</v>
      </c>
      <c r="C76" s="1138">
        <v>22</v>
      </c>
      <c r="D76" s="1155" t="s">
        <v>1981</v>
      </c>
    </row>
    <row r="77" spans="2:4" ht="25.5" customHeight="1" x14ac:dyDescent="0.25">
      <c r="B77" s="1142" t="s">
        <v>583</v>
      </c>
      <c r="C77" s="1138">
        <v>23</v>
      </c>
      <c r="D77" s="1155" t="s">
        <v>1981</v>
      </c>
    </row>
    <row r="78" spans="2:4" ht="25.5" customHeight="1" x14ac:dyDescent="0.25">
      <c r="B78" s="1142" t="s">
        <v>584</v>
      </c>
      <c r="C78" s="1138">
        <v>24</v>
      </c>
      <c r="D78" s="1155" t="s">
        <v>1981</v>
      </c>
    </row>
    <row r="79" spans="2:4" ht="25.5" customHeight="1" x14ac:dyDescent="0.25">
      <c r="B79" s="1142" t="s">
        <v>585</v>
      </c>
      <c r="C79" s="1138">
        <v>25</v>
      </c>
      <c r="D79" s="1155" t="s">
        <v>1981</v>
      </c>
    </row>
    <row r="80" spans="2:4" ht="25.5" customHeight="1" x14ac:dyDescent="0.25">
      <c r="B80" s="1142" t="s">
        <v>586</v>
      </c>
      <c r="C80" s="1138">
        <v>26</v>
      </c>
      <c r="D80" s="1155" t="s">
        <v>1981</v>
      </c>
    </row>
    <row r="81" spans="2:4" ht="25.5" customHeight="1" x14ac:dyDescent="0.25">
      <c r="B81" s="1142" t="s">
        <v>587</v>
      </c>
      <c r="C81" s="1138">
        <v>27</v>
      </c>
      <c r="D81" s="1155" t="s">
        <v>1981</v>
      </c>
    </row>
    <row r="82" spans="2:4" ht="25.5" customHeight="1" x14ac:dyDescent="0.25">
      <c r="B82" s="1142" t="s">
        <v>588</v>
      </c>
      <c r="C82" s="1138">
        <v>28</v>
      </c>
      <c r="D82" s="1155" t="s">
        <v>1981</v>
      </c>
    </row>
    <row r="83" spans="2:4" ht="25.5" customHeight="1" x14ac:dyDescent="0.25">
      <c r="B83" s="1142" t="s">
        <v>589</v>
      </c>
      <c r="C83" s="1138">
        <v>29</v>
      </c>
      <c r="D83" s="1155" t="s">
        <v>1981</v>
      </c>
    </row>
    <row r="84" spans="2:4" ht="25.5" customHeight="1" x14ac:dyDescent="0.25">
      <c r="B84" s="1142" t="s">
        <v>590</v>
      </c>
      <c r="C84" s="1138">
        <v>30</v>
      </c>
      <c r="D84" s="1155" t="s">
        <v>1981</v>
      </c>
    </row>
    <row r="85" spans="2:4" ht="25.5" customHeight="1" x14ac:dyDescent="0.25">
      <c r="B85" s="1142" t="s">
        <v>591</v>
      </c>
      <c r="C85" s="1138">
        <v>31</v>
      </c>
      <c r="D85" s="1155" t="s">
        <v>1981</v>
      </c>
    </row>
    <row r="86" spans="2:4" ht="25.5" customHeight="1" x14ac:dyDescent="0.25">
      <c r="B86" s="1142" t="s">
        <v>592</v>
      </c>
      <c r="C86" s="1138">
        <v>32</v>
      </c>
      <c r="D86" s="1141" t="s">
        <v>1969</v>
      </c>
    </row>
    <row r="87" spans="2:4" ht="25.5" customHeight="1" x14ac:dyDescent="0.25">
      <c r="B87" s="1142" t="s">
        <v>593</v>
      </c>
      <c r="C87" s="1138">
        <v>33</v>
      </c>
      <c r="D87" s="1141" t="s">
        <v>1968</v>
      </c>
    </row>
    <row r="88" spans="2:4" ht="25.5" customHeight="1" x14ac:dyDescent="0.25">
      <c r="B88" s="1142" t="s">
        <v>594</v>
      </c>
      <c r="C88" s="1138">
        <v>34</v>
      </c>
      <c r="D88" s="1141" t="s">
        <v>1982</v>
      </c>
    </row>
    <row r="89" spans="2:4" ht="25.5" customHeight="1" x14ac:dyDescent="0.25">
      <c r="B89" s="1142" t="s">
        <v>595</v>
      </c>
      <c r="C89" s="1138">
        <v>35</v>
      </c>
      <c r="D89" s="1155" t="s">
        <v>1988</v>
      </c>
    </row>
    <row r="90" spans="2:4" ht="25.5" customHeight="1" x14ac:dyDescent="0.25">
      <c r="B90" s="1142" t="s">
        <v>596</v>
      </c>
      <c r="C90" s="1138">
        <v>36</v>
      </c>
      <c r="D90" s="1141" t="s">
        <v>1967</v>
      </c>
    </row>
    <row r="91" spans="2:4" ht="40.5" customHeight="1" x14ac:dyDescent="0.25">
      <c r="B91" s="1142" t="s">
        <v>597</v>
      </c>
      <c r="C91" s="1139">
        <v>37</v>
      </c>
      <c r="D91" s="1155" t="s">
        <v>1987</v>
      </c>
    </row>
    <row r="92" spans="2:4" ht="40.5" customHeight="1" thickBot="1" x14ac:dyDescent="0.3">
      <c r="B92" s="1144" t="s">
        <v>1919</v>
      </c>
      <c r="C92" s="1145">
        <v>38</v>
      </c>
      <c r="D92" s="1146" t="s">
        <v>1921</v>
      </c>
    </row>
    <row r="93" spans="2:4" ht="49.5" customHeight="1" x14ac:dyDescent="0.2">
      <c r="D93" s="1156" t="s">
        <v>1983</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row r="109" ht="40.5" customHeight="1" x14ac:dyDescent="0.2"/>
  </sheetData>
  <pageMargins left="0.25" right="0.25" top="0.75" bottom="0.75" header="0.3" footer="0.3"/>
  <pageSetup paperSize="9" scale="94"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168"/>
  <sheetViews>
    <sheetView showGridLines="0" showZeros="0" tabSelected="1" zoomScaleNormal="100" zoomScaleSheetLayoutView="85" zoomScalePageLayoutView="55" workbookViewId="0">
      <pane ySplit="3" topLeftCell="A979" activePane="bottomLeft" state="frozen"/>
      <selection activeCell="A3" sqref="A3"/>
      <selection pane="bottomLeft" activeCell="O3" sqref="O3"/>
    </sheetView>
  </sheetViews>
  <sheetFormatPr defaultRowHeight="12.75" customHeight="1" x14ac:dyDescent="0.2"/>
  <cols>
    <col min="1" max="1" width="6.42578125" style="41" customWidth="1"/>
    <col min="2" max="2" width="13.28515625" style="41" customWidth="1"/>
    <col min="3" max="3" width="8.7109375" style="41" customWidth="1"/>
    <col min="4" max="4" width="37.28515625" style="91" customWidth="1"/>
    <col min="5" max="5" width="8.140625" style="41" customWidth="1"/>
    <col min="6" max="6" width="10.140625" style="41" customWidth="1"/>
    <col min="7" max="7" width="8.7109375" style="41" customWidth="1"/>
    <col min="8" max="8" width="5" style="41" hidden="1" customWidth="1"/>
    <col min="9" max="9" width="9.28515625" style="92" hidden="1" customWidth="1"/>
    <col min="10" max="10" width="10.140625" style="92" customWidth="1"/>
    <col min="11" max="12" width="10.140625" style="1" hidden="1" customWidth="1"/>
    <col min="13" max="13" width="6.85546875" style="41" hidden="1" customWidth="1"/>
    <col min="14" max="14" width="18" style="439" customWidth="1"/>
    <col min="15" max="15" width="32" style="994" customWidth="1"/>
    <col min="16" max="16" width="12.42578125" style="991" customWidth="1"/>
    <col min="17" max="17" width="24.42578125" style="440" customWidth="1"/>
  </cols>
  <sheetData>
    <row r="1" spans="1:19" ht="13.9" customHeight="1" thickBot="1" x14ac:dyDescent="0.25">
      <c r="D1" s="1239"/>
      <c r="E1" s="1239"/>
      <c r="F1" s="1239"/>
      <c r="G1" s="1239"/>
      <c r="H1" s="86"/>
      <c r="I1" s="87"/>
      <c r="J1" s="88"/>
      <c r="K1" s="88"/>
      <c r="L1" s="88"/>
      <c r="O1" s="439"/>
      <c r="P1" s="1240"/>
      <c r="Q1" s="1240"/>
    </row>
    <row r="2" spans="1:19" ht="77.45" customHeight="1" thickBot="1" x14ac:dyDescent="0.25">
      <c r="D2" s="1242" t="s">
        <v>1865</v>
      </c>
      <c r="E2" s="1243"/>
      <c r="F2" s="1243"/>
      <c r="G2" s="1244"/>
      <c r="J2" s="926"/>
      <c r="K2" s="926"/>
      <c r="L2" s="926"/>
      <c r="P2" s="1241" t="s">
        <v>2100</v>
      </c>
      <c r="Q2" s="1241"/>
    </row>
    <row r="3" spans="1:19" s="1" customFormat="1" ht="62.45" customHeight="1" x14ac:dyDescent="0.2">
      <c r="A3" s="757" t="s">
        <v>605</v>
      </c>
      <c r="B3" s="757" t="s">
        <v>606</v>
      </c>
      <c r="C3" s="757" t="s">
        <v>607</v>
      </c>
      <c r="D3" s="947" t="s">
        <v>0</v>
      </c>
      <c r="E3" s="948" t="s">
        <v>608</v>
      </c>
      <c r="F3" s="949" t="s">
        <v>2</v>
      </c>
      <c r="G3" s="950" t="s">
        <v>3</v>
      </c>
      <c r="H3" s="93"/>
      <c r="I3" s="94" t="s">
        <v>609</v>
      </c>
      <c r="J3" s="94" t="s">
        <v>1891</v>
      </c>
      <c r="K3" s="94" t="s">
        <v>610</v>
      </c>
      <c r="L3" s="430" t="s">
        <v>611</v>
      </c>
      <c r="M3" s="135" t="s">
        <v>612</v>
      </c>
      <c r="N3" s="1027" t="s">
        <v>613</v>
      </c>
      <c r="O3" s="441" t="s">
        <v>614</v>
      </c>
      <c r="P3" s="442" t="s">
        <v>615</v>
      </c>
      <c r="Q3" s="442" t="s">
        <v>616</v>
      </c>
      <c r="R3"/>
      <c r="S3"/>
    </row>
    <row r="4" spans="1:19" s="1" customFormat="1" ht="15.6" customHeight="1" x14ac:dyDescent="0.2">
      <c r="A4" s="927"/>
      <c r="B4" s="927"/>
      <c r="C4" s="927"/>
      <c r="D4" s="927" t="s">
        <v>1848</v>
      </c>
      <c r="E4" s="928"/>
      <c r="F4" s="927"/>
      <c r="G4" s="927"/>
      <c r="H4" s="927"/>
      <c r="I4" s="927"/>
      <c r="J4" s="927"/>
      <c r="K4" s="927"/>
      <c r="L4" s="929"/>
      <c r="M4" s="940"/>
      <c r="N4" s="1028"/>
      <c r="O4" s="995"/>
      <c r="P4" s="941"/>
      <c r="Q4" s="941"/>
      <c r="R4"/>
      <c r="S4"/>
    </row>
    <row r="5" spans="1:19" s="1" customFormat="1" ht="22.5" x14ac:dyDescent="0.2">
      <c r="A5" s="77">
        <v>1</v>
      </c>
      <c r="B5" s="95"/>
      <c r="C5" s="95"/>
      <c r="D5" s="96" t="s">
        <v>617</v>
      </c>
      <c r="E5" s="97"/>
      <c r="F5" s="95"/>
      <c r="G5" s="98"/>
      <c r="H5" s="93"/>
      <c r="I5" s="97"/>
      <c r="J5" s="97"/>
      <c r="K5" s="97"/>
      <c r="L5" s="431"/>
      <c r="M5" s="135"/>
      <c r="N5" s="1027"/>
      <c r="O5" s="441"/>
      <c r="P5" s="442"/>
      <c r="Q5" s="442"/>
      <c r="R5"/>
      <c r="S5"/>
    </row>
    <row r="6" spans="1:19" s="1" customFormat="1" ht="33.75" x14ac:dyDescent="0.2">
      <c r="A6" s="77">
        <v>1</v>
      </c>
      <c r="B6" s="760" t="s">
        <v>618</v>
      </c>
      <c r="C6" s="760" t="s">
        <v>618</v>
      </c>
      <c r="D6" s="761" t="s">
        <v>5</v>
      </c>
      <c r="E6" s="94"/>
      <c r="F6" s="757"/>
      <c r="G6" s="93"/>
      <c r="H6" s="762"/>
      <c r="I6" s="3" t="e">
        <f>SUM(#REF!,#REF!,#REF!,#REF!,#REF!,#REF!,#REF!,#REF!,#REF!,#REF!,#REF!,#REF!,#REF!,#REF!,#REF!,#REF!,#REF!,#REF!,#REF!,I30,I8,#REF!,I12,I15,#REF!,I19,I21,I23,I26,#REF!,I32)</f>
        <v>#REF!</v>
      </c>
      <c r="J6" s="100"/>
      <c r="K6" s="3" t="e">
        <f>SUM(#REF!,#REF!,#REF!,#REF!,#REF!,#REF!,#REF!,#REF!,#REF!,#REF!,#REF!,#REF!,#REF!,#REF!,#REF!,#REF!,#REF!,#REF!,#REF!,K30,K8,#REF!,K12,K15,#REF!,K19,K21,K23,K26,#REF!,K32)</f>
        <v>#REF!</v>
      </c>
      <c r="L6" s="763" t="e">
        <f>SUM(#REF!,#REF!,#REF!,#REF!,#REF!,#REF!,#REF!,#REF!,#REF!,#REF!,#REF!,#REF!,#REF!,#REF!,#REF!,#REF!,#REF!,#REF!,#REF!,L30,L8,#REF!,L12,L15,#REF!,L19,L21,L23,L26,#REF!,L32)</f>
        <v>#REF!</v>
      </c>
      <c r="M6" s="135"/>
      <c r="N6" s="1029"/>
      <c r="O6" s="83"/>
      <c r="P6" s="960"/>
      <c r="Q6" s="75"/>
      <c r="R6"/>
      <c r="S6"/>
    </row>
    <row r="7" spans="1:19" s="1" customFormat="1" ht="30" customHeight="1" x14ac:dyDescent="0.2">
      <c r="A7" s="77">
        <v>1</v>
      </c>
      <c r="B7" s="99"/>
      <c r="C7" s="99" t="s">
        <v>623</v>
      </c>
      <c r="D7" s="51" t="s">
        <v>34</v>
      </c>
      <c r="E7" s="47" t="s">
        <v>35</v>
      </c>
      <c r="F7" s="64" t="s">
        <v>36</v>
      </c>
      <c r="G7" s="64" t="s">
        <v>8</v>
      </c>
      <c r="H7" s="108">
        <v>11.5</v>
      </c>
      <c r="I7" s="15">
        <v>11.5</v>
      </c>
      <c r="J7" s="100">
        <v>11.5</v>
      </c>
      <c r="K7" s="15">
        <v>11.5</v>
      </c>
      <c r="L7" s="34">
        <v>11.5</v>
      </c>
      <c r="M7" s="135" t="s">
        <v>624</v>
      </c>
      <c r="N7" s="398" t="s">
        <v>1958</v>
      </c>
      <c r="O7" s="102" t="s">
        <v>625</v>
      </c>
      <c r="P7" s="103" t="s">
        <v>626</v>
      </c>
      <c r="Q7" s="104"/>
      <c r="R7" s="354"/>
      <c r="S7"/>
    </row>
    <row r="8" spans="1:19" s="1" customFormat="1" ht="11.25" customHeight="1" x14ac:dyDescent="0.2">
      <c r="A8" s="77">
        <v>1</v>
      </c>
      <c r="B8" s="99"/>
      <c r="C8" s="99"/>
      <c r="D8" s="51"/>
      <c r="E8" s="47" t="s">
        <v>35</v>
      </c>
      <c r="F8" s="64" t="s">
        <v>36</v>
      </c>
      <c r="G8" s="105" t="s">
        <v>622</v>
      </c>
      <c r="H8" s="107">
        <f>SUM(H7)</f>
        <v>11.5</v>
      </c>
      <c r="I8" s="107">
        <f>SUM(I7)</f>
        <v>11.5</v>
      </c>
      <c r="J8" s="107">
        <f>SUM(J7)</f>
        <v>11.5</v>
      </c>
      <c r="K8" s="107">
        <f>SUM(K7)</f>
        <v>11.5</v>
      </c>
      <c r="L8" s="765">
        <f>SUM(L7)</f>
        <v>11.5</v>
      </c>
      <c r="M8" s="135"/>
      <c r="N8" s="398"/>
      <c r="O8" s="102"/>
      <c r="P8" s="103"/>
      <c r="Q8" s="104"/>
      <c r="R8" s="354"/>
      <c r="S8"/>
    </row>
    <row r="9" spans="1:19" s="1" customFormat="1" ht="33.75" x14ac:dyDescent="0.2">
      <c r="A9" s="77">
        <v>1</v>
      </c>
      <c r="B9" s="99"/>
      <c r="C9" s="99" t="s">
        <v>628</v>
      </c>
      <c r="D9" s="1245" t="s">
        <v>629</v>
      </c>
      <c r="E9" s="47" t="s">
        <v>630</v>
      </c>
      <c r="F9" s="766" t="s">
        <v>631</v>
      </c>
      <c r="G9" s="43" t="s">
        <v>37</v>
      </c>
      <c r="H9" s="108">
        <v>1387</v>
      </c>
      <c r="I9" s="15">
        <v>1147.3</v>
      </c>
      <c r="J9" s="100">
        <v>448.2</v>
      </c>
      <c r="K9" s="767"/>
      <c r="L9" s="768"/>
      <c r="M9" s="135"/>
      <c r="N9" s="838" t="s">
        <v>1959</v>
      </c>
      <c r="O9" s="102" t="s">
        <v>632</v>
      </c>
      <c r="P9" s="103" t="s">
        <v>633</v>
      </c>
      <c r="Q9" s="109"/>
      <c r="R9" s="354"/>
      <c r="S9"/>
    </row>
    <row r="10" spans="1:19" s="1" customFormat="1" ht="23.25" customHeight="1" x14ac:dyDescent="0.2">
      <c r="A10" s="77">
        <v>1</v>
      </c>
      <c r="B10" s="99"/>
      <c r="C10" s="99"/>
      <c r="D10" s="1246"/>
      <c r="E10" s="47" t="s">
        <v>630</v>
      </c>
      <c r="F10" s="766" t="s">
        <v>631</v>
      </c>
      <c r="G10" s="64" t="s">
        <v>8</v>
      </c>
      <c r="H10" s="108">
        <v>38.1</v>
      </c>
      <c r="I10" s="15">
        <v>156.69999999999999</v>
      </c>
      <c r="J10" s="100">
        <f>20+99</f>
        <v>119</v>
      </c>
      <c r="K10" s="38"/>
      <c r="L10" s="49"/>
      <c r="M10" s="135" t="s">
        <v>627</v>
      </c>
      <c r="N10" s="398"/>
      <c r="O10" s="102"/>
      <c r="P10" s="103"/>
      <c r="Q10" s="104"/>
      <c r="R10" s="354"/>
      <c r="S10"/>
    </row>
    <row r="11" spans="1:19" s="1" customFormat="1" ht="11.25" customHeight="1" x14ac:dyDescent="0.2">
      <c r="A11" s="77">
        <v>1</v>
      </c>
      <c r="B11" s="99"/>
      <c r="C11" s="99"/>
      <c r="D11" s="1247"/>
      <c r="E11" s="47" t="s">
        <v>630</v>
      </c>
      <c r="F11" s="766" t="s">
        <v>631</v>
      </c>
      <c r="G11" s="43" t="s">
        <v>38</v>
      </c>
      <c r="H11" s="108"/>
      <c r="I11" s="15">
        <v>207.4</v>
      </c>
      <c r="J11" s="100">
        <v>222.2</v>
      </c>
      <c r="K11" s="767"/>
      <c r="L11" s="768"/>
      <c r="M11" s="135"/>
      <c r="N11" s="1030"/>
      <c r="O11" s="102"/>
      <c r="P11" s="104"/>
      <c r="Q11" s="104"/>
      <c r="R11" s="354"/>
      <c r="S11"/>
    </row>
    <row r="12" spans="1:19" s="1" customFormat="1" ht="11.25" customHeight="1" x14ac:dyDescent="0.2">
      <c r="A12" s="77">
        <v>1</v>
      </c>
      <c r="B12" s="99"/>
      <c r="C12" s="99"/>
      <c r="D12" s="51"/>
      <c r="E12" s="47" t="s">
        <v>630</v>
      </c>
      <c r="F12" s="766" t="s">
        <v>631</v>
      </c>
      <c r="G12" s="105" t="s">
        <v>622</v>
      </c>
      <c r="H12" s="107">
        <f>SUM(H9:H11)</f>
        <v>1425.1</v>
      </c>
      <c r="I12" s="107">
        <f>SUM(I9:I11)</f>
        <v>1511.4</v>
      </c>
      <c r="J12" s="107">
        <f>SUM(J9:J11)</f>
        <v>789.40000000000009</v>
      </c>
      <c r="K12" s="107">
        <f>SUM(K9:K11)</f>
        <v>0</v>
      </c>
      <c r="L12" s="765">
        <f>SUM(L9:L11)</f>
        <v>0</v>
      </c>
      <c r="M12" s="135"/>
      <c r="N12" s="1031"/>
      <c r="O12" s="102"/>
      <c r="P12" s="103"/>
      <c r="Q12" s="104"/>
      <c r="R12" s="354"/>
      <c r="S12"/>
    </row>
    <row r="13" spans="1:19" s="1" customFormat="1" ht="19.899999999999999" customHeight="1" x14ac:dyDescent="0.2">
      <c r="A13" s="77">
        <v>1</v>
      </c>
      <c r="B13" s="99"/>
      <c r="C13" s="99" t="s">
        <v>634</v>
      </c>
      <c r="D13" s="51" t="s">
        <v>635</v>
      </c>
      <c r="E13" s="754" t="s">
        <v>39</v>
      </c>
      <c r="F13" s="766" t="s">
        <v>636</v>
      </c>
      <c r="G13" s="64" t="s">
        <v>8</v>
      </c>
      <c r="H13" s="767">
        <f>4-1.9</f>
        <v>2.1</v>
      </c>
      <c r="I13" s="16"/>
      <c r="J13" s="100">
        <f>240-40</f>
        <v>200</v>
      </c>
      <c r="K13" s="767"/>
      <c r="L13" s="768"/>
      <c r="M13" s="135" t="s">
        <v>637</v>
      </c>
      <c r="N13" s="1158" t="s">
        <v>1960</v>
      </c>
      <c r="O13" s="769" t="s">
        <v>639</v>
      </c>
      <c r="P13" s="103">
        <v>1</v>
      </c>
      <c r="Q13" s="116" t="s">
        <v>640</v>
      </c>
      <c r="R13" s="354"/>
      <c r="S13"/>
    </row>
    <row r="14" spans="1:19" s="1" customFormat="1" ht="45" x14ac:dyDescent="0.2">
      <c r="A14" s="77">
        <v>1</v>
      </c>
      <c r="B14" s="99"/>
      <c r="C14" s="99"/>
      <c r="D14" s="51"/>
      <c r="E14" s="47" t="s">
        <v>35</v>
      </c>
      <c r="F14" s="766" t="s">
        <v>636</v>
      </c>
      <c r="G14" s="754" t="s">
        <v>8</v>
      </c>
      <c r="H14" s="767">
        <f>20+7.9</f>
        <v>27.9</v>
      </c>
      <c r="I14" s="15"/>
      <c r="J14" s="100"/>
      <c r="K14" s="767"/>
      <c r="L14" s="768"/>
      <c r="M14" s="135" t="s">
        <v>637</v>
      </c>
      <c r="N14" s="838" t="s">
        <v>1961</v>
      </c>
      <c r="O14" s="102" t="s">
        <v>641</v>
      </c>
      <c r="P14" s="361" t="s">
        <v>642</v>
      </c>
      <c r="Q14" s="117"/>
      <c r="R14" s="354"/>
      <c r="S14"/>
    </row>
    <row r="15" spans="1:19" s="1" customFormat="1" x14ac:dyDescent="0.2">
      <c r="A15" s="77">
        <v>1</v>
      </c>
      <c r="B15" s="99"/>
      <c r="C15" s="99"/>
      <c r="D15" s="51"/>
      <c r="E15" s="47" t="s">
        <v>35</v>
      </c>
      <c r="F15" s="766" t="s">
        <v>636</v>
      </c>
      <c r="G15" s="105" t="s">
        <v>622</v>
      </c>
      <c r="H15" s="107">
        <f>SUM(H13:H14)</f>
        <v>30</v>
      </c>
      <c r="I15" s="107">
        <f>SUM(I13:I14)</f>
        <v>0</v>
      </c>
      <c r="J15" s="107">
        <f>SUM(J13:J14)</f>
        <v>200</v>
      </c>
      <c r="K15" s="107">
        <f>SUM(K13:K14)</f>
        <v>0</v>
      </c>
      <c r="L15" s="765">
        <f>SUM(L13:L14)</f>
        <v>0</v>
      </c>
      <c r="M15" s="135"/>
      <c r="N15" s="398"/>
      <c r="O15" s="102"/>
      <c r="P15" s="103"/>
      <c r="Q15" s="104"/>
      <c r="R15" s="354"/>
      <c r="S15"/>
    </row>
    <row r="16" spans="1:19" s="1" customFormat="1" ht="11.25" customHeight="1" x14ac:dyDescent="0.2">
      <c r="A16" s="77">
        <v>1</v>
      </c>
      <c r="B16" s="99"/>
      <c r="C16" s="99" t="s">
        <v>643</v>
      </c>
      <c r="D16" s="1245" t="s">
        <v>41</v>
      </c>
      <c r="E16" s="43">
        <v>9</v>
      </c>
      <c r="F16" s="766" t="s">
        <v>42</v>
      </c>
      <c r="G16" s="64" t="s">
        <v>8</v>
      </c>
      <c r="H16" s="108">
        <v>490</v>
      </c>
      <c r="I16" s="15">
        <v>743.2</v>
      </c>
      <c r="J16" s="100">
        <f>937.8-180-200+100</f>
        <v>657.8</v>
      </c>
      <c r="K16" s="38">
        <v>937.8</v>
      </c>
      <c r="L16" s="49">
        <v>937.8</v>
      </c>
      <c r="M16" s="135" t="s">
        <v>624</v>
      </c>
      <c r="N16" s="398" t="s">
        <v>1962</v>
      </c>
      <c r="O16" s="102" t="s">
        <v>1963</v>
      </c>
      <c r="P16" s="82">
        <v>30</v>
      </c>
      <c r="Q16" s="110"/>
      <c r="R16" s="354"/>
      <c r="S16"/>
    </row>
    <row r="17" spans="1:19" s="1" customFormat="1" ht="11.25" customHeight="1" x14ac:dyDescent="0.2">
      <c r="A17" s="77">
        <v>1</v>
      </c>
      <c r="B17" s="99"/>
      <c r="C17" s="99"/>
      <c r="D17" s="1246"/>
      <c r="E17" s="43">
        <v>9</v>
      </c>
      <c r="F17" s="766" t="s">
        <v>42</v>
      </c>
      <c r="G17" s="43" t="s">
        <v>9</v>
      </c>
      <c r="H17" s="38"/>
      <c r="I17" s="15">
        <v>0</v>
      </c>
      <c r="J17" s="100">
        <v>0</v>
      </c>
      <c r="K17" s="38">
        <v>0</v>
      </c>
      <c r="L17" s="49">
        <v>0</v>
      </c>
      <c r="M17" s="135"/>
      <c r="N17" s="398"/>
      <c r="O17" s="309"/>
      <c r="P17" s="82"/>
      <c r="Q17" s="110"/>
      <c r="R17" s="354"/>
      <c r="S17"/>
    </row>
    <row r="18" spans="1:19" s="1" customFormat="1" ht="11.25" customHeight="1" x14ac:dyDescent="0.2">
      <c r="A18" s="77">
        <v>1</v>
      </c>
      <c r="B18" s="99"/>
      <c r="C18" s="99"/>
      <c r="D18" s="1247"/>
      <c r="E18" s="43">
        <v>9</v>
      </c>
      <c r="F18" s="766" t="s">
        <v>42</v>
      </c>
      <c r="G18" s="766" t="s">
        <v>10</v>
      </c>
      <c r="H18" s="767">
        <v>0</v>
      </c>
      <c r="I18" s="15">
        <v>0</v>
      </c>
      <c r="J18" s="100">
        <v>0</v>
      </c>
      <c r="K18" s="767">
        <v>0</v>
      </c>
      <c r="L18" s="768">
        <v>0</v>
      </c>
      <c r="M18" s="135"/>
      <c r="N18" s="398"/>
      <c r="O18" s="102"/>
      <c r="P18" s="103"/>
      <c r="Q18" s="110"/>
      <c r="R18" s="354"/>
      <c r="S18"/>
    </row>
    <row r="19" spans="1:19" s="1" customFormat="1" ht="11.25" customHeight="1" x14ac:dyDescent="0.2">
      <c r="A19" s="77">
        <v>1</v>
      </c>
      <c r="B19" s="99"/>
      <c r="C19" s="99"/>
      <c r="D19" s="51"/>
      <c r="E19" s="43">
        <v>9</v>
      </c>
      <c r="F19" s="766" t="s">
        <v>42</v>
      </c>
      <c r="G19" s="105" t="s">
        <v>622</v>
      </c>
      <c r="H19" s="107">
        <f>SUM(H16:H18)</f>
        <v>490</v>
      </c>
      <c r="I19" s="107">
        <f>SUM(I16:I18)</f>
        <v>743.2</v>
      </c>
      <c r="J19" s="107">
        <f>SUM(J16:J18)</f>
        <v>657.8</v>
      </c>
      <c r="K19" s="107">
        <f>SUM(K16:K18)</f>
        <v>937.8</v>
      </c>
      <c r="L19" s="765">
        <f>SUM(L16:L18)</f>
        <v>937.8</v>
      </c>
      <c r="M19" s="135"/>
      <c r="N19" s="398"/>
      <c r="O19" s="102"/>
      <c r="P19" s="103"/>
      <c r="Q19" s="110"/>
      <c r="R19" s="354"/>
      <c r="S19"/>
    </row>
    <row r="20" spans="1:19" s="1" customFormat="1" ht="27" customHeight="1" x14ac:dyDescent="0.2">
      <c r="A20" s="77">
        <v>1</v>
      </c>
      <c r="B20" s="99"/>
      <c r="C20" s="99" t="s">
        <v>645</v>
      </c>
      <c r="D20" s="51" t="s">
        <v>646</v>
      </c>
      <c r="E20" s="43">
        <v>18</v>
      </c>
      <c r="F20" s="766" t="s">
        <v>44</v>
      </c>
      <c r="G20" s="64" t="s">
        <v>8</v>
      </c>
      <c r="H20" s="770">
        <v>571.9</v>
      </c>
      <c r="I20" s="15">
        <v>734.6</v>
      </c>
      <c r="J20" s="100">
        <f>600+200+200+200</f>
        <v>1200</v>
      </c>
      <c r="K20" s="767">
        <v>1000</v>
      </c>
      <c r="L20" s="768">
        <v>1000</v>
      </c>
      <c r="M20" s="135" t="s">
        <v>624</v>
      </c>
      <c r="N20" s="398" t="s">
        <v>1964</v>
      </c>
      <c r="O20" s="102" t="s">
        <v>648</v>
      </c>
      <c r="P20" s="103">
        <v>100</v>
      </c>
      <c r="Q20" s="110"/>
      <c r="R20" s="354"/>
      <c r="S20"/>
    </row>
    <row r="21" spans="1:19" s="1" customFormat="1" ht="11.25" customHeight="1" x14ac:dyDescent="0.2">
      <c r="A21" s="77">
        <v>1</v>
      </c>
      <c r="B21" s="99"/>
      <c r="C21" s="99"/>
      <c r="D21" s="51"/>
      <c r="E21" s="43">
        <v>18</v>
      </c>
      <c r="F21" s="766" t="s">
        <v>44</v>
      </c>
      <c r="G21" s="105" t="s">
        <v>622</v>
      </c>
      <c r="H21" s="107">
        <f>SUM(H20)</f>
        <v>571.9</v>
      </c>
      <c r="I21" s="107">
        <f>SUM(I20)</f>
        <v>734.6</v>
      </c>
      <c r="J21" s="107">
        <f>SUM(J20)</f>
        <v>1200</v>
      </c>
      <c r="K21" s="107">
        <f>SUM(K20)</f>
        <v>1000</v>
      </c>
      <c r="L21" s="765">
        <f>SUM(L20)</f>
        <v>1000</v>
      </c>
      <c r="M21" s="135"/>
      <c r="N21" s="398"/>
      <c r="O21" s="102"/>
      <c r="P21" s="103"/>
      <c r="Q21" s="110"/>
      <c r="R21" s="354"/>
      <c r="S21"/>
    </row>
    <row r="22" spans="1:19" s="1" customFormat="1" ht="33.75" x14ac:dyDescent="0.2">
      <c r="A22" s="77">
        <v>1</v>
      </c>
      <c r="B22" s="99"/>
      <c r="C22" s="99" t="s">
        <v>649</v>
      </c>
      <c r="D22" s="36" t="s">
        <v>650</v>
      </c>
      <c r="E22" s="43">
        <v>11</v>
      </c>
      <c r="F22" s="766" t="s">
        <v>651</v>
      </c>
      <c r="G22" s="766" t="s">
        <v>10</v>
      </c>
      <c r="H22" s="108">
        <v>0.2</v>
      </c>
      <c r="I22" s="15">
        <v>3</v>
      </c>
      <c r="J22" s="100">
        <f>1.6+0.4+0.3</f>
        <v>2.2999999999999998</v>
      </c>
      <c r="K22" s="15">
        <v>2</v>
      </c>
      <c r="L22" s="34">
        <v>2</v>
      </c>
      <c r="M22" s="135"/>
      <c r="N22" s="398" t="s">
        <v>1961</v>
      </c>
      <c r="O22" s="102" t="s">
        <v>652</v>
      </c>
      <c r="P22" s="103">
        <v>2</v>
      </c>
      <c r="Q22" s="110"/>
      <c r="R22" s="354"/>
      <c r="S22"/>
    </row>
    <row r="23" spans="1:19" s="1" customFormat="1" ht="11.25" customHeight="1" x14ac:dyDescent="0.2">
      <c r="A23" s="77">
        <v>1</v>
      </c>
      <c r="B23" s="99"/>
      <c r="C23" s="99"/>
      <c r="D23" s="36"/>
      <c r="E23" s="43"/>
      <c r="F23" s="766" t="s">
        <v>651</v>
      </c>
      <c r="G23" s="105" t="s">
        <v>622</v>
      </c>
      <c r="H23" s="107">
        <f>SUM(H22:H22)</f>
        <v>0.2</v>
      </c>
      <c r="I23" s="107">
        <f>SUM(I22:I22)</f>
        <v>3</v>
      </c>
      <c r="J23" s="107">
        <f>SUM(J22:J22)</f>
        <v>2.2999999999999998</v>
      </c>
      <c r="K23" s="107">
        <f>SUM(K22:K22)</f>
        <v>2</v>
      </c>
      <c r="L23" s="765">
        <f>SUM(L22:L22)</f>
        <v>2</v>
      </c>
      <c r="M23" s="135"/>
      <c r="N23" s="398"/>
      <c r="O23" s="102"/>
      <c r="P23" s="103"/>
      <c r="Q23" s="110"/>
      <c r="R23" s="354"/>
      <c r="S23"/>
    </row>
    <row r="24" spans="1:19" s="1" customFormat="1" ht="32.450000000000003" customHeight="1" x14ac:dyDescent="0.2">
      <c r="A24" s="77">
        <v>1</v>
      </c>
      <c r="B24" s="99"/>
      <c r="C24" s="99" t="s">
        <v>653</v>
      </c>
      <c r="D24" s="36" t="s">
        <v>654</v>
      </c>
      <c r="E24" s="43">
        <v>11</v>
      </c>
      <c r="F24" s="766" t="s">
        <v>655</v>
      </c>
      <c r="G24" s="64" t="s">
        <v>37</v>
      </c>
      <c r="H24" s="770">
        <v>571.9</v>
      </c>
      <c r="I24" s="15">
        <v>27.2</v>
      </c>
      <c r="J24" s="100">
        <f>192+2.1</f>
        <v>194.1</v>
      </c>
      <c r="K24" s="15">
        <v>193.4</v>
      </c>
      <c r="L24" s="768"/>
      <c r="M24" s="135"/>
      <c r="N24" s="398" t="s">
        <v>1961</v>
      </c>
      <c r="O24" s="102" t="s">
        <v>652</v>
      </c>
      <c r="P24" s="103">
        <v>2</v>
      </c>
      <c r="Q24" s="110"/>
      <c r="R24" s="354"/>
      <c r="S24"/>
    </row>
    <row r="25" spans="1:19" s="1" customFormat="1" ht="23.25" customHeight="1" x14ac:dyDescent="0.2">
      <c r="A25" s="77">
        <v>1</v>
      </c>
      <c r="B25" s="99"/>
      <c r="C25" s="99"/>
      <c r="D25" s="36"/>
      <c r="E25" s="43">
        <v>11</v>
      </c>
      <c r="F25" s="766" t="s">
        <v>655</v>
      </c>
      <c r="G25" s="64" t="s">
        <v>38</v>
      </c>
      <c r="H25" s="770"/>
      <c r="I25" s="15">
        <v>7.2</v>
      </c>
      <c r="J25" s="100">
        <f>50.5+0.4</f>
        <v>50.9</v>
      </c>
      <c r="K25" s="15">
        <v>50.9</v>
      </c>
      <c r="L25" s="768"/>
      <c r="M25" s="135"/>
      <c r="N25" s="398"/>
      <c r="O25" s="102"/>
      <c r="P25" s="103"/>
      <c r="Q25" s="110"/>
      <c r="R25" s="354"/>
      <c r="S25"/>
    </row>
    <row r="26" spans="1:19" s="1" customFormat="1" ht="11.25" customHeight="1" x14ac:dyDescent="0.2">
      <c r="A26" s="77">
        <v>1</v>
      </c>
      <c r="B26" s="99"/>
      <c r="C26" s="99"/>
      <c r="D26" s="51"/>
      <c r="E26" s="43">
        <v>11</v>
      </c>
      <c r="F26" s="766" t="s">
        <v>655</v>
      </c>
      <c r="G26" s="105" t="s">
        <v>622</v>
      </c>
      <c r="H26" s="107">
        <f>SUM(H24)</f>
        <v>571.9</v>
      </c>
      <c r="I26" s="107">
        <f>SUM(I24:I25)</f>
        <v>34.4</v>
      </c>
      <c r="J26" s="107">
        <f>SUM(J24:J25)</f>
        <v>245</v>
      </c>
      <c r="K26" s="107">
        <f>SUM(K24:K25)</f>
        <v>244.3</v>
      </c>
      <c r="L26" s="765">
        <f>SUM(L24:L25)</f>
        <v>0</v>
      </c>
      <c r="M26" s="135"/>
      <c r="N26" s="398"/>
      <c r="O26" s="102"/>
      <c r="P26" s="103"/>
      <c r="Q26" s="110"/>
      <c r="R26" s="354"/>
      <c r="S26"/>
    </row>
    <row r="27" spans="1:19" s="1" customFormat="1" ht="11.25" customHeight="1" x14ac:dyDescent="0.2">
      <c r="A27" s="77">
        <v>1</v>
      </c>
      <c r="B27" s="99"/>
      <c r="C27" s="99" t="s">
        <v>656</v>
      </c>
      <c r="D27" s="1248" t="s">
        <v>32</v>
      </c>
      <c r="E27" s="771">
        <v>6</v>
      </c>
      <c r="F27" s="113" t="s">
        <v>33</v>
      </c>
      <c r="G27" s="43" t="s">
        <v>7</v>
      </c>
      <c r="H27" s="108">
        <v>80.599999999999994</v>
      </c>
      <c r="I27" s="15"/>
      <c r="J27" s="100">
        <f>348.7+105.5-202.7-14.8</f>
        <v>236.7</v>
      </c>
      <c r="K27" s="772">
        <v>500</v>
      </c>
      <c r="L27" s="773">
        <v>500</v>
      </c>
      <c r="M27" s="135"/>
      <c r="N27" s="398" t="s">
        <v>1984</v>
      </c>
      <c r="O27" s="102"/>
      <c r="P27" s="103"/>
      <c r="Q27" s="110"/>
      <c r="R27" s="354"/>
      <c r="S27"/>
    </row>
    <row r="28" spans="1:19" s="1" customFormat="1" ht="11.25" customHeight="1" x14ac:dyDescent="0.2">
      <c r="A28" s="77">
        <v>1</v>
      </c>
      <c r="B28" s="99"/>
      <c r="C28" s="99"/>
      <c r="D28" s="1248"/>
      <c r="E28" s="771">
        <v>6</v>
      </c>
      <c r="F28" s="113" t="s">
        <v>33</v>
      </c>
      <c r="G28" s="43" t="s">
        <v>10</v>
      </c>
      <c r="H28" s="38">
        <f>16.4-16.4</f>
        <v>0</v>
      </c>
      <c r="I28" s="15">
        <f>16.9-16.9</f>
        <v>0</v>
      </c>
      <c r="J28" s="100">
        <f>17.8-17.8</f>
        <v>0</v>
      </c>
      <c r="K28" s="38"/>
      <c r="L28" s="49"/>
      <c r="M28" s="135"/>
      <c r="N28" s="398"/>
      <c r="O28" s="102"/>
      <c r="P28" s="103"/>
      <c r="Q28" s="110"/>
      <c r="R28" s="354"/>
      <c r="S28"/>
    </row>
    <row r="29" spans="1:19" s="1" customFormat="1" ht="11.25" customHeight="1" x14ac:dyDescent="0.2">
      <c r="A29" s="77">
        <v>1</v>
      </c>
      <c r="B29" s="99"/>
      <c r="C29" s="99"/>
      <c r="D29" s="1248"/>
      <c r="E29" s="771">
        <v>6</v>
      </c>
      <c r="F29" s="113" t="s">
        <v>33</v>
      </c>
      <c r="G29" s="64" t="s">
        <v>8</v>
      </c>
      <c r="H29" s="38"/>
      <c r="I29" s="15"/>
      <c r="J29" s="100">
        <f>12-12</f>
        <v>0</v>
      </c>
      <c r="K29" s="38"/>
      <c r="L29" s="49"/>
      <c r="M29" s="135"/>
      <c r="N29" s="398"/>
      <c r="O29" s="102"/>
      <c r="P29" s="103"/>
      <c r="Q29" s="110"/>
      <c r="R29" s="354"/>
      <c r="S29"/>
    </row>
    <row r="30" spans="1:19" s="1" customFormat="1" ht="11.25" customHeight="1" x14ac:dyDescent="0.2">
      <c r="A30" s="77">
        <v>1</v>
      </c>
      <c r="B30" s="99"/>
      <c r="C30" s="99"/>
      <c r="D30" s="1248"/>
      <c r="E30" s="771">
        <v>6</v>
      </c>
      <c r="F30" s="113" t="s">
        <v>33</v>
      </c>
      <c r="G30" s="105" t="s">
        <v>622</v>
      </c>
      <c r="H30" s="107">
        <f>SUM(H27:H28)</f>
        <v>80.599999999999994</v>
      </c>
      <c r="I30" s="107">
        <f>SUM(I27:I28)</f>
        <v>0</v>
      </c>
      <c r="J30" s="107">
        <f>SUM(J27:J29)</f>
        <v>236.7</v>
      </c>
      <c r="K30" s="107">
        <f>SUM(K27:K28)</f>
        <v>500</v>
      </c>
      <c r="L30" s="765">
        <f>SUM(L27:L28)</f>
        <v>500</v>
      </c>
      <c r="M30" s="135"/>
      <c r="N30" s="398"/>
      <c r="O30" s="102"/>
      <c r="P30" s="103"/>
      <c r="Q30" s="110"/>
      <c r="R30" s="354"/>
      <c r="S30"/>
    </row>
    <row r="31" spans="1:19" s="1" customFormat="1" ht="21.75" customHeight="1" x14ac:dyDescent="0.2">
      <c r="A31" s="77">
        <v>1</v>
      </c>
      <c r="B31" s="99"/>
      <c r="C31" s="99" t="s">
        <v>657</v>
      </c>
      <c r="D31" s="747" t="s">
        <v>658</v>
      </c>
      <c r="E31" s="771">
        <v>17</v>
      </c>
      <c r="F31" s="113" t="s">
        <v>659</v>
      </c>
      <c r="G31" s="47" t="s">
        <v>8</v>
      </c>
      <c r="H31" s="64"/>
      <c r="I31" s="15"/>
      <c r="J31" s="100">
        <v>5</v>
      </c>
      <c r="K31" s="15">
        <v>5</v>
      </c>
      <c r="L31" s="34">
        <v>5</v>
      </c>
      <c r="M31" s="135" t="s">
        <v>637</v>
      </c>
      <c r="N31" s="398" t="s">
        <v>1989</v>
      </c>
      <c r="O31" s="102" t="s">
        <v>661</v>
      </c>
      <c r="P31" s="103">
        <v>1</v>
      </c>
      <c r="Q31" s="110"/>
      <c r="R31" s="354"/>
      <c r="S31"/>
    </row>
    <row r="32" spans="1:19" s="1" customFormat="1" ht="11.25" customHeight="1" x14ac:dyDescent="0.2">
      <c r="A32" s="77">
        <v>1</v>
      </c>
      <c r="B32" s="99"/>
      <c r="C32" s="99"/>
      <c r="D32" s="68"/>
      <c r="E32" s="771">
        <v>17</v>
      </c>
      <c r="F32" s="113"/>
      <c r="G32" s="105" t="s">
        <v>622</v>
      </c>
      <c r="H32" s="64"/>
      <c r="I32" s="774">
        <f>SUM(I31)</f>
        <v>0</v>
      </c>
      <c r="J32" s="774">
        <f t="shared" ref="J32:L32" si="0">SUM(J31)</f>
        <v>5</v>
      </c>
      <c r="K32" s="774">
        <f t="shared" si="0"/>
        <v>5</v>
      </c>
      <c r="L32" s="764">
        <f t="shared" si="0"/>
        <v>5</v>
      </c>
      <c r="M32" s="135"/>
      <c r="N32" s="398"/>
      <c r="O32" s="102"/>
      <c r="P32" s="103"/>
      <c r="Q32" s="110"/>
      <c r="R32" s="354"/>
      <c r="S32"/>
    </row>
    <row r="33" spans="1:19" s="1" customFormat="1" ht="25.9" customHeight="1" x14ac:dyDescent="0.2">
      <c r="A33" s="77">
        <v>1</v>
      </c>
      <c r="B33" s="951"/>
      <c r="C33" s="951" t="s">
        <v>1887</v>
      </c>
      <c r="D33" s="1249" t="s">
        <v>1888</v>
      </c>
      <c r="E33" s="771">
        <v>17</v>
      </c>
      <c r="F33" s="113" t="s">
        <v>1889</v>
      </c>
      <c r="G33" s="754" t="s">
        <v>37</v>
      </c>
      <c r="H33" s="108"/>
      <c r="I33" s="15"/>
      <c r="J33" s="100">
        <v>126</v>
      </c>
      <c r="K33" s="774"/>
      <c r="L33" s="764"/>
      <c r="M33" s="135"/>
      <c r="N33" s="398" t="s">
        <v>1989</v>
      </c>
      <c r="O33" s="102" t="s">
        <v>1890</v>
      </c>
      <c r="P33" s="103">
        <v>15</v>
      </c>
      <c r="Q33" s="110"/>
      <c r="R33" s="354"/>
      <c r="S33"/>
    </row>
    <row r="34" spans="1:19" s="1" customFormat="1" ht="11.25" customHeight="1" x14ac:dyDescent="0.2">
      <c r="A34" s="77">
        <v>1</v>
      </c>
      <c r="B34" s="951"/>
      <c r="C34" s="951"/>
      <c r="D34" s="1250"/>
      <c r="E34" s="771">
        <v>17</v>
      </c>
      <c r="F34" s="113" t="s">
        <v>1889</v>
      </c>
      <c r="G34" s="754" t="s">
        <v>38</v>
      </c>
      <c r="H34" s="64"/>
      <c r="I34" s="15"/>
      <c r="J34" s="100">
        <v>23</v>
      </c>
      <c r="K34" s="774"/>
      <c r="L34" s="764"/>
      <c r="M34" s="135"/>
      <c r="N34" s="398"/>
      <c r="O34" s="102"/>
      <c r="P34" s="103"/>
      <c r="Q34" s="110"/>
      <c r="R34" s="354"/>
      <c r="S34"/>
    </row>
    <row r="35" spans="1:19" s="1" customFormat="1" ht="11.25" customHeight="1" x14ac:dyDescent="0.2">
      <c r="A35" s="77">
        <v>1</v>
      </c>
      <c r="B35" s="951"/>
      <c r="C35" s="951"/>
      <c r="D35" s="1250"/>
      <c r="E35" s="771">
        <v>17</v>
      </c>
      <c r="F35" s="952"/>
      <c r="G35" s="754" t="s">
        <v>8</v>
      </c>
      <c r="H35" s="64"/>
      <c r="I35" s="15"/>
      <c r="J35" s="100">
        <v>16.899999999999999</v>
      </c>
      <c r="K35" s="774"/>
      <c r="L35" s="764"/>
      <c r="M35" s="135"/>
      <c r="N35" s="398"/>
      <c r="O35" s="102"/>
      <c r="P35" s="103"/>
      <c r="Q35" s="110"/>
      <c r="R35" s="354"/>
      <c r="S35"/>
    </row>
    <row r="36" spans="1:19" s="1" customFormat="1" ht="11.25" customHeight="1" x14ac:dyDescent="0.2">
      <c r="A36" s="77">
        <v>1</v>
      </c>
      <c r="B36" s="951"/>
      <c r="C36" s="951"/>
      <c r="D36" s="1251"/>
      <c r="E36" s="771">
        <v>17</v>
      </c>
      <c r="F36" s="952"/>
      <c r="G36" s="105" t="s">
        <v>622</v>
      </c>
      <c r="H36" s="64"/>
      <c r="I36" s="774"/>
      <c r="J36" s="774">
        <f>SUM(J33:J35)</f>
        <v>165.9</v>
      </c>
      <c r="K36" s="774"/>
      <c r="L36" s="764"/>
      <c r="M36" s="135"/>
      <c r="N36" s="398"/>
      <c r="O36" s="102"/>
      <c r="P36" s="103"/>
      <c r="Q36" s="110"/>
      <c r="R36" s="354"/>
      <c r="S36"/>
    </row>
    <row r="37" spans="1:19" s="1" customFormat="1" ht="24" customHeight="1" x14ac:dyDescent="0.2">
      <c r="A37" s="77">
        <v>1</v>
      </c>
      <c r="B37" s="951"/>
      <c r="C37" s="951" t="s">
        <v>2044</v>
      </c>
      <c r="D37" s="1180" t="s">
        <v>2045</v>
      </c>
      <c r="E37" s="1182">
        <v>11</v>
      </c>
      <c r="F37" s="113" t="s">
        <v>2046</v>
      </c>
      <c r="G37" s="754" t="s">
        <v>38</v>
      </c>
      <c r="H37" s="64"/>
      <c r="I37" s="15"/>
      <c r="J37" s="100">
        <v>13.2</v>
      </c>
      <c r="K37" s="774"/>
      <c r="L37" s="764"/>
      <c r="M37" s="135"/>
      <c r="N37" s="1206" t="s">
        <v>2060</v>
      </c>
      <c r="O37" s="102" t="s">
        <v>2059</v>
      </c>
      <c r="P37" s="103">
        <v>1</v>
      </c>
      <c r="Q37" s="110"/>
      <c r="R37" s="354"/>
      <c r="S37"/>
    </row>
    <row r="38" spans="1:19" s="1" customFormat="1" ht="11.25" customHeight="1" x14ac:dyDescent="0.2">
      <c r="A38" s="77">
        <v>1</v>
      </c>
      <c r="B38" s="951"/>
      <c r="C38" s="951"/>
      <c r="D38" s="1180"/>
      <c r="E38" s="1182"/>
      <c r="F38" s="952"/>
      <c r="G38" s="105" t="s">
        <v>622</v>
      </c>
      <c r="H38" s="64"/>
      <c r="I38" s="774">
        <f>SUM(I37)</f>
        <v>0</v>
      </c>
      <c r="J38" s="774">
        <f t="shared" ref="J38" si="1">SUM(J37)</f>
        <v>13.2</v>
      </c>
      <c r="K38" s="774"/>
      <c r="L38" s="764"/>
      <c r="M38" s="135"/>
      <c r="N38" s="398"/>
      <c r="O38" s="102"/>
      <c r="P38" s="103"/>
      <c r="Q38" s="110"/>
      <c r="R38" s="354"/>
      <c r="S38"/>
    </row>
    <row r="39" spans="1:19" s="1" customFormat="1" ht="18.75" customHeight="1" x14ac:dyDescent="0.2">
      <c r="A39" s="77">
        <v>1</v>
      </c>
      <c r="B39" s="951"/>
      <c r="C39" s="99" t="s">
        <v>2070</v>
      </c>
      <c r="D39" s="57" t="s">
        <v>2071</v>
      </c>
      <c r="E39" s="771">
        <v>11</v>
      </c>
      <c r="F39" s="113" t="s">
        <v>2072</v>
      </c>
      <c r="G39" s="754" t="s">
        <v>8</v>
      </c>
      <c r="H39" s="64"/>
      <c r="I39" s="15"/>
      <c r="J39" s="100">
        <v>32.6</v>
      </c>
      <c r="K39" s="774"/>
      <c r="L39" s="764"/>
      <c r="M39" s="135"/>
      <c r="N39" s="398" t="s">
        <v>1958</v>
      </c>
      <c r="O39" s="102" t="s">
        <v>2073</v>
      </c>
      <c r="P39" s="103">
        <v>200</v>
      </c>
      <c r="Q39" s="110"/>
      <c r="R39" s="354"/>
      <c r="S39"/>
    </row>
    <row r="40" spans="1:19" s="1" customFormat="1" ht="11.25" customHeight="1" x14ac:dyDescent="0.2">
      <c r="A40" s="77">
        <v>1</v>
      </c>
      <c r="B40" s="951"/>
      <c r="C40" s="99"/>
      <c r="D40" s="57"/>
      <c r="E40" s="771">
        <v>11</v>
      </c>
      <c r="F40" s="113" t="s">
        <v>2072</v>
      </c>
      <c r="G40" s="754" t="s">
        <v>37</v>
      </c>
      <c r="H40" s="64"/>
      <c r="I40" s="15"/>
      <c r="J40" s="100">
        <v>223.7</v>
      </c>
      <c r="K40" s="774"/>
      <c r="L40" s="764"/>
      <c r="M40" s="135"/>
      <c r="N40" s="398"/>
      <c r="O40" s="102"/>
      <c r="P40" s="103"/>
      <c r="Q40" s="110"/>
      <c r="R40" s="354"/>
      <c r="S40"/>
    </row>
    <row r="41" spans="1:19" s="1" customFormat="1" ht="11.25" customHeight="1" x14ac:dyDescent="0.2">
      <c r="A41" s="77">
        <v>1</v>
      </c>
      <c r="B41" s="951"/>
      <c r="C41" s="99"/>
      <c r="D41" s="57"/>
      <c r="E41" s="771">
        <v>11</v>
      </c>
      <c r="F41" s="113" t="s">
        <v>2072</v>
      </c>
      <c r="G41" s="754" t="s">
        <v>38</v>
      </c>
      <c r="H41" s="64"/>
      <c r="I41" s="15"/>
      <c r="J41" s="100">
        <v>39.5</v>
      </c>
      <c r="K41" s="774"/>
      <c r="L41" s="764"/>
      <c r="M41" s="135"/>
      <c r="N41" s="398"/>
      <c r="O41" s="102"/>
      <c r="P41" s="103"/>
      <c r="Q41" s="110"/>
      <c r="R41" s="354"/>
      <c r="S41"/>
    </row>
    <row r="42" spans="1:19" s="1" customFormat="1" ht="11.25" customHeight="1" x14ac:dyDescent="0.2">
      <c r="A42" s="77">
        <v>1</v>
      </c>
      <c r="B42" s="951"/>
      <c r="C42" s="99"/>
      <c r="D42" s="57"/>
      <c r="E42" s="771"/>
      <c r="F42" s="113"/>
      <c r="G42" s="105" t="s">
        <v>622</v>
      </c>
      <c r="H42" s="64"/>
      <c r="I42" s="774">
        <f>SUM(I39:I41)</f>
        <v>0</v>
      </c>
      <c r="J42" s="774">
        <f t="shared" ref="J42" si="2">SUM(J39:J41)</f>
        <v>295.8</v>
      </c>
      <c r="K42" s="774"/>
      <c r="L42" s="764"/>
      <c r="M42" s="135"/>
      <c r="N42" s="398"/>
      <c r="O42" s="102"/>
      <c r="P42" s="103"/>
      <c r="Q42" s="110"/>
      <c r="R42" s="354"/>
      <c r="S42"/>
    </row>
    <row r="43" spans="1:19" s="1" customFormat="1" ht="33.75" x14ac:dyDescent="0.2">
      <c r="A43" s="77">
        <v>1</v>
      </c>
      <c r="B43" s="434" t="s">
        <v>662</v>
      </c>
      <c r="C43" s="434" t="s">
        <v>662</v>
      </c>
      <c r="D43" s="931" t="s">
        <v>30</v>
      </c>
      <c r="E43" s="42">
        <v>6</v>
      </c>
      <c r="F43" s="42"/>
      <c r="G43" s="78"/>
      <c r="H43" s="791"/>
      <c r="I43" s="902">
        <f>I50</f>
        <v>6485.9</v>
      </c>
      <c r="J43" s="438"/>
      <c r="K43" s="21">
        <f>K50</f>
        <v>7150.5999999999995</v>
      </c>
      <c r="L43" s="58">
        <f>L50</f>
        <v>7450.5999999999995</v>
      </c>
      <c r="M43" s="135"/>
      <c r="N43" s="398" t="s">
        <v>1899</v>
      </c>
      <c r="O43" s="116" t="s">
        <v>663</v>
      </c>
      <c r="P43" s="75">
        <v>927</v>
      </c>
      <c r="Q43" s="110"/>
      <c r="R43" s="354"/>
      <c r="S43"/>
    </row>
    <row r="44" spans="1:19" s="1" customFormat="1" ht="33.75" x14ac:dyDescent="0.2">
      <c r="A44" s="77">
        <v>1</v>
      </c>
      <c r="B44" s="117"/>
      <c r="C44" s="117"/>
      <c r="D44" s="117"/>
      <c r="E44" s="776">
        <v>6</v>
      </c>
      <c r="F44" s="47" t="s">
        <v>31</v>
      </c>
      <c r="G44" s="64" t="s">
        <v>8</v>
      </c>
      <c r="H44" s="108">
        <v>600</v>
      </c>
      <c r="I44" s="15">
        <v>4188.7</v>
      </c>
      <c r="J44" s="100">
        <f>4395.4-200-200-23-207+230</f>
        <v>3995.3999999999996</v>
      </c>
      <c r="K44" s="15">
        <f>4395.4-200-200</f>
        <v>3995.3999999999996</v>
      </c>
      <c r="L44" s="49">
        <v>4295.3999999999996</v>
      </c>
      <c r="M44" s="135" t="s">
        <v>624</v>
      </c>
      <c r="N44" s="398"/>
      <c r="O44" s="116" t="s">
        <v>664</v>
      </c>
      <c r="P44" s="961">
        <v>320</v>
      </c>
      <c r="Q44" s="110"/>
      <c r="R44" s="354"/>
      <c r="S44"/>
    </row>
    <row r="45" spans="1:19" s="1" customFormat="1" ht="22.5" x14ac:dyDescent="0.2">
      <c r="A45" s="77">
        <v>1</v>
      </c>
      <c r="B45" s="99"/>
      <c r="C45" s="99"/>
      <c r="D45" s="36"/>
      <c r="E45" s="776">
        <v>6</v>
      </c>
      <c r="F45" s="47" t="s">
        <v>31</v>
      </c>
      <c r="G45" s="64" t="s">
        <v>621</v>
      </c>
      <c r="H45" s="108">
        <f>0.5+0.2+0.3</f>
        <v>1</v>
      </c>
      <c r="I45" s="15"/>
      <c r="J45" s="100"/>
      <c r="K45" s="38"/>
      <c r="L45" s="49"/>
      <c r="M45" s="135"/>
      <c r="N45" s="398"/>
      <c r="O45" s="102" t="s">
        <v>665</v>
      </c>
      <c r="P45" s="961">
        <v>160</v>
      </c>
      <c r="Q45" s="110"/>
      <c r="R45" s="354"/>
      <c r="S45"/>
    </row>
    <row r="46" spans="1:19" s="1" customFormat="1" ht="22.5" x14ac:dyDescent="0.2">
      <c r="A46" s="77">
        <v>1</v>
      </c>
      <c r="B46" s="99"/>
      <c r="C46" s="99"/>
      <c r="D46" s="36"/>
      <c r="E46" s="776">
        <v>6</v>
      </c>
      <c r="F46" s="47" t="s">
        <v>31</v>
      </c>
      <c r="G46" s="64" t="s">
        <v>10</v>
      </c>
      <c r="H46" s="38">
        <f>3.6-3.6</f>
        <v>0</v>
      </c>
      <c r="I46" s="15"/>
      <c r="J46" s="100"/>
      <c r="K46" s="38"/>
      <c r="L46" s="49"/>
      <c r="M46" s="135"/>
      <c r="N46" s="398"/>
      <c r="O46" s="102" t="s">
        <v>666</v>
      </c>
      <c r="P46" s="961">
        <v>300</v>
      </c>
      <c r="Q46" s="110"/>
      <c r="R46" s="354"/>
      <c r="S46"/>
    </row>
    <row r="47" spans="1:19" s="1" customFormat="1" ht="33" customHeight="1" x14ac:dyDescent="0.2">
      <c r="A47" s="77">
        <v>1</v>
      </c>
      <c r="B47" s="99"/>
      <c r="C47" s="99"/>
      <c r="D47" s="36"/>
      <c r="E47" s="776">
        <v>6</v>
      </c>
      <c r="F47" s="47" t="s">
        <v>31</v>
      </c>
      <c r="G47" s="43" t="s">
        <v>9</v>
      </c>
      <c r="H47" s="108">
        <v>2530</v>
      </c>
      <c r="I47" s="15"/>
      <c r="J47" s="100"/>
      <c r="K47" s="38"/>
      <c r="L47" s="49"/>
      <c r="M47" s="135"/>
      <c r="N47" s="398"/>
      <c r="O47" s="102" t="s">
        <v>667</v>
      </c>
      <c r="P47" s="103">
        <v>15</v>
      </c>
      <c r="Q47" s="110"/>
      <c r="R47" s="354"/>
      <c r="S47"/>
    </row>
    <row r="48" spans="1:19" s="1" customFormat="1" ht="11.25" customHeight="1" x14ac:dyDescent="0.2">
      <c r="A48" s="77">
        <v>1</v>
      </c>
      <c r="B48" s="99"/>
      <c r="C48" s="99"/>
      <c r="D48" s="36"/>
      <c r="E48" s="776">
        <v>6</v>
      </c>
      <c r="F48" s="47" t="s">
        <v>31</v>
      </c>
      <c r="G48" s="43" t="s">
        <v>7</v>
      </c>
      <c r="H48" s="108">
        <v>1337.4</v>
      </c>
      <c r="I48" s="15">
        <v>2297.1999999999998</v>
      </c>
      <c r="J48" s="100">
        <f>3070.8-9.2</f>
        <v>3061.6000000000004</v>
      </c>
      <c r="K48" s="777">
        <v>3155.2</v>
      </c>
      <c r="L48" s="778">
        <v>3155.2</v>
      </c>
      <c r="M48" s="135"/>
      <c r="N48" s="398"/>
      <c r="O48" s="102"/>
      <c r="P48" s="103"/>
      <c r="Q48" s="110"/>
      <c r="R48" s="354"/>
      <c r="S48"/>
    </row>
    <row r="49" spans="1:19" s="1" customFormat="1" ht="11.25" customHeight="1" x14ac:dyDescent="0.2">
      <c r="A49" s="77">
        <v>1</v>
      </c>
      <c r="B49" s="99"/>
      <c r="C49" s="99"/>
      <c r="D49" s="36"/>
      <c r="E49" s="776">
        <v>6</v>
      </c>
      <c r="F49" s="47" t="s">
        <v>31</v>
      </c>
      <c r="G49" s="43" t="s">
        <v>619</v>
      </c>
      <c r="H49" s="108">
        <v>2.6</v>
      </c>
      <c r="I49" s="15"/>
      <c r="J49" s="100">
        <f>9.2</f>
        <v>9.1999999999999993</v>
      </c>
      <c r="K49" s="38"/>
      <c r="L49" s="49"/>
      <c r="M49" s="135"/>
      <c r="N49" s="398"/>
      <c r="O49" s="102"/>
      <c r="P49" s="103"/>
      <c r="Q49" s="110"/>
      <c r="R49" s="354"/>
      <c r="S49"/>
    </row>
    <row r="50" spans="1:19" s="1" customFormat="1" ht="11.25" customHeight="1" x14ac:dyDescent="0.2">
      <c r="A50" s="77">
        <v>1</v>
      </c>
      <c r="B50" s="99"/>
      <c r="C50" s="99"/>
      <c r="D50" s="36"/>
      <c r="E50" s="776">
        <v>6</v>
      </c>
      <c r="F50" s="47" t="s">
        <v>31</v>
      </c>
      <c r="G50" s="105" t="s">
        <v>622</v>
      </c>
      <c r="H50" s="107">
        <f>SUM(H44:H49)</f>
        <v>4471</v>
      </c>
      <c r="I50" s="107">
        <f>SUM(I44:I49)</f>
        <v>6485.9</v>
      </c>
      <c r="J50" s="107">
        <f>SUM(J44:J49)</f>
        <v>7066.2</v>
      </c>
      <c r="K50" s="107">
        <f>SUM(K44:K49)</f>
        <v>7150.5999999999995</v>
      </c>
      <c r="L50" s="765">
        <f>SUM(L44:L49)</f>
        <v>7450.5999999999995</v>
      </c>
      <c r="M50" s="135"/>
      <c r="N50" s="398"/>
      <c r="O50" s="102"/>
      <c r="P50" s="103"/>
      <c r="Q50" s="110"/>
      <c r="R50" s="354"/>
      <c r="S50"/>
    </row>
    <row r="51" spans="1:19" s="1" customFormat="1" ht="22.5" x14ac:dyDescent="0.2">
      <c r="A51" s="77">
        <v>1</v>
      </c>
      <c r="B51" s="114" t="s">
        <v>668</v>
      </c>
      <c r="C51" s="114" t="s">
        <v>668</v>
      </c>
      <c r="D51" s="775" t="s">
        <v>45</v>
      </c>
      <c r="E51" s="43">
        <v>11</v>
      </c>
      <c r="F51" s="43"/>
      <c r="G51" s="75"/>
      <c r="H51" s="107"/>
      <c r="I51" s="190" t="e">
        <f>I53+#REF!+#REF!+I56+I58+I60+I64+I66+#REF!</f>
        <v>#REF!</v>
      </c>
      <c r="J51" s="115"/>
      <c r="K51" s="21" t="e">
        <f>K53+#REF!+#REF!+K56+K58+K60+K64+K66+#REF!</f>
        <v>#REF!</v>
      </c>
      <c r="L51" s="58" t="e">
        <f>L53+#REF!+#REF!+L56+L58+L60+L64+L66+#REF!</f>
        <v>#REF!</v>
      </c>
      <c r="M51" s="135"/>
      <c r="N51" s="398"/>
      <c r="O51" s="116"/>
      <c r="P51" s="75"/>
      <c r="Q51" s="110"/>
      <c r="R51" s="354"/>
      <c r="S51"/>
    </row>
    <row r="52" spans="1:19" s="1" customFormat="1" ht="22.5" x14ac:dyDescent="0.2">
      <c r="A52" s="77">
        <v>1</v>
      </c>
      <c r="B52" s="118"/>
      <c r="C52" s="118" t="s">
        <v>669</v>
      </c>
      <c r="D52" s="51" t="s">
        <v>46</v>
      </c>
      <c r="E52" s="43">
        <v>11</v>
      </c>
      <c r="F52" s="43" t="s">
        <v>47</v>
      </c>
      <c r="G52" s="64" t="s">
        <v>8</v>
      </c>
      <c r="H52" s="108">
        <v>20</v>
      </c>
      <c r="I52" s="15">
        <v>19.8</v>
      </c>
      <c r="J52" s="100">
        <v>30</v>
      </c>
      <c r="K52" s="38">
        <v>30</v>
      </c>
      <c r="L52" s="49">
        <v>30</v>
      </c>
      <c r="M52" s="135" t="s">
        <v>624</v>
      </c>
      <c r="N52" s="398" t="s">
        <v>1990</v>
      </c>
      <c r="O52" s="102" t="s">
        <v>670</v>
      </c>
      <c r="P52" s="103">
        <v>80</v>
      </c>
      <c r="Q52" s="110"/>
      <c r="R52" s="354"/>
      <c r="S52"/>
    </row>
    <row r="53" spans="1:19" s="1" customFormat="1" ht="22.5" x14ac:dyDescent="0.2">
      <c r="A53" s="77">
        <v>1</v>
      </c>
      <c r="B53" s="118"/>
      <c r="C53" s="118"/>
      <c r="D53" s="51"/>
      <c r="E53" s="43">
        <v>11</v>
      </c>
      <c r="F53" s="43" t="s">
        <v>47</v>
      </c>
      <c r="G53" s="105" t="s">
        <v>622</v>
      </c>
      <c r="H53" s="107">
        <f>SUM(H52)</f>
        <v>20</v>
      </c>
      <c r="I53" s="107">
        <f>SUM(I52)</f>
        <v>19.8</v>
      </c>
      <c r="J53" s="107">
        <f>SUM(J52)</f>
        <v>30</v>
      </c>
      <c r="K53" s="107">
        <f>SUM(K52)</f>
        <v>30</v>
      </c>
      <c r="L53" s="765">
        <f>SUM(L52)</f>
        <v>30</v>
      </c>
      <c r="M53" s="135"/>
      <c r="N53" s="398" t="s">
        <v>1990</v>
      </c>
      <c r="O53" s="102" t="s">
        <v>671</v>
      </c>
      <c r="P53" s="103">
        <v>16</v>
      </c>
      <c r="Q53" s="110"/>
      <c r="R53" s="354"/>
      <c r="S53"/>
    </row>
    <row r="54" spans="1:19" s="1" customFormat="1" ht="24" customHeight="1" x14ac:dyDescent="0.2">
      <c r="A54" s="77">
        <v>1</v>
      </c>
      <c r="B54" s="118"/>
      <c r="C54" s="118" t="s">
        <v>672</v>
      </c>
      <c r="D54" s="51" t="s">
        <v>48</v>
      </c>
      <c r="E54" s="47" t="s">
        <v>35</v>
      </c>
      <c r="F54" s="43" t="s">
        <v>49</v>
      </c>
      <c r="G54" s="43" t="s">
        <v>10</v>
      </c>
      <c r="H54" s="108">
        <v>275.5</v>
      </c>
      <c r="I54" s="15">
        <v>342.7</v>
      </c>
      <c r="J54" s="100">
        <v>432</v>
      </c>
      <c r="K54" s="38">
        <v>432</v>
      </c>
      <c r="L54" s="49">
        <v>432</v>
      </c>
      <c r="M54" s="135"/>
      <c r="N54" s="398" t="s">
        <v>1991</v>
      </c>
      <c r="O54" s="102" t="s">
        <v>673</v>
      </c>
      <c r="P54" s="103">
        <v>62</v>
      </c>
      <c r="Q54" s="110"/>
      <c r="R54" s="354"/>
      <c r="S54"/>
    </row>
    <row r="55" spans="1:19" s="1" customFormat="1" ht="24.6" customHeight="1" x14ac:dyDescent="0.2">
      <c r="A55" s="77">
        <v>1</v>
      </c>
      <c r="B55" s="118"/>
      <c r="C55" s="118"/>
      <c r="D55" s="51"/>
      <c r="E55" s="47" t="s">
        <v>35</v>
      </c>
      <c r="F55" s="43" t="s">
        <v>49</v>
      </c>
      <c r="G55" s="43" t="s">
        <v>8</v>
      </c>
      <c r="H55" s="108"/>
      <c r="I55" s="15">
        <v>10</v>
      </c>
      <c r="J55" s="100"/>
      <c r="K55" s="38"/>
      <c r="L55" s="49"/>
      <c r="M55" s="135"/>
      <c r="N55" s="398"/>
      <c r="O55" s="102"/>
      <c r="P55" s="103"/>
      <c r="Q55" s="110"/>
      <c r="R55" s="354"/>
      <c r="S55"/>
    </row>
    <row r="56" spans="1:19" s="1" customFormat="1" x14ac:dyDescent="0.2">
      <c r="A56" s="77">
        <v>1</v>
      </c>
      <c r="B56" s="118"/>
      <c r="C56" s="118"/>
      <c r="D56" s="51"/>
      <c r="E56" s="47" t="s">
        <v>35</v>
      </c>
      <c r="F56" s="43" t="s">
        <v>49</v>
      </c>
      <c r="G56" s="105" t="s">
        <v>622</v>
      </c>
      <c r="H56" s="107">
        <f>SUM(H54)</f>
        <v>275.5</v>
      </c>
      <c r="I56" s="107">
        <f>SUM(I54:I55)</f>
        <v>352.7</v>
      </c>
      <c r="J56" s="107">
        <f t="shared" ref="J56:L56" si="3">SUM(J54:J55)</f>
        <v>432</v>
      </c>
      <c r="K56" s="107">
        <f t="shared" si="3"/>
        <v>432</v>
      </c>
      <c r="L56" s="765">
        <f t="shared" si="3"/>
        <v>432</v>
      </c>
      <c r="M56" s="135"/>
      <c r="N56" s="398"/>
      <c r="O56" s="102"/>
      <c r="P56" s="103"/>
      <c r="Q56" s="110"/>
      <c r="R56" s="354"/>
      <c r="S56"/>
    </row>
    <row r="57" spans="1:19" s="1" customFormat="1" ht="24.6" customHeight="1" x14ac:dyDescent="0.2">
      <c r="A57" s="77">
        <v>1</v>
      </c>
      <c r="B57" s="118"/>
      <c r="C57" s="118" t="s">
        <v>674</v>
      </c>
      <c r="D57" s="51" t="s">
        <v>50</v>
      </c>
      <c r="E57" s="47" t="s">
        <v>35</v>
      </c>
      <c r="F57" s="64" t="s">
        <v>51</v>
      </c>
      <c r="G57" s="64" t="s">
        <v>8</v>
      </c>
      <c r="H57" s="108">
        <v>90</v>
      </c>
      <c r="I57" s="15">
        <v>98.8</v>
      </c>
      <c r="J57" s="100">
        <v>100</v>
      </c>
      <c r="K57" s="15">
        <v>100</v>
      </c>
      <c r="L57" s="34">
        <v>100</v>
      </c>
      <c r="M57" s="135" t="s">
        <v>637</v>
      </c>
      <c r="N57" s="398" t="s">
        <v>1991</v>
      </c>
      <c r="O57" s="102" t="s">
        <v>675</v>
      </c>
      <c r="P57" s="103">
        <v>37</v>
      </c>
      <c r="Q57" s="110"/>
      <c r="R57" s="354"/>
      <c r="S57"/>
    </row>
    <row r="58" spans="1:19" s="1" customFormat="1" x14ac:dyDescent="0.2">
      <c r="A58" s="77">
        <v>1</v>
      </c>
      <c r="B58" s="118"/>
      <c r="C58" s="118"/>
      <c r="D58" s="51"/>
      <c r="E58" s="47" t="s">
        <v>35</v>
      </c>
      <c r="F58" s="64" t="s">
        <v>51</v>
      </c>
      <c r="G58" s="105" t="s">
        <v>622</v>
      </c>
      <c r="H58" s="107">
        <f>SUM(H57:H57)</f>
        <v>90</v>
      </c>
      <c r="I58" s="107">
        <f>SUM(I57:I57)</f>
        <v>98.8</v>
      </c>
      <c r="J58" s="107">
        <f>SUM(J57:J57)</f>
        <v>100</v>
      </c>
      <c r="K58" s="107">
        <f>SUM(K57:K57)</f>
        <v>100</v>
      </c>
      <c r="L58" s="765">
        <f>SUM(L57:L57)</f>
        <v>100</v>
      </c>
      <c r="M58" s="135"/>
      <c r="N58" s="398"/>
      <c r="O58" s="102"/>
      <c r="P58" s="103"/>
      <c r="Q58" s="110"/>
      <c r="R58" s="354"/>
      <c r="S58"/>
    </row>
    <row r="59" spans="1:19" s="1" customFormat="1" ht="24.6" customHeight="1" x14ac:dyDescent="0.2">
      <c r="A59" s="77">
        <v>1</v>
      </c>
      <c r="B59" s="118"/>
      <c r="C59" s="118" t="s">
        <v>676</v>
      </c>
      <c r="D59" s="51" t="s">
        <v>52</v>
      </c>
      <c r="E59" s="43">
        <v>11</v>
      </c>
      <c r="F59" s="43" t="s">
        <v>53</v>
      </c>
      <c r="G59" s="64" t="s">
        <v>8</v>
      </c>
      <c r="H59" s="108">
        <v>10</v>
      </c>
      <c r="I59" s="15">
        <v>10</v>
      </c>
      <c r="J59" s="100">
        <v>22.1</v>
      </c>
      <c r="K59" s="38">
        <v>22.1</v>
      </c>
      <c r="L59" s="49">
        <v>22.1</v>
      </c>
      <c r="M59" s="135" t="s">
        <v>637</v>
      </c>
      <c r="N59" s="398" t="s">
        <v>1990</v>
      </c>
      <c r="O59" s="102" t="s">
        <v>677</v>
      </c>
      <c r="P59" s="103">
        <v>4</v>
      </c>
      <c r="Q59" s="110"/>
      <c r="R59" s="354"/>
      <c r="S59"/>
    </row>
    <row r="60" spans="1:19" s="1" customFormat="1" x14ac:dyDescent="0.2">
      <c r="A60" s="77">
        <v>1</v>
      </c>
      <c r="B60" s="118"/>
      <c r="C60" s="118"/>
      <c r="D60" s="51"/>
      <c r="E60" s="43">
        <v>11</v>
      </c>
      <c r="F60" s="43" t="s">
        <v>53</v>
      </c>
      <c r="G60" s="105" t="s">
        <v>622</v>
      </c>
      <c r="H60" s="107">
        <f>SUM(H59)</f>
        <v>10</v>
      </c>
      <c r="I60" s="107">
        <f>SUM(I59)</f>
        <v>10</v>
      </c>
      <c r="J60" s="107">
        <f>SUM(J59)</f>
        <v>22.1</v>
      </c>
      <c r="K60" s="107">
        <f>SUM(K59)</f>
        <v>22.1</v>
      </c>
      <c r="L60" s="765">
        <f>SUM(L59)</f>
        <v>22.1</v>
      </c>
      <c r="M60" s="135"/>
      <c r="N60" s="398"/>
      <c r="O60" s="102"/>
      <c r="P60" s="103"/>
      <c r="Q60" s="110"/>
      <c r="R60" s="354"/>
      <c r="S60"/>
    </row>
    <row r="61" spans="1:19" s="1" customFormat="1" ht="36" customHeight="1" x14ac:dyDescent="0.2">
      <c r="A61" s="77">
        <v>1</v>
      </c>
      <c r="B61" s="118"/>
      <c r="C61" s="118" t="s">
        <v>678</v>
      </c>
      <c r="D61" s="1245" t="s">
        <v>679</v>
      </c>
      <c r="E61" s="43">
        <v>11</v>
      </c>
      <c r="F61" s="64" t="s">
        <v>54</v>
      </c>
      <c r="G61" s="64" t="s">
        <v>8</v>
      </c>
      <c r="H61" s="108">
        <v>22.9</v>
      </c>
      <c r="I61" s="15">
        <v>26</v>
      </c>
      <c r="J61" s="100">
        <v>28</v>
      </c>
      <c r="K61" s="767">
        <v>28</v>
      </c>
      <c r="L61" s="768">
        <v>28</v>
      </c>
      <c r="M61" s="135" t="s">
        <v>637</v>
      </c>
      <c r="N61" s="398" t="s">
        <v>1959</v>
      </c>
      <c r="O61" s="996" t="s">
        <v>680</v>
      </c>
      <c r="P61" s="103" t="s">
        <v>681</v>
      </c>
      <c r="Q61" s="110"/>
      <c r="R61" s="354"/>
      <c r="S61"/>
    </row>
    <row r="62" spans="1:19" s="1" customFormat="1" ht="24.6" customHeight="1" x14ac:dyDescent="0.2">
      <c r="A62" s="77">
        <v>1</v>
      </c>
      <c r="B62" s="118"/>
      <c r="C62" s="118"/>
      <c r="D62" s="1246"/>
      <c r="E62" s="43">
        <v>11</v>
      </c>
      <c r="F62" s="64" t="s">
        <v>54</v>
      </c>
      <c r="G62" s="43" t="s">
        <v>37</v>
      </c>
      <c r="H62" s="108">
        <v>103</v>
      </c>
      <c r="I62" s="15">
        <v>7.9</v>
      </c>
      <c r="J62" s="100">
        <f>12.6-0.5</f>
        <v>12.1</v>
      </c>
      <c r="K62" s="767"/>
      <c r="L62" s="768"/>
      <c r="M62" s="135"/>
      <c r="N62" s="398" t="s">
        <v>1959</v>
      </c>
      <c r="O62" s="102" t="s">
        <v>682</v>
      </c>
      <c r="P62" s="103">
        <v>19</v>
      </c>
      <c r="Q62" s="110"/>
      <c r="R62" s="354"/>
      <c r="S62"/>
    </row>
    <row r="63" spans="1:19" s="1" customFormat="1" ht="24.6" customHeight="1" x14ac:dyDescent="0.2">
      <c r="A63" s="77">
        <v>1</v>
      </c>
      <c r="B63" s="118"/>
      <c r="C63" s="118"/>
      <c r="D63" s="1247"/>
      <c r="E63" s="43">
        <v>11</v>
      </c>
      <c r="F63" s="64" t="s">
        <v>54</v>
      </c>
      <c r="G63" s="43" t="s">
        <v>38</v>
      </c>
      <c r="H63" s="108">
        <v>18.5</v>
      </c>
      <c r="I63" s="15"/>
      <c r="J63" s="100">
        <f>0.5</f>
        <v>0.5</v>
      </c>
      <c r="K63" s="767"/>
      <c r="L63" s="768"/>
      <c r="M63" s="135"/>
      <c r="N63" s="398"/>
      <c r="O63" s="102"/>
      <c r="P63" s="103"/>
      <c r="Q63" s="110"/>
      <c r="R63" s="354"/>
      <c r="S63"/>
    </row>
    <row r="64" spans="1:19" s="1" customFormat="1" x14ac:dyDescent="0.2">
      <c r="A64" s="77">
        <v>1</v>
      </c>
      <c r="B64" s="118"/>
      <c r="C64" s="118"/>
      <c r="D64" s="51"/>
      <c r="E64" s="43">
        <v>11</v>
      </c>
      <c r="F64" s="64" t="s">
        <v>54</v>
      </c>
      <c r="G64" s="105" t="s">
        <v>622</v>
      </c>
      <c r="H64" s="107">
        <f>SUM(H61:H63)</f>
        <v>144.4</v>
      </c>
      <c r="I64" s="107">
        <f>SUM(I61:I63)</f>
        <v>33.9</v>
      </c>
      <c r="J64" s="107">
        <f>SUM(J61:J63)</f>
        <v>40.6</v>
      </c>
      <c r="K64" s="107">
        <f>SUM(K61:K63)</f>
        <v>28</v>
      </c>
      <c r="L64" s="765">
        <f>SUM(L61:L63)</f>
        <v>28</v>
      </c>
      <c r="M64" s="135"/>
      <c r="N64" s="398"/>
      <c r="O64" s="102"/>
      <c r="P64" s="103"/>
      <c r="Q64" s="110"/>
      <c r="R64" s="354"/>
      <c r="S64"/>
    </row>
    <row r="65" spans="1:19" s="1" customFormat="1" ht="42" customHeight="1" x14ac:dyDescent="0.2">
      <c r="A65" s="77">
        <v>1</v>
      </c>
      <c r="B65" s="118"/>
      <c r="C65" s="118" t="s">
        <v>683</v>
      </c>
      <c r="D65" s="51" t="s">
        <v>55</v>
      </c>
      <c r="E65" s="43">
        <v>11</v>
      </c>
      <c r="F65" s="64" t="s">
        <v>56</v>
      </c>
      <c r="G65" s="64" t="s">
        <v>8</v>
      </c>
      <c r="H65" s="108">
        <v>50</v>
      </c>
      <c r="I65" s="15">
        <v>50</v>
      </c>
      <c r="J65" s="100">
        <f>50-10</f>
        <v>40</v>
      </c>
      <c r="K65" s="15">
        <v>50</v>
      </c>
      <c r="L65" s="34">
        <v>50</v>
      </c>
      <c r="M65" s="135" t="s">
        <v>637</v>
      </c>
      <c r="N65" s="398" t="s">
        <v>1959</v>
      </c>
      <c r="O65" s="102" t="s">
        <v>684</v>
      </c>
      <c r="P65" s="103" t="s">
        <v>685</v>
      </c>
      <c r="Q65" s="110"/>
      <c r="R65" s="354"/>
      <c r="S65"/>
    </row>
    <row r="66" spans="1:19" s="1" customFormat="1" ht="12.75" customHeight="1" x14ac:dyDescent="0.2">
      <c r="A66" s="77">
        <v>1</v>
      </c>
      <c r="B66" s="118"/>
      <c r="C66" s="118"/>
      <c r="D66" s="51"/>
      <c r="E66" s="43">
        <v>11</v>
      </c>
      <c r="F66" s="64" t="s">
        <v>56</v>
      </c>
      <c r="G66" s="105" t="s">
        <v>622</v>
      </c>
      <c r="H66" s="107">
        <f>SUM(H65)</f>
        <v>50</v>
      </c>
      <c r="I66" s="107">
        <f>SUM(I65)</f>
        <v>50</v>
      </c>
      <c r="J66" s="107">
        <f>SUM(J65)</f>
        <v>40</v>
      </c>
      <c r="K66" s="107">
        <f>SUM(K65)</f>
        <v>50</v>
      </c>
      <c r="L66" s="765">
        <f>SUM(L65)</f>
        <v>50</v>
      </c>
      <c r="M66" s="135"/>
      <c r="N66" s="398"/>
      <c r="O66" s="102"/>
      <c r="P66" s="103"/>
      <c r="Q66" s="110"/>
      <c r="R66" s="354"/>
      <c r="S66"/>
    </row>
    <row r="67" spans="1:19" s="1" customFormat="1" ht="33.75" x14ac:dyDescent="0.2">
      <c r="A67" s="77">
        <v>1</v>
      </c>
      <c r="B67" s="114" t="s">
        <v>686</v>
      </c>
      <c r="C67" s="114" t="s">
        <v>686</v>
      </c>
      <c r="D67" s="775" t="s">
        <v>57</v>
      </c>
      <c r="E67" s="43"/>
      <c r="F67" s="43"/>
      <c r="G67" s="75"/>
      <c r="H67" s="107"/>
      <c r="I67" s="21" t="e">
        <f>#REF!+I69</f>
        <v>#REF!</v>
      </c>
      <c r="J67" s="115"/>
      <c r="K67" s="21" t="e">
        <f>#REF!+K69</f>
        <v>#REF!</v>
      </c>
      <c r="L67" s="58" t="e">
        <f>#REF!+L69</f>
        <v>#REF!</v>
      </c>
      <c r="M67" s="135"/>
      <c r="N67" s="398"/>
      <c r="O67" s="102"/>
      <c r="P67" s="103"/>
      <c r="Q67" s="110"/>
      <c r="R67" s="354"/>
      <c r="S67"/>
    </row>
    <row r="68" spans="1:19" s="1" customFormat="1" ht="33.75" x14ac:dyDescent="0.2">
      <c r="A68" s="77">
        <v>1</v>
      </c>
      <c r="B68" s="118"/>
      <c r="C68" s="118" t="s">
        <v>687</v>
      </c>
      <c r="D68" s="51" t="s">
        <v>58</v>
      </c>
      <c r="E68" s="249">
        <v>11</v>
      </c>
      <c r="F68" s="43" t="s">
        <v>59</v>
      </c>
      <c r="G68" s="64" t="s">
        <v>8</v>
      </c>
      <c r="H68" s="108">
        <v>87.9</v>
      </c>
      <c r="I68" s="15">
        <v>82</v>
      </c>
      <c r="J68" s="100">
        <v>80</v>
      </c>
      <c r="K68" s="38">
        <v>80</v>
      </c>
      <c r="L68" s="49">
        <v>80</v>
      </c>
      <c r="M68" s="135" t="s">
        <v>637</v>
      </c>
      <c r="N68" s="398" t="s">
        <v>1990</v>
      </c>
      <c r="O68" s="102" t="s">
        <v>688</v>
      </c>
      <c r="P68" s="103">
        <v>20</v>
      </c>
      <c r="Q68" s="110"/>
      <c r="R68" s="354"/>
      <c r="S68"/>
    </row>
    <row r="69" spans="1:19" s="1" customFormat="1" ht="11.25" customHeight="1" x14ac:dyDescent="0.2">
      <c r="A69" s="77">
        <v>1</v>
      </c>
      <c r="B69" s="118"/>
      <c r="C69" s="118"/>
      <c r="D69" s="51"/>
      <c r="E69" s="20"/>
      <c r="F69" s="43" t="s">
        <v>59</v>
      </c>
      <c r="G69" s="105" t="s">
        <v>622</v>
      </c>
      <c r="H69" s="107">
        <f>SUM(H68:H68)</f>
        <v>87.9</v>
      </c>
      <c r="I69" s="107">
        <f>SUM(I68:I68)</f>
        <v>82</v>
      </c>
      <c r="J69" s="107">
        <f>SUM(J68:J68)</f>
        <v>80</v>
      </c>
      <c r="K69" s="107">
        <f>SUM(K68:K68)</f>
        <v>80</v>
      </c>
      <c r="L69" s="765">
        <f>SUM(L68:L68)</f>
        <v>80</v>
      </c>
      <c r="M69" s="135"/>
      <c r="N69" s="398"/>
      <c r="O69" s="102"/>
      <c r="P69" s="103"/>
      <c r="Q69" s="110"/>
      <c r="R69" s="354"/>
      <c r="S69"/>
    </row>
    <row r="70" spans="1:19" s="1" customFormat="1" ht="22.5" x14ac:dyDescent="0.2">
      <c r="A70" s="77">
        <v>1</v>
      </c>
      <c r="B70" s="95"/>
      <c r="C70" s="95"/>
      <c r="D70" s="96" t="s">
        <v>689</v>
      </c>
      <c r="E70" s="97"/>
      <c r="F70" s="98"/>
      <c r="G70" s="97"/>
      <c r="H70" s="97"/>
      <c r="I70" s="97"/>
      <c r="J70" s="97"/>
      <c r="K70" s="96"/>
      <c r="L70" s="779"/>
      <c r="M70" s="135"/>
      <c r="N70" s="758"/>
      <c r="O70" s="83"/>
      <c r="P70" s="103"/>
      <c r="Q70" s="110"/>
      <c r="R70" s="354"/>
      <c r="S70"/>
    </row>
    <row r="71" spans="1:19" s="1" customFormat="1" ht="24.6" customHeight="1" x14ac:dyDescent="0.2">
      <c r="A71" s="77">
        <v>1</v>
      </c>
      <c r="B71" s="114" t="s">
        <v>690</v>
      </c>
      <c r="C71" s="114" t="s">
        <v>690</v>
      </c>
      <c r="D71" s="761" t="s">
        <v>60</v>
      </c>
      <c r="E71" s="65"/>
      <c r="F71" s="43"/>
      <c r="G71" s="38"/>
      <c r="H71" s="780"/>
      <c r="I71" s="21">
        <f>I74</f>
        <v>79.5</v>
      </c>
      <c r="J71" s="115">
        <f>J74</f>
        <v>380</v>
      </c>
      <c r="K71" s="21">
        <f>K74</f>
        <v>200</v>
      </c>
      <c r="L71" s="58">
        <f>L74</f>
        <v>200</v>
      </c>
      <c r="M71" s="135"/>
      <c r="N71" s="398" t="s">
        <v>1958</v>
      </c>
      <c r="O71" s="102" t="s">
        <v>691</v>
      </c>
      <c r="P71" s="103">
        <v>3</v>
      </c>
      <c r="Q71" s="110"/>
      <c r="R71" s="354"/>
      <c r="S71"/>
    </row>
    <row r="72" spans="1:19" s="1" customFormat="1" ht="11.25" customHeight="1" x14ac:dyDescent="0.2">
      <c r="A72" s="77">
        <v>1</v>
      </c>
      <c r="B72" s="117"/>
      <c r="C72" s="117"/>
      <c r="D72" s="117"/>
      <c r="E72" s="1263">
        <v>11</v>
      </c>
      <c r="F72" s="47" t="s">
        <v>62</v>
      </c>
      <c r="G72" s="64" t="s">
        <v>8</v>
      </c>
      <c r="H72" s="781">
        <f>150+13.5</f>
        <v>163.5</v>
      </c>
      <c r="I72" s="15">
        <v>79.5</v>
      </c>
      <c r="J72" s="100">
        <f>300+12</f>
        <v>312</v>
      </c>
      <c r="K72" s="38">
        <v>200</v>
      </c>
      <c r="L72" s="49">
        <v>200</v>
      </c>
      <c r="M72" s="135" t="s">
        <v>637</v>
      </c>
      <c r="N72" s="398"/>
      <c r="O72" s="116"/>
      <c r="P72" s="75"/>
      <c r="Q72" s="110"/>
      <c r="R72" s="354"/>
      <c r="S72"/>
    </row>
    <row r="73" spans="1:19" s="1" customFormat="1" ht="11.25" customHeight="1" x14ac:dyDescent="0.2">
      <c r="A73" s="77">
        <v>1</v>
      </c>
      <c r="B73" s="117"/>
      <c r="C73" s="117"/>
      <c r="D73" s="117"/>
      <c r="E73" s="1264"/>
      <c r="F73" s="47" t="s">
        <v>62</v>
      </c>
      <c r="G73" s="64" t="s">
        <v>10</v>
      </c>
      <c r="H73" s="781"/>
      <c r="I73" s="15"/>
      <c r="J73" s="100">
        <v>68</v>
      </c>
      <c r="K73" s="38"/>
      <c r="L73" s="49"/>
      <c r="M73" s="135"/>
      <c r="N73" s="398"/>
      <c r="O73" s="116"/>
      <c r="P73" s="75"/>
      <c r="Q73" s="110"/>
      <c r="R73" s="354"/>
      <c r="S73"/>
    </row>
    <row r="74" spans="1:19" s="1" customFormat="1" ht="11.25" customHeight="1" x14ac:dyDescent="0.2">
      <c r="A74" s="77">
        <v>1</v>
      </c>
      <c r="B74" s="118"/>
      <c r="C74" s="118"/>
      <c r="D74" s="51"/>
      <c r="E74" s="65"/>
      <c r="F74" s="47" t="s">
        <v>62</v>
      </c>
      <c r="G74" s="782" t="s">
        <v>4</v>
      </c>
      <c r="H74" s="107">
        <f>SUM(H72:H72)</f>
        <v>163.5</v>
      </c>
      <c r="I74" s="107">
        <f>SUM(I72:I72)</f>
        <v>79.5</v>
      </c>
      <c r="J74" s="107">
        <f>SUM(J72:J73)</f>
        <v>380</v>
      </c>
      <c r="K74" s="107">
        <f t="shared" ref="K74:L74" si="4">SUM(K72:K73)</f>
        <v>200</v>
      </c>
      <c r="L74" s="765">
        <f t="shared" si="4"/>
        <v>200</v>
      </c>
      <c r="M74" s="135"/>
      <c r="N74" s="398"/>
      <c r="O74" s="116"/>
      <c r="P74" s="75"/>
      <c r="Q74" s="110"/>
      <c r="R74" s="354"/>
      <c r="S74"/>
    </row>
    <row r="75" spans="1:19" s="1" customFormat="1" ht="33.75" x14ac:dyDescent="0.2">
      <c r="A75" s="77">
        <v>1</v>
      </c>
      <c r="B75" s="114" t="s">
        <v>692</v>
      </c>
      <c r="C75" s="114" t="s">
        <v>692</v>
      </c>
      <c r="D75" s="775" t="s">
        <v>63</v>
      </c>
      <c r="E75" s="65"/>
      <c r="F75" s="43"/>
      <c r="G75" s="82"/>
      <c r="H75" s="107"/>
      <c r="I75" s="21"/>
      <c r="J75" s="115"/>
      <c r="K75" s="21">
        <f>K77</f>
        <v>1200</v>
      </c>
      <c r="L75" s="58">
        <f>L77</f>
        <v>1200</v>
      </c>
      <c r="M75" s="135"/>
      <c r="N75" s="398"/>
      <c r="O75" s="116"/>
      <c r="P75" s="75"/>
      <c r="Q75" s="110"/>
      <c r="R75" s="354"/>
      <c r="S75"/>
    </row>
    <row r="76" spans="1:19" s="1" customFormat="1" ht="25.5" customHeight="1" x14ac:dyDescent="0.2">
      <c r="A76" s="77">
        <v>1</v>
      </c>
      <c r="B76" s="118"/>
      <c r="C76" s="118"/>
      <c r="D76" s="51"/>
      <c r="E76" s="47" t="s">
        <v>35</v>
      </c>
      <c r="F76" s="47" t="s">
        <v>64</v>
      </c>
      <c r="G76" s="64" t="s">
        <v>8</v>
      </c>
      <c r="H76" s="38">
        <f>230-13.5-64.4-146.5+26-4.1+131.4-94.6</f>
        <v>64.300000000000011</v>
      </c>
      <c r="I76" s="15">
        <v>191.2</v>
      </c>
      <c r="J76" s="100">
        <f>1200-319-4.2-533.4+23-32.7-94.6-30.9+49.3-2.6</f>
        <v>254.9</v>
      </c>
      <c r="K76" s="767">
        <v>1200</v>
      </c>
      <c r="L76" s="768">
        <v>1200</v>
      </c>
      <c r="M76" s="135"/>
      <c r="N76" s="398" t="s">
        <v>1958</v>
      </c>
      <c r="O76" s="309" t="s">
        <v>1898</v>
      </c>
      <c r="P76" s="82">
        <v>1</v>
      </c>
      <c r="Q76" s="104"/>
      <c r="R76" s="354"/>
      <c r="S76"/>
    </row>
    <row r="77" spans="1:19" s="1" customFormat="1" ht="16.149999999999999" customHeight="1" x14ac:dyDescent="0.2">
      <c r="A77" s="77">
        <v>1</v>
      </c>
      <c r="B77" s="118"/>
      <c r="C77" s="118"/>
      <c r="D77" s="51"/>
      <c r="E77" s="43"/>
      <c r="F77" s="47" t="s">
        <v>64</v>
      </c>
      <c r="G77" s="64" t="s">
        <v>8</v>
      </c>
      <c r="H77" s="107">
        <f>SUM(H76:H76)</f>
        <v>64.300000000000011</v>
      </c>
      <c r="I77" s="107">
        <f>SUM(I76:I76)</f>
        <v>191.2</v>
      </c>
      <c r="J77" s="107">
        <f>SUM(J76:J76)</f>
        <v>254.9</v>
      </c>
      <c r="K77" s="107">
        <f>SUM(K76:K76)</f>
        <v>1200</v>
      </c>
      <c r="L77" s="765">
        <f>SUM(L76:L76)</f>
        <v>1200</v>
      </c>
      <c r="M77" s="135" t="s">
        <v>637</v>
      </c>
      <c r="N77" s="398"/>
      <c r="O77" s="102"/>
      <c r="P77" s="103"/>
      <c r="Q77" s="104"/>
      <c r="R77" s="354"/>
      <c r="S77"/>
    </row>
    <row r="78" spans="1:19" s="1" customFormat="1" ht="24.6" customHeight="1" x14ac:dyDescent="0.2">
      <c r="A78" s="77">
        <v>1</v>
      </c>
      <c r="B78" s="114" t="s">
        <v>693</v>
      </c>
      <c r="C78" s="114" t="s">
        <v>693</v>
      </c>
      <c r="D78" s="775" t="s">
        <v>694</v>
      </c>
      <c r="E78" s="304"/>
      <c r="F78" s="82"/>
      <c r="G78" s="82"/>
      <c r="H78" s="935"/>
      <c r="I78" s="936" t="e">
        <f>SUM(I82,I86,I89,I96,I100,I103,I115,I92,I111,#REF!,I120)</f>
        <v>#REF!</v>
      </c>
      <c r="J78" s="100"/>
      <c r="K78" s="936" t="e">
        <f>SUM(K82,K86,K89,K96,K100,K103,K115,K92,K111,#REF!,K120)</f>
        <v>#REF!</v>
      </c>
      <c r="L78" s="937" t="e">
        <f>SUM(L82,L86,L89,L96,L100,L103,L115,L92,L111,#REF!,L120)</f>
        <v>#REF!</v>
      </c>
      <c r="M78" s="135"/>
      <c r="N78" s="758"/>
      <c r="O78" s="783"/>
      <c r="P78" s="118"/>
      <c r="Q78" s="76"/>
      <c r="R78" s="354"/>
      <c r="S78"/>
    </row>
    <row r="79" spans="1:19" s="1" customFormat="1" ht="22.5" x14ac:dyDescent="0.2">
      <c r="A79" s="77">
        <v>1</v>
      </c>
      <c r="B79" s="118"/>
      <c r="C79" s="118" t="s">
        <v>695</v>
      </c>
      <c r="D79" s="1265" t="s">
        <v>696</v>
      </c>
      <c r="E79" s="75">
        <v>9</v>
      </c>
      <c r="F79" s="784" t="s">
        <v>73</v>
      </c>
      <c r="G79" s="38" t="s">
        <v>8</v>
      </c>
      <c r="H79" s="108">
        <v>74.8</v>
      </c>
      <c r="I79" s="15">
        <v>38.4</v>
      </c>
      <c r="J79" s="100"/>
      <c r="K79" s="38"/>
      <c r="L79" s="34"/>
      <c r="M79" s="135" t="s">
        <v>697</v>
      </c>
      <c r="N79" s="398" t="s">
        <v>1992</v>
      </c>
      <c r="O79" s="102" t="s">
        <v>699</v>
      </c>
      <c r="P79" s="103">
        <v>30</v>
      </c>
      <c r="Q79" s="104" t="s">
        <v>700</v>
      </c>
      <c r="R79"/>
      <c r="S79"/>
    </row>
    <row r="80" spans="1:19" s="1" customFormat="1" ht="11.25" customHeight="1" x14ac:dyDescent="0.2">
      <c r="A80" s="77">
        <v>1</v>
      </c>
      <c r="B80" s="118"/>
      <c r="C80" s="118"/>
      <c r="D80" s="1265"/>
      <c r="E80" s="75">
        <v>9</v>
      </c>
      <c r="F80" s="784" t="s">
        <v>73</v>
      </c>
      <c r="G80" s="15" t="s">
        <v>598</v>
      </c>
      <c r="H80" s="15"/>
      <c r="I80" s="15"/>
      <c r="J80" s="100">
        <v>350</v>
      </c>
      <c r="K80" s="15">
        <f>778.6-J80</f>
        <v>428.6</v>
      </c>
      <c r="L80" s="34"/>
      <c r="M80" s="135" t="s">
        <v>697</v>
      </c>
      <c r="N80" s="398" t="s">
        <v>1992</v>
      </c>
      <c r="O80" s="116"/>
      <c r="P80" s="103"/>
      <c r="Q80" s="104" t="s">
        <v>700</v>
      </c>
      <c r="R80"/>
      <c r="S80"/>
    </row>
    <row r="81" spans="1:19" s="1" customFormat="1" ht="11.25" customHeight="1" x14ac:dyDescent="0.2">
      <c r="A81" s="77">
        <v>1</v>
      </c>
      <c r="B81" s="118"/>
      <c r="C81" s="118"/>
      <c r="D81" s="1265"/>
      <c r="E81" s="75">
        <v>9</v>
      </c>
      <c r="F81" s="784" t="s">
        <v>73</v>
      </c>
      <c r="G81" s="15" t="s">
        <v>37</v>
      </c>
      <c r="H81" s="15"/>
      <c r="I81" s="15"/>
      <c r="J81" s="100">
        <v>1981</v>
      </c>
      <c r="K81" s="15">
        <f>4412-J81</f>
        <v>2431</v>
      </c>
      <c r="L81" s="34"/>
      <c r="M81" s="135" t="s">
        <v>697</v>
      </c>
      <c r="N81" s="398" t="s">
        <v>1992</v>
      </c>
      <c r="O81" s="102"/>
      <c r="P81" s="103"/>
      <c r="Q81" s="104" t="s">
        <v>700</v>
      </c>
      <c r="R81"/>
      <c r="S81"/>
    </row>
    <row r="82" spans="1:19" s="1" customFormat="1" ht="11.25" customHeight="1" x14ac:dyDescent="0.2">
      <c r="A82" s="77">
        <v>1</v>
      </c>
      <c r="B82" s="118"/>
      <c r="C82" s="118"/>
      <c r="D82" s="1265"/>
      <c r="E82" s="75">
        <v>9</v>
      </c>
      <c r="F82" s="784" t="s">
        <v>73</v>
      </c>
      <c r="G82" s="105" t="s">
        <v>622</v>
      </c>
      <c r="H82" s="107">
        <f>SUM(H79:H81)</f>
        <v>74.8</v>
      </c>
      <c r="I82" s="107">
        <f>SUM(I79:I81)</f>
        <v>38.4</v>
      </c>
      <c r="J82" s="107">
        <f t="shared" ref="J82:L82" si="5">SUM(J79:J81)</f>
        <v>2331</v>
      </c>
      <c r="K82" s="107">
        <f t="shared" si="5"/>
        <v>2859.6</v>
      </c>
      <c r="L82" s="765">
        <f t="shared" si="5"/>
        <v>0</v>
      </c>
      <c r="M82" s="135" t="s">
        <v>697</v>
      </c>
      <c r="N82" s="398" t="s">
        <v>1992</v>
      </c>
      <c r="O82" s="102"/>
      <c r="P82" s="103"/>
      <c r="Q82" s="104"/>
      <c r="R82"/>
      <c r="S82"/>
    </row>
    <row r="83" spans="1:19" s="1" customFormat="1" ht="22.5" x14ac:dyDescent="0.2">
      <c r="A83" s="77">
        <v>1</v>
      </c>
      <c r="B83" s="118"/>
      <c r="C83" s="118" t="s">
        <v>701</v>
      </c>
      <c r="D83" s="85" t="s">
        <v>702</v>
      </c>
      <c r="E83" s="103">
        <v>9</v>
      </c>
      <c r="F83" s="784" t="s">
        <v>73</v>
      </c>
      <c r="G83" s="38" t="s">
        <v>8</v>
      </c>
      <c r="H83" s="108"/>
      <c r="I83" s="15">
        <v>16.3</v>
      </c>
      <c r="J83" s="100">
        <f>150+170</f>
        <v>320</v>
      </c>
      <c r="K83" s="38">
        <v>100</v>
      </c>
      <c r="L83" s="49"/>
      <c r="M83" s="135" t="s">
        <v>627</v>
      </c>
      <c r="N83" s="101" t="s">
        <v>1993</v>
      </c>
      <c r="O83" s="102" t="s">
        <v>704</v>
      </c>
      <c r="P83" s="103">
        <v>1</v>
      </c>
      <c r="Q83" s="104" t="s">
        <v>640</v>
      </c>
      <c r="R83"/>
      <c r="S83"/>
    </row>
    <row r="84" spans="1:19" s="1" customFormat="1" ht="22.5" x14ac:dyDescent="0.2">
      <c r="A84" s="77">
        <v>1</v>
      </c>
      <c r="B84" s="118"/>
      <c r="C84" s="118"/>
      <c r="D84" s="85"/>
      <c r="E84" s="103">
        <v>9</v>
      </c>
      <c r="F84" s="784" t="s">
        <v>73</v>
      </c>
      <c r="G84" s="15" t="s">
        <v>10</v>
      </c>
      <c r="H84" s="108"/>
      <c r="I84" s="15"/>
      <c r="J84" s="100">
        <v>350</v>
      </c>
      <c r="K84" s="38">
        <f>16-16</f>
        <v>0</v>
      </c>
      <c r="L84" s="49"/>
      <c r="M84" s="135"/>
      <c r="N84" s="101" t="s">
        <v>1993</v>
      </c>
      <c r="O84" s="116"/>
      <c r="P84" s="103"/>
      <c r="Q84" s="104" t="s">
        <v>640</v>
      </c>
      <c r="R84"/>
      <c r="S84"/>
    </row>
    <row r="85" spans="1:19" s="1" customFormat="1" ht="22.5" x14ac:dyDescent="0.2">
      <c r="A85" s="77">
        <v>1</v>
      </c>
      <c r="B85" s="118"/>
      <c r="C85" s="118"/>
      <c r="D85" s="85"/>
      <c r="E85" s="103">
        <v>9</v>
      </c>
      <c r="F85" s="784" t="s">
        <v>73</v>
      </c>
      <c r="G85" s="15" t="s">
        <v>169</v>
      </c>
      <c r="H85" s="108"/>
      <c r="I85" s="15">
        <v>2.1</v>
      </c>
      <c r="J85" s="100">
        <f>350-350</f>
        <v>0</v>
      </c>
      <c r="K85" s="15">
        <v>147.9</v>
      </c>
      <c r="L85" s="49"/>
      <c r="M85" s="135"/>
      <c r="N85" s="101" t="s">
        <v>1993</v>
      </c>
      <c r="O85" s="116"/>
      <c r="P85" s="103"/>
      <c r="Q85" s="104" t="s">
        <v>640</v>
      </c>
      <c r="R85"/>
      <c r="S85"/>
    </row>
    <row r="86" spans="1:19" s="1" customFormat="1" ht="11.25" customHeight="1" x14ac:dyDescent="0.2">
      <c r="A86" s="77">
        <v>1</v>
      </c>
      <c r="B86" s="118"/>
      <c r="C86" s="118"/>
      <c r="D86" s="85"/>
      <c r="E86" s="103">
        <v>9</v>
      </c>
      <c r="F86" s="784" t="s">
        <v>73</v>
      </c>
      <c r="G86" s="105" t="s">
        <v>622</v>
      </c>
      <c r="H86" s="107"/>
      <c r="I86" s="107">
        <f>SUM(I83:I85)</f>
        <v>18.400000000000002</v>
      </c>
      <c r="J86" s="107">
        <f t="shared" ref="J86:L86" si="6">SUM(J83:J85)</f>
        <v>670</v>
      </c>
      <c r="K86" s="107">
        <f t="shared" si="6"/>
        <v>247.9</v>
      </c>
      <c r="L86" s="765">
        <f t="shared" si="6"/>
        <v>0</v>
      </c>
      <c r="M86" s="135"/>
      <c r="N86" s="101"/>
      <c r="O86" s="102"/>
      <c r="P86" s="103"/>
      <c r="Q86" s="104"/>
      <c r="R86"/>
      <c r="S86"/>
    </row>
    <row r="87" spans="1:19" s="1" customFormat="1" ht="11.25" customHeight="1" x14ac:dyDescent="0.2">
      <c r="A87" s="77">
        <v>1</v>
      </c>
      <c r="B87" s="118"/>
      <c r="C87" s="118" t="s">
        <v>705</v>
      </c>
      <c r="D87" s="1266" t="s">
        <v>706</v>
      </c>
      <c r="E87" s="103">
        <v>9</v>
      </c>
      <c r="F87" s="784" t="s">
        <v>73</v>
      </c>
      <c r="G87" s="135" t="s">
        <v>8</v>
      </c>
      <c r="H87" s="785">
        <v>180.8</v>
      </c>
      <c r="I87" s="15">
        <v>8.6</v>
      </c>
      <c r="J87" s="100"/>
      <c r="K87" s="15"/>
      <c r="L87" s="34"/>
      <c r="M87" s="135" t="s">
        <v>627</v>
      </c>
      <c r="N87" s="398" t="s">
        <v>1994</v>
      </c>
      <c r="O87" s="102"/>
      <c r="P87" s="103"/>
      <c r="Q87" s="104" t="s">
        <v>640</v>
      </c>
      <c r="R87"/>
      <c r="S87"/>
    </row>
    <row r="88" spans="1:19" s="1" customFormat="1" ht="11.25" customHeight="1" x14ac:dyDescent="0.2">
      <c r="A88" s="77">
        <v>1</v>
      </c>
      <c r="B88" s="118"/>
      <c r="C88" s="118"/>
      <c r="D88" s="1266"/>
      <c r="E88" s="103">
        <v>9</v>
      </c>
      <c r="F88" s="784" t="s">
        <v>73</v>
      </c>
      <c r="G88" s="135" t="s">
        <v>37</v>
      </c>
      <c r="H88" s="786">
        <v>1172</v>
      </c>
      <c r="I88" s="15">
        <v>98</v>
      </c>
      <c r="J88" s="100"/>
      <c r="K88" s="15"/>
      <c r="L88" s="34"/>
      <c r="M88" s="135"/>
      <c r="N88" s="398" t="s">
        <v>1994</v>
      </c>
      <c r="O88" s="102"/>
      <c r="P88" s="103"/>
      <c r="Q88" s="104" t="s">
        <v>640</v>
      </c>
      <c r="R88"/>
      <c r="S88"/>
    </row>
    <row r="89" spans="1:19" s="1" customFormat="1" ht="11.25" customHeight="1" x14ac:dyDescent="0.2">
      <c r="A89" s="77">
        <v>1</v>
      </c>
      <c r="B89" s="118"/>
      <c r="C89" s="118"/>
      <c r="D89" s="1266"/>
      <c r="E89" s="103">
        <v>9</v>
      </c>
      <c r="F89" s="784" t="s">
        <v>73</v>
      </c>
      <c r="G89" s="105" t="s">
        <v>622</v>
      </c>
      <c r="H89" s="107">
        <f>SUM(H87:H88)</f>
        <v>1352.8</v>
      </c>
      <c r="I89" s="107">
        <f>SUM(I87:I88)</f>
        <v>106.6</v>
      </c>
      <c r="J89" s="107">
        <f>SUM(J87:J88)</f>
        <v>0</v>
      </c>
      <c r="K89" s="107">
        <f>SUM(K87:K88)</f>
        <v>0</v>
      </c>
      <c r="L89" s="765">
        <f>SUM(L87:L88)</f>
        <v>0</v>
      </c>
      <c r="M89" s="135"/>
      <c r="N89" s="398" t="s">
        <v>1994</v>
      </c>
      <c r="O89" s="102"/>
      <c r="P89" s="103"/>
      <c r="Q89" s="104"/>
      <c r="R89"/>
      <c r="S89"/>
    </row>
    <row r="90" spans="1:19" s="1" customFormat="1" ht="22.5" x14ac:dyDescent="0.2">
      <c r="A90" s="77">
        <v>1</v>
      </c>
      <c r="B90" s="118"/>
      <c r="C90" s="118" t="s">
        <v>708</v>
      </c>
      <c r="D90" s="76" t="s">
        <v>709</v>
      </c>
      <c r="E90" s="103">
        <v>9</v>
      </c>
      <c r="F90" s="784" t="s">
        <v>73</v>
      </c>
      <c r="G90" s="38" t="s">
        <v>8</v>
      </c>
      <c r="H90" s="15"/>
      <c r="I90" s="15"/>
      <c r="J90" s="100"/>
      <c r="K90" s="15">
        <v>161.80000000000001</v>
      </c>
      <c r="L90" s="34">
        <f>2000+2061.8-161.8-1300</f>
        <v>2600</v>
      </c>
      <c r="M90" s="187" t="s">
        <v>710</v>
      </c>
      <c r="N90" s="398" t="s">
        <v>1994</v>
      </c>
      <c r="O90" s="102" t="s">
        <v>711</v>
      </c>
      <c r="P90" s="103">
        <v>1</v>
      </c>
      <c r="Q90" s="104" t="s">
        <v>712</v>
      </c>
      <c r="R90"/>
      <c r="S90"/>
    </row>
    <row r="91" spans="1:19" s="1" customFormat="1" x14ac:dyDescent="0.2">
      <c r="A91" s="77">
        <v>1</v>
      </c>
      <c r="B91" s="118"/>
      <c r="C91" s="118"/>
      <c r="D91" s="76"/>
      <c r="E91" s="103">
        <v>9</v>
      </c>
      <c r="F91" s="784" t="s">
        <v>73</v>
      </c>
      <c r="G91" s="38" t="s">
        <v>40</v>
      </c>
      <c r="H91" s="15"/>
      <c r="I91" s="15"/>
      <c r="J91" s="100"/>
      <c r="K91" s="15"/>
      <c r="L91" s="34">
        <v>1300</v>
      </c>
      <c r="M91" s="187"/>
      <c r="N91" s="398"/>
      <c r="O91" s="102"/>
      <c r="P91" s="103"/>
      <c r="Q91" s="104" t="s">
        <v>712</v>
      </c>
      <c r="R91"/>
      <c r="S91"/>
    </row>
    <row r="92" spans="1:19" s="1" customFormat="1" x14ac:dyDescent="0.2">
      <c r="A92" s="77">
        <v>1</v>
      </c>
      <c r="B92" s="118"/>
      <c r="C92" s="118"/>
      <c r="D92" s="76"/>
      <c r="E92" s="103">
        <v>9</v>
      </c>
      <c r="F92" s="784" t="s">
        <v>73</v>
      </c>
      <c r="G92" s="105" t="s">
        <v>622</v>
      </c>
      <c r="H92" s="107">
        <v>100</v>
      </c>
      <c r="I92" s="107">
        <f>SUM(I90:I91)</f>
        <v>0</v>
      </c>
      <c r="J92" s="107">
        <f t="shared" ref="J92:L92" si="7">SUM(J90:J91)</f>
        <v>0</v>
      </c>
      <c r="K92" s="107">
        <f t="shared" si="7"/>
        <v>161.80000000000001</v>
      </c>
      <c r="L92" s="765">
        <f t="shared" si="7"/>
        <v>3900</v>
      </c>
      <c r="M92" s="135"/>
      <c r="N92" s="398" t="s">
        <v>1994</v>
      </c>
      <c r="O92" s="116"/>
      <c r="P92" s="103"/>
      <c r="Q92" s="104"/>
      <c r="R92"/>
      <c r="S92"/>
    </row>
    <row r="93" spans="1:19" s="1" customFormat="1" ht="11.25" customHeight="1" x14ac:dyDescent="0.2">
      <c r="A93" s="77">
        <v>1</v>
      </c>
      <c r="B93" s="118"/>
      <c r="C93" s="118" t="s">
        <v>713</v>
      </c>
      <c r="D93" s="1265" t="s">
        <v>714</v>
      </c>
      <c r="E93" s="103">
        <v>9</v>
      </c>
      <c r="F93" s="784" t="s">
        <v>73</v>
      </c>
      <c r="G93" s="82" t="s">
        <v>8</v>
      </c>
      <c r="H93" s="108">
        <v>14.9</v>
      </c>
      <c r="I93" s="409">
        <v>7.8</v>
      </c>
      <c r="J93" s="100">
        <v>84.9</v>
      </c>
      <c r="K93" s="125">
        <f>1344.8/2</f>
        <v>672.4</v>
      </c>
      <c r="L93" s="194">
        <f>1344.8/2-84.9</f>
        <v>587.5</v>
      </c>
      <c r="M93" s="135" t="s">
        <v>697</v>
      </c>
      <c r="N93" s="398" t="s">
        <v>1994</v>
      </c>
      <c r="O93" s="102" t="s">
        <v>715</v>
      </c>
      <c r="P93" s="103">
        <v>1</v>
      </c>
      <c r="Q93" s="104" t="s">
        <v>716</v>
      </c>
      <c r="R93"/>
      <c r="S93"/>
    </row>
    <row r="94" spans="1:19" s="1" customFormat="1" ht="11.25" customHeight="1" x14ac:dyDescent="0.2">
      <c r="A94" s="77">
        <v>1</v>
      </c>
      <c r="B94" s="118"/>
      <c r="C94" s="118"/>
      <c r="D94" s="1265"/>
      <c r="E94" s="103">
        <v>9</v>
      </c>
      <c r="F94" s="784" t="s">
        <v>73</v>
      </c>
      <c r="G94" s="82" t="s">
        <v>598</v>
      </c>
      <c r="H94" s="15"/>
      <c r="I94" s="409"/>
      <c r="J94" s="100"/>
      <c r="K94" s="409">
        <f>213.2/2</f>
        <v>106.6</v>
      </c>
      <c r="L94" s="787">
        <f>213.2/2</f>
        <v>106.6</v>
      </c>
      <c r="M94" s="135" t="s">
        <v>697</v>
      </c>
      <c r="N94" s="398" t="s">
        <v>1994</v>
      </c>
      <c r="O94" s="102" t="s">
        <v>717</v>
      </c>
      <c r="P94" s="103">
        <v>1</v>
      </c>
      <c r="Q94" s="104" t="s">
        <v>716</v>
      </c>
      <c r="R94"/>
      <c r="S94"/>
    </row>
    <row r="95" spans="1:19" s="1" customFormat="1" ht="11.25" customHeight="1" x14ac:dyDescent="0.2">
      <c r="A95" s="77">
        <v>1</v>
      </c>
      <c r="B95" s="118"/>
      <c r="C95" s="118"/>
      <c r="D95" s="1265"/>
      <c r="E95" s="103">
        <v>9</v>
      </c>
      <c r="F95" s="784" t="s">
        <v>73</v>
      </c>
      <c r="G95" s="82" t="s">
        <v>37</v>
      </c>
      <c r="H95" s="15"/>
      <c r="I95" s="409"/>
      <c r="J95" s="100"/>
      <c r="K95" s="409">
        <f>1206/2</f>
        <v>603</v>
      </c>
      <c r="L95" s="787">
        <f>1206/2</f>
        <v>603</v>
      </c>
      <c r="M95" s="135" t="s">
        <v>697</v>
      </c>
      <c r="N95" s="398" t="s">
        <v>1994</v>
      </c>
      <c r="O95" s="116"/>
      <c r="P95" s="103"/>
      <c r="Q95" s="104" t="s">
        <v>716</v>
      </c>
      <c r="R95"/>
      <c r="S95"/>
    </row>
    <row r="96" spans="1:19" s="1" customFormat="1" ht="11.25" customHeight="1" x14ac:dyDescent="0.2">
      <c r="A96" s="77">
        <v>1</v>
      </c>
      <c r="B96" s="118"/>
      <c r="C96" s="118"/>
      <c r="D96" s="1265"/>
      <c r="E96" s="103">
        <v>9</v>
      </c>
      <c r="F96" s="784" t="s">
        <v>73</v>
      </c>
      <c r="G96" s="105" t="s">
        <v>622</v>
      </c>
      <c r="H96" s="107">
        <f>SUM(H93:H95)</f>
        <v>14.9</v>
      </c>
      <c r="I96" s="107">
        <f>SUM(I93:I95)</f>
        <v>7.8</v>
      </c>
      <c r="J96" s="107">
        <f>SUM(J93:J95)</f>
        <v>84.9</v>
      </c>
      <c r="K96" s="107">
        <f t="shared" ref="K96:L96" si="8">SUM(K93:K95)</f>
        <v>1382</v>
      </c>
      <c r="L96" s="765">
        <f t="shared" si="8"/>
        <v>1297.0999999999999</v>
      </c>
      <c r="M96" s="135" t="s">
        <v>697</v>
      </c>
      <c r="N96" s="398" t="s">
        <v>1994</v>
      </c>
      <c r="O96" s="102"/>
      <c r="P96" s="103"/>
      <c r="Q96" s="104"/>
      <c r="R96"/>
      <c r="S96"/>
    </row>
    <row r="97" spans="1:19" s="1" customFormat="1" ht="11.25" customHeight="1" x14ac:dyDescent="0.2">
      <c r="A97" s="77">
        <v>1</v>
      </c>
      <c r="B97" s="118"/>
      <c r="C97" s="118" t="s">
        <v>718</v>
      </c>
      <c r="D97" s="1265" t="s">
        <v>719</v>
      </c>
      <c r="E97" s="103">
        <v>9</v>
      </c>
      <c r="F97" s="784" t="s">
        <v>73</v>
      </c>
      <c r="G97" s="82" t="s">
        <v>8</v>
      </c>
      <c r="H97" s="15"/>
      <c r="I97" s="15">
        <v>6.7</v>
      </c>
      <c r="J97" s="100">
        <v>57</v>
      </c>
      <c r="K97" s="15">
        <v>42.5</v>
      </c>
      <c r="L97" s="34"/>
      <c r="M97" s="135" t="s">
        <v>697</v>
      </c>
      <c r="N97" s="398" t="s">
        <v>1992</v>
      </c>
      <c r="O97" s="102" t="s">
        <v>717</v>
      </c>
      <c r="P97" s="103">
        <v>1</v>
      </c>
      <c r="Q97" s="104" t="s">
        <v>720</v>
      </c>
      <c r="R97"/>
      <c r="S97"/>
    </row>
    <row r="98" spans="1:19" s="1" customFormat="1" ht="11.25" customHeight="1" x14ac:dyDescent="0.2">
      <c r="A98" s="77">
        <v>1</v>
      </c>
      <c r="B98" s="118"/>
      <c r="C98" s="118"/>
      <c r="D98" s="1265"/>
      <c r="E98" s="103">
        <v>9</v>
      </c>
      <c r="F98" s="784" t="s">
        <v>73</v>
      </c>
      <c r="G98" s="82" t="s">
        <v>598</v>
      </c>
      <c r="H98" s="15"/>
      <c r="I98" s="15"/>
      <c r="J98" s="100">
        <f>1621/2*0.15</f>
        <v>121.57499999999999</v>
      </c>
      <c r="K98" s="15">
        <f>420.4-J98</f>
        <v>298.82499999999999</v>
      </c>
      <c r="L98" s="34"/>
      <c r="M98" s="135" t="s">
        <v>697</v>
      </c>
      <c r="N98" s="398" t="s">
        <v>1992</v>
      </c>
      <c r="O98" s="116" t="s">
        <v>721</v>
      </c>
      <c r="P98" s="82">
        <v>60</v>
      </c>
      <c r="Q98" s="104" t="s">
        <v>720</v>
      </c>
      <c r="R98"/>
      <c r="S98"/>
    </row>
    <row r="99" spans="1:19" s="1" customFormat="1" ht="11.25" customHeight="1" x14ac:dyDescent="0.2">
      <c r="A99" s="77">
        <v>1</v>
      </c>
      <c r="B99" s="118"/>
      <c r="C99" s="118"/>
      <c r="D99" s="1265"/>
      <c r="E99" s="103">
        <v>9</v>
      </c>
      <c r="F99" s="784" t="s">
        <v>73</v>
      </c>
      <c r="G99" s="82" t="s">
        <v>37</v>
      </c>
      <c r="H99" s="15"/>
      <c r="I99" s="15"/>
      <c r="J99" s="100">
        <f>1621/2*0.85</f>
        <v>688.92499999999995</v>
      </c>
      <c r="K99" s="15">
        <f>2377.9-J99</f>
        <v>1688.9750000000001</v>
      </c>
      <c r="L99" s="34"/>
      <c r="M99" s="135" t="s">
        <v>697</v>
      </c>
      <c r="N99" s="398" t="s">
        <v>1992</v>
      </c>
      <c r="O99" s="116"/>
      <c r="P99" s="103"/>
      <c r="Q99" s="104" t="s">
        <v>720</v>
      </c>
      <c r="R99"/>
      <c r="S99"/>
    </row>
    <row r="100" spans="1:19" s="1" customFormat="1" ht="11.25" customHeight="1" x14ac:dyDescent="0.2">
      <c r="A100" s="77">
        <v>1</v>
      </c>
      <c r="B100" s="118"/>
      <c r="C100" s="118"/>
      <c r="D100" s="1265"/>
      <c r="E100" s="103"/>
      <c r="F100" s="784" t="s">
        <v>73</v>
      </c>
      <c r="G100" s="105" t="s">
        <v>622</v>
      </c>
      <c r="H100" s="107">
        <f>SUM(H97:H99)</f>
        <v>0</v>
      </c>
      <c r="I100" s="107">
        <f>SUM(I97:I99)</f>
        <v>6.7</v>
      </c>
      <c r="J100" s="107">
        <f t="shared" ref="J100:L100" si="9">SUM(J97:J99)</f>
        <v>867.5</v>
      </c>
      <c r="K100" s="107">
        <f t="shared" si="9"/>
        <v>2030.3000000000002</v>
      </c>
      <c r="L100" s="765">
        <f t="shared" si="9"/>
        <v>0</v>
      </c>
      <c r="M100" s="135" t="s">
        <v>697</v>
      </c>
      <c r="N100" s="398" t="s">
        <v>1992</v>
      </c>
      <c r="O100" s="102"/>
      <c r="P100" s="103"/>
      <c r="Q100" s="104"/>
      <c r="R100"/>
      <c r="S100"/>
    </row>
    <row r="101" spans="1:19" s="1" customFormat="1" ht="25.9" customHeight="1" x14ac:dyDescent="0.2">
      <c r="A101" s="77">
        <v>1</v>
      </c>
      <c r="B101" s="118"/>
      <c r="C101" s="118" t="s">
        <v>722</v>
      </c>
      <c r="D101" s="1266" t="s">
        <v>723</v>
      </c>
      <c r="E101" s="103">
        <v>9</v>
      </c>
      <c r="F101" s="784" t="s">
        <v>73</v>
      </c>
      <c r="G101" s="82" t="s">
        <v>40</v>
      </c>
      <c r="H101" s="788">
        <v>250.1</v>
      </c>
      <c r="I101" s="891"/>
      <c r="J101" s="100"/>
      <c r="K101" s="38"/>
      <c r="L101" s="34">
        <v>1700</v>
      </c>
      <c r="M101" s="135" t="s">
        <v>697</v>
      </c>
      <c r="N101" s="398" t="s">
        <v>1992</v>
      </c>
      <c r="O101" s="102" t="s">
        <v>717</v>
      </c>
      <c r="P101" s="103">
        <v>1</v>
      </c>
      <c r="Q101" s="104" t="s">
        <v>640</v>
      </c>
      <c r="R101"/>
      <c r="S101"/>
    </row>
    <row r="102" spans="1:19" s="1" customFormat="1" x14ac:dyDescent="0.2">
      <c r="A102" s="77">
        <v>1</v>
      </c>
      <c r="B102" s="118"/>
      <c r="C102" s="118"/>
      <c r="D102" s="1266"/>
      <c r="E102" s="103">
        <v>9</v>
      </c>
      <c r="F102" s="784" t="s">
        <v>73</v>
      </c>
      <c r="G102" s="82" t="s">
        <v>8</v>
      </c>
      <c r="H102" s="786">
        <v>5.9</v>
      </c>
      <c r="I102" s="15">
        <v>1542.1</v>
      </c>
      <c r="J102" s="100">
        <f>57.6+18.1</f>
        <v>75.7</v>
      </c>
      <c r="K102" s="38">
        <v>1000</v>
      </c>
      <c r="L102" s="34"/>
      <c r="M102" s="135" t="s">
        <v>697</v>
      </c>
      <c r="N102" s="398" t="s">
        <v>1992</v>
      </c>
      <c r="O102" s="102"/>
      <c r="P102" s="103"/>
      <c r="Q102" s="104" t="s">
        <v>640</v>
      </c>
      <c r="R102"/>
      <c r="S102"/>
    </row>
    <row r="103" spans="1:19" s="1" customFormat="1" ht="11.25" customHeight="1" x14ac:dyDescent="0.2">
      <c r="A103" s="77">
        <v>1</v>
      </c>
      <c r="B103" s="118"/>
      <c r="C103" s="118"/>
      <c r="D103" s="1266"/>
      <c r="E103" s="103"/>
      <c r="F103" s="784" t="s">
        <v>73</v>
      </c>
      <c r="G103" s="105" t="s">
        <v>622</v>
      </c>
      <c r="H103" s="107">
        <f>SUM(H101:H102)</f>
        <v>256</v>
      </c>
      <c r="I103" s="107">
        <f>SUM(I101:I102)</f>
        <v>1542.1</v>
      </c>
      <c r="J103" s="107">
        <f>SUM(J101:J102)</f>
        <v>75.7</v>
      </c>
      <c r="K103" s="107">
        <f>SUM(K101:K102)</f>
        <v>1000</v>
      </c>
      <c r="L103" s="765">
        <f>SUM(L101:L102)</f>
        <v>1700</v>
      </c>
      <c r="M103" s="135" t="s">
        <v>697</v>
      </c>
      <c r="N103" s="398"/>
      <c r="O103" s="102"/>
      <c r="P103" s="103"/>
      <c r="Q103" s="104"/>
      <c r="R103"/>
      <c r="S103"/>
    </row>
    <row r="104" spans="1:19" s="1" customFormat="1" ht="33.75" x14ac:dyDescent="0.2">
      <c r="A104" s="77">
        <v>1</v>
      </c>
      <c r="B104" s="118"/>
      <c r="C104" s="118" t="s">
        <v>724</v>
      </c>
      <c r="D104" s="85" t="s">
        <v>725</v>
      </c>
      <c r="E104" s="82">
        <v>9</v>
      </c>
      <c r="F104" s="784" t="s">
        <v>73</v>
      </c>
      <c r="G104" s="82" t="s">
        <v>8</v>
      </c>
      <c r="H104" s="15"/>
      <c r="I104" s="34"/>
      <c r="J104" s="100">
        <f>70-50</f>
        <v>20</v>
      </c>
      <c r="K104" s="17">
        <f>50</f>
        <v>50</v>
      </c>
      <c r="L104" s="34">
        <v>500</v>
      </c>
      <c r="M104" s="135" t="s">
        <v>710</v>
      </c>
      <c r="N104" s="398" t="s">
        <v>1823</v>
      </c>
      <c r="O104" s="102" t="s">
        <v>1845</v>
      </c>
      <c r="P104" s="82" t="s">
        <v>749</v>
      </c>
      <c r="Q104" s="104" t="s">
        <v>727</v>
      </c>
      <c r="R104"/>
      <c r="S104"/>
    </row>
    <row r="105" spans="1:19" s="1" customFormat="1" ht="22.5" x14ac:dyDescent="0.2">
      <c r="A105" s="77">
        <v>1</v>
      </c>
      <c r="B105" s="118"/>
      <c r="C105" s="118" t="s">
        <v>729</v>
      </c>
      <c r="D105" s="85" t="s">
        <v>730</v>
      </c>
      <c r="E105" s="82">
        <v>9</v>
      </c>
      <c r="F105" s="784" t="s">
        <v>73</v>
      </c>
      <c r="G105" s="82" t="s">
        <v>8</v>
      </c>
      <c r="H105" s="15"/>
      <c r="I105" s="15"/>
      <c r="J105" s="100">
        <f>70-50</f>
        <v>20</v>
      </c>
      <c r="K105" s="15">
        <f>50</f>
        <v>50</v>
      </c>
      <c r="L105" s="34">
        <v>1000</v>
      </c>
      <c r="M105" s="135" t="s">
        <v>710</v>
      </c>
      <c r="N105" s="398" t="s">
        <v>1994</v>
      </c>
      <c r="O105" s="102" t="s">
        <v>726</v>
      </c>
      <c r="P105" s="82">
        <v>1</v>
      </c>
      <c r="Q105" s="104" t="s">
        <v>732</v>
      </c>
      <c r="R105"/>
      <c r="S105"/>
    </row>
    <row r="106" spans="1:19" s="1" customFormat="1" ht="33.75" x14ac:dyDescent="0.2">
      <c r="A106" s="77">
        <v>1</v>
      </c>
      <c r="B106" s="118"/>
      <c r="C106" s="118" t="s">
        <v>733</v>
      </c>
      <c r="D106" s="85" t="s">
        <v>1882</v>
      </c>
      <c r="E106" s="103">
        <v>9</v>
      </c>
      <c r="F106" s="784" t="s">
        <v>73</v>
      </c>
      <c r="G106" s="82" t="s">
        <v>8</v>
      </c>
      <c r="H106" s="15"/>
      <c r="I106" s="15"/>
      <c r="J106" s="100"/>
      <c r="K106" s="15"/>
      <c r="L106" s="34"/>
      <c r="M106" s="135"/>
      <c r="N106" s="188" t="s">
        <v>1820</v>
      </c>
      <c r="O106" s="102" t="s">
        <v>1886</v>
      </c>
      <c r="P106" s="82">
        <v>1</v>
      </c>
      <c r="Q106" s="104" t="s">
        <v>720</v>
      </c>
      <c r="R106"/>
      <c r="S106"/>
    </row>
    <row r="107" spans="1:19" s="1" customFormat="1" ht="33.75" x14ac:dyDescent="0.2">
      <c r="A107" s="77">
        <v>1</v>
      </c>
      <c r="B107" s="118"/>
      <c r="C107" s="118" t="s">
        <v>737</v>
      </c>
      <c r="D107" s="85" t="s">
        <v>1883</v>
      </c>
      <c r="E107" s="103">
        <v>9</v>
      </c>
      <c r="F107" s="784" t="s">
        <v>73</v>
      </c>
      <c r="G107" s="82" t="s">
        <v>8</v>
      </c>
      <c r="H107" s="15"/>
      <c r="I107" s="15"/>
      <c r="J107" s="100"/>
      <c r="K107" s="15"/>
      <c r="L107" s="34"/>
      <c r="M107" s="135"/>
      <c r="N107" s="188" t="s">
        <v>1820</v>
      </c>
      <c r="O107" s="102" t="s">
        <v>1886</v>
      </c>
      <c r="P107" s="82">
        <v>1</v>
      </c>
      <c r="Q107" s="104" t="s">
        <v>728</v>
      </c>
      <c r="R107"/>
      <c r="S107"/>
    </row>
    <row r="108" spans="1:19" s="1" customFormat="1" ht="41.45" customHeight="1" x14ac:dyDescent="0.2">
      <c r="A108" s="77">
        <v>1</v>
      </c>
      <c r="B108" s="118"/>
      <c r="C108" s="118" t="s">
        <v>738</v>
      </c>
      <c r="D108" s="76" t="s">
        <v>734</v>
      </c>
      <c r="E108" s="75">
        <v>2</v>
      </c>
      <c r="F108" s="75" t="s">
        <v>43</v>
      </c>
      <c r="G108" s="82" t="s">
        <v>8</v>
      </c>
      <c r="H108" s="15"/>
      <c r="I108" s="15"/>
      <c r="J108" s="100">
        <f>50-50</f>
        <v>0</v>
      </c>
      <c r="K108" s="38">
        <f>50</f>
        <v>50</v>
      </c>
      <c r="L108" s="34">
        <v>500</v>
      </c>
      <c r="M108" s="135" t="s">
        <v>710</v>
      </c>
      <c r="N108" s="398" t="s">
        <v>735</v>
      </c>
      <c r="O108" s="789" t="s">
        <v>736</v>
      </c>
      <c r="P108" s="82">
        <v>1</v>
      </c>
      <c r="Q108" s="43" t="s">
        <v>640</v>
      </c>
      <c r="R108"/>
      <c r="S108"/>
    </row>
    <row r="109" spans="1:19" s="1" customFormat="1" ht="22.5" x14ac:dyDescent="0.2">
      <c r="A109" s="77">
        <v>1</v>
      </c>
      <c r="B109" s="118"/>
      <c r="C109" s="118" t="s">
        <v>741</v>
      </c>
      <c r="D109" s="76" t="s">
        <v>68</v>
      </c>
      <c r="E109" s="75">
        <v>6</v>
      </c>
      <c r="F109" s="75" t="s">
        <v>69</v>
      </c>
      <c r="G109" s="82" t="s">
        <v>8</v>
      </c>
      <c r="H109" s="15"/>
      <c r="I109" s="15">
        <v>3</v>
      </c>
      <c r="J109" s="100">
        <f>800-83.7</f>
        <v>716.3</v>
      </c>
      <c r="K109" s="15">
        <v>3200</v>
      </c>
      <c r="L109" s="34">
        <v>3200</v>
      </c>
      <c r="M109" s="135" t="s">
        <v>697</v>
      </c>
      <c r="N109" s="119" t="s">
        <v>1899</v>
      </c>
      <c r="O109" s="102" t="s">
        <v>1900</v>
      </c>
      <c r="P109" s="103">
        <v>1</v>
      </c>
      <c r="Q109" s="104" t="s">
        <v>700</v>
      </c>
      <c r="R109"/>
      <c r="S109"/>
    </row>
    <row r="110" spans="1:19" s="1" customFormat="1" ht="21.75" customHeight="1" x14ac:dyDescent="0.2">
      <c r="A110" s="77">
        <v>1</v>
      </c>
      <c r="B110" s="118"/>
      <c r="C110" s="118" t="s">
        <v>1884</v>
      </c>
      <c r="D110" s="76" t="s">
        <v>1912</v>
      </c>
      <c r="E110" s="82" t="s">
        <v>740</v>
      </c>
      <c r="F110" s="75" t="s">
        <v>739</v>
      </c>
      <c r="G110" s="82" t="s">
        <v>8</v>
      </c>
      <c r="H110" s="15"/>
      <c r="I110" s="15"/>
      <c r="J110" s="100">
        <f>500+45-100</f>
        <v>445</v>
      </c>
      <c r="K110" s="15"/>
      <c r="L110" s="34"/>
      <c r="M110" s="135" t="s">
        <v>697</v>
      </c>
      <c r="N110" s="119" t="s">
        <v>1866</v>
      </c>
      <c r="O110" s="102" t="s">
        <v>1867</v>
      </c>
      <c r="P110" s="103">
        <v>100</v>
      </c>
      <c r="Q110" s="104" t="s">
        <v>700</v>
      </c>
      <c r="R110"/>
      <c r="S110"/>
    </row>
    <row r="111" spans="1:19" s="1" customFormat="1" x14ac:dyDescent="0.2">
      <c r="A111" s="77">
        <v>1</v>
      </c>
      <c r="B111" s="118"/>
      <c r="C111" s="118"/>
      <c r="D111" s="76"/>
      <c r="E111" s="103"/>
      <c r="F111" s="77"/>
      <c r="G111" s="105" t="s">
        <v>622</v>
      </c>
      <c r="H111" s="107">
        <v>1559.4</v>
      </c>
      <c r="I111" s="107">
        <f>SUM(I104:I110)</f>
        <v>3</v>
      </c>
      <c r="J111" s="107">
        <f>SUM(J104:J110)</f>
        <v>1201.3</v>
      </c>
      <c r="K111" s="107">
        <f>SUM(K104:K110)</f>
        <v>3350</v>
      </c>
      <c r="L111" s="765">
        <f>SUM(L104:L110)</f>
        <v>5200</v>
      </c>
      <c r="M111" s="135" t="s">
        <v>697</v>
      </c>
      <c r="N111" s="398"/>
      <c r="O111" s="102"/>
      <c r="P111" s="103"/>
      <c r="Q111" s="104" t="s">
        <v>700</v>
      </c>
      <c r="R111"/>
      <c r="S111"/>
    </row>
    <row r="112" spans="1:19" s="1" customFormat="1" x14ac:dyDescent="0.2">
      <c r="A112" s="77">
        <v>1</v>
      </c>
      <c r="B112" s="118"/>
      <c r="C112" s="118" t="s">
        <v>744</v>
      </c>
      <c r="D112" s="1260" t="s">
        <v>70</v>
      </c>
      <c r="E112" s="103">
        <v>9</v>
      </c>
      <c r="F112" s="77" t="s">
        <v>71</v>
      </c>
      <c r="G112" s="82" t="s">
        <v>8</v>
      </c>
      <c r="H112" s="108">
        <v>61.5</v>
      </c>
      <c r="I112" s="15">
        <v>9.8000000000000007</v>
      </c>
      <c r="J112" s="100">
        <v>10</v>
      </c>
      <c r="K112" s="14">
        <v>110</v>
      </c>
      <c r="L112" s="419"/>
      <c r="M112" s="135" t="s">
        <v>697</v>
      </c>
      <c r="N112" s="398" t="s">
        <v>1992</v>
      </c>
      <c r="O112" s="102" t="s">
        <v>742</v>
      </c>
      <c r="P112" s="103">
        <v>1</v>
      </c>
      <c r="Q112" s="104" t="s">
        <v>640</v>
      </c>
      <c r="R112"/>
      <c r="S112"/>
    </row>
    <row r="113" spans="1:19" s="1" customFormat="1" ht="11.25" customHeight="1" x14ac:dyDescent="0.2">
      <c r="A113" s="77">
        <v>1</v>
      </c>
      <c r="B113" s="118"/>
      <c r="C113" s="118"/>
      <c r="D113" s="1261"/>
      <c r="E113" s="103">
        <v>9</v>
      </c>
      <c r="F113" s="77" t="s">
        <v>71</v>
      </c>
      <c r="G113" s="82" t="s">
        <v>598</v>
      </c>
      <c r="H113" s="15"/>
      <c r="I113" s="34"/>
      <c r="J113" s="100">
        <v>171</v>
      </c>
      <c r="K113" s="129">
        <f>(1562.4-171)/2</f>
        <v>695.7</v>
      </c>
      <c r="L113" s="790">
        <f>(1562.4-171)/2</f>
        <v>695.7</v>
      </c>
      <c r="M113" s="135" t="s">
        <v>697</v>
      </c>
      <c r="N113" s="398" t="s">
        <v>1992</v>
      </c>
      <c r="O113" s="102" t="s">
        <v>717</v>
      </c>
      <c r="P113" s="103">
        <v>1</v>
      </c>
      <c r="Q113" s="104" t="s">
        <v>640</v>
      </c>
      <c r="R113"/>
      <c r="S113"/>
    </row>
    <row r="114" spans="1:19" s="1" customFormat="1" ht="11.25" customHeight="1" x14ac:dyDescent="0.2">
      <c r="A114" s="77">
        <v>1</v>
      </c>
      <c r="B114" s="118"/>
      <c r="C114" s="118"/>
      <c r="D114" s="1261"/>
      <c r="E114" s="103">
        <v>9</v>
      </c>
      <c r="F114" s="77" t="s">
        <v>71</v>
      </c>
      <c r="G114" s="82" t="s">
        <v>37</v>
      </c>
      <c r="H114" s="15"/>
      <c r="I114" s="34"/>
      <c r="J114" s="100"/>
      <c r="K114" s="129">
        <f>8838.5/2</f>
        <v>4419.25</v>
      </c>
      <c r="L114" s="790">
        <f>8838.5/2</f>
        <v>4419.25</v>
      </c>
      <c r="M114" s="135" t="s">
        <v>697</v>
      </c>
      <c r="N114" s="398" t="s">
        <v>1992</v>
      </c>
      <c r="O114" s="116" t="s">
        <v>743</v>
      </c>
      <c r="P114" s="103">
        <v>5</v>
      </c>
      <c r="Q114" s="104" t="s">
        <v>640</v>
      </c>
      <c r="R114"/>
      <c r="S114"/>
    </row>
    <row r="115" spans="1:19" s="1" customFormat="1" ht="11.25" customHeight="1" x14ac:dyDescent="0.2">
      <c r="A115" s="77">
        <v>1</v>
      </c>
      <c r="B115" s="118"/>
      <c r="C115" s="118"/>
      <c r="D115" s="1262"/>
      <c r="E115" s="103">
        <v>9</v>
      </c>
      <c r="F115" s="77" t="s">
        <v>71</v>
      </c>
      <c r="G115" s="105" t="s">
        <v>622</v>
      </c>
      <c r="H115" s="107">
        <f>SUM(H112:H114)</f>
        <v>61.5</v>
      </c>
      <c r="I115" s="107">
        <f>SUM(I112:I114)</f>
        <v>9.8000000000000007</v>
      </c>
      <c r="J115" s="791">
        <f t="shared" ref="J115:K115" si="10">SUM(J112:J114)</f>
        <v>181</v>
      </c>
      <c r="K115" s="791">
        <f t="shared" si="10"/>
        <v>5224.95</v>
      </c>
      <c r="L115" s="792">
        <f>SUM(L112:L114)</f>
        <v>5114.95</v>
      </c>
      <c r="M115" s="135" t="s">
        <v>697</v>
      </c>
      <c r="N115" s="398" t="s">
        <v>1992</v>
      </c>
      <c r="O115" s="102"/>
      <c r="P115" s="103"/>
      <c r="Q115" s="104"/>
      <c r="R115"/>
      <c r="S115"/>
    </row>
    <row r="116" spans="1:19" s="1" customFormat="1" ht="24" customHeight="1" x14ac:dyDescent="0.2">
      <c r="A116" s="77">
        <v>1</v>
      </c>
      <c r="B116" s="118"/>
      <c r="C116" s="118" t="s">
        <v>1885</v>
      </c>
      <c r="D116" s="36" t="s">
        <v>2048</v>
      </c>
      <c r="E116" s="247">
        <v>9</v>
      </c>
      <c r="F116" s="64" t="s">
        <v>2049</v>
      </c>
      <c r="G116" s="64" t="s">
        <v>8</v>
      </c>
      <c r="H116" s="107"/>
      <c r="I116" s="107"/>
      <c r="J116" s="100"/>
      <c r="K116" s="791"/>
      <c r="L116" s="792"/>
      <c r="M116" s="135"/>
      <c r="N116" s="838" t="s">
        <v>1992</v>
      </c>
      <c r="O116" s="102" t="s">
        <v>2065</v>
      </c>
      <c r="P116" s="103">
        <v>1</v>
      </c>
      <c r="Q116" s="104" t="s">
        <v>700</v>
      </c>
      <c r="R116"/>
      <c r="S116"/>
    </row>
    <row r="117" spans="1:19" s="1" customFormat="1" ht="11.25" customHeight="1" x14ac:dyDescent="0.2">
      <c r="A117" s="77">
        <v>1</v>
      </c>
      <c r="B117" s="118"/>
      <c r="C117" s="118"/>
      <c r="D117" s="1181"/>
      <c r="E117" s="247">
        <v>9</v>
      </c>
      <c r="F117" s="64" t="s">
        <v>2049</v>
      </c>
      <c r="G117" s="105" t="s">
        <v>622</v>
      </c>
      <c r="H117" s="107"/>
      <c r="I117" s="107"/>
      <c r="J117" s="107"/>
      <c r="K117" s="791"/>
      <c r="L117" s="792"/>
      <c r="M117" s="135"/>
      <c r="N117" s="398"/>
      <c r="O117" s="102"/>
      <c r="P117" s="103"/>
      <c r="Q117" s="104"/>
      <c r="R117"/>
      <c r="S117"/>
    </row>
    <row r="118" spans="1:19" s="1" customFormat="1" ht="12.6" customHeight="1" x14ac:dyDescent="0.2">
      <c r="A118" s="77">
        <v>1</v>
      </c>
      <c r="B118" s="118"/>
      <c r="C118" s="118" t="s">
        <v>2047</v>
      </c>
      <c r="D118" s="795" t="s">
        <v>745</v>
      </c>
      <c r="E118" s="793">
        <v>9</v>
      </c>
      <c r="F118" s="794" t="s">
        <v>746</v>
      </c>
      <c r="G118" s="75"/>
      <c r="H118" s="38"/>
      <c r="I118" s="15"/>
      <c r="J118" s="100"/>
      <c r="K118" s="38"/>
      <c r="L118" s="49"/>
      <c r="M118" s="135"/>
      <c r="N118" s="398"/>
      <c r="O118" s="102"/>
      <c r="P118" s="103"/>
      <c r="Q118" s="104"/>
      <c r="R118"/>
      <c r="S118"/>
    </row>
    <row r="119" spans="1:19" s="1" customFormat="1" ht="21" customHeight="1" x14ac:dyDescent="0.2">
      <c r="A119" s="77">
        <v>1</v>
      </c>
      <c r="B119" s="118"/>
      <c r="C119" s="118"/>
      <c r="D119" s="130" t="s">
        <v>747</v>
      </c>
      <c r="E119" s="793">
        <v>9</v>
      </c>
      <c r="F119" s="794" t="s">
        <v>746</v>
      </c>
      <c r="G119" s="75" t="s">
        <v>8</v>
      </c>
      <c r="H119" s="38"/>
      <c r="I119" s="15"/>
      <c r="J119" s="100"/>
      <c r="K119" s="38">
        <v>150</v>
      </c>
      <c r="L119" s="49"/>
      <c r="M119" s="135" t="s">
        <v>710</v>
      </c>
      <c r="N119" s="398" t="s">
        <v>1823</v>
      </c>
      <c r="O119" s="102" t="s">
        <v>748</v>
      </c>
      <c r="P119" s="103" t="s">
        <v>749</v>
      </c>
      <c r="Q119" s="104" t="s">
        <v>716</v>
      </c>
      <c r="R119"/>
      <c r="S119"/>
    </row>
    <row r="120" spans="1:19" s="1" customFormat="1" ht="12.6" customHeight="1" x14ac:dyDescent="0.2">
      <c r="A120" s="77">
        <v>1</v>
      </c>
      <c r="B120" s="118"/>
      <c r="C120" s="118"/>
      <c r="D120" s="85"/>
      <c r="E120" s="796">
        <v>1</v>
      </c>
      <c r="F120" s="794"/>
      <c r="G120" s="105" t="s">
        <v>622</v>
      </c>
      <c r="H120" s="107"/>
      <c r="I120" s="107">
        <f>SUM(I119:I119)</f>
        <v>0</v>
      </c>
      <c r="J120" s="107">
        <f>SUM(J119:J119)</f>
        <v>0</v>
      </c>
      <c r="K120" s="107">
        <f>SUM(K119:K119)</f>
        <v>150</v>
      </c>
      <c r="L120" s="765">
        <f>SUM(L119:L119)</f>
        <v>0</v>
      </c>
      <c r="M120" s="135"/>
      <c r="N120" s="398"/>
      <c r="O120" s="102"/>
      <c r="P120" s="103"/>
      <c r="Q120" s="104"/>
      <c r="R120"/>
      <c r="S120"/>
    </row>
    <row r="121" spans="1:19" s="1" customFormat="1" ht="12.6" hidden="1" customHeight="1" x14ac:dyDescent="0.2">
      <c r="A121" s="77">
        <v>1</v>
      </c>
      <c r="B121" s="118"/>
      <c r="C121" s="118"/>
      <c r="D121" s="85"/>
      <c r="E121" s="797">
        <v>1</v>
      </c>
      <c r="F121" s="77"/>
      <c r="G121" s="131" t="s">
        <v>495</v>
      </c>
      <c r="H121" s="122"/>
      <c r="I121" s="131" t="e">
        <f>SUM(#REF!,I115,I111,I103,I100,I96,I92,I89,I86,I82,I77,I74,I69,#REF!,#REF!,I66,I64,I60,I58,I56,#REF!,#REF!,I53,I50,I23,I21,I19,#REF!,I15,I12,#REF!,I8,I30,#REF!,#REF!,#REF!,#REF!,#REF!,#REF!,#REF!,#REF!,#REF!,#REF!,#REF!,#REF!,#REF!,#REF!,#REF!,#REF!,#REF!,#REF!,#REF!,I26,#REF!,I32,I120)</f>
        <v>#REF!</v>
      </c>
      <c r="J121" s="131">
        <f>SUM(J115,J111,J103,J100,J96,J92,J89,J86,J82,J77,J74,J69,J66,J64,J60,J58,J56,J53,J50,J23,J21,J19,J15,J12,J8,J30,J26,J32,J120,J36,J38,J117,J42)</f>
        <v>17679.800000000003</v>
      </c>
      <c r="K121" s="131" t="e">
        <f>SUM(#REF!,K115,K111,K103,K100,K96,K92,K89,K86,K82,K77,K74,K69,#REF!,#REF!,K66,K64,K60,K58,K56,#REF!,#REF!,K53,K50,K23,K21,K19,#REF!,K15,K12,#REF!,K8,K30,#REF!,#REF!,#REF!,#REF!,#REF!,#REF!,#REF!,#REF!,#REF!,#REF!,#REF!,#REF!,#REF!,#REF!,#REF!,#REF!,#REF!,#REF!,#REF!,K26,#REF!,K32,K120)</f>
        <v>#REF!</v>
      </c>
      <c r="L121" s="798" t="e">
        <f>SUM(#REF!,L115,L111,L103,L100,L96,L92,L89,L86,L82,L77,L74,L69,#REF!,#REF!,L66,L64,L60,L58,L56,#REF!,#REF!,L53,L50,L23,L21,L19,#REF!,L15,L12,#REF!,L8,L30,#REF!,#REF!,#REF!,#REF!,#REF!,#REF!,#REF!,#REF!,#REF!,#REF!,#REF!,#REF!,#REF!,#REF!,#REF!,#REF!,#REF!,#REF!,#REF!,L26,#REF!,L32,L120)</f>
        <v>#REF!</v>
      </c>
      <c r="M121" s="135"/>
      <c r="N121" s="398"/>
      <c r="O121" s="102"/>
      <c r="P121" s="103"/>
      <c r="Q121" s="104"/>
      <c r="R121"/>
      <c r="S121"/>
    </row>
    <row r="122" spans="1:19" s="1" customFormat="1" ht="12.6" hidden="1" customHeight="1" x14ac:dyDescent="0.2">
      <c r="A122" s="77">
        <v>1</v>
      </c>
      <c r="B122" s="118"/>
      <c r="C122" s="118"/>
      <c r="D122" s="85"/>
      <c r="E122" s="796">
        <v>1</v>
      </c>
      <c r="F122" s="794"/>
      <c r="G122" s="82" t="s">
        <v>8</v>
      </c>
      <c r="H122" s="38"/>
      <c r="I122" s="38" t="e">
        <f>SUM(#REF!,#REF!,#REF!,#REF!,#REF!,#REF!,#REF!,#REF!,#REF!,#REF!,#REF!,#REF!,#REF!,#REF!,#REF!,#REF!,#REF!,#REF!,#REF!,I7,#REF!,I10,I13,#REF!,#REF!,I14,#REF!,#REF!,#REF!,#REF!,#REF!,#REF!,#REF!,#REF!,#REF!,I16,I20,I44,I52,#REF!,#REF!,I57,I59,I61,I65,#REF!,I68,I72,#REF!,#REF!,#REF!,#REF!,#REF!,#REF!,#REF!,#REF!,#REF!,#REF!,#REF!,#REF!,#REF!,#REF!,#REF!,#REF!,#REF!,#REF!,#REF!,#REF!,#REF!,#REF!,#REF!,I76,I79,I83,I87,I90,I93,I97,I102,#REF!,I104,#REF!,#REF!,I105,I108,I109:I109,I112,#REF!,#REF!,#REF!,#REF!,I31,I119,#REF!,#REF!,I55,I110)</f>
        <v>#REF!</v>
      </c>
      <c r="J122" s="38">
        <f>SUM(J7,J10,J13,J14,J16,J20,J44,J52,J57,J59,J61,J65,J68,J72,J76,J79,J83,J87,J90,J93,J97,J102,J104,J105,J108,J109:J109,J112,J31,J119,J55,J110,J35,J29,J116,J39)</f>
        <v>8854.0999999999985</v>
      </c>
      <c r="K122" s="38" t="e">
        <f>SUM(#REF!,#REF!,#REF!,#REF!,#REF!,#REF!,#REF!,#REF!,#REF!,#REF!,#REF!,#REF!,#REF!,#REF!,#REF!,#REF!,#REF!,#REF!,#REF!,K7,#REF!,K10,K13,#REF!,#REF!,K14,#REF!,#REF!,#REF!,#REF!,#REF!,#REF!,#REF!,#REF!,#REF!,K16,K20,K44,K52,#REF!,#REF!,K57,K59,K61,K65,#REF!,K68,K72,#REF!,#REF!,#REF!,#REF!,#REF!,#REF!,#REF!,#REF!,#REF!,#REF!,#REF!,#REF!,#REF!,#REF!,#REF!,#REF!,#REF!,#REF!,#REF!,#REF!,#REF!,#REF!,#REF!,K76,K79,K83,K87,K90,K93,K97,K102,#REF!,K104,#REF!,#REF!,K105,K108,K109:K109,K112,#REF!,#REF!,#REF!,#REF!,K31,K119,#REF!,#REF!,K55,K110)</f>
        <v>#REF!</v>
      </c>
      <c r="L122" s="49" t="e">
        <f>SUM(#REF!,#REF!,#REF!,#REF!,#REF!,#REF!,#REF!,#REF!,#REF!,#REF!,#REF!,#REF!,#REF!,#REF!,#REF!,#REF!,#REF!,#REF!,#REF!,L7,#REF!,L10,L13,#REF!,#REF!,L14,#REF!,#REF!,#REF!,#REF!,#REF!,#REF!,#REF!,#REF!,#REF!,L16,L20,L44,L52,#REF!,#REF!,L57,L59,L61,L65,#REF!,L68,L72,#REF!,#REF!,#REF!,#REF!,#REF!,#REF!,#REF!,#REF!,#REF!,#REF!,#REF!,#REF!,#REF!,#REF!,#REF!,#REF!,#REF!,#REF!,#REF!,#REF!,#REF!,#REF!,#REF!,L76,L79,L83,L87,L90,L93,L97,L102,#REF!,L104,#REF!,#REF!,L105,L108,L109:L109,L112,#REF!,#REF!,#REF!,#REF!,L31,L119,#REF!,#REF!,L55,L110)</f>
        <v>#REF!</v>
      </c>
      <c r="M122" s="135"/>
      <c r="N122" s="398"/>
      <c r="O122" s="102"/>
      <c r="P122" s="103"/>
      <c r="Q122" s="104"/>
      <c r="R122"/>
      <c r="S122"/>
    </row>
    <row r="123" spans="1:19" s="1" customFormat="1" ht="12.6" hidden="1" customHeight="1" x14ac:dyDescent="0.2">
      <c r="A123" s="77">
        <v>1</v>
      </c>
      <c r="B123" s="118"/>
      <c r="C123" s="118"/>
      <c r="D123" s="85"/>
      <c r="E123" s="797">
        <v>1</v>
      </c>
      <c r="F123" s="794"/>
      <c r="G123" s="75" t="s">
        <v>10</v>
      </c>
      <c r="H123" s="38"/>
      <c r="I123" s="38" t="e">
        <f>SUM(#REF!,#REF!,#REF!,I54,#REF!,#REF!,I46,#REF!,#REF!,I22,#REF!,,I28,#REF!,#REF!,#REF!,#REF!,#REF!,#REF!,#REF!,#REF!,#REF!,#REF!,#REF!,#REF!,#REF!,#REF!,#REF!,#REF!,#REF!,#REF!,#REF!,I84,#REF!)</f>
        <v>#REF!</v>
      </c>
      <c r="J123" s="38">
        <f>SUM(J54,J46,J22,J28,J84,J73)</f>
        <v>852.3</v>
      </c>
      <c r="K123" s="38" t="e">
        <f>SUM(#REF!,#REF!,#REF!,K54,#REF!,#REF!,K46,#REF!,#REF!,K22,#REF!,,K28,#REF!,#REF!,#REF!,#REF!,#REF!,#REF!,#REF!,#REF!,#REF!,#REF!,#REF!,#REF!,#REF!,#REF!,#REF!,#REF!,#REF!,#REF!,#REF!,K84,#REF!,K73)</f>
        <v>#REF!</v>
      </c>
      <c r="L123" s="49" t="e">
        <f>SUM(#REF!,#REF!,#REF!,L54,#REF!,#REF!,L46,#REF!,#REF!,L22,#REF!,,L28,#REF!,#REF!,#REF!,#REF!,#REF!,#REF!,#REF!,#REF!,#REF!,#REF!,#REF!,#REF!,#REF!,#REF!,#REF!,#REF!,#REF!,#REF!,#REF!,L84,#REF!,L73)</f>
        <v>#REF!</v>
      </c>
      <c r="M123" s="135"/>
      <c r="N123" s="398"/>
      <c r="O123" s="102"/>
      <c r="P123" s="103"/>
      <c r="Q123" s="104"/>
      <c r="R123"/>
      <c r="S123"/>
    </row>
    <row r="124" spans="1:19" s="1" customFormat="1" ht="12.6" hidden="1" customHeight="1" x14ac:dyDescent="0.2">
      <c r="A124" s="77">
        <v>1</v>
      </c>
      <c r="B124" s="118"/>
      <c r="C124" s="118"/>
      <c r="D124" s="85"/>
      <c r="E124" s="796">
        <v>1</v>
      </c>
      <c r="F124" s="794"/>
      <c r="G124" s="75" t="s">
        <v>37</v>
      </c>
      <c r="H124" s="38"/>
      <c r="I124" s="38" t="e">
        <f>SUM(I114,I99,I95,I88,I81,#REF!,I62,I9,#REF!,I24)</f>
        <v>#REF!</v>
      </c>
      <c r="J124" s="38">
        <f>SUM(J114,J99,J95,J88,J81,J62,J9,J24,J33,J40)</f>
        <v>3674.0249999999996</v>
      </c>
      <c r="K124" s="38" t="e">
        <f>SUM(K114,K99,K95,K88,K81,#REF!,K62,K9,#REF!,K24)</f>
        <v>#REF!</v>
      </c>
      <c r="L124" s="49" t="e">
        <f>SUM(L114,L99,L95,L88,L81,#REF!,L62,L9,#REF!,L24)</f>
        <v>#REF!</v>
      </c>
      <c r="M124" s="135"/>
      <c r="N124" s="398"/>
      <c r="O124" s="102"/>
      <c r="P124" s="103"/>
      <c r="Q124" s="104"/>
      <c r="R124"/>
      <c r="S124"/>
    </row>
    <row r="125" spans="1:19" s="1" customFormat="1" ht="12.6" hidden="1" customHeight="1" x14ac:dyDescent="0.2">
      <c r="A125" s="77">
        <v>1</v>
      </c>
      <c r="B125" s="118"/>
      <c r="C125" s="118"/>
      <c r="D125" s="85"/>
      <c r="E125" s="797">
        <v>1</v>
      </c>
      <c r="F125" s="794"/>
      <c r="G125" s="75" t="s">
        <v>38</v>
      </c>
      <c r="H125" s="38"/>
      <c r="I125" s="38" t="e">
        <f>SUM(I63,I11,#REF!,I25,)</f>
        <v>#REF!</v>
      </c>
      <c r="J125" s="38">
        <f>SUM(J63,J11,J25,J34,J37,J41)</f>
        <v>349.29999999999995</v>
      </c>
      <c r="K125" s="38" t="e">
        <f>SUM(K63,K11,#REF!,K25,)</f>
        <v>#REF!</v>
      </c>
      <c r="L125" s="49" t="e">
        <f>SUM(L63,L11,#REF!,L25,)</f>
        <v>#REF!</v>
      </c>
      <c r="M125" s="135"/>
      <c r="N125" s="398"/>
      <c r="O125" s="102"/>
      <c r="P125" s="103"/>
      <c r="Q125" s="104"/>
      <c r="R125"/>
      <c r="S125"/>
    </row>
    <row r="126" spans="1:19" s="1" customFormat="1" ht="12.6" hidden="1" customHeight="1" x14ac:dyDescent="0.2">
      <c r="A126" s="77">
        <v>1</v>
      </c>
      <c r="B126" s="118"/>
      <c r="C126" s="118"/>
      <c r="D126" s="85"/>
      <c r="E126" s="796">
        <v>1</v>
      </c>
      <c r="F126" s="794"/>
      <c r="G126" s="75" t="s">
        <v>7</v>
      </c>
      <c r="H126" s="38"/>
      <c r="I126" s="38" t="e">
        <f>SUM(#REF!,#REF!,I48,#REF!,I27,#REF!,#REF!,#REF!,#REF!,#REF!,#REF!,#REF!,#REF!,#REF!,#REF!,#REF!,#REF!,#REF!,#REF!,#REF!,#REF!,#REF!,#REF!,#REF!,#REF!)</f>
        <v>#REF!</v>
      </c>
      <c r="J126" s="38">
        <f>SUM(J48,J27)</f>
        <v>3298.3</v>
      </c>
      <c r="K126" s="38" t="e">
        <f>SUM(#REF!,#REF!,K48,#REF!,K27,#REF!,#REF!,#REF!,#REF!,#REF!,#REF!,#REF!,#REF!,#REF!,#REF!,#REF!,#REF!,#REF!,#REF!,#REF!,#REF!,#REF!,#REF!,#REF!,#REF!)</f>
        <v>#REF!</v>
      </c>
      <c r="L126" s="49" t="e">
        <f>SUM(#REF!,#REF!,L48,#REF!,L27,#REF!,#REF!,#REF!,#REF!,#REF!,#REF!,#REF!,#REF!,#REF!,#REF!,#REF!,#REF!,#REF!,#REF!,#REF!,#REF!,#REF!,#REF!,#REF!,#REF!)</f>
        <v>#REF!</v>
      </c>
      <c r="M126" s="135"/>
      <c r="N126" s="398"/>
      <c r="O126" s="102"/>
      <c r="P126" s="103"/>
      <c r="Q126" s="104"/>
      <c r="R126"/>
      <c r="S126"/>
    </row>
    <row r="127" spans="1:19" s="1" customFormat="1" ht="12.6" hidden="1" customHeight="1" x14ac:dyDescent="0.2">
      <c r="A127" s="77">
        <v>1</v>
      </c>
      <c r="B127" s="118"/>
      <c r="C127" s="118"/>
      <c r="D127" s="85"/>
      <c r="E127" s="797">
        <v>1</v>
      </c>
      <c r="F127" s="794"/>
      <c r="G127" s="75" t="s">
        <v>11</v>
      </c>
      <c r="H127" s="38"/>
      <c r="I127" s="38" t="e">
        <f>SUM(#REF!,#REF!,#REF!,#REF!,#REF!,#REF!,#REF!,#REF!,#REF!,#REF!,#REF!,#REF!,#REF!,#REF!,#REF!,#REF!,#REF!,#REF!,#REF!,#REF!,#REF!,#REF!,#REF!)</f>
        <v>#REF!</v>
      </c>
      <c r="J127" s="38"/>
      <c r="K127" s="38" t="e">
        <f>SUM(#REF!,#REF!,#REF!,#REF!,#REF!,#REF!,#REF!,#REF!,#REF!,#REF!,#REF!,#REF!,#REF!,#REF!,#REF!,#REF!,#REF!,#REF!,#REF!,#REF!,#REF!,#REF!,#REF!)</f>
        <v>#REF!</v>
      </c>
      <c r="L127" s="49" t="e">
        <f>SUM(#REF!,#REF!,#REF!,#REF!,#REF!,#REF!,#REF!,#REF!,#REF!,#REF!,#REF!,#REF!,#REF!,#REF!,#REF!,#REF!,#REF!,#REF!,#REF!,#REF!,#REF!,#REF!,#REF!)</f>
        <v>#REF!</v>
      </c>
      <c r="M127" s="135"/>
      <c r="N127" s="398"/>
      <c r="O127" s="102"/>
      <c r="P127" s="103"/>
      <c r="Q127" s="104"/>
      <c r="R127"/>
      <c r="S127"/>
    </row>
    <row r="128" spans="1:19" s="1" customFormat="1" ht="12.6" hidden="1" customHeight="1" x14ac:dyDescent="0.2">
      <c r="A128" s="77">
        <v>1</v>
      </c>
      <c r="B128" s="118"/>
      <c r="C128" s="118"/>
      <c r="D128" s="85"/>
      <c r="E128" s="796">
        <v>1</v>
      </c>
      <c r="F128" s="794"/>
      <c r="G128" s="75" t="s">
        <v>9</v>
      </c>
      <c r="H128" s="38"/>
      <c r="I128" s="38"/>
      <c r="J128" s="38"/>
      <c r="K128" s="38"/>
      <c r="L128" s="49"/>
      <c r="M128" s="135"/>
      <c r="N128" s="398"/>
      <c r="O128" s="102"/>
      <c r="P128" s="103"/>
      <c r="Q128" s="104"/>
      <c r="R128"/>
      <c r="S128"/>
    </row>
    <row r="129" spans="1:19" s="1" customFormat="1" ht="12.6" hidden="1" customHeight="1" x14ac:dyDescent="0.2">
      <c r="A129" s="77">
        <v>1</v>
      </c>
      <c r="B129" s="118"/>
      <c r="C129" s="118"/>
      <c r="D129" s="85"/>
      <c r="E129" s="797">
        <v>1</v>
      </c>
      <c r="F129" s="794"/>
      <c r="G129" s="75" t="s">
        <v>40</v>
      </c>
      <c r="H129" s="38"/>
      <c r="I129" s="38">
        <f>SUM(I101,I91)</f>
        <v>0</v>
      </c>
      <c r="J129" s="38">
        <f>SUM(J101,J91)</f>
        <v>0</v>
      </c>
      <c r="K129" s="38">
        <f>SUM(K101,K91)</f>
        <v>0</v>
      </c>
      <c r="L129" s="49">
        <f>SUM(L101,L91)</f>
        <v>3000</v>
      </c>
      <c r="M129" s="135"/>
      <c r="N129" s="398"/>
      <c r="O129" s="102"/>
      <c r="P129" s="103"/>
      <c r="Q129" s="104"/>
      <c r="R129"/>
      <c r="S129"/>
    </row>
    <row r="130" spans="1:19" s="1" customFormat="1" ht="12.6" hidden="1" customHeight="1" x14ac:dyDescent="0.2">
      <c r="A130" s="77">
        <v>1</v>
      </c>
      <c r="B130" s="118"/>
      <c r="C130" s="118"/>
      <c r="D130" s="85"/>
      <c r="E130" s="796">
        <v>1</v>
      </c>
      <c r="F130" s="794"/>
      <c r="G130" s="75" t="s">
        <v>598</v>
      </c>
      <c r="H130" s="38"/>
      <c r="I130" s="38">
        <f>I113+I98+I94+I80</f>
        <v>0</v>
      </c>
      <c r="J130" s="38">
        <f>J113+J98+J94+J80</f>
        <v>642.57500000000005</v>
      </c>
      <c r="K130" s="38">
        <f>K113+K98+K94+K80</f>
        <v>1529.7249999999999</v>
      </c>
      <c r="L130" s="49">
        <f>L113+L98+L94+L80</f>
        <v>802.30000000000007</v>
      </c>
      <c r="M130" s="135"/>
      <c r="N130" s="398"/>
      <c r="O130" s="102"/>
      <c r="P130" s="103"/>
      <c r="Q130" s="104"/>
      <c r="R130"/>
      <c r="S130"/>
    </row>
    <row r="131" spans="1:19" s="1" customFormat="1" ht="12.6" hidden="1" customHeight="1" x14ac:dyDescent="0.2">
      <c r="A131" s="77">
        <v>1</v>
      </c>
      <c r="B131" s="118"/>
      <c r="C131" s="118"/>
      <c r="D131" s="85"/>
      <c r="E131" s="797">
        <v>1</v>
      </c>
      <c r="F131" s="794"/>
      <c r="G131" s="82" t="s">
        <v>74</v>
      </c>
      <c r="H131" s="38"/>
      <c r="I131" s="38"/>
      <c r="J131" s="38"/>
      <c r="K131" s="38"/>
      <c r="L131" s="49"/>
      <c r="M131" s="135"/>
      <c r="N131" s="398"/>
      <c r="O131" s="102"/>
      <c r="P131" s="103"/>
      <c r="Q131" s="104"/>
      <c r="R131"/>
      <c r="S131"/>
    </row>
    <row r="132" spans="1:19" s="1" customFormat="1" ht="12.6" hidden="1" customHeight="1" x14ac:dyDescent="0.2">
      <c r="A132" s="77">
        <v>1</v>
      </c>
      <c r="B132" s="118"/>
      <c r="C132" s="118"/>
      <c r="D132" s="85"/>
      <c r="E132" s="796">
        <v>1</v>
      </c>
      <c r="F132" s="794"/>
      <c r="G132" s="75" t="s">
        <v>621</v>
      </c>
      <c r="H132" s="38"/>
      <c r="I132" s="38" t="e">
        <f>#REF!+#REF!+#REF!+#REF!+#REF!+#REF!+#REF!+#REF!+#REF!+#REF!+#REF!+#REF!+#REF!+#REF!+#REF!+#REF!+#REF!+#REF!+#REF!+I45+#REF!+#REF!</f>
        <v>#REF!</v>
      </c>
      <c r="J132" s="38">
        <f>J45</f>
        <v>0</v>
      </c>
      <c r="K132" s="38" t="e">
        <f>#REF!+#REF!+#REF!+#REF!+#REF!+#REF!+#REF!+#REF!+#REF!+#REF!+#REF!+#REF!+#REF!+#REF!+#REF!+#REF!+#REF!+#REF!+#REF!+K45+#REF!</f>
        <v>#REF!</v>
      </c>
      <c r="L132" s="49" t="e">
        <f>#REF!+#REF!+#REF!+#REF!+#REF!+#REF!+#REF!+#REF!+#REF!+#REF!+#REF!+#REF!+#REF!+#REF!+#REF!+#REF!+#REF!+#REF!+#REF!+L45+#REF!</f>
        <v>#REF!</v>
      </c>
      <c r="M132" s="135"/>
      <c r="N132" s="398"/>
      <c r="O132" s="102"/>
      <c r="P132" s="103"/>
      <c r="Q132" s="104"/>
      <c r="R132"/>
      <c r="S132"/>
    </row>
    <row r="133" spans="1:19" s="1" customFormat="1" ht="12.6" hidden="1" customHeight="1" x14ac:dyDescent="0.2">
      <c r="A133" s="77">
        <v>1</v>
      </c>
      <c r="B133" s="118"/>
      <c r="C133" s="118"/>
      <c r="D133" s="85"/>
      <c r="E133" s="797">
        <v>1</v>
      </c>
      <c r="F133" s="794"/>
      <c r="G133" s="75" t="s">
        <v>496</v>
      </c>
      <c r="H133" s="38"/>
      <c r="I133" s="38" t="e">
        <f>SUM(#REF!,#REF!,#REF!,#REF!,#REF!,#REF!,#REF!,#REF!,#REF!,#REF!,#REF!,#REF!,#REF!,#REF!,#REF!,#REF!,#REF!,)</f>
        <v>#REF!</v>
      </c>
      <c r="J133" s="38">
        <f>SUM(J49)</f>
        <v>9.1999999999999993</v>
      </c>
      <c r="K133" s="38" t="e">
        <f>SUM(#REF!,#REF!,#REF!,#REF!,#REF!,#REF!,#REF!,#REF!,#REF!,#REF!,#REF!,#REF!,#REF!,#REF!,#REF!,#REF!,#REF!,)</f>
        <v>#REF!</v>
      </c>
      <c r="L133" s="49" t="e">
        <f>SUM(#REF!,#REF!,#REF!,#REF!,#REF!,#REF!,#REF!,#REF!,#REF!,#REF!,#REF!,#REF!,#REF!,#REF!,#REF!,#REF!,#REF!,)</f>
        <v>#REF!</v>
      </c>
      <c r="M133" s="135"/>
      <c r="N133" s="398"/>
      <c r="O133" s="102"/>
      <c r="P133" s="103"/>
      <c r="Q133" s="104"/>
      <c r="R133"/>
      <c r="S133"/>
    </row>
    <row r="134" spans="1:19" s="1" customFormat="1" ht="12.6" hidden="1" customHeight="1" x14ac:dyDescent="0.2">
      <c r="A134" s="77">
        <v>1</v>
      </c>
      <c r="B134" s="118"/>
      <c r="C134" s="118"/>
      <c r="D134" s="85"/>
      <c r="E134" s="796">
        <v>1</v>
      </c>
      <c r="F134" s="794"/>
      <c r="G134" s="75" t="s">
        <v>599</v>
      </c>
      <c r="H134" s="38"/>
      <c r="I134" s="38" t="e">
        <f>SUM(#REF!,#REF!,#REF!,#REF!,#REF!,#REF!,#REF!,#REF!,#REF!,#REF!,#REF!,#REF!,#REF!,#REF!,#REF!,#REF!,#REF!,#REF!,#REF!,)</f>
        <v>#REF!</v>
      </c>
      <c r="J134" s="38"/>
      <c r="K134" s="38" t="e">
        <f>SUM(#REF!,#REF!,#REF!,#REF!,#REF!,#REF!,#REF!,#REF!,#REF!,#REF!,#REF!,#REF!,#REF!,#REF!,#REF!,#REF!,#REF!,#REF!,#REF!,)</f>
        <v>#REF!</v>
      </c>
      <c r="L134" s="49" t="e">
        <f>SUM(#REF!,#REF!,#REF!,#REF!,#REF!,#REF!,#REF!,#REF!,#REF!,#REF!,#REF!,#REF!,#REF!,#REF!,#REF!,#REF!,#REF!,#REF!,#REF!,)</f>
        <v>#REF!</v>
      </c>
      <c r="M134" s="135"/>
      <c r="N134" s="398"/>
      <c r="O134" s="102"/>
      <c r="P134" s="103"/>
      <c r="Q134" s="104"/>
      <c r="R134"/>
      <c r="S134"/>
    </row>
    <row r="135" spans="1:19" s="1" customFormat="1" ht="12.6" hidden="1" customHeight="1" x14ac:dyDescent="0.2">
      <c r="A135" s="77">
        <v>1</v>
      </c>
      <c r="B135" s="118"/>
      <c r="C135" s="118"/>
      <c r="D135" s="85"/>
      <c r="E135" s="797">
        <v>1</v>
      </c>
      <c r="F135" s="794"/>
      <c r="G135" s="82" t="s">
        <v>169</v>
      </c>
      <c r="H135" s="38"/>
      <c r="I135" s="38">
        <f>I85</f>
        <v>2.1</v>
      </c>
      <c r="J135" s="38">
        <f>J85</f>
        <v>0</v>
      </c>
      <c r="K135" s="38">
        <f>K85</f>
        <v>147.9</v>
      </c>
      <c r="L135" s="49">
        <f>L85</f>
        <v>0</v>
      </c>
      <c r="M135" s="135"/>
      <c r="N135" s="398"/>
      <c r="O135" s="102"/>
      <c r="P135" s="103"/>
      <c r="Q135" s="104"/>
      <c r="R135"/>
      <c r="S135"/>
    </row>
    <row r="136" spans="1:19" s="1" customFormat="1" ht="12.6" hidden="1" customHeight="1" x14ac:dyDescent="0.2">
      <c r="A136" s="77">
        <v>1</v>
      </c>
      <c r="B136" s="118"/>
      <c r="C136" s="118"/>
      <c r="D136" s="85"/>
      <c r="E136" s="796">
        <v>1</v>
      </c>
      <c r="F136" s="794"/>
      <c r="G136" s="131" t="s">
        <v>495</v>
      </c>
      <c r="H136" s="122"/>
      <c r="I136" s="131" t="e">
        <f>SUM(I122:I135)</f>
        <v>#REF!</v>
      </c>
      <c r="J136" s="131">
        <f t="shared" ref="J136:L136" si="11">SUM(J122:J135)</f>
        <v>17679.8</v>
      </c>
      <c r="K136" s="131" t="e">
        <f t="shared" si="11"/>
        <v>#REF!</v>
      </c>
      <c r="L136" s="798" t="e">
        <f t="shared" si="11"/>
        <v>#REF!</v>
      </c>
      <c r="M136" s="135"/>
      <c r="N136" s="398"/>
      <c r="O136" s="102"/>
      <c r="P136" s="103"/>
      <c r="Q136" s="104"/>
      <c r="R136"/>
      <c r="S136"/>
    </row>
    <row r="137" spans="1:19" s="1" customFormat="1" ht="12.6" hidden="1" customHeight="1" x14ac:dyDescent="0.2">
      <c r="A137" s="77">
        <v>1</v>
      </c>
      <c r="B137" s="118"/>
      <c r="C137" s="118"/>
      <c r="D137" s="85"/>
      <c r="E137" s="797">
        <v>1</v>
      </c>
      <c r="F137" s="77"/>
      <c r="G137" s="799"/>
      <c r="H137" s="38"/>
      <c r="I137" s="38" t="e">
        <f>I121-I136</f>
        <v>#REF!</v>
      </c>
      <c r="J137" s="38">
        <f>J121-J136</f>
        <v>0</v>
      </c>
      <c r="K137" s="38" t="e">
        <f>K121-K136</f>
        <v>#REF!</v>
      </c>
      <c r="L137" s="49" t="e">
        <f>L121-L136</f>
        <v>#REF!</v>
      </c>
      <c r="M137" s="135"/>
      <c r="N137" s="398"/>
      <c r="O137" s="102"/>
      <c r="P137" s="103"/>
      <c r="Q137" s="104"/>
      <c r="R137"/>
      <c r="S137"/>
    </row>
    <row r="138" spans="1:19" ht="14.45" customHeight="1" x14ac:dyDescent="0.2">
      <c r="A138" s="927"/>
      <c r="B138" s="927"/>
      <c r="C138" s="927"/>
      <c r="D138" s="927" t="s">
        <v>1849</v>
      </c>
      <c r="E138" s="930"/>
      <c r="F138" s="927"/>
      <c r="G138" s="927"/>
      <c r="H138" s="927"/>
      <c r="I138" s="927"/>
      <c r="J138" s="927"/>
      <c r="K138" s="927"/>
      <c r="L138" s="929"/>
      <c r="M138" s="940"/>
      <c r="N138" s="1028"/>
      <c r="O138" s="995"/>
      <c r="P138" s="941"/>
      <c r="Q138" s="941"/>
    </row>
    <row r="139" spans="1:19" ht="22.5" x14ac:dyDescent="0.2">
      <c r="A139" s="64">
        <v>2</v>
      </c>
      <c r="B139" s="95"/>
      <c r="C139" s="95"/>
      <c r="D139" s="96" t="s">
        <v>751</v>
      </c>
      <c r="E139" s="97"/>
      <c r="F139" s="98"/>
      <c r="G139" s="97"/>
      <c r="H139" s="97"/>
      <c r="I139" s="97"/>
      <c r="J139" s="97"/>
      <c r="K139" s="97"/>
      <c r="L139" s="431"/>
      <c r="M139" s="135"/>
      <c r="N139" s="837"/>
      <c r="O139" s="83"/>
      <c r="P139" s="75"/>
      <c r="Q139" s="83"/>
    </row>
    <row r="140" spans="1:19" ht="27" customHeight="1" x14ac:dyDescent="0.2">
      <c r="A140" s="64">
        <v>2</v>
      </c>
      <c r="B140" s="114" t="s">
        <v>752</v>
      </c>
      <c r="C140" s="114" t="s">
        <v>752</v>
      </c>
      <c r="D140" s="447" t="s">
        <v>753</v>
      </c>
      <c r="E140" s="118">
        <v>10</v>
      </c>
      <c r="F140" s="75" t="s">
        <v>75</v>
      </c>
      <c r="G140" s="187" t="s">
        <v>8</v>
      </c>
      <c r="H140" s="7">
        <v>70</v>
      </c>
      <c r="I140" s="15">
        <v>70</v>
      </c>
      <c r="J140" s="100">
        <v>70</v>
      </c>
      <c r="K140" s="124">
        <v>80</v>
      </c>
      <c r="L140" s="800">
        <v>90</v>
      </c>
      <c r="M140" s="135" t="s">
        <v>637</v>
      </c>
      <c r="N140" s="398" t="s">
        <v>1995</v>
      </c>
      <c r="O140" s="132" t="s">
        <v>1901</v>
      </c>
      <c r="P140" s="133" t="s">
        <v>1902</v>
      </c>
      <c r="Q140" s="68"/>
    </row>
    <row r="141" spans="1:19" x14ac:dyDescent="0.2">
      <c r="A141" s="64">
        <v>2</v>
      </c>
      <c r="B141" s="47"/>
      <c r="C141" s="47"/>
      <c r="D141" s="51"/>
      <c r="E141" s="43">
        <v>10</v>
      </c>
      <c r="F141" s="43"/>
      <c r="G141" s="105" t="s">
        <v>495</v>
      </c>
      <c r="H141" s="107">
        <f>SUM(H140)</f>
        <v>70</v>
      </c>
      <c r="I141" s="107">
        <f>SUM(I140)</f>
        <v>70</v>
      </c>
      <c r="J141" s="107">
        <f t="shared" ref="J141:L141" si="12">SUM(J140)</f>
        <v>70</v>
      </c>
      <c r="K141" s="107">
        <f t="shared" si="12"/>
        <v>80</v>
      </c>
      <c r="L141" s="765">
        <f t="shared" si="12"/>
        <v>90</v>
      </c>
      <c r="M141" s="135"/>
      <c r="N141" s="398"/>
      <c r="O141" s="132"/>
      <c r="P141" s="133"/>
      <c r="Q141" s="68"/>
      <c r="R141" s="10"/>
    </row>
    <row r="142" spans="1:19" ht="30" customHeight="1" x14ac:dyDescent="0.2">
      <c r="A142" s="64">
        <v>2</v>
      </c>
      <c r="B142" s="114" t="s">
        <v>754</v>
      </c>
      <c r="C142" s="114" t="s">
        <v>754</v>
      </c>
      <c r="D142" s="134" t="s">
        <v>76</v>
      </c>
      <c r="E142" s="118">
        <v>32</v>
      </c>
      <c r="F142" s="75" t="s">
        <v>77</v>
      </c>
      <c r="G142" s="187" t="s">
        <v>8</v>
      </c>
      <c r="H142" s="7">
        <v>10</v>
      </c>
      <c r="I142" s="15">
        <v>30</v>
      </c>
      <c r="J142" s="100">
        <v>50</v>
      </c>
      <c r="K142" s="7">
        <v>50</v>
      </c>
      <c r="L142" s="801">
        <v>50</v>
      </c>
      <c r="M142" s="135" t="s">
        <v>637</v>
      </c>
      <c r="N142" s="398" t="s">
        <v>1996</v>
      </c>
      <c r="O142" s="119" t="s">
        <v>755</v>
      </c>
      <c r="P142" s="690">
        <v>50</v>
      </c>
      <c r="Q142" s="68"/>
    </row>
    <row r="143" spans="1:19" x14ac:dyDescent="0.2">
      <c r="A143" s="64">
        <v>2</v>
      </c>
      <c r="B143" s="47"/>
      <c r="C143" s="47"/>
      <c r="D143" s="51"/>
      <c r="E143" s="43">
        <v>32</v>
      </c>
      <c r="F143" s="43"/>
      <c r="G143" s="105" t="s">
        <v>495</v>
      </c>
      <c r="H143" s="107">
        <f>SUM(H142)</f>
        <v>10</v>
      </c>
      <c r="I143" s="107">
        <f>SUM(I142)</f>
        <v>30</v>
      </c>
      <c r="J143" s="107">
        <f t="shared" ref="J143:L143" si="13">SUM(J142)</f>
        <v>50</v>
      </c>
      <c r="K143" s="107">
        <f t="shared" si="13"/>
        <v>50</v>
      </c>
      <c r="L143" s="765">
        <f t="shared" si="13"/>
        <v>50</v>
      </c>
      <c r="M143" s="135"/>
      <c r="N143" s="398"/>
      <c r="O143" s="119"/>
      <c r="P143" s="43"/>
      <c r="Q143" s="68"/>
    </row>
    <row r="144" spans="1:19" ht="34.15" customHeight="1" x14ac:dyDescent="0.2">
      <c r="A144" s="64">
        <v>2</v>
      </c>
      <c r="B144" s="95"/>
      <c r="C144" s="95"/>
      <c r="D144" s="96" t="s">
        <v>756</v>
      </c>
      <c r="E144" s="97"/>
      <c r="F144" s="98"/>
      <c r="G144" s="97"/>
      <c r="H144" s="97"/>
      <c r="I144" s="97"/>
      <c r="J144" s="97"/>
      <c r="K144" s="97"/>
      <c r="L144" s="431"/>
      <c r="M144" s="135"/>
      <c r="N144" s="398"/>
      <c r="O144" s="119"/>
      <c r="P144" s="43"/>
      <c r="Q144" s="68"/>
    </row>
    <row r="145" spans="1:17" ht="22.5" x14ac:dyDescent="0.2">
      <c r="A145" s="64">
        <v>2</v>
      </c>
      <c r="B145" s="114" t="s">
        <v>757</v>
      </c>
      <c r="C145" s="114" t="s">
        <v>757</v>
      </c>
      <c r="D145" s="134" t="s">
        <v>78</v>
      </c>
      <c r="E145" s="118"/>
      <c r="F145" s="75"/>
      <c r="G145" s="135"/>
      <c r="H145" s="7"/>
      <c r="I145" s="190" t="e">
        <f>I148+I167+I172</f>
        <v>#REF!</v>
      </c>
      <c r="J145" s="190"/>
      <c r="K145" s="190"/>
      <c r="L145" s="802"/>
      <c r="M145" s="135"/>
      <c r="N145" s="398"/>
      <c r="O145" s="119"/>
      <c r="P145" s="43"/>
      <c r="Q145" s="68"/>
    </row>
    <row r="146" spans="1:17" ht="67.900000000000006" customHeight="1" x14ac:dyDescent="0.2">
      <c r="A146" s="64">
        <v>2</v>
      </c>
      <c r="B146" s="47"/>
      <c r="C146" s="47" t="s">
        <v>758</v>
      </c>
      <c r="D146" s="868" t="s">
        <v>759</v>
      </c>
      <c r="E146" s="43">
        <v>32</v>
      </c>
      <c r="F146" s="43" t="s">
        <v>79</v>
      </c>
      <c r="G146" s="100" t="s">
        <v>10</v>
      </c>
      <c r="H146" s="127">
        <v>240.9</v>
      </c>
      <c r="I146" s="100" t="e">
        <f>SUM(I157,I158,I159,#REF!,#REF!,#REF!,I160,I161,I162,#REF!,#REF!)</f>
        <v>#REF!</v>
      </c>
      <c r="J146" s="100">
        <f>SUM(J157,J158,J159,J160,J161,J162,J163)</f>
        <v>243.3</v>
      </c>
      <c r="K146" s="100" t="e">
        <f>SUM(K157,K158,K159,#REF!,#REF!,#REF!,K160,K161,K162,#REF!,#REF!)</f>
        <v>#REF!</v>
      </c>
      <c r="L146" s="127" t="e">
        <f>SUM(L157,L158,L159,#REF!,#REF!,#REF!,L160,L161,L162,#REF!,#REF!)</f>
        <v>#REF!</v>
      </c>
      <c r="M146" s="135"/>
      <c r="N146" s="398" t="s">
        <v>785</v>
      </c>
      <c r="O146" s="803" t="s">
        <v>760</v>
      </c>
      <c r="P146" s="690">
        <v>35</v>
      </c>
      <c r="Q146" s="68"/>
    </row>
    <row r="147" spans="1:17" ht="19.149999999999999" customHeight="1" x14ac:dyDescent="0.2">
      <c r="A147" s="64">
        <v>2</v>
      </c>
      <c r="B147" s="47"/>
      <c r="C147" s="47" t="s">
        <v>758</v>
      </c>
      <c r="D147" s="51"/>
      <c r="E147" s="43">
        <v>32</v>
      </c>
      <c r="F147" s="43" t="s">
        <v>79</v>
      </c>
      <c r="G147" s="100" t="s">
        <v>8</v>
      </c>
      <c r="H147" s="127">
        <v>70</v>
      </c>
      <c r="I147" s="100">
        <f>SUM(I149:I155)</f>
        <v>24.8</v>
      </c>
      <c r="J147" s="100">
        <f>SUM(J149:J156)</f>
        <v>200</v>
      </c>
      <c r="K147" s="100">
        <f>SUM(K149:K155)</f>
        <v>100</v>
      </c>
      <c r="L147" s="127">
        <f>SUM(L149:L155)</f>
        <v>150</v>
      </c>
      <c r="M147" s="135" t="s">
        <v>637</v>
      </c>
      <c r="N147" s="398"/>
      <c r="O147" s="119"/>
      <c r="P147" s="43"/>
      <c r="Q147" s="68"/>
    </row>
    <row r="148" spans="1:17" x14ac:dyDescent="0.2">
      <c r="A148" s="64">
        <v>2</v>
      </c>
      <c r="B148" s="47"/>
      <c r="C148" s="112"/>
      <c r="D148" s="51"/>
      <c r="E148" s="43"/>
      <c r="F148" s="43" t="s">
        <v>79</v>
      </c>
      <c r="G148" s="105" t="s">
        <v>495</v>
      </c>
      <c r="H148" s="107">
        <f>SUM(H146:H147)</f>
        <v>310.89999999999998</v>
      </c>
      <c r="I148" s="107" t="e">
        <f>I146+I147</f>
        <v>#REF!</v>
      </c>
      <c r="J148" s="107">
        <f t="shared" ref="J148:L148" si="14">J146+J147</f>
        <v>443.3</v>
      </c>
      <c r="K148" s="107" t="e">
        <f t="shared" si="14"/>
        <v>#REF!</v>
      </c>
      <c r="L148" s="765" t="e">
        <f t="shared" si="14"/>
        <v>#REF!</v>
      </c>
      <c r="M148" s="135"/>
      <c r="N148" s="398"/>
      <c r="O148" s="119"/>
      <c r="P148" s="46"/>
      <c r="Q148" s="68"/>
    </row>
    <row r="149" spans="1:17" ht="50.45" customHeight="1" x14ac:dyDescent="0.2">
      <c r="A149" s="64">
        <v>2</v>
      </c>
      <c r="B149" s="47"/>
      <c r="C149" s="448" t="s">
        <v>761</v>
      </c>
      <c r="D149" s="449" t="s">
        <v>762</v>
      </c>
      <c r="E149" s="450">
        <v>32</v>
      </c>
      <c r="F149" s="450" t="s">
        <v>79</v>
      </c>
      <c r="G149" s="452" t="s">
        <v>8</v>
      </c>
      <c r="H149" s="453">
        <v>14.8</v>
      </c>
      <c r="I149" s="892">
        <v>14.8</v>
      </c>
      <c r="J149" s="100">
        <v>17.600000000000001</v>
      </c>
      <c r="K149" s="136"/>
      <c r="L149" s="804"/>
      <c r="M149" s="135" t="s">
        <v>627</v>
      </c>
      <c r="N149" s="805" t="s">
        <v>763</v>
      </c>
      <c r="O149" s="691" t="s">
        <v>764</v>
      </c>
      <c r="P149" s="692">
        <v>3</v>
      </c>
      <c r="Q149" s="137"/>
    </row>
    <row r="150" spans="1:17" ht="33" customHeight="1" x14ac:dyDescent="0.2">
      <c r="A150" s="64">
        <v>2</v>
      </c>
      <c r="B150" s="47"/>
      <c r="C150" s="448" t="s">
        <v>768</v>
      </c>
      <c r="D150" s="1254" t="s">
        <v>769</v>
      </c>
      <c r="E150" s="140">
        <v>32</v>
      </c>
      <c r="F150" s="140" t="s">
        <v>79</v>
      </c>
      <c r="G150" s="323" t="s">
        <v>8</v>
      </c>
      <c r="H150" s="142">
        <v>10</v>
      </c>
      <c r="I150" s="893">
        <v>10</v>
      </c>
      <c r="J150" s="100">
        <f>4.5-1.5</f>
        <v>3</v>
      </c>
      <c r="K150" s="136"/>
      <c r="L150" s="804"/>
      <c r="M150" s="135" t="s">
        <v>627</v>
      </c>
      <c r="N150" s="806" t="s">
        <v>767</v>
      </c>
      <c r="O150" s="691" t="s">
        <v>770</v>
      </c>
      <c r="P150" s="692">
        <v>3</v>
      </c>
      <c r="Q150" s="693"/>
    </row>
    <row r="151" spans="1:17" ht="22.15" customHeight="1" x14ac:dyDescent="0.2">
      <c r="A151" s="64"/>
      <c r="B151" s="66"/>
      <c r="C151" s="454"/>
      <c r="D151" s="1255"/>
      <c r="E151" s="143">
        <v>21</v>
      </c>
      <c r="F151" s="140" t="s">
        <v>2091</v>
      </c>
      <c r="G151" s="323" t="s">
        <v>8</v>
      </c>
      <c r="H151" s="144"/>
      <c r="I151" s="894"/>
      <c r="J151" s="100">
        <v>1.5</v>
      </c>
      <c r="K151" s="145"/>
      <c r="L151" s="807"/>
      <c r="M151" s="135"/>
      <c r="N151" s="1179" t="s">
        <v>581</v>
      </c>
      <c r="O151" s="1205" t="s">
        <v>2043</v>
      </c>
      <c r="P151" s="694">
        <v>1</v>
      </c>
      <c r="Q151" s="445"/>
    </row>
    <row r="152" spans="1:17" ht="52.15" customHeight="1" x14ac:dyDescent="0.2">
      <c r="A152" s="64">
        <v>2</v>
      </c>
      <c r="B152" s="66"/>
      <c r="C152" s="454" t="s">
        <v>771</v>
      </c>
      <c r="D152" s="455" t="s">
        <v>772</v>
      </c>
      <c r="E152" s="143">
        <v>32</v>
      </c>
      <c r="F152" s="143" t="s">
        <v>79</v>
      </c>
      <c r="G152" s="324" t="s">
        <v>8</v>
      </c>
      <c r="H152" s="144"/>
      <c r="I152" s="894">
        <v>0</v>
      </c>
      <c r="J152" s="100">
        <v>15</v>
      </c>
      <c r="K152" s="145">
        <v>100</v>
      </c>
      <c r="L152" s="807">
        <v>150</v>
      </c>
      <c r="M152" s="135" t="s">
        <v>710</v>
      </c>
      <c r="N152" s="808" t="s">
        <v>767</v>
      </c>
      <c r="O152" s="530" t="s">
        <v>711</v>
      </c>
      <c r="P152" s="694">
        <v>1</v>
      </c>
      <c r="Q152" s="445" t="s">
        <v>716</v>
      </c>
    </row>
    <row r="153" spans="1:17" ht="52.15" customHeight="1" x14ac:dyDescent="0.2">
      <c r="A153" s="64">
        <v>2</v>
      </c>
      <c r="B153" s="146"/>
      <c r="C153" s="456" t="s">
        <v>773</v>
      </c>
      <c r="D153" s="147" t="s">
        <v>774</v>
      </c>
      <c r="E153" s="148">
        <v>32</v>
      </c>
      <c r="F153" s="148" t="s">
        <v>765</v>
      </c>
      <c r="G153" s="325" t="s">
        <v>8</v>
      </c>
      <c r="H153" s="149"/>
      <c r="I153" s="895"/>
      <c r="J153" s="150">
        <f>97.9-37.9</f>
        <v>60.000000000000007</v>
      </c>
      <c r="K153" s="152"/>
      <c r="L153" s="810"/>
      <c r="M153" s="135" t="s">
        <v>710</v>
      </c>
      <c r="N153" s="809" t="s">
        <v>767</v>
      </c>
      <c r="O153" s="695" t="s">
        <v>775</v>
      </c>
      <c r="P153" s="959">
        <v>1.5</v>
      </c>
      <c r="Q153" s="696" t="s">
        <v>640</v>
      </c>
    </row>
    <row r="154" spans="1:17" ht="52.15" customHeight="1" x14ac:dyDescent="0.2">
      <c r="A154" s="64">
        <v>2</v>
      </c>
      <c r="B154" s="146"/>
      <c r="C154" s="456" t="s">
        <v>776</v>
      </c>
      <c r="D154" s="147" t="s">
        <v>777</v>
      </c>
      <c r="E154" s="148">
        <v>32</v>
      </c>
      <c r="F154" s="148" t="s">
        <v>765</v>
      </c>
      <c r="G154" s="325" t="s">
        <v>8</v>
      </c>
      <c r="H154" s="149"/>
      <c r="I154" s="895"/>
      <c r="J154" s="150">
        <f>36.6-11.6</f>
        <v>25</v>
      </c>
      <c r="K154" s="152"/>
      <c r="L154" s="810"/>
      <c r="M154" s="135" t="s">
        <v>710</v>
      </c>
      <c r="N154" s="809" t="s">
        <v>767</v>
      </c>
      <c r="O154" s="695" t="s">
        <v>778</v>
      </c>
      <c r="P154" s="959">
        <v>1</v>
      </c>
      <c r="Q154" s="696" t="s">
        <v>720</v>
      </c>
    </row>
    <row r="155" spans="1:17" ht="52.15" customHeight="1" x14ac:dyDescent="0.2">
      <c r="A155" s="64">
        <v>2</v>
      </c>
      <c r="B155" s="146"/>
      <c r="C155" s="456" t="s">
        <v>779</v>
      </c>
      <c r="D155" s="147" t="s">
        <v>780</v>
      </c>
      <c r="E155" s="148">
        <v>32</v>
      </c>
      <c r="F155" s="148" t="s">
        <v>765</v>
      </c>
      <c r="G155" s="325" t="s">
        <v>8</v>
      </c>
      <c r="H155" s="149"/>
      <c r="I155" s="895"/>
      <c r="J155" s="150">
        <f>28.4-8.5</f>
        <v>19.899999999999999</v>
      </c>
      <c r="K155" s="152"/>
      <c r="L155" s="810"/>
      <c r="M155" s="135" t="s">
        <v>710</v>
      </c>
      <c r="N155" s="809" t="s">
        <v>781</v>
      </c>
      <c r="O155" s="695" t="s">
        <v>782</v>
      </c>
      <c r="P155" s="959">
        <v>1</v>
      </c>
      <c r="Q155" s="696" t="s">
        <v>732</v>
      </c>
    </row>
    <row r="156" spans="1:17" ht="20.25" customHeight="1" x14ac:dyDescent="0.2">
      <c r="A156" s="64">
        <v>2</v>
      </c>
      <c r="B156" s="146"/>
      <c r="C156" s="154" t="s">
        <v>783</v>
      </c>
      <c r="D156" s="457" t="s">
        <v>784</v>
      </c>
      <c r="E156" s="155">
        <v>32</v>
      </c>
      <c r="F156" s="155" t="s">
        <v>79</v>
      </c>
      <c r="G156" s="325" t="s">
        <v>8</v>
      </c>
      <c r="H156" s="149"/>
      <c r="I156" s="895"/>
      <c r="J156" s="100">
        <v>58</v>
      </c>
      <c r="K156" s="152"/>
      <c r="L156" s="810"/>
      <c r="M156" s="135"/>
      <c r="N156" s="812" t="s">
        <v>785</v>
      </c>
      <c r="O156" s="695"/>
      <c r="P156" s="959"/>
      <c r="Q156" s="696"/>
    </row>
    <row r="157" spans="1:17" x14ac:dyDescent="0.2">
      <c r="A157" s="64">
        <v>2</v>
      </c>
      <c r="B157" s="153"/>
      <c r="C157" s="154" t="s">
        <v>783</v>
      </c>
      <c r="D157" s="457" t="s">
        <v>784</v>
      </c>
      <c r="E157" s="155">
        <v>32</v>
      </c>
      <c r="F157" s="155" t="s">
        <v>79</v>
      </c>
      <c r="G157" s="156" t="s">
        <v>10</v>
      </c>
      <c r="H157" s="458">
        <v>67.900000000000006</v>
      </c>
      <c r="I157" s="896">
        <v>67.900000000000006</v>
      </c>
      <c r="J157" s="100">
        <v>70</v>
      </c>
      <c r="K157" s="459">
        <f>70</f>
        <v>70</v>
      </c>
      <c r="L157" s="811">
        <f>70</f>
        <v>70</v>
      </c>
      <c r="M157" s="135"/>
      <c r="N157" s="812" t="s">
        <v>785</v>
      </c>
      <c r="O157" s="159" t="s">
        <v>786</v>
      </c>
      <c r="P157" s="697">
        <v>60</v>
      </c>
      <c r="Q157" s="160"/>
    </row>
    <row r="158" spans="1:17" ht="22.5" x14ac:dyDescent="0.2">
      <c r="A158" s="64">
        <v>2</v>
      </c>
      <c r="B158" s="48"/>
      <c r="C158" s="161" t="s">
        <v>787</v>
      </c>
      <c r="D158" s="460" t="s">
        <v>788</v>
      </c>
      <c r="E158" s="78">
        <v>32</v>
      </c>
      <c r="F158" s="78" t="s">
        <v>79</v>
      </c>
      <c r="G158" s="162" t="s">
        <v>10</v>
      </c>
      <c r="H158" s="163">
        <v>10</v>
      </c>
      <c r="I158" s="897">
        <v>10</v>
      </c>
      <c r="J158" s="100">
        <v>5</v>
      </c>
      <c r="K158" s="461">
        <v>5</v>
      </c>
      <c r="L158" s="813">
        <v>5</v>
      </c>
      <c r="M158" s="135"/>
      <c r="N158" s="814" t="s">
        <v>766</v>
      </c>
      <c r="O158" s="72" t="s">
        <v>789</v>
      </c>
      <c r="P158" s="698">
        <v>55</v>
      </c>
      <c r="Q158" s="57"/>
    </row>
    <row r="159" spans="1:17" ht="22.5" x14ac:dyDescent="0.2">
      <c r="A159" s="64">
        <v>2</v>
      </c>
      <c r="B159" s="47"/>
      <c r="C159" s="138" t="s">
        <v>790</v>
      </c>
      <c r="D159" s="462" t="s">
        <v>791</v>
      </c>
      <c r="E159" s="75">
        <v>32</v>
      </c>
      <c r="F159" s="75" t="s">
        <v>79</v>
      </c>
      <c r="G159" s="164" t="s">
        <v>10</v>
      </c>
      <c r="H159" s="165">
        <v>50</v>
      </c>
      <c r="I159" s="898">
        <v>50</v>
      </c>
      <c r="J159" s="100">
        <v>20</v>
      </c>
      <c r="K159" s="463">
        <v>30</v>
      </c>
      <c r="L159" s="815">
        <v>30</v>
      </c>
      <c r="M159" s="135"/>
      <c r="N159" s="805" t="s">
        <v>785</v>
      </c>
      <c r="O159" s="83" t="s">
        <v>792</v>
      </c>
      <c r="P159" s="450">
        <v>22</v>
      </c>
      <c r="Q159" s="68"/>
    </row>
    <row r="160" spans="1:17" ht="22.5" x14ac:dyDescent="0.2">
      <c r="A160" s="64">
        <v>2</v>
      </c>
      <c r="B160" s="47"/>
      <c r="C160" s="164" t="s">
        <v>793</v>
      </c>
      <c r="D160" s="166" t="s">
        <v>794</v>
      </c>
      <c r="E160" s="140">
        <v>32</v>
      </c>
      <c r="F160" s="140" t="s">
        <v>765</v>
      </c>
      <c r="G160" s="164" t="s">
        <v>10</v>
      </c>
      <c r="H160" s="142"/>
      <c r="I160" s="893">
        <v>43</v>
      </c>
      <c r="J160" s="100">
        <v>31.9</v>
      </c>
      <c r="K160" s="167">
        <v>35</v>
      </c>
      <c r="L160" s="816"/>
      <c r="M160" s="432"/>
      <c r="N160" s="805" t="s">
        <v>766</v>
      </c>
      <c r="O160" s="139" t="s">
        <v>795</v>
      </c>
      <c r="P160" s="450">
        <v>1</v>
      </c>
      <c r="Q160" s="68" t="s">
        <v>720</v>
      </c>
    </row>
    <row r="161" spans="1:17" ht="58.9" customHeight="1" x14ac:dyDescent="0.2">
      <c r="A161" s="64">
        <v>2</v>
      </c>
      <c r="B161" s="47"/>
      <c r="C161" s="164" t="s">
        <v>796</v>
      </c>
      <c r="D161" s="166" t="s">
        <v>797</v>
      </c>
      <c r="E161" s="140">
        <v>32</v>
      </c>
      <c r="F161" s="140" t="s">
        <v>79</v>
      </c>
      <c r="G161" s="164" t="s">
        <v>10</v>
      </c>
      <c r="H161" s="142">
        <v>2</v>
      </c>
      <c r="I161" s="893">
        <v>5</v>
      </c>
      <c r="J161" s="100">
        <f>52.8+1.6</f>
        <v>54.4</v>
      </c>
      <c r="K161" s="167">
        <f>36.8+1.6</f>
        <v>38.4</v>
      </c>
      <c r="L161" s="816"/>
      <c r="M161" s="432"/>
      <c r="N161" s="805" t="s">
        <v>785</v>
      </c>
      <c r="O161" s="139" t="s">
        <v>1903</v>
      </c>
      <c r="P161" s="75">
        <v>50</v>
      </c>
      <c r="Q161" s="693" t="s">
        <v>712</v>
      </c>
    </row>
    <row r="162" spans="1:17" ht="61.15" customHeight="1" x14ac:dyDescent="0.2">
      <c r="A162" s="64">
        <v>2</v>
      </c>
      <c r="B162" s="168"/>
      <c r="C162" s="169" t="s">
        <v>798</v>
      </c>
      <c r="D162" s="1252" t="s">
        <v>2040</v>
      </c>
      <c r="E162" s="170">
        <v>32</v>
      </c>
      <c r="F162" s="170" t="s">
        <v>79</v>
      </c>
      <c r="G162" s="169" t="s">
        <v>10</v>
      </c>
      <c r="H162" s="163"/>
      <c r="I162" s="897"/>
      <c r="J162" s="100">
        <f>62-2.2</f>
        <v>59.8</v>
      </c>
      <c r="K162" s="171">
        <v>54.9</v>
      </c>
      <c r="L162" s="817">
        <f>35.8+1.6</f>
        <v>37.4</v>
      </c>
      <c r="M162" s="432"/>
      <c r="N162" s="805" t="s">
        <v>781</v>
      </c>
      <c r="O162" s="139" t="s">
        <v>799</v>
      </c>
      <c r="P162" s="450">
        <v>1.8</v>
      </c>
      <c r="Q162" s="446" t="s">
        <v>800</v>
      </c>
    </row>
    <row r="163" spans="1:17" ht="22.5" x14ac:dyDescent="0.2">
      <c r="A163" s="64"/>
      <c r="B163" s="168"/>
      <c r="C163" s="1176"/>
      <c r="D163" s="1253"/>
      <c r="E163" s="1177">
        <v>20</v>
      </c>
      <c r="F163" s="170" t="s">
        <v>2090</v>
      </c>
      <c r="G163" s="1202" t="s">
        <v>10</v>
      </c>
      <c r="H163" s="163"/>
      <c r="I163" s="897"/>
      <c r="J163" s="100">
        <v>2.2000000000000002</v>
      </c>
      <c r="K163" s="171"/>
      <c r="L163" s="1178"/>
      <c r="M163" s="432"/>
      <c r="N163" s="814" t="s">
        <v>2042</v>
      </c>
      <c r="O163" s="1203" t="s">
        <v>2041</v>
      </c>
      <c r="P163" s="1204">
        <v>1</v>
      </c>
      <c r="Q163" s="446"/>
    </row>
    <row r="164" spans="1:17" ht="40.9" customHeight="1" x14ac:dyDescent="0.2">
      <c r="A164" s="64">
        <v>2</v>
      </c>
      <c r="B164" s="48"/>
      <c r="C164" s="172" t="s">
        <v>801</v>
      </c>
      <c r="D164" s="901" t="s">
        <v>802</v>
      </c>
      <c r="E164" s="173">
        <v>32</v>
      </c>
      <c r="F164" s="173" t="s">
        <v>803</v>
      </c>
      <c r="G164" s="175" t="s">
        <v>37</v>
      </c>
      <c r="H164" s="176"/>
      <c r="I164" s="899">
        <v>47.7</v>
      </c>
      <c r="J164" s="100">
        <v>129.6</v>
      </c>
      <c r="K164" s="176">
        <v>20.3</v>
      </c>
      <c r="L164" s="818"/>
      <c r="M164" s="432"/>
      <c r="N164" s="819" t="s">
        <v>766</v>
      </c>
      <c r="O164" s="699" t="s">
        <v>804</v>
      </c>
      <c r="P164" s="700">
        <v>6</v>
      </c>
      <c r="Q164" s="57" t="s">
        <v>720</v>
      </c>
    </row>
    <row r="165" spans="1:17" ht="12.75" customHeight="1" x14ac:dyDescent="0.2">
      <c r="A165" s="64">
        <v>2</v>
      </c>
      <c r="B165" s="48"/>
      <c r="C165" s="172" t="s">
        <v>801</v>
      </c>
      <c r="D165" s="174"/>
      <c r="E165" s="173">
        <v>32</v>
      </c>
      <c r="F165" s="173" t="s">
        <v>803</v>
      </c>
      <c r="G165" s="175" t="s">
        <v>38</v>
      </c>
      <c r="H165" s="176"/>
      <c r="I165" s="899">
        <v>8.4</v>
      </c>
      <c r="J165" s="100">
        <v>22.9</v>
      </c>
      <c r="K165" s="177">
        <v>3.6</v>
      </c>
      <c r="L165" s="820"/>
      <c r="M165" s="432"/>
      <c r="N165" s="819" t="s">
        <v>766</v>
      </c>
      <c r="O165" s="178"/>
      <c r="P165" s="690"/>
      <c r="Q165" s="57" t="s">
        <v>720</v>
      </c>
    </row>
    <row r="166" spans="1:17" ht="12.75" customHeight="1" x14ac:dyDescent="0.2">
      <c r="A166" s="64">
        <v>2</v>
      </c>
      <c r="B166" s="47"/>
      <c r="C166" s="179" t="s">
        <v>801</v>
      </c>
      <c r="D166" s="180"/>
      <c r="E166" s="181">
        <v>32</v>
      </c>
      <c r="F166" s="181" t="s">
        <v>803</v>
      </c>
      <c r="G166" s="327" t="s">
        <v>8</v>
      </c>
      <c r="H166" s="177"/>
      <c r="I166" s="579">
        <v>86.4</v>
      </c>
      <c r="J166" s="100">
        <v>159.1</v>
      </c>
      <c r="K166" s="177">
        <v>0</v>
      </c>
      <c r="L166" s="820"/>
      <c r="M166" s="432" t="s">
        <v>627</v>
      </c>
      <c r="N166" s="1032" t="s">
        <v>766</v>
      </c>
      <c r="O166" s="178"/>
      <c r="P166" s="43"/>
      <c r="Q166" s="57" t="s">
        <v>720</v>
      </c>
    </row>
    <row r="167" spans="1:17" x14ac:dyDescent="0.2">
      <c r="A167" s="64">
        <v>2</v>
      </c>
      <c r="B167" s="47"/>
      <c r="C167" s="179" t="s">
        <v>801</v>
      </c>
      <c r="D167" s="180"/>
      <c r="E167" s="181">
        <v>32</v>
      </c>
      <c r="F167" s="181" t="s">
        <v>803</v>
      </c>
      <c r="G167" s="182" t="s">
        <v>495</v>
      </c>
      <c r="H167" s="183">
        <f>SUM(H164:H166)</f>
        <v>0</v>
      </c>
      <c r="I167" s="183">
        <f>SUM(I164:I166)</f>
        <v>142.5</v>
      </c>
      <c r="J167" s="183">
        <f>SUM(J164:J166)</f>
        <v>311.60000000000002</v>
      </c>
      <c r="K167" s="183">
        <f t="shared" ref="K167:L167" si="15">SUM(K164:K166)</f>
        <v>23.900000000000002</v>
      </c>
      <c r="L167" s="821">
        <f t="shared" si="15"/>
        <v>0</v>
      </c>
      <c r="M167" s="432"/>
      <c r="N167" s="825"/>
      <c r="O167" s="178"/>
      <c r="P167" s="43"/>
      <c r="Q167" s="68"/>
    </row>
    <row r="168" spans="1:17" ht="30" customHeight="1" x14ac:dyDescent="0.2">
      <c r="A168" s="64">
        <v>2</v>
      </c>
      <c r="B168" s="179"/>
      <c r="C168" s="179" t="s">
        <v>805</v>
      </c>
      <c r="D168" s="901" t="s">
        <v>806</v>
      </c>
      <c r="E168" s="181">
        <v>32</v>
      </c>
      <c r="F168" s="181" t="s">
        <v>807</v>
      </c>
      <c r="G168" s="184" t="s">
        <v>37</v>
      </c>
      <c r="H168" s="185"/>
      <c r="I168" s="185"/>
      <c r="J168" s="100">
        <v>96.2</v>
      </c>
      <c r="K168" s="185">
        <v>158.80000000000001</v>
      </c>
      <c r="L168" s="822"/>
      <c r="M168" s="432"/>
      <c r="N168" s="825" t="s">
        <v>766</v>
      </c>
      <c r="O168" s="178" t="s">
        <v>808</v>
      </c>
      <c r="P168" s="181">
        <v>4</v>
      </c>
      <c r="Q168" s="446" t="s">
        <v>800</v>
      </c>
    </row>
    <row r="169" spans="1:17" ht="12.75" customHeight="1" x14ac:dyDescent="0.2">
      <c r="A169" s="64">
        <v>2</v>
      </c>
      <c r="B169" s="179"/>
      <c r="C169" s="179" t="s">
        <v>805</v>
      </c>
      <c r="D169" s="180"/>
      <c r="E169" s="181">
        <v>32</v>
      </c>
      <c r="F169" s="181" t="s">
        <v>807</v>
      </c>
      <c r="G169" s="184" t="s">
        <v>38</v>
      </c>
      <c r="H169" s="185"/>
      <c r="I169" s="185"/>
      <c r="J169" s="100">
        <v>17</v>
      </c>
      <c r="K169" s="185">
        <v>28</v>
      </c>
      <c r="L169" s="822"/>
      <c r="M169" s="432"/>
      <c r="N169" s="825"/>
      <c r="O169" s="178"/>
      <c r="P169" s="186"/>
      <c r="Q169" s="446" t="s">
        <v>800</v>
      </c>
    </row>
    <row r="170" spans="1:17" ht="12.75" customHeight="1" x14ac:dyDescent="0.2">
      <c r="A170" s="64">
        <v>2</v>
      </c>
      <c r="B170" s="179"/>
      <c r="C170" s="179" t="s">
        <v>805</v>
      </c>
      <c r="D170" s="180"/>
      <c r="E170" s="181">
        <v>32</v>
      </c>
      <c r="F170" s="181" t="s">
        <v>807</v>
      </c>
      <c r="G170" s="184" t="s">
        <v>809</v>
      </c>
      <c r="H170" s="185"/>
      <c r="I170" s="185"/>
      <c r="J170" s="100">
        <v>34.799999999999997</v>
      </c>
      <c r="K170" s="185">
        <v>57.5</v>
      </c>
      <c r="L170" s="822"/>
      <c r="M170" s="432"/>
      <c r="N170" s="825"/>
      <c r="O170" s="178"/>
      <c r="P170" s="186"/>
      <c r="Q170" s="446" t="s">
        <v>800</v>
      </c>
    </row>
    <row r="171" spans="1:17" ht="12.75" customHeight="1" x14ac:dyDescent="0.2">
      <c r="A171" s="64">
        <v>2</v>
      </c>
      <c r="B171" s="179"/>
      <c r="C171" s="179" t="s">
        <v>805</v>
      </c>
      <c r="D171" s="180"/>
      <c r="E171" s="181">
        <v>32</v>
      </c>
      <c r="F171" s="181" t="s">
        <v>807</v>
      </c>
      <c r="G171" s="184" t="s">
        <v>8</v>
      </c>
      <c r="H171" s="185"/>
      <c r="I171" s="185"/>
      <c r="J171" s="100">
        <v>26.1</v>
      </c>
      <c r="K171" s="185">
        <v>43.1</v>
      </c>
      <c r="L171" s="822"/>
      <c r="M171" s="432" t="s">
        <v>627</v>
      </c>
      <c r="N171" s="825"/>
      <c r="O171" s="178"/>
      <c r="P171" s="186"/>
      <c r="Q171" s="446" t="s">
        <v>800</v>
      </c>
    </row>
    <row r="172" spans="1:17" x14ac:dyDescent="0.2">
      <c r="A172" s="64">
        <v>2</v>
      </c>
      <c r="B172" s="179"/>
      <c r="C172" s="179" t="s">
        <v>805</v>
      </c>
      <c r="D172" s="51"/>
      <c r="E172" s="181">
        <v>32</v>
      </c>
      <c r="F172" s="181" t="s">
        <v>807</v>
      </c>
      <c r="G172" s="182" t="s">
        <v>495</v>
      </c>
      <c r="H172" s="107"/>
      <c r="I172" s="107">
        <f>SUM(I168:I171)</f>
        <v>0</v>
      </c>
      <c r="J172" s="107">
        <f t="shared" ref="J172:L172" si="16">SUM(J168:J171)</f>
        <v>174.1</v>
      </c>
      <c r="K172" s="107">
        <f t="shared" si="16"/>
        <v>287.40000000000003</v>
      </c>
      <c r="L172" s="765">
        <f t="shared" si="16"/>
        <v>0</v>
      </c>
      <c r="M172" s="135"/>
      <c r="N172" s="398"/>
      <c r="O172" s="119"/>
      <c r="P172" s="43"/>
      <c r="Q172" s="68"/>
    </row>
    <row r="173" spans="1:17" x14ac:dyDescent="0.2">
      <c r="A173" s="64">
        <v>2</v>
      </c>
      <c r="B173" s="114" t="s">
        <v>810</v>
      </c>
      <c r="C173" s="114" t="s">
        <v>810</v>
      </c>
      <c r="D173" s="134" t="s">
        <v>81</v>
      </c>
      <c r="E173" s="118"/>
      <c r="F173" s="75"/>
      <c r="G173" s="135"/>
      <c r="H173" s="7"/>
      <c r="I173" s="190" t="e">
        <f>I175+I181+#REF!</f>
        <v>#REF!</v>
      </c>
      <c r="J173" s="115"/>
      <c r="K173" s="190"/>
      <c r="L173" s="802"/>
      <c r="M173" s="135"/>
      <c r="N173" s="398"/>
      <c r="O173" s="119"/>
      <c r="P173" s="43"/>
      <c r="Q173" s="68"/>
    </row>
    <row r="174" spans="1:17" ht="45" customHeight="1" x14ac:dyDescent="0.2">
      <c r="A174" s="64">
        <v>2</v>
      </c>
      <c r="B174" s="47"/>
      <c r="C174" s="47" t="s">
        <v>811</v>
      </c>
      <c r="D174" s="868" t="s">
        <v>82</v>
      </c>
      <c r="E174" s="43">
        <v>32</v>
      </c>
      <c r="F174" s="43" t="s">
        <v>83</v>
      </c>
      <c r="G174" s="15" t="s">
        <v>10</v>
      </c>
      <c r="H174" s="38">
        <v>212</v>
      </c>
      <c r="I174" s="15">
        <v>212</v>
      </c>
      <c r="J174" s="100">
        <v>212</v>
      </c>
      <c r="K174" s="15">
        <v>212</v>
      </c>
      <c r="L174" s="34">
        <v>212</v>
      </c>
      <c r="M174" s="135"/>
      <c r="N174" s="398" t="s">
        <v>766</v>
      </c>
      <c r="O174" s="119" t="s">
        <v>812</v>
      </c>
      <c r="P174" s="43">
        <v>100</v>
      </c>
      <c r="Q174" s="68" t="s">
        <v>813</v>
      </c>
    </row>
    <row r="175" spans="1:17" x14ac:dyDescent="0.2">
      <c r="A175" s="64">
        <v>2</v>
      </c>
      <c r="B175" s="47"/>
      <c r="C175" s="47" t="s">
        <v>811</v>
      </c>
      <c r="D175" s="51"/>
      <c r="E175" s="43"/>
      <c r="F175" s="43"/>
      <c r="G175" s="105" t="s">
        <v>495</v>
      </c>
      <c r="H175" s="107">
        <f>SUM(H174)</f>
        <v>212</v>
      </c>
      <c r="I175" s="107">
        <f>I174</f>
        <v>212</v>
      </c>
      <c r="J175" s="107">
        <f t="shared" ref="J175:L175" si="17">J174</f>
        <v>212</v>
      </c>
      <c r="K175" s="107">
        <f t="shared" si="17"/>
        <v>212</v>
      </c>
      <c r="L175" s="765">
        <f t="shared" si="17"/>
        <v>212</v>
      </c>
      <c r="M175" s="135"/>
      <c r="N175" s="398"/>
      <c r="O175" s="119"/>
      <c r="P175" s="43"/>
      <c r="Q175" s="68"/>
    </row>
    <row r="176" spans="1:17" ht="36" customHeight="1" x14ac:dyDescent="0.2">
      <c r="A176" s="64">
        <v>2</v>
      </c>
      <c r="B176" s="47"/>
      <c r="C176" s="47" t="s">
        <v>814</v>
      </c>
      <c r="D176" s="51" t="s">
        <v>815</v>
      </c>
      <c r="E176" s="43">
        <v>32</v>
      </c>
      <c r="F176" s="43" t="s">
        <v>83</v>
      </c>
      <c r="G176" s="43" t="s">
        <v>10</v>
      </c>
      <c r="H176" s="38"/>
      <c r="I176" s="900">
        <v>10</v>
      </c>
      <c r="J176" s="100">
        <v>10</v>
      </c>
      <c r="K176" s="185">
        <v>10</v>
      </c>
      <c r="L176" s="824">
        <v>62</v>
      </c>
      <c r="M176" s="432"/>
      <c r="N176" s="825" t="s">
        <v>766</v>
      </c>
      <c r="O176" s="178" t="s">
        <v>816</v>
      </c>
      <c r="P176" s="690">
        <v>20</v>
      </c>
      <c r="Q176" s="68"/>
    </row>
    <row r="177" spans="1:17" ht="38.450000000000003" customHeight="1" x14ac:dyDescent="0.2">
      <c r="A177" s="64">
        <v>2</v>
      </c>
      <c r="B177" s="47"/>
      <c r="C177" s="47" t="s">
        <v>817</v>
      </c>
      <c r="D177" s="51" t="s">
        <v>818</v>
      </c>
      <c r="E177" s="43">
        <v>32</v>
      </c>
      <c r="F177" s="43" t="s">
        <v>83</v>
      </c>
      <c r="G177" s="43" t="s">
        <v>10</v>
      </c>
      <c r="H177" s="38"/>
      <c r="I177" s="900">
        <v>95</v>
      </c>
      <c r="J177" s="100">
        <v>140</v>
      </c>
      <c r="K177" s="185">
        <v>140</v>
      </c>
      <c r="L177" s="824">
        <v>150</v>
      </c>
      <c r="M177" s="432"/>
      <c r="N177" s="825" t="s">
        <v>766</v>
      </c>
      <c r="O177" s="178" t="s">
        <v>819</v>
      </c>
      <c r="P177" s="43">
        <v>7</v>
      </c>
      <c r="Q177" s="68"/>
    </row>
    <row r="178" spans="1:17" ht="31.15" customHeight="1" x14ac:dyDescent="0.2">
      <c r="A178" s="64">
        <v>2</v>
      </c>
      <c r="B178" s="47"/>
      <c r="C178" s="47" t="s">
        <v>820</v>
      </c>
      <c r="D178" s="451" t="s">
        <v>821</v>
      </c>
      <c r="E178" s="43">
        <v>32</v>
      </c>
      <c r="F178" s="43" t="s">
        <v>83</v>
      </c>
      <c r="G178" s="43" t="s">
        <v>10</v>
      </c>
      <c r="H178" s="38"/>
      <c r="I178" s="900">
        <v>105</v>
      </c>
      <c r="J178" s="100">
        <v>60.5</v>
      </c>
      <c r="K178" s="185">
        <v>60.5</v>
      </c>
      <c r="L178" s="824"/>
      <c r="M178" s="432"/>
      <c r="N178" s="825" t="s">
        <v>766</v>
      </c>
      <c r="O178" s="178" t="s">
        <v>795</v>
      </c>
      <c r="P178" s="690">
        <v>1</v>
      </c>
      <c r="Q178" s="68" t="s">
        <v>720</v>
      </c>
    </row>
    <row r="179" spans="1:17" ht="32.25" customHeight="1" x14ac:dyDescent="0.2">
      <c r="A179" s="64">
        <v>2</v>
      </c>
      <c r="B179" s="47"/>
      <c r="C179" s="47" t="s">
        <v>822</v>
      </c>
      <c r="D179" s="76" t="s">
        <v>823</v>
      </c>
      <c r="E179" s="43">
        <v>32</v>
      </c>
      <c r="F179" s="43" t="s">
        <v>83</v>
      </c>
      <c r="G179" s="43" t="s">
        <v>10</v>
      </c>
      <c r="H179" s="38"/>
      <c r="I179" s="900">
        <v>2</v>
      </c>
      <c r="J179" s="100">
        <v>1.5</v>
      </c>
      <c r="K179" s="185">
        <v>1.5</v>
      </c>
      <c r="L179" s="824"/>
      <c r="M179" s="432"/>
      <c r="N179" s="825" t="s">
        <v>766</v>
      </c>
      <c r="O179" s="178" t="s">
        <v>824</v>
      </c>
      <c r="P179" s="43">
        <v>1</v>
      </c>
      <c r="Q179" s="68" t="s">
        <v>720</v>
      </c>
    </row>
    <row r="180" spans="1:17" ht="26.45" customHeight="1" x14ac:dyDescent="0.2">
      <c r="A180" s="64">
        <v>2</v>
      </c>
      <c r="B180" s="47" t="s">
        <v>810</v>
      </c>
      <c r="C180" s="47" t="s">
        <v>825</v>
      </c>
      <c r="D180" s="868" t="s">
        <v>84</v>
      </c>
      <c r="E180" s="43">
        <v>32</v>
      </c>
      <c r="F180" s="43" t="s">
        <v>85</v>
      </c>
      <c r="G180" s="43" t="s">
        <v>10</v>
      </c>
      <c r="H180" s="38">
        <v>3.5</v>
      </c>
      <c r="I180" s="125">
        <v>3.5</v>
      </c>
      <c r="J180" s="100">
        <v>3.5</v>
      </c>
      <c r="K180" s="185">
        <v>3.5</v>
      </c>
      <c r="L180" s="824">
        <v>3.5</v>
      </c>
      <c r="M180" s="432"/>
      <c r="N180" s="825" t="s">
        <v>785</v>
      </c>
      <c r="O180" s="178" t="s">
        <v>826</v>
      </c>
      <c r="P180" s="43">
        <v>1</v>
      </c>
      <c r="Q180" s="68"/>
    </row>
    <row r="181" spans="1:17" x14ac:dyDescent="0.2">
      <c r="A181" s="64">
        <v>2</v>
      </c>
      <c r="B181" s="47" t="s">
        <v>810</v>
      </c>
      <c r="C181" s="47" t="s">
        <v>825</v>
      </c>
      <c r="D181" s="51"/>
      <c r="E181" s="43"/>
      <c r="F181" s="43" t="s">
        <v>85</v>
      </c>
      <c r="G181" s="105" t="s">
        <v>495</v>
      </c>
      <c r="H181" s="107">
        <f>SUM(H180)</f>
        <v>3.5</v>
      </c>
      <c r="I181" s="107">
        <f>I180</f>
        <v>3.5</v>
      </c>
      <c r="J181" s="107">
        <f t="shared" ref="J181:L181" si="18">J180</f>
        <v>3.5</v>
      </c>
      <c r="K181" s="107">
        <f t="shared" si="18"/>
        <v>3.5</v>
      </c>
      <c r="L181" s="765">
        <f t="shared" si="18"/>
        <v>3.5</v>
      </c>
      <c r="M181" s="135"/>
      <c r="N181" s="398"/>
      <c r="O181" s="119"/>
      <c r="P181" s="43"/>
      <c r="Q181" s="68"/>
    </row>
    <row r="182" spans="1:17" ht="30.6" customHeight="1" x14ac:dyDescent="0.2">
      <c r="A182" s="64">
        <v>2</v>
      </c>
      <c r="B182" s="95"/>
      <c r="C182" s="95"/>
      <c r="D182" s="96" t="s">
        <v>827</v>
      </c>
      <c r="E182" s="97"/>
      <c r="F182" s="98"/>
      <c r="G182" s="97"/>
      <c r="H182" s="97"/>
      <c r="I182" s="97"/>
      <c r="J182" s="97"/>
      <c r="K182" s="97"/>
      <c r="L182" s="431"/>
      <c r="M182" s="135"/>
      <c r="N182" s="398"/>
      <c r="O182" s="119"/>
      <c r="P182" s="43"/>
      <c r="Q182" s="68"/>
    </row>
    <row r="183" spans="1:17" ht="12.75" customHeight="1" x14ac:dyDescent="0.2">
      <c r="A183" s="64">
        <v>2</v>
      </c>
      <c r="B183" s="114" t="s">
        <v>828</v>
      </c>
      <c r="C183" s="114" t="s">
        <v>828</v>
      </c>
      <c r="D183" s="134" t="s">
        <v>829</v>
      </c>
      <c r="E183" s="118"/>
      <c r="F183" s="75"/>
      <c r="G183" s="135"/>
      <c r="H183" s="7"/>
      <c r="I183" s="115" t="e">
        <f>SUM(I185,#REF!,I187,#REF!,#REF!,I192,I196,#REF!,I198,I207,#REF!,I209,I212)</f>
        <v>#REF!</v>
      </c>
      <c r="J183" s="115"/>
      <c r="K183" s="115"/>
      <c r="L183" s="823"/>
      <c r="M183" s="135"/>
      <c r="N183" s="398"/>
      <c r="O183" s="119"/>
      <c r="P183" s="43"/>
      <c r="Q183" s="68"/>
    </row>
    <row r="184" spans="1:17" ht="27" customHeight="1" x14ac:dyDescent="0.2">
      <c r="A184" s="64">
        <v>2</v>
      </c>
      <c r="B184" s="47"/>
      <c r="C184" s="47" t="s">
        <v>830</v>
      </c>
      <c r="D184" s="826" t="s">
        <v>831</v>
      </c>
      <c r="E184" s="43" t="s">
        <v>39</v>
      </c>
      <c r="F184" s="187" t="s">
        <v>832</v>
      </c>
      <c r="G184" s="64" t="s">
        <v>8</v>
      </c>
      <c r="H184" s="38"/>
      <c r="I184" s="15">
        <f>100-100</f>
        <v>0</v>
      </c>
      <c r="J184" s="100">
        <f>212+100-22</f>
        <v>290</v>
      </c>
      <c r="K184" s="15">
        <v>60</v>
      </c>
      <c r="L184" s="34"/>
      <c r="M184" s="135" t="s">
        <v>710</v>
      </c>
      <c r="N184" s="398" t="s">
        <v>1960</v>
      </c>
      <c r="O184" s="178" t="s">
        <v>833</v>
      </c>
      <c r="P184" s="43" t="s">
        <v>834</v>
      </c>
      <c r="Q184" s="68" t="s">
        <v>835</v>
      </c>
    </row>
    <row r="185" spans="1:17" x14ac:dyDescent="0.2">
      <c r="A185" s="64">
        <v>2</v>
      </c>
      <c r="B185" s="47"/>
      <c r="C185" s="47"/>
      <c r="D185" s="51"/>
      <c r="E185" s="43"/>
      <c r="F185" s="187"/>
      <c r="G185" s="105" t="s">
        <v>495</v>
      </c>
      <c r="H185" s="107">
        <f>SUM(H184:H184)</f>
        <v>0</v>
      </c>
      <c r="I185" s="107">
        <f>SUM(I184)</f>
        <v>0</v>
      </c>
      <c r="J185" s="107">
        <f t="shared" ref="J185:L185" si="19">SUM(J184)</f>
        <v>290</v>
      </c>
      <c r="K185" s="107">
        <f t="shared" si="19"/>
        <v>60</v>
      </c>
      <c r="L185" s="765">
        <f t="shared" si="19"/>
        <v>0</v>
      </c>
      <c r="M185" s="135"/>
      <c r="N185" s="398"/>
      <c r="O185" s="119"/>
      <c r="P185" s="43"/>
      <c r="Q185" s="68"/>
    </row>
    <row r="186" spans="1:17" ht="27" customHeight="1" x14ac:dyDescent="0.2">
      <c r="A186" s="64">
        <v>2</v>
      </c>
      <c r="B186" s="47"/>
      <c r="C186" s="47" t="s">
        <v>836</v>
      </c>
      <c r="D186" s="826" t="s">
        <v>87</v>
      </c>
      <c r="E186" s="43" t="s">
        <v>88</v>
      </c>
      <c r="F186" s="187" t="s">
        <v>837</v>
      </c>
      <c r="G186" s="64" t="s">
        <v>8</v>
      </c>
      <c r="H186" s="38"/>
      <c r="I186" s="15">
        <v>32.4</v>
      </c>
      <c r="J186" s="100">
        <v>34.9</v>
      </c>
      <c r="K186" s="15">
        <v>34.9</v>
      </c>
      <c r="L186" s="34">
        <v>34.9</v>
      </c>
      <c r="M186" s="135" t="s">
        <v>637</v>
      </c>
      <c r="N186" s="119" t="s">
        <v>1778</v>
      </c>
      <c r="O186" s="119" t="s">
        <v>1083</v>
      </c>
      <c r="P186" s="43">
        <v>100</v>
      </c>
      <c r="Q186" s="68"/>
    </row>
    <row r="187" spans="1:17" ht="12.75" customHeight="1" x14ac:dyDescent="0.2">
      <c r="A187" s="64">
        <v>2</v>
      </c>
      <c r="B187" s="47"/>
      <c r="C187" s="47"/>
      <c r="D187" s="36"/>
      <c r="E187" s="43"/>
      <c r="F187" s="187"/>
      <c r="G187" s="105" t="s">
        <v>495</v>
      </c>
      <c r="H187" s="107">
        <f>SUM(H186:H186)</f>
        <v>0</v>
      </c>
      <c r="I187" s="107">
        <f>SUM(I186)</f>
        <v>32.4</v>
      </c>
      <c r="J187" s="107">
        <f t="shared" ref="J187:L187" si="20">SUM(J186)</f>
        <v>34.9</v>
      </c>
      <c r="K187" s="107">
        <f t="shared" si="20"/>
        <v>34.9</v>
      </c>
      <c r="L187" s="765">
        <f t="shared" si="20"/>
        <v>34.9</v>
      </c>
      <c r="M187" s="135"/>
      <c r="N187" s="398"/>
      <c r="O187" s="188"/>
      <c r="P187" s="43"/>
      <c r="Q187" s="68"/>
    </row>
    <row r="188" spans="1:17" ht="30.6" customHeight="1" x14ac:dyDescent="0.2">
      <c r="A188" s="64">
        <v>2</v>
      </c>
      <c r="B188" s="47"/>
      <c r="C188" s="47" t="s">
        <v>838</v>
      </c>
      <c r="D188" s="826" t="s">
        <v>839</v>
      </c>
      <c r="E188" s="43" t="s">
        <v>840</v>
      </c>
      <c r="F188" s="43" t="s">
        <v>841</v>
      </c>
      <c r="G188" s="64" t="s">
        <v>8</v>
      </c>
      <c r="H188" s="38"/>
      <c r="I188" s="15">
        <f>50-5-45</f>
        <v>0</v>
      </c>
      <c r="J188" s="100">
        <v>45</v>
      </c>
      <c r="K188" s="38"/>
      <c r="L188" s="49"/>
      <c r="M188" s="135" t="s">
        <v>627</v>
      </c>
      <c r="N188" s="398" t="s">
        <v>579</v>
      </c>
      <c r="O188" s="119" t="s">
        <v>842</v>
      </c>
      <c r="P188" s="43">
        <v>1</v>
      </c>
      <c r="Q188" s="68" t="s">
        <v>732</v>
      </c>
    </row>
    <row r="189" spans="1:17" ht="22.15" customHeight="1" x14ac:dyDescent="0.2">
      <c r="A189" s="64">
        <v>2</v>
      </c>
      <c r="B189" s="47"/>
      <c r="C189" s="47" t="s">
        <v>838</v>
      </c>
      <c r="D189" s="36"/>
      <c r="E189" s="43">
        <v>10</v>
      </c>
      <c r="F189" s="43" t="s">
        <v>841</v>
      </c>
      <c r="G189" s="64" t="s">
        <v>8</v>
      </c>
      <c r="H189" s="38"/>
      <c r="I189" s="15"/>
      <c r="J189" s="100">
        <v>3</v>
      </c>
      <c r="K189" s="38">
        <v>2</v>
      </c>
      <c r="L189" s="49">
        <v>2</v>
      </c>
      <c r="M189" s="135" t="s">
        <v>627</v>
      </c>
      <c r="N189" s="398" t="s">
        <v>1997</v>
      </c>
      <c r="O189" s="119" t="s">
        <v>844</v>
      </c>
      <c r="P189" s="43">
        <v>1</v>
      </c>
      <c r="Q189" s="68" t="s">
        <v>732</v>
      </c>
    </row>
    <row r="190" spans="1:17" ht="12.75" customHeight="1" x14ac:dyDescent="0.2">
      <c r="A190" s="64">
        <v>2</v>
      </c>
      <c r="B190" s="47"/>
      <c r="C190" s="47"/>
      <c r="D190" s="51"/>
      <c r="E190" s="43" t="s">
        <v>840</v>
      </c>
      <c r="F190" s="43" t="s">
        <v>841</v>
      </c>
      <c r="G190" s="43" t="s">
        <v>37</v>
      </c>
      <c r="H190" s="38"/>
      <c r="I190" s="15">
        <f>48.5-48.5</f>
        <v>0</v>
      </c>
      <c r="J190" s="100">
        <v>48.5</v>
      </c>
      <c r="K190" s="38"/>
      <c r="L190" s="49"/>
      <c r="M190" s="135"/>
      <c r="N190" s="398"/>
      <c r="O190" s="119"/>
      <c r="P190" s="43"/>
      <c r="Q190" s="68" t="s">
        <v>732</v>
      </c>
    </row>
    <row r="191" spans="1:17" ht="12.75" customHeight="1" x14ac:dyDescent="0.2">
      <c r="A191" s="64">
        <v>2</v>
      </c>
      <c r="B191" s="47"/>
      <c r="C191" s="47"/>
      <c r="D191" s="62"/>
      <c r="E191" s="43" t="s">
        <v>840</v>
      </c>
      <c r="F191" s="43" t="s">
        <v>841</v>
      </c>
      <c r="G191" s="43" t="s">
        <v>38</v>
      </c>
      <c r="H191" s="38"/>
      <c r="I191" s="15"/>
      <c r="J191" s="100">
        <v>6.1</v>
      </c>
      <c r="K191" s="38"/>
      <c r="L191" s="49"/>
      <c r="M191" s="135"/>
      <c r="N191" s="398"/>
      <c r="O191" s="119"/>
      <c r="P191" s="43"/>
      <c r="Q191" s="68"/>
    </row>
    <row r="192" spans="1:17" x14ac:dyDescent="0.2">
      <c r="A192" s="64">
        <v>2</v>
      </c>
      <c r="B192" s="47"/>
      <c r="C192" s="47"/>
      <c r="D192" s="62"/>
      <c r="E192" s="43"/>
      <c r="F192" s="43"/>
      <c r="G192" s="105" t="s">
        <v>495</v>
      </c>
      <c r="H192" s="107">
        <f>SUM(H190:H190)</f>
        <v>0</v>
      </c>
      <c r="I192" s="107">
        <f>SUM(I188:I190)</f>
        <v>0</v>
      </c>
      <c r="J192" s="107">
        <f>SUM(J188:J191)</f>
        <v>102.6</v>
      </c>
      <c r="K192" s="107">
        <f t="shared" ref="K192:L192" si="21">SUM(K188:K190)</f>
        <v>2</v>
      </c>
      <c r="L192" s="765">
        <f t="shared" si="21"/>
        <v>2</v>
      </c>
      <c r="M192" s="135"/>
      <c r="N192" s="398"/>
      <c r="O192" s="119"/>
      <c r="P192" s="43"/>
      <c r="Q192" s="68"/>
    </row>
    <row r="193" spans="1:17" ht="33.75" customHeight="1" x14ac:dyDescent="0.2">
      <c r="A193" s="64">
        <v>2</v>
      </c>
      <c r="B193" s="47"/>
      <c r="C193" s="47" t="s">
        <v>845</v>
      </c>
      <c r="D193" s="827" t="s">
        <v>846</v>
      </c>
      <c r="E193" s="43" t="s">
        <v>39</v>
      </c>
      <c r="F193" s="43" t="s">
        <v>847</v>
      </c>
      <c r="G193" s="82" t="s">
        <v>598</v>
      </c>
      <c r="H193" s="38"/>
      <c r="I193" s="15"/>
      <c r="J193" s="100">
        <v>200</v>
      </c>
      <c r="K193" s="38">
        <v>200</v>
      </c>
      <c r="L193" s="49"/>
      <c r="M193" s="135" t="s">
        <v>697</v>
      </c>
      <c r="N193" s="838"/>
      <c r="O193" s="188"/>
      <c r="P193" s="64"/>
      <c r="Q193" s="69" t="s">
        <v>720</v>
      </c>
    </row>
    <row r="194" spans="1:17" ht="34.15" customHeight="1" x14ac:dyDescent="0.2">
      <c r="A194" s="64">
        <v>2</v>
      </c>
      <c r="B194" s="47"/>
      <c r="C194" s="47"/>
      <c r="D194" s="828"/>
      <c r="E194" s="43" t="s">
        <v>39</v>
      </c>
      <c r="F194" s="43" t="s">
        <v>847</v>
      </c>
      <c r="G194" s="82" t="s">
        <v>37</v>
      </c>
      <c r="H194" s="38"/>
      <c r="I194" s="15"/>
      <c r="J194" s="100">
        <v>800</v>
      </c>
      <c r="K194" s="38">
        <v>800</v>
      </c>
      <c r="L194" s="49"/>
      <c r="M194" s="135" t="s">
        <v>697</v>
      </c>
      <c r="N194" s="1033" t="s">
        <v>1897</v>
      </c>
      <c r="O194" s="829" t="s">
        <v>849</v>
      </c>
      <c r="P194" s="43" t="s">
        <v>850</v>
      </c>
      <c r="Q194" s="68" t="s">
        <v>720</v>
      </c>
    </row>
    <row r="195" spans="1:17" ht="12.75" customHeight="1" x14ac:dyDescent="0.2">
      <c r="A195" s="64">
        <v>2</v>
      </c>
      <c r="B195" s="47"/>
      <c r="C195" s="47"/>
      <c r="D195" s="830"/>
      <c r="E195" s="43" t="s">
        <v>39</v>
      </c>
      <c r="F195" s="43" t="s">
        <v>847</v>
      </c>
      <c r="G195" s="82" t="s">
        <v>8</v>
      </c>
      <c r="H195" s="38"/>
      <c r="I195" s="125">
        <v>98.5</v>
      </c>
      <c r="J195" s="100">
        <f>20+15.2</f>
        <v>35.200000000000003</v>
      </c>
      <c r="K195" s="15"/>
      <c r="L195" s="34"/>
      <c r="M195" s="135" t="s">
        <v>697</v>
      </c>
      <c r="N195" s="838" t="s">
        <v>1960</v>
      </c>
      <c r="O195" s="119" t="s">
        <v>851</v>
      </c>
      <c r="P195" s="43">
        <v>1</v>
      </c>
      <c r="Q195" s="68" t="s">
        <v>720</v>
      </c>
    </row>
    <row r="196" spans="1:17" x14ac:dyDescent="0.2">
      <c r="A196" s="64">
        <v>2</v>
      </c>
      <c r="B196" s="47"/>
      <c r="C196" s="47"/>
      <c r="D196" s="63"/>
      <c r="E196" s="43"/>
      <c r="F196" s="43"/>
      <c r="G196" s="105" t="s">
        <v>495</v>
      </c>
      <c r="H196" s="107">
        <f>SUM(H195:H195)</f>
        <v>0</v>
      </c>
      <c r="I196" s="107">
        <f>SUM(I193:I195)</f>
        <v>98.5</v>
      </c>
      <c r="J196" s="107">
        <f t="shared" ref="J196:L196" si="22">SUM(J193:J195)</f>
        <v>1035.2</v>
      </c>
      <c r="K196" s="107">
        <f t="shared" si="22"/>
        <v>1000</v>
      </c>
      <c r="L196" s="765">
        <f t="shared" si="22"/>
        <v>0</v>
      </c>
      <c r="M196" s="135" t="s">
        <v>697</v>
      </c>
      <c r="N196" s="398"/>
      <c r="O196" s="119"/>
      <c r="P196" s="43"/>
      <c r="Q196" s="68"/>
    </row>
    <row r="197" spans="1:17" ht="22.5" x14ac:dyDescent="0.2">
      <c r="A197" s="64">
        <v>2</v>
      </c>
      <c r="B197" s="47"/>
      <c r="C197" s="47" t="s">
        <v>852</v>
      </c>
      <c r="D197" s="826" t="s">
        <v>89</v>
      </c>
      <c r="E197" s="43" t="s">
        <v>853</v>
      </c>
      <c r="F197" s="187" t="s">
        <v>854</v>
      </c>
      <c r="G197" s="64" t="s">
        <v>8</v>
      </c>
      <c r="H197" s="38"/>
      <c r="I197" s="15">
        <f>SUM(I199:I204)</f>
        <v>23</v>
      </c>
      <c r="J197" s="100">
        <f>SUM(J199:J204)</f>
        <v>83.7</v>
      </c>
      <c r="K197" s="100">
        <f>SUM(K199:K204)</f>
        <v>0</v>
      </c>
      <c r="L197" s="127">
        <f>SUM(L199:L204)</f>
        <v>0</v>
      </c>
      <c r="M197" s="135" t="s">
        <v>710</v>
      </c>
      <c r="N197" s="1034"/>
      <c r="O197" s="412"/>
      <c r="P197" s="42"/>
      <c r="Q197" s="68"/>
    </row>
    <row r="198" spans="1:17" x14ac:dyDescent="0.2">
      <c r="A198" s="64">
        <v>2</v>
      </c>
      <c r="B198" s="47"/>
      <c r="C198" s="47"/>
      <c r="D198" s="36"/>
      <c r="E198" s="43"/>
      <c r="F198" s="187"/>
      <c r="G198" s="105" t="s">
        <v>495</v>
      </c>
      <c r="H198" s="107">
        <f>SUM(H197:H197)</f>
        <v>0</v>
      </c>
      <c r="I198" s="107">
        <f>SUM(I197)</f>
        <v>23</v>
      </c>
      <c r="J198" s="107">
        <f t="shared" ref="J198:L198" si="23">SUM(J197)</f>
        <v>83.7</v>
      </c>
      <c r="K198" s="107">
        <f t="shared" si="23"/>
        <v>0</v>
      </c>
      <c r="L198" s="765">
        <f t="shared" si="23"/>
        <v>0</v>
      </c>
      <c r="M198" s="135"/>
      <c r="N198" s="398"/>
      <c r="O198" s="191"/>
      <c r="P198" s="43"/>
      <c r="Q198" s="68"/>
    </row>
    <row r="199" spans="1:17" ht="19.5" customHeight="1" x14ac:dyDescent="0.2">
      <c r="A199" s="64">
        <v>2</v>
      </c>
      <c r="B199" s="47"/>
      <c r="C199" s="47"/>
      <c r="D199" s="192" t="s">
        <v>855</v>
      </c>
      <c r="E199" s="43" t="s">
        <v>98</v>
      </c>
      <c r="F199" s="187" t="s">
        <v>854</v>
      </c>
      <c r="G199" s="64" t="s">
        <v>8</v>
      </c>
      <c r="H199" s="38"/>
      <c r="I199" s="15">
        <f>60-60</f>
        <v>0</v>
      </c>
      <c r="J199" s="100">
        <f>60-14.8</f>
        <v>45.2</v>
      </c>
      <c r="K199" s="21"/>
      <c r="L199" s="58"/>
      <c r="M199" s="135"/>
      <c r="N199" s="398" t="s">
        <v>856</v>
      </c>
      <c r="O199" s="84" t="s">
        <v>857</v>
      </c>
      <c r="P199" s="103">
        <v>50</v>
      </c>
      <c r="Q199" s="68" t="s">
        <v>716</v>
      </c>
    </row>
    <row r="200" spans="1:17" ht="18.600000000000001" customHeight="1" x14ac:dyDescent="0.2">
      <c r="A200" s="64">
        <v>2</v>
      </c>
      <c r="B200" s="47"/>
      <c r="C200" s="47"/>
      <c r="D200" s="464" t="s">
        <v>858</v>
      </c>
      <c r="E200" s="43" t="s">
        <v>90</v>
      </c>
      <c r="F200" s="187" t="s">
        <v>854</v>
      </c>
      <c r="G200" s="64" t="s">
        <v>8</v>
      </c>
      <c r="H200" s="38"/>
      <c r="I200" s="15">
        <v>6</v>
      </c>
      <c r="J200" s="100">
        <v>6.5</v>
      </c>
      <c r="K200" s="21"/>
      <c r="L200" s="58"/>
      <c r="M200" s="135"/>
      <c r="N200" s="398" t="s">
        <v>581</v>
      </c>
      <c r="O200" s="119" t="s">
        <v>859</v>
      </c>
      <c r="P200" s="43">
        <v>3</v>
      </c>
      <c r="Q200" s="68" t="s">
        <v>716</v>
      </c>
    </row>
    <row r="201" spans="1:17" ht="12.75" customHeight="1" x14ac:dyDescent="0.2">
      <c r="A201" s="64">
        <v>2</v>
      </c>
      <c r="B201" s="47"/>
      <c r="C201" s="47"/>
      <c r="D201" s="465" t="s">
        <v>860</v>
      </c>
      <c r="E201" s="43" t="s">
        <v>90</v>
      </c>
      <c r="F201" s="187" t="s">
        <v>854</v>
      </c>
      <c r="G201" s="64" t="s">
        <v>8</v>
      </c>
      <c r="H201" s="38"/>
      <c r="I201" s="15">
        <v>11</v>
      </c>
      <c r="J201" s="100">
        <v>14</v>
      </c>
      <c r="K201" s="21"/>
      <c r="L201" s="58"/>
      <c r="M201" s="135"/>
      <c r="N201" s="398" t="s">
        <v>581</v>
      </c>
      <c r="O201" s="191"/>
      <c r="P201" s="43"/>
      <c r="Q201" s="68" t="s">
        <v>716</v>
      </c>
    </row>
    <row r="202" spans="1:17" ht="12.75" customHeight="1" x14ac:dyDescent="0.2">
      <c r="A202" s="64">
        <v>2</v>
      </c>
      <c r="B202" s="47"/>
      <c r="C202" s="47"/>
      <c r="D202" s="464" t="s">
        <v>861</v>
      </c>
      <c r="E202" s="43" t="s">
        <v>90</v>
      </c>
      <c r="F202" s="187" t="s">
        <v>854</v>
      </c>
      <c r="G202" s="64" t="s">
        <v>8</v>
      </c>
      <c r="H202" s="38"/>
      <c r="I202" s="15">
        <v>6</v>
      </c>
      <c r="J202" s="100">
        <v>10</v>
      </c>
      <c r="K202" s="22"/>
      <c r="L202" s="58"/>
      <c r="M202" s="135"/>
      <c r="N202" s="398" t="s">
        <v>581</v>
      </c>
      <c r="O202" s="191"/>
      <c r="P202" s="43"/>
      <c r="Q202" s="68" t="s">
        <v>716</v>
      </c>
    </row>
    <row r="203" spans="1:17" ht="12.75" customHeight="1" x14ac:dyDescent="0.2">
      <c r="A203" s="64">
        <v>2</v>
      </c>
      <c r="B203" s="47"/>
      <c r="C203" s="47"/>
      <c r="D203" s="465" t="s">
        <v>862</v>
      </c>
      <c r="E203" s="43">
        <v>21</v>
      </c>
      <c r="F203" s="187" t="s">
        <v>854</v>
      </c>
      <c r="G203" s="64" t="s">
        <v>8</v>
      </c>
      <c r="H203" s="38" t="s">
        <v>151</v>
      </c>
      <c r="I203" s="15"/>
      <c r="J203" s="100">
        <v>3</v>
      </c>
      <c r="K203" s="195"/>
      <c r="L203" s="24"/>
      <c r="M203" s="135"/>
      <c r="N203" s="398" t="s">
        <v>581</v>
      </c>
      <c r="O203" s="191"/>
      <c r="P203" s="43"/>
      <c r="Q203" s="68" t="s">
        <v>716</v>
      </c>
    </row>
    <row r="204" spans="1:17" ht="12.75" customHeight="1" x14ac:dyDescent="0.2">
      <c r="A204" s="64">
        <v>2</v>
      </c>
      <c r="B204" s="47"/>
      <c r="C204" s="47"/>
      <c r="D204" s="464" t="s">
        <v>863</v>
      </c>
      <c r="E204" s="43">
        <v>21</v>
      </c>
      <c r="F204" s="187" t="s">
        <v>854</v>
      </c>
      <c r="G204" s="64" t="s">
        <v>8</v>
      </c>
      <c r="H204" s="38" t="s">
        <v>151</v>
      </c>
      <c r="I204" s="15"/>
      <c r="J204" s="100">
        <v>5</v>
      </c>
      <c r="K204" s="195"/>
      <c r="L204" s="24"/>
      <c r="M204" s="135"/>
      <c r="N204" s="398" t="s">
        <v>581</v>
      </c>
      <c r="O204" s="191"/>
      <c r="P204" s="43"/>
      <c r="Q204" s="68" t="s">
        <v>716</v>
      </c>
    </row>
    <row r="205" spans="1:17" ht="32.450000000000003" customHeight="1" x14ac:dyDescent="0.2">
      <c r="A205" s="64">
        <v>2</v>
      </c>
      <c r="B205" s="47"/>
      <c r="C205" s="47" t="s">
        <v>864</v>
      </c>
      <c r="D205" s="826" t="s">
        <v>865</v>
      </c>
      <c r="E205" s="64">
        <v>10</v>
      </c>
      <c r="F205" s="187" t="s">
        <v>866</v>
      </c>
      <c r="G205" s="64" t="s">
        <v>8</v>
      </c>
      <c r="H205" s="38"/>
      <c r="I205" s="15">
        <v>5</v>
      </c>
      <c r="J205" s="100">
        <f>480-200-180-18</f>
        <v>82</v>
      </c>
      <c r="K205" s="12">
        <f>183+200+180</f>
        <v>563</v>
      </c>
      <c r="L205" s="49"/>
      <c r="M205" s="135" t="s">
        <v>697</v>
      </c>
      <c r="N205" s="825" t="s">
        <v>867</v>
      </c>
      <c r="O205" s="831" t="s">
        <v>1905</v>
      </c>
      <c r="P205" s="64" t="s">
        <v>1906</v>
      </c>
      <c r="Q205" s="68" t="s">
        <v>720</v>
      </c>
    </row>
    <row r="206" spans="1:17" ht="24" customHeight="1" x14ac:dyDescent="0.2">
      <c r="A206" s="64">
        <v>2</v>
      </c>
      <c r="B206" s="47"/>
      <c r="C206" s="47" t="s">
        <v>864</v>
      </c>
      <c r="D206" s="466"/>
      <c r="E206" s="64">
        <v>10</v>
      </c>
      <c r="F206" s="187" t="s">
        <v>866</v>
      </c>
      <c r="G206" s="43" t="s">
        <v>37</v>
      </c>
      <c r="H206" s="38"/>
      <c r="I206" s="15"/>
      <c r="J206" s="100">
        <v>150</v>
      </c>
      <c r="K206" s="38">
        <v>128.1</v>
      </c>
      <c r="L206" s="49"/>
      <c r="M206" s="135" t="s">
        <v>697</v>
      </c>
      <c r="N206" s="825" t="s">
        <v>868</v>
      </c>
      <c r="O206" s="831" t="s">
        <v>869</v>
      </c>
      <c r="P206" s="64">
        <v>1</v>
      </c>
      <c r="Q206" s="68" t="s">
        <v>720</v>
      </c>
    </row>
    <row r="207" spans="1:17" x14ac:dyDescent="0.2">
      <c r="A207" s="64">
        <v>2</v>
      </c>
      <c r="B207" s="47"/>
      <c r="C207" s="47"/>
      <c r="D207" s="466"/>
      <c r="E207" s="43"/>
      <c r="F207" s="187"/>
      <c r="G207" s="105" t="s">
        <v>495</v>
      </c>
      <c r="H207" s="107">
        <f>SUM(H206:H206)</f>
        <v>0</v>
      </c>
      <c r="I207" s="107">
        <f>SUM(I205:I206)</f>
        <v>5</v>
      </c>
      <c r="J207" s="107">
        <f t="shared" ref="J207:L207" si="24">SUM(J205:J206)</f>
        <v>232</v>
      </c>
      <c r="K207" s="107">
        <f t="shared" si="24"/>
        <v>691.1</v>
      </c>
      <c r="L207" s="765">
        <f t="shared" si="24"/>
        <v>0</v>
      </c>
      <c r="M207" s="135"/>
      <c r="N207" s="825"/>
      <c r="O207" s="178"/>
      <c r="P207" s="43"/>
      <c r="Q207" s="68"/>
    </row>
    <row r="208" spans="1:17" ht="18.600000000000001" customHeight="1" x14ac:dyDescent="0.2">
      <c r="A208" s="64">
        <v>2</v>
      </c>
      <c r="B208" s="47"/>
      <c r="C208" s="47" t="s">
        <v>870</v>
      </c>
      <c r="D208" s="826" t="s">
        <v>871</v>
      </c>
      <c r="E208" s="43">
        <v>10</v>
      </c>
      <c r="F208" s="187" t="s">
        <v>872</v>
      </c>
      <c r="G208" s="64" t="s">
        <v>8</v>
      </c>
      <c r="H208" s="38"/>
      <c r="I208" s="15"/>
      <c r="J208" s="100">
        <f>30-15-3</f>
        <v>12</v>
      </c>
      <c r="K208" s="38"/>
      <c r="L208" s="49"/>
      <c r="M208" s="135" t="s">
        <v>710</v>
      </c>
      <c r="N208" s="1035" t="s">
        <v>843</v>
      </c>
      <c r="O208" s="119" t="s">
        <v>873</v>
      </c>
      <c r="P208" s="43">
        <v>1</v>
      </c>
      <c r="Q208" s="68"/>
    </row>
    <row r="209" spans="1:17" x14ac:dyDescent="0.2">
      <c r="A209" s="64">
        <v>2</v>
      </c>
      <c r="B209" s="47"/>
      <c r="C209" s="47"/>
      <c r="D209" s="467"/>
      <c r="E209" s="43"/>
      <c r="F209" s="187"/>
      <c r="G209" s="105" t="s">
        <v>495</v>
      </c>
      <c r="H209" s="107">
        <f>SUM(H208:H208)</f>
        <v>0</v>
      </c>
      <c r="I209" s="107">
        <f>SUM(I208:I208)</f>
        <v>0</v>
      </c>
      <c r="J209" s="107">
        <f>SUM(J208:J208)</f>
        <v>12</v>
      </c>
      <c r="K209" s="107">
        <f>SUM(K208:K208)</f>
        <v>0</v>
      </c>
      <c r="L209" s="765">
        <f>SUM(L208:L208)</f>
        <v>0</v>
      </c>
      <c r="M209" s="135"/>
      <c r="N209" s="398"/>
      <c r="O209" s="119"/>
      <c r="P209" s="43"/>
      <c r="Q209" s="68"/>
    </row>
    <row r="210" spans="1:17" ht="28.15" customHeight="1" x14ac:dyDescent="0.2">
      <c r="A210" s="64">
        <v>2</v>
      </c>
      <c r="B210" s="47"/>
      <c r="C210" s="47" t="s">
        <v>874</v>
      </c>
      <c r="D210" s="826" t="s">
        <v>875</v>
      </c>
      <c r="E210" s="43">
        <v>26</v>
      </c>
      <c r="F210" s="187" t="s">
        <v>876</v>
      </c>
      <c r="G210" s="64" t="s">
        <v>8</v>
      </c>
      <c r="H210" s="38"/>
      <c r="I210" s="15"/>
      <c r="J210" s="100">
        <f>40-10</f>
        <v>30</v>
      </c>
      <c r="K210" s="38"/>
      <c r="L210" s="49"/>
      <c r="M210" s="135" t="s">
        <v>627</v>
      </c>
      <c r="N210" s="398" t="s">
        <v>877</v>
      </c>
      <c r="O210" s="119" t="s">
        <v>704</v>
      </c>
      <c r="P210" s="197">
        <v>1</v>
      </c>
      <c r="Q210" s="68" t="s">
        <v>720</v>
      </c>
    </row>
    <row r="211" spans="1:17" ht="19.149999999999999" customHeight="1" x14ac:dyDescent="0.2">
      <c r="A211" s="64">
        <v>2</v>
      </c>
      <c r="B211" s="47"/>
      <c r="C211" s="47"/>
      <c r="D211" s="467"/>
      <c r="E211" s="43">
        <v>26</v>
      </c>
      <c r="F211" s="187" t="s">
        <v>876</v>
      </c>
      <c r="G211" s="43" t="s">
        <v>37</v>
      </c>
      <c r="H211" s="38"/>
      <c r="I211" s="15"/>
      <c r="J211" s="100">
        <v>40</v>
      </c>
      <c r="K211" s="38"/>
      <c r="L211" s="49"/>
      <c r="M211" s="135"/>
      <c r="N211" s="398" t="s">
        <v>877</v>
      </c>
      <c r="O211" s="198"/>
      <c r="P211" s="43"/>
      <c r="Q211" s="68" t="s">
        <v>720</v>
      </c>
    </row>
    <row r="212" spans="1:17" ht="15.6" customHeight="1" x14ac:dyDescent="0.2">
      <c r="A212" s="64">
        <v>2</v>
      </c>
      <c r="B212" s="47"/>
      <c r="C212" s="47"/>
      <c r="D212" s="467"/>
      <c r="E212" s="43"/>
      <c r="F212" s="187"/>
      <c r="G212" s="105" t="s">
        <v>495</v>
      </c>
      <c r="H212" s="107">
        <f>SUM(H211:H211)</f>
        <v>0</v>
      </c>
      <c r="I212" s="107">
        <f>SUM(I210:I211)</f>
        <v>0</v>
      </c>
      <c r="J212" s="107">
        <f t="shared" ref="J212:L212" si="25">SUM(J210:J211)</f>
        <v>70</v>
      </c>
      <c r="K212" s="107">
        <f t="shared" si="25"/>
        <v>0</v>
      </c>
      <c r="L212" s="765">
        <f t="shared" si="25"/>
        <v>0</v>
      </c>
      <c r="M212" s="135"/>
      <c r="N212" s="398" t="s">
        <v>877</v>
      </c>
      <c r="O212" s="119"/>
      <c r="P212" s="43"/>
      <c r="Q212" s="68"/>
    </row>
    <row r="213" spans="1:17" ht="24" customHeight="1" x14ac:dyDescent="0.2">
      <c r="A213" s="64">
        <v>2</v>
      </c>
      <c r="B213" s="47"/>
      <c r="C213" s="47" t="s">
        <v>1913</v>
      </c>
      <c r="D213" s="1098" t="s">
        <v>1914</v>
      </c>
      <c r="E213" s="43">
        <v>10</v>
      </c>
      <c r="F213" s="187" t="s">
        <v>1915</v>
      </c>
      <c r="G213" s="64" t="s">
        <v>8</v>
      </c>
      <c r="H213" s="38"/>
      <c r="I213" s="15"/>
      <c r="J213" s="100">
        <v>8.3000000000000007</v>
      </c>
      <c r="K213" s="100"/>
      <c r="L213" s="127"/>
      <c r="M213" s="135" t="s">
        <v>624</v>
      </c>
      <c r="N213" s="201" t="s">
        <v>1916</v>
      </c>
      <c r="O213" s="119" t="s">
        <v>1917</v>
      </c>
      <c r="P213" s="43">
        <v>100</v>
      </c>
      <c r="Q213" s="68"/>
    </row>
    <row r="214" spans="1:17" ht="15.6" customHeight="1" x14ac:dyDescent="0.2">
      <c r="A214" s="64">
        <v>2</v>
      </c>
      <c r="B214" s="47"/>
      <c r="C214" s="47"/>
      <c r="D214" s="36"/>
      <c r="E214" s="43"/>
      <c r="F214" s="187"/>
      <c r="G214" s="105" t="s">
        <v>495</v>
      </c>
      <c r="H214" s="107">
        <f>SUM(H213:H213)</f>
        <v>0</v>
      </c>
      <c r="I214" s="107">
        <f>SUM(I213)</f>
        <v>0</v>
      </c>
      <c r="J214" s="107">
        <f t="shared" ref="J214:L214" si="26">SUM(J213)</f>
        <v>8.3000000000000007</v>
      </c>
      <c r="K214" s="107">
        <f t="shared" si="26"/>
        <v>0</v>
      </c>
      <c r="L214" s="765">
        <f t="shared" si="26"/>
        <v>0</v>
      </c>
      <c r="M214" s="135"/>
      <c r="N214" s="201"/>
      <c r="O214" s="119"/>
      <c r="P214" s="43"/>
      <c r="Q214" s="68"/>
    </row>
    <row r="215" spans="1:17" ht="44.45" customHeight="1" x14ac:dyDescent="0.2">
      <c r="A215" s="64">
        <v>2</v>
      </c>
      <c r="B215" s="95"/>
      <c r="C215" s="95"/>
      <c r="D215" s="96" t="s">
        <v>878</v>
      </c>
      <c r="E215" s="97"/>
      <c r="F215" s="98"/>
      <c r="G215" s="97"/>
      <c r="H215" s="97"/>
      <c r="I215" s="97"/>
      <c r="J215" s="97"/>
      <c r="K215" s="97"/>
      <c r="L215" s="431"/>
      <c r="M215" s="135"/>
      <c r="N215" s="398"/>
      <c r="O215" s="191"/>
      <c r="P215" s="43"/>
      <c r="Q215" s="68"/>
    </row>
    <row r="216" spans="1:17" ht="37.15" customHeight="1" x14ac:dyDescent="0.2">
      <c r="A216" s="64">
        <v>2</v>
      </c>
      <c r="B216" s="114" t="s">
        <v>879</v>
      </c>
      <c r="C216" s="114" t="s">
        <v>879</v>
      </c>
      <c r="D216" s="134" t="s">
        <v>91</v>
      </c>
      <c r="E216" s="118"/>
      <c r="F216" s="75"/>
      <c r="G216" s="135"/>
      <c r="H216" s="7"/>
      <c r="I216" s="190">
        <f>I218+I220</f>
        <v>49.5</v>
      </c>
      <c r="J216" s="115"/>
      <c r="K216" s="8"/>
      <c r="L216" s="9"/>
      <c r="M216" s="135"/>
      <c r="N216" s="398"/>
      <c r="O216" s="191"/>
      <c r="P216" s="43"/>
      <c r="Q216" s="68"/>
    </row>
    <row r="217" spans="1:17" ht="18" customHeight="1" x14ac:dyDescent="0.2">
      <c r="A217" s="64">
        <v>2</v>
      </c>
      <c r="B217" s="121"/>
      <c r="C217" s="121" t="s">
        <v>880</v>
      </c>
      <c r="D217" s="139" t="s">
        <v>881</v>
      </c>
      <c r="E217" s="75">
        <v>2</v>
      </c>
      <c r="F217" s="187" t="s">
        <v>92</v>
      </c>
      <c r="G217" s="64" t="s">
        <v>8</v>
      </c>
      <c r="H217" s="93">
        <v>23.2</v>
      </c>
      <c r="I217" s="189">
        <v>41</v>
      </c>
      <c r="J217" s="100">
        <v>5</v>
      </c>
      <c r="K217" s="4">
        <v>5</v>
      </c>
      <c r="L217" s="832">
        <v>5</v>
      </c>
      <c r="M217" s="187" t="s">
        <v>627</v>
      </c>
      <c r="N217" s="398" t="s">
        <v>882</v>
      </c>
      <c r="O217" s="199" t="s">
        <v>883</v>
      </c>
      <c r="P217" s="77">
        <v>1</v>
      </c>
      <c r="Q217" s="68" t="s">
        <v>640</v>
      </c>
    </row>
    <row r="218" spans="1:17" ht="12.75" customHeight="1" x14ac:dyDescent="0.2">
      <c r="A218" s="64">
        <v>2</v>
      </c>
      <c r="B218" s="47"/>
      <c r="C218" s="121" t="s">
        <v>880</v>
      </c>
      <c r="D218" s="51"/>
      <c r="E218" s="43">
        <v>2</v>
      </c>
      <c r="F218" s="187" t="s">
        <v>92</v>
      </c>
      <c r="G218" s="105" t="s">
        <v>495</v>
      </c>
      <c r="H218" s="107">
        <f>SUM(H217:H217)</f>
        <v>23.2</v>
      </c>
      <c r="I218" s="107">
        <f>SUM(I217:I217)</f>
        <v>41</v>
      </c>
      <c r="J218" s="107">
        <f t="shared" ref="J218:L218" si="27">SUM(J217:J217)</f>
        <v>5</v>
      </c>
      <c r="K218" s="107">
        <f t="shared" si="27"/>
        <v>5</v>
      </c>
      <c r="L218" s="765">
        <f t="shared" si="27"/>
        <v>5</v>
      </c>
      <c r="M218" s="135"/>
      <c r="N218" s="398"/>
      <c r="O218" s="119"/>
      <c r="P218" s="43"/>
      <c r="Q218" s="68"/>
    </row>
    <row r="219" spans="1:17" ht="12.75" customHeight="1" x14ac:dyDescent="0.2">
      <c r="A219" s="64">
        <v>2</v>
      </c>
      <c r="B219" s="47"/>
      <c r="C219" s="47" t="s">
        <v>884</v>
      </c>
      <c r="D219" s="51" t="s">
        <v>93</v>
      </c>
      <c r="E219" s="43">
        <v>38</v>
      </c>
      <c r="F219" s="43" t="s">
        <v>1868</v>
      </c>
      <c r="G219" s="64" t="s">
        <v>8</v>
      </c>
      <c r="H219" s="108"/>
      <c r="I219" s="15">
        <v>8.5</v>
      </c>
      <c r="J219" s="100">
        <v>20</v>
      </c>
      <c r="K219" s="38">
        <v>15</v>
      </c>
      <c r="L219" s="49">
        <v>15</v>
      </c>
      <c r="M219" s="135" t="s">
        <v>637</v>
      </c>
      <c r="N219" s="398" t="s">
        <v>1920</v>
      </c>
      <c r="O219" s="132" t="s">
        <v>885</v>
      </c>
      <c r="P219" s="133">
        <v>10</v>
      </c>
      <c r="Q219" s="68"/>
    </row>
    <row r="220" spans="1:17" x14ac:dyDescent="0.2">
      <c r="A220" s="64">
        <v>2</v>
      </c>
      <c r="B220" s="47"/>
      <c r="C220" s="47" t="s">
        <v>884</v>
      </c>
      <c r="D220" s="51"/>
      <c r="E220" s="43">
        <v>38</v>
      </c>
      <c r="F220" s="43" t="s">
        <v>1868</v>
      </c>
      <c r="G220" s="105" t="s">
        <v>495</v>
      </c>
      <c r="H220" s="107">
        <f>SUM(H219)</f>
        <v>0</v>
      </c>
      <c r="I220" s="107">
        <f>SUM(I219)</f>
        <v>8.5</v>
      </c>
      <c r="J220" s="107">
        <f t="shared" ref="J220:L220" si="28">SUM(J219)</f>
        <v>20</v>
      </c>
      <c r="K220" s="107">
        <f t="shared" si="28"/>
        <v>15</v>
      </c>
      <c r="L220" s="765">
        <f t="shared" si="28"/>
        <v>15</v>
      </c>
      <c r="M220" s="135"/>
      <c r="N220" s="398"/>
      <c r="O220" s="191"/>
      <c r="P220" s="43"/>
      <c r="Q220" s="68"/>
    </row>
    <row r="221" spans="1:17" ht="38.450000000000003" customHeight="1" x14ac:dyDescent="0.2">
      <c r="A221" s="64">
        <v>2</v>
      </c>
      <c r="B221" s="114" t="s">
        <v>886</v>
      </c>
      <c r="C221" s="114" t="s">
        <v>886</v>
      </c>
      <c r="D221" s="134" t="s">
        <v>94</v>
      </c>
      <c r="E221" s="118"/>
      <c r="F221" s="75"/>
      <c r="G221" s="135"/>
      <c r="H221" s="7"/>
      <c r="I221" s="190" t="e">
        <f>I223+I231</f>
        <v>#REF!</v>
      </c>
      <c r="J221" s="115"/>
      <c r="K221" s="8"/>
      <c r="L221" s="9"/>
      <c r="M221" s="135"/>
      <c r="N221" s="1031"/>
      <c r="O221" s="191"/>
      <c r="P221" s="43"/>
      <c r="Q221" s="68"/>
    </row>
    <row r="222" spans="1:17" ht="28.15" customHeight="1" x14ac:dyDescent="0.2">
      <c r="A222" s="64">
        <v>2</v>
      </c>
      <c r="B222" s="47"/>
      <c r="C222" s="47" t="s">
        <v>887</v>
      </c>
      <c r="D222" s="826" t="s">
        <v>95</v>
      </c>
      <c r="E222" s="43">
        <v>2</v>
      </c>
      <c r="F222" s="43" t="s">
        <v>96</v>
      </c>
      <c r="G222" s="64" t="s">
        <v>8</v>
      </c>
      <c r="H222" s="200">
        <v>17.7</v>
      </c>
      <c r="I222" s="15" t="e">
        <f>SUM(#REF!,I224,I225,I226,I227,I228)</f>
        <v>#REF!</v>
      </c>
      <c r="J222" s="100">
        <f>SUM(J224,J225,J226,J227,J228)</f>
        <v>148</v>
      </c>
      <c r="K222" s="100">
        <f>SUM(K224,K225,K226,K227,K228)</f>
        <v>130</v>
      </c>
      <c r="L222" s="127">
        <f>SUM(L224,L225,L226,L227,L228)</f>
        <v>280</v>
      </c>
      <c r="M222" s="187"/>
      <c r="N222" s="1036"/>
      <c r="O222" s="410"/>
      <c r="P222" s="43"/>
      <c r="Q222" s="68"/>
    </row>
    <row r="223" spans="1:17" ht="12.75" customHeight="1" x14ac:dyDescent="0.2">
      <c r="A223" s="64">
        <v>2</v>
      </c>
      <c r="B223" s="47"/>
      <c r="C223" s="47"/>
      <c r="D223" s="51"/>
      <c r="E223" s="43"/>
      <c r="F223" s="43" t="s">
        <v>96</v>
      </c>
      <c r="G223" s="105" t="s">
        <v>495</v>
      </c>
      <c r="H223" s="107">
        <f>SUM(H222)</f>
        <v>17.7</v>
      </c>
      <c r="I223" s="107" t="e">
        <f>SUM(I222:I222)</f>
        <v>#REF!</v>
      </c>
      <c r="J223" s="107">
        <f>SUM(J222:J222)</f>
        <v>148</v>
      </c>
      <c r="K223" s="107">
        <f>SUM(K222:K222)</f>
        <v>130</v>
      </c>
      <c r="L223" s="765">
        <f>SUM(L222:L222)</f>
        <v>280</v>
      </c>
      <c r="M223" s="187"/>
      <c r="N223" s="1036"/>
      <c r="O223" s="398"/>
      <c r="P223" s="43"/>
      <c r="Q223" s="68"/>
    </row>
    <row r="224" spans="1:17" ht="33" customHeight="1" x14ac:dyDescent="0.2">
      <c r="A224" s="64">
        <v>2</v>
      </c>
      <c r="B224" s="47"/>
      <c r="C224" s="47" t="s">
        <v>888</v>
      </c>
      <c r="D224" s="130" t="s">
        <v>889</v>
      </c>
      <c r="E224" s="43">
        <v>2</v>
      </c>
      <c r="F224" s="43" t="s">
        <v>96</v>
      </c>
      <c r="G224" s="64" t="s">
        <v>8</v>
      </c>
      <c r="H224" s="38"/>
      <c r="I224" s="15">
        <v>29</v>
      </c>
      <c r="J224" s="100">
        <v>68</v>
      </c>
      <c r="K224" s="38"/>
      <c r="L224" s="49"/>
      <c r="M224" s="187" t="s">
        <v>627</v>
      </c>
      <c r="N224" s="1037" t="s">
        <v>890</v>
      </c>
      <c r="O224" s="119" t="s">
        <v>891</v>
      </c>
      <c r="P224" s="43">
        <v>1</v>
      </c>
      <c r="Q224" s="68" t="s">
        <v>892</v>
      </c>
    </row>
    <row r="225" spans="1:17" ht="27" customHeight="1" x14ac:dyDescent="0.2">
      <c r="A225" s="64">
        <v>2</v>
      </c>
      <c r="B225" s="47"/>
      <c r="C225" s="47" t="s">
        <v>893</v>
      </c>
      <c r="D225" s="130" t="s">
        <v>894</v>
      </c>
      <c r="E225" s="43">
        <v>2</v>
      </c>
      <c r="F225" s="43" t="s">
        <v>96</v>
      </c>
      <c r="G225" s="64" t="s">
        <v>8</v>
      </c>
      <c r="H225" s="38"/>
      <c r="I225" s="15">
        <f>30-30</f>
        <v>0</v>
      </c>
      <c r="J225" s="100">
        <f>40-40</f>
        <v>0</v>
      </c>
      <c r="K225" s="15">
        <f>100+40-100</f>
        <v>40</v>
      </c>
      <c r="L225" s="34">
        <f>60+100</f>
        <v>160</v>
      </c>
      <c r="M225" s="187" t="s">
        <v>697</v>
      </c>
      <c r="N225" s="1037" t="s">
        <v>895</v>
      </c>
      <c r="O225" s="188" t="s">
        <v>896</v>
      </c>
      <c r="P225" s="64">
        <v>30</v>
      </c>
      <c r="Q225" s="68" t="s">
        <v>720</v>
      </c>
    </row>
    <row r="226" spans="1:17" ht="27.6" customHeight="1" x14ac:dyDescent="0.2">
      <c r="A226" s="64">
        <v>2</v>
      </c>
      <c r="B226" s="47"/>
      <c r="C226" s="47" t="s">
        <v>897</v>
      </c>
      <c r="D226" s="130" t="s">
        <v>898</v>
      </c>
      <c r="E226" s="43">
        <v>2</v>
      </c>
      <c r="F226" s="43" t="s">
        <v>96</v>
      </c>
      <c r="G226" s="64" t="s">
        <v>8</v>
      </c>
      <c r="H226" s="38"/>
      <c r="I226" s="15"/>
      <c r="J226" s="100">
        <f>70-50+20</f>
        <v>40</v>
      </c>
      <c r="K226" s="15">
        <f>70+50-100</f>
        <v>20</v>
      </c>
      <c r="L226" s="34">
        <f>70+100-100</f>
        <v>70</v>
      </c>
      <c r="M226" s="187" t="s">
        <v>710</v>
      </c>
      <c r="N226" s="1037" t="s">
        <v>899</v>
      </c>
      <c r="O226" s="188" t="s">
        <v>896</v>
      </c>
      <c r="P226" s="64">
        <v>10</v>
      </c>
      <c r="Q226" s="68" t="s">
        <v>700</v>
      </c>
    </row>
    <row r="227" spans="1:17" ht="26.45" customHeight="1" x14ac:dyDescent="0.2">
      <c r="A227" s="64">
        <v>2</v>
      </c>
      <c r="B227" s="47"/>
      <c r="C227" s="47" t="s">
        <v>900</v>
      </c>
      <c r="D227" s="468" t="s">
        <v>901</v>
      </c>
      <c r="E227" s="43">
        <v>2</v>
      </c>
      <c r="F227" s="43" t="s">
        <v>96</v>
      </c>
      <c r="G227" s="64" t="s">
        <v>8</v>
      </c>
      <c r="H227" s="38"/>
      <c r="I227" s="15">
        <v>0</v>
      </c>
      <c r="J227" s="100">
        <v>10</v>
      </c>
      <c r="K227" s="38">
        <v>20</v>
      </c>
      <c r="L227" s="49"/>
      <c r="M227" s="187" t="s">
        <v>627</v>
      </c>
      <c r="N227" s="1037" t="s">
        <v>902</v>
      </c>
      <c r="O227" s="119" t="s">
        <v>896</v>
      </c>
      <c r="P227" s="43">
        <v>30</v>
      </c>
      <c r="Q227" s="68" t="s">
        <v>716</v>
      </c>
    </row>
    <row r="228" spans="1:17" ht="27" customHeight="1" thickBot="1" x14ac:dyDescent="0.25">
      <c r="A228" s="64">
        <v>2</v>
      </c>
      <c r="B228" s="47"/>
      <c r="C228" s="47" t="s">
        <v>903</v>
      </c>
      <c r="D228" s="468" t="s">
        <v>904</v>
      </c>
      <c r="E228" s="43">
        <v>2</v>
      </c>
      <c r="F228" s="43" t="s">
        <v>96</v>
      </c>
      <c r="G228" s="64" t="s">
        <v>8</v>
      </c>
      <c r="H228" s="38"/>
      <c r="I228" s="15">
        <f>40-40</f>
        <v>0</v>
      </c>
      <c r="J228" s="100">
        <f>30</f>
        <v>30</v>
      </c>
      <c r="K228" s="18">
        <v>50</v>
      </c>
      <c r="L228" s="18">
        <v>50</v>
      </c>
      <c r="M228" s="187" t="s">
        <v>710</v>
      </c>
      <c r="N228" s="1037" t="s">
        <v>902</v>
      </c>
      <c r="O228" s="119" t="s">
        <v>896</v>
      </c>
      <c r="P228" s="43">
        <v>30</v>
      </c>
      <c r="Q228" s="68" t="s">
        <v>640</v>
      </c>
    </row>
    <row r="229" spans="1:17" ht="31.15" customHeight="1" x14ac:dyDescent="0.2">
      <c r="A229" s="63">
        <v>2</v>
      </c>
      <c r="B229" s="48"/>
      <c r="C229" s="48" t="s">
        <v>905</v>
      </c>
      <c r="D229" s="830" t="s">
        <v>97</v>
      </c>
      <c r="E229" s="42" t="s">
        <v>98</v>
      </c>
      <c r="F229" s="42" t="s">
        <v>99</v>
      </c>
      <c r="G229" s="63" t="s">
        <v>8</v>
      </c>
      <c r="H229" s="433">
        <v>141.19999999999999</v>
      </c>
      <c r="I229" s="13">
        <f>I232+I233+I234+I238+I236+I239+I240</f>
        <v>138.30000000000001</v>
      </c>
      <c r="J229" s="257">
        <f>J232+J233+J234+J238+J236+J239+J240+J237</f>
        <v>387.3</v>
      </c>
      <c r="K229" s="257">
        <f>K232+K233+K234+K238+K236+K239+K240</f>
        <v>50</v>
      </c>
      <c r="L229" s="257">
        <f>L232+L233+L234+L238+L236+L239+L240</f>
        <v>0</v>
      </c>
      <c r="M229" s="187"/>
      <c r="N229" s="398" t="s">
        <v>882</v>
      </c>
      <c r="O229" s="119"/>
      <c r="P229" s="43"/>
      <c r="Q229" s="68"/>
    </row>
    <row r="230" spans="1:17" ht="12.75" customHeight="1" x14ac:dyDescent="0.2">
      <c r="A230" s="64">
        <v>2</v>
      </c>
      <c r="B230" s="47"/>
      <c r="C230" s="47"/>
      <c r="D230" s="36"/>
      <c r="E230" s="43">
        <v>2</v>
      </c>
      <c r="F230" s="43" t="s">
        <v>99</v>
      </c>
      <c r="G230" s="64" t="s">
        <v>253</v>
      </c>
      <c r="H230" s="108"/>
      <c r="I230" s="15" t="e">
        <f>I235+#REF!</f>
        <v>#REF!</v>
      </c>
      <c r="J230" s="100">
        <f>J235</f>
        <v>67.400000000000006</v>
      </c>
      <c r="K230" s="100" t="e">
        <f>K235+#REF!</f>
        <v>#REF!</v>
      </c>
      <c r="L230" s="100" t="e">
        <f>L235+#REF!</f>
        <v>#REF!</v>
      </c>
      <c r="M230" s="187"/>
      <c r="N230" s="398"/>
      <c r="O230" s="119"/>
      <c r="P230" s="43"/>
      <c r="Q230" s="68"/>
    </row>
    <row r="231" spans="1:17" x14ac:dyDescent="0.2">
      <c r="A231" s="64">
        <v>2</v>
      </c>
      <c r="B231" s="47"/>
      <c r="C231" s="47" t="s">
        <v>905</v>
      </c>
      <c r="D231" s="51"/>
      <c r="E231" s="43"/>
      <c r="F231" s="43" t="s">
        <v>99</v>
      </c>
      <c r="G231" s="105" t="s">
        <v>495</v>
      </c>
      <c r="H231" s="107">
        <f>SUM(H229)</f>
        <v>141.19999999999999</v>
      </c>
      <c r="I231" s="107" t="e">
        <f>SUM(I229:I230)</f>
        <v>#REF!</v>
      </c>
      <c r="J231" s="107">
        <f t="shared" ref="J231:L231" si="29">SUM(J229:J230)</f>
        <v>454.70000000000005</v>
      </c>
      <c r="K231" s="107" t="e">
        <f t="shared" si="29"/>
        <v>#REF!</v>
      </c>
      <c r="L231" s="765" t="e">
        <f t="shared" si="29"/>
        <v>#REF!</v>
      </c>
      <c r="M231" s="187"/>
      <c r="N231" s="398"/>
      <c r="O231" s="119"/>
      <c r="P231" s="43"/>
      <c r="Q231" s="68"/>
    </row>
    <row r="232" spans="1:17" ht="69" customHeight="1" x14ac:dyDescent="0.2">
      <c r="A232" s="64">
        <v>2</v>
      </c>
      <c r="B232" s="47"/>
      <c r="C232" s="47" t="s">
        <v>906</v>
      </c>
      <c r="D232" s="203" t="s">
        <v>907</v>
      </c>
      <c r="E232" s="43" t="s">
        <v>98</v>
      </c>
      <c r="F232" s="43" t="s">
        <v>99</v>
      </c>
      <c r="G232" s="64" t="s">
        <v>8</v>
      </c>
      <c r="H232" s="38"/>
      <c r="I232" s="15">
        <f>154.5-135</f>
        <v>19.5</v>
      </c>
      <c r="J232" s="100">
        <v>172</v>
      </c>
      <c r="K232" s="49"/>
      <c r="L232" s="204"/>
      <c r="M232" s="187" t="s">
        <v>627</v>
      </c>
      <c r="N232" s="398" t="s">
        <v>908</v>
      </c>
      <c r="O232" s="119" t="s">
        <v>909</v>
      </c>
      <c r="P232" s="43">
        <v>1</v>
      </c>
      <c r="Q232" s="68" t="s">
        <v>700</v>
      </c>
    </row>
    <row r="233" spans="1:17" ht="33.75" x14ac:dyDescent="0.2">
      <c r="A233" s="64">
        <v>2</v>
      </c>
      <c r="B233" s="47"/>
      <c r="C233" s="47" t="s">
        <v>910</v>
      </c>
      <c r="D233" s="203" t="s">
        <v>911</v>
      </c>
      <c r="E233" s="43" t="s">
        <v>98</v>
      </c>
      <c r="F233" s="43" t="s">
        <v>99</v>
      </c>
      <c r="G233" s="64" t="s">
        <v>8</v>
      </c>
      <c r="H233" s="38"/>
      <c r="I233" s="15">
        <v>94.8</v>
      </c>
      <c r="J233" s="100">
        <v>3</v>
      </c>
      <c r="K233" s="49"/>
      <c r="L233" s="204"/>
      <c r="M233" s="187" t="s">
        <v>627</v>
      </c>
      <c r="N233" s="1031" t="s">
        <v>908</v>
      </c>
      <c r="O233" s="119" t="s">
        <v>912</v>
      </c>
      <c r="P233" s="43">
        <v>1</v>
      </c>
      <c r="Q233" s="68" t="s">
        <v>700</v>
      </c>
    </row>
    <row r="234" spans="1:17" ht="36.6" customHeight="1" x14ac:dyDescent="0.2">
      <c r="A234" s="64">
        <v>2</v>
      </c>
      <c r="B234" s="47"/>
      <c r="C234" s="47" t="s">
        <v>913</v>
      </c>
      <c r="D234" s="1236" t="s">
        <v>914</v>
      </c>
      <c r="E234" s="43">
        <v>36</v>
      </c>
      <c r="F234" s="43" t="s">
        <v>99</v>
      </c>
      <c r="G234" s="64" t="s">
        <v>8</v>
      </c>
      <c r="H234" s="38"/>
      <c r="I234" s="15">
        <v>18</v>
      </c>
      <c r="J234" s="100">
        <f>338-200-100</f>
        <v>38</v>
      </c>
      <c r="K234" s="49"/>
      <c r="L234" s="204"/>
      <c r="M234" s="187" t="s">
        <v>627</v>
      </c>
      <c r="N234" s="1038" t="s">
        <v>915</v>
      </c>
      <c r="O234" s="398" t="s">
        <v>912</v>
      </c>
      <c r="P234" s="43">
        <v>1</v>
      </c>
      <c r="Q234" s="68" t="s">
        <v>700</v>
      </c>
    </row>
    <row r="235" spans="1:17" ht="16.5" customHeight="1" x14ac:dyDescent="0.2">
      <c r="A235" s="64">
        <v>2</v>
      </c>
      <c r="B235" s="47"/>
      <c r="C235" s="47" t="s">
        <v>913</v>
      </c>
      <c r="D235" s="1238"/>
      <c r="E235" s="43">
        <v>36</v>
      </c>
      <c r="F235" s="43" t="s">
        <v>99</v>
      </c>
      <c r="G235" s="64" t="s">
        <v>253</v>
      </c>
      <c r="H235" s="38"/>
      <c r="I235" s="15"/>
      <c r="J235" s="100">
        <f>200-132.6</f>
        <v>67.400000000000006</v>
      </c>
      <c r="K235" s="49"/>
      <c r="L235" s="833"/>
      <c r="M235" s="187" t="s">
        <v>627</v>
      </c>
      <c r="N235" s="188"/>
      <c r="O235" s="398"/>
      <c r="P235" s="43"/>
      <c r="Q235" s="68"/>
    </row>
    <row r="236" spans="1:17" ht="22.5" customHeight="1" x14ac:dyDescent="0.2">
      <c r="A236" s="64">
        <v>2</v>
      </c>
      <c r="B236" s="47"/>
      <c r="C236" s="47" t="s">
        <v>916</v>
      </c>
      <c r="D236" s="1267" t="s">
        <v>917</v>
      </c>
      <c r="E236" s="43">
        <v>36</v>
      </c>
      <c r="F236" s="43" t="s">
        <v>99</v>
      </c>
      <c r="G236" s="64" t="s">
        <v>8</v>
      </c>
      <c r="H236" s="38"/>
      <c r="I236" s="15">
        <f>184.3-150-34.3</f>
        <v>0</v>
      </c>
      <c r="J236" s="100">
        <f>185-145-4.5</f>
        <v>35.5</v>
      </c>
      <c r="K236" s="49"/>
      <c r="L236" s="833"/>
      <c r="M236" s="187" t="s">
        <v>627</v>
      </c>
      <c r="N236" s="1038" t="s">
        <v>915</v>
      </c>
      <c r="O236" s="398" t="s">
        <v>912</v>
      </c>
      <c r="P236" s="43">
        <v>1</v>
      </c>
      <c r="Q236" s="68" t="s">
        <v>720</v>
      </c>
    </row>
    <row r="237" spans="1:17" ht="33.75" x14ac:dyDescent="0.2">
      <c r="A237" s="64">
        <v>2</v>
      </c>
      <c r="B237" s="47"/>
      <c r="C237" s="47" t="s">
        <v>916</v>
      </c>
      <c r="D237" s="1268"/>
      <c r="E237" s="64">
        <v>26</v>
      </c>
      <c r="F237" s="43" t="s">
        <v>2092</v>
      </c>
      <c r="G237" s="64" t="s">
        <v>8</v>
      </c>
      <c r="H237" s="38"/>
      <c r="I237" s="15"/>
      <c r="J237" s="100">
        <f>4.5</f>
        <v>4.5</v>
      </c>
      <c r="K237" s="49"/>
      <c r="L237" s="833"/>
      <c r="M237" s="187" t="s">
        <v>627</v>
      </c>
      <c r="N237" s="1100" t="s">
        <v>1926</v>
      </c>
      <c r="O237" s="398" t="s">
        <v>1918</v>
      </c>
      <c r="P237" s="43">
        <v>1</v>
      </c>
      <c r="Q237" s="68" t="s">
        <v>720</v>
      </c>
    </row>
    <row r="238" spans="1:17" ht="34.9" customHeight="1" x14ac:dyDescent="0.2">
      <c r="A238" s="64">
        <v>2</v>
      </c>
      <c r="B238" s="47"/>
      <c r="C238" s="47" t="s">
        <v>918</v>
      </c>
      <c r="D238" s="203" t="s">
        <v>919</v>
      </c>
      <c r="E238" s="43">
        <v>36</v>
      </c>
      <c r="F238" s="43" t="s">
        <v>99</v>
      </c>
      <c r="G238" s="64" t="s">
        <v>8</v>
      </c>
      <c r="H238" s="38"/>
      <c r="I238" s="15">
        <v>6</v>
      </c>
      <c r="J238" s="100">
        <v>75</v>
      </c>
      <c r="K238" s="49"/>
      <c r="L238" s="204"/>
      <c r="M238" s="187" t="s">
        <v>627</v>
      </c>
      <c r="N238" s="1038" t="s">
        <v>915</v>
      </c>
      <c r="O238" s="119" t="s">
        <v>912</v>
      </c>
      <c r="P238" s="43">
        <v>1</v>
      </c>
      <c r="Q238" s="68" t="s">
        <v>727</v>
      </c>
    </row>
    <row r="239" spans="1:17" ht="27" customHeight="1" x14ac:dyDescent="0.2">
      <c r="A239" s="64">
        <v>2</v>
      </c>
      <c r="B239" s="47"/>
      <c r="C239" s="47" t="s">
        <v>920</v>
      </c>
      <c r="D239" s="203" t="s">
        <v>921</v>
      </c>
      <c r="E239" s="43">
        <v>2</v>
      </c>
      <c r="F239" s="43" t="s">
        <v>99</v>
      </c>
      <c r="G239" s="64" t="s">
        <v>8</v>
      </c>
      <c r="H239" s="38"/>
      <c r="I239" s="15">
        <f>18-18</f>
        <v>0</v>
      </c>
      <c r="J239" s="100">
        <f>41.3+18</f>
        <v>59.3</v>
      </c>
      <c r="K239" s="49"/>
      <c r="L239" s="834"/>
      <c r="M239" s="187" t="s">
        <v>627</v>
      </c>
      <c r="N239" s="1037" t="s">
        <v>890</v>
      </c>
      <c r="O239" s="119" t="s">
        <v>922</v>
      </c>
      <c r="P239" s="43">
        <v>100</v>
      </c>
      <c r="Q239" s="68"/>
    </row>
    <row r="240" spans="1:17" ht="27.6" customHeight="1" x14ac:dyDescent="0.2">
      <c r="A240" s="64">
        <v>2</v>
      </c>
      <c r="B240" s="47"/>
      <c r="C240" s="47" t="s">
        <v>923</v>
      </c>
      <c r="D240" s="203" t="s">
        <v>924</v>
      </c>
      <c r="E240" s="64">
        <v>36</v>
      </c>
      <c r="F240" s="43" t="s">
        <v>99</v>
      </c>
      <c r="G240" s="64" t="s">
        <v>8</v>
      </c>
      <c r="H240" s="38"/>
      <c r="I240" s="15">
        <f>18-18</f>
        <v>0</v>
      </c>
      <c r="J240" s="100">
        <f>10-10</f>
        <v>0</v>
      </c>
      <c r="K240" s="49">
        <v>50</v>
      </c>
      <c r="L240" s="117"/>
      <c r="M240" s="187" t="s">
        <v>710</v>
      </c>
      <c r="N240" s="1038" t="s">
        <v>915</v>
      </c>
      <c r="O240" s="188" t="s">
        <v>648</v>
      </c>
      <c r="P240" s="43">
        <v>100</v>
      </c>
      <c r="Q240" s="68"/>
    </row>
    <row r="241" spans="1:17" ht="27" customHeight="1" x14ac:dyDescent="0.2">
      <c r="A241" s="63">
        <v>2</v>
      </c>
      <c r="B241" s="434" t="s">
        <v>925</v>
      </c>
      <c r="C241" s="434" t="s">
        <v>925</v>
      </c>
      <c r="D241" s="435" t="s">
        <v>100</v>
      </c>
      <c r="E241" s="436"/>
      <c r="F241" s="78"/>
      <c r="G241" s="437"/>
      <c r="H241" s="5"/>
      <c r="I241" s="902">
        <f>I243+I249</f>
        <v>24.2</v>
      </c>
      <c r="J241" s="438"/>
      <c r="K241" s="933"/>
      <c r="L241" s="934"/>
      <c r="M241" s="135"/>
      <c r="N241" s="398"/>
      <c r="O241" s="119"/>
      <c r="P241" s="43"/>
      <c r="Q241" s="68"/>
    </row>
    <row r="242" spans="1:17" ht="45" customHeight="1" x14ac:dyDescent="0.2">
      <c r="A242" s="64">
        <v>2</v>
      </c>
      <c r="B242" s="47"/>
      <c r="C242" s="47" t="s">
        <v>926</v>
      </c>
      <c r="D242" s="826" t="s">
        <v>101</v>
      </c>
      <c r="E242" s="43" t="s">
        <v>927</v>
      </c>
      <c r="F242" s="43" t="s">
        <v>102</v>
      </c>
      <c r="G242" s="64" t="s">
        <v>8</v>
      </c>
      <c r="H242" s="108">
        <v>14.5</v>
      </c>
      <c r="I242" s="15">
        <f>SUM(I244:I246)</f>
        <v>0</v>
      </c>
      <c r="J242" s="100">
        <f>SUM(J244:J247)</f>
        <v>100.6</v>
      </c>
      <c r="K242" s="15">
        <f>SUM(K244:K246)</f>
        <v>120</v>
      </c>
      <c r="L242" s="34">
        <f>SUM(L244:L245)</f>
        <v>0</v>
      </c>
      <c r="M242" s="135" t="s">
        <v>637</v>
      </c>
      <c r="N242" s="398" t="s">
        <v>928</v>
      </c>
      <c r="O242" s="119" t="s">
        <v>929</v>
      </c>
      <c r="P242" s="43">
        <v>2</v>
      </c>
      <c r="Q242" s="68"/>
    </row>
    <row r="243" spans="1:17" x14ac:dyDescent="0.2">
      <c r="A243" s="64">
        <v>2</v>
      </c>
      <c r="B243" s="47"/>
      <c r="C243" s="47" t="s">
        <v>926</v>
      </c>
      <c r="D243" s="51"/>
      <c r="E243" s="43">
        <v>2</v>
      </c>
      <c r="F243" s="43" t="s">
        <v>102</v>
      </c>
      <c r="G243" s="105" t="s">
        <v>495</v>
      </c>
      <c r="H243" s="107">
        <f>SUM(,H242)</f>
        <v>14.5</v>
      </c>
      <c r="I243" s="107">
        <f>SUM(,I242)</f>
        <v>0</v>
      </c>
      <c r="J243" s="107">
        <f t="shared" ref="J243:L243" si="30">SUM(,J242)</f>
        <v>100.6</v>
      </c>
      <c r="K243" s="107">
        <f t="shared" si="30"/>
        <v>120</v>
      </c>
      <c r="L243" s="765">
        <f t="shared" si="30"/>
        <v>0</v>
      </c>
      <c r="M243" s="135"/>
      <c r="N243" s="398"/>
      <c r="O243" s="119"/>
      <c r="P243" s="43"/>
      <c r="Q243" s="68"/>
    </row>
    <row r="244" spans="1:17" ht="39" customHeight="1" x14ac:dyDescent="0.2">
      <c r="A244" s="64">
        <v>2</v>
      </c>
      <c r="B244" s="47"/>
      <c r="C244" s="47" t="s">
        <v>930</v>
      </c>
      <c r="D244" s="120" t="s">
        <v>931</v>
      </c>
      <c r="E244" s="43">
        <v>2</v>
      </c>
      <c r="F244" s="43" t="s">
        <v>102</v>
      </c>
      <c r="G244" s="64" t="s">
        <v>8</v>
      </c>
      <c r="H244" s="108"/>
      <c r="I244" s="15">
        <f>12-12</f>
        <v>0</v>
      </c>
      <c r="J244" s="100">
        <v>80</v>
      </c>
      <c r="K244" s="38">
        <f>20+82</f>
        <v>102</v>
      </c>
      <c r="L244" s="49"/>
      <c r="M244" s="135" t="s">
        <v>710</v>
      </c>
      <c r="N244" s="1037" t="s">
        <v>890</v>
      </c>
      <c r="O244" s="119" t="s">
        <v>932</v>
      </c>
      <c r="P244" s="43">
        <v>70</v>
      </c>
      <c r="Q244" s="68" t="s">
        <v>640</v>
      </c>
    </row>
    <row r="245" spans="1:17" ht="24" customHeight="1" x14ac:dyDescent="0.2">
      <c r="A245" s="64">
        <v>2</v>
      </c>
      <c r="B245" s="47"/>
      <c r="C245" s="66" t="s">
        <v>933</v>
      </c>
      <c r="D245" s="469" t="s">
        <v>934</v>
      </c>
      <c r="E245" s="753">
        <v>27</v>
      </c>
      <c r="F245" s="44" t="s">
        <v>2093</v>
      </c>
      <c r="G245" s="64" t="s">
        <v>8</v>
      </c>
      <c r="H245" s="108"/>
      <c r="I245" s="15"/>
      <c r="J245" s="100">
        <v>12</v>
      </c>
      <c r="K245" s="38"/>
      <c r="L245" s="49"/>
      <c r="M245" s="135" t="s">
        <v>710</v>
      </c>
      <c r="N245" s="838" t="s">
        <v>935</v>
      </c>
      <c r="O245" s="188" t="s">
        <v>936</v>
      </c>
      <c r="P245" s="43">
        <v>1</v>
      </c>
      <c r="Q245" s="68" t="s">
        <v>700</v>
      </c>
    </row>
    <row r="246" spans="1:17" ht="23.45" customHeight="1" x14ac:dyDescent="0.2">
      <c r="A246" s="64">
        <v>2</v>
      </c>
      <c r="B246" s="45"/>
      <c r="C246" s="47" t="s">
        <v>937</v>
      </c>
      <c r="D246" s="470" t="s">
        <v>938</v>
      </c>
      <c r="E246" s="835">
        <v>25</v>
      </c>
      <c r="F246" s="955" t="s">
        <v>2094</v>
      </c>
      <c r="G246" s="946" t="s">
        <v>8</v>
      </c>
      <c r="H246" s="380"/>
      <c r="I246" s="15"/>
      <c r="J246" s="100">
        <f>20-11.4</f>
        <v>8.6</v>
      </c>
      <c r="K246" s="38">
        <f>100-82</f>
        <v>18</v>
      </c>
      <c r="L246" s="49"/>
      <c r="M246" s="135"/>
      <c r="N246" s="838" t="s">
        <v>1957</v>
      </c>
      <c r="O246" s="188" t="s">
        <v>936</v>
      </c>
      <c r="P246" s="43">
        <v>1</v>
      </c>
      <c r="Q246" s="68" t="s">
        <v>728</v>
      </c>
    </row>
    <row r="247" spans="1:17" ht="23.45" customHeight="1" x14ac:dyDescent="0.2">
      <c r="A247" s="64">
        <v>2</v>
      </c>
      <c r="B247" s="45"/>
      <c r="C247" s="47" t="s">
        <v>1892</v>
      </c>
      <c r="D247" s="953" t="s">
        <v>1893</v>
      </c>
      <c r="E247" s="954">
        <v>2</v>
      </c>
      <c r="F247" s="955" t="s">
        <v>939</v>
      </c>
      <c r="G247" s="64" t="s">
        <v>8</v>
      </c>
      <c r="H247" s="380"/>
      <c r="I247" s="15"/>
      <c r="J247" s="100"/>
      <c r="K247" s="38"/>
      <c r="L247" s="49"/>
      <c r="M247" s="135"/>
      <c r="N247" s="188" t="s">
        <v>882</v>
      </c>
      <c r="O247" s="188" t="s">
        <v>936</v>
      </c>
      <c r="P247" s="43">
        <v>1</v>
      </c>
      <c r="Q247" s="68" t="s">
        <v>700</v>
      </c>
    </row>
    <row r="248" spans="1:17" ht="28.15" customHeight="1" x14ac:dyDescent="0.2">
      <c r="A248" s="64">
        <v>2</v>
      </c>
      <c r="B248" s="47"/>
      <c r="C248" s="48" t="s">
        <v>940</v>
      </c>
      <c r="D248" s="836" t="s">
        <v>941</v>
      </c>
      <c r="E248" s="381"/>
      <c r="F248" s="43" t="s">
        <v>942</v>
      </c>
      <c r="G248" s="326" t="s">
        <v>8</v>
      </c>
      <c r="I248" s="15">
        <v>24.2</v>
      </c>
      <c r="J248" s="100">
        <f t="shared" ref="J248:L248" si="31">SUM(J250:J253)</f>
        <v>222</v>
      </c>
      <c r="K248" s="15">
        <f t="shared" si="31"/>
        <v>440</v>
      </c>
      <c r="L248" s="34">
        <f t="shared" si="31"/>
        <v>400</v>
      </c>
      <c r="M248" s="135" t="s">
        <v>697</v>
      </c>
      <c r="N248" s="398"/>
      <c r="O248" s="119"/>
      <c r="P248" s="43"/>
      <c r="Q248" s="68" t="s">
        <v>640</v>
      </c>
    </row>
    <row r="249" spans="1:17" x14ac:dyDescent="0.2">
      <c r="A249" s="64">
        <v>2</v>
      </c>
      <c r="B249" s="47"/>
      <c r="C249" s="48" t="s">
        <v>940</v>
      </c>
      <c r="D249" s="36"/>
      <c r="E249" s="42"/>
      <c r="F249" s="42"/>
      <c r="G249" s="105" t="s">
        <v>495</v>
      </c>
      <c r="H249" s="107"/>
      <c r="I249" s="107">
        <f>SUM(I248)</f>
        <v>24.2</v>
      </c>
      <c r="J249" s="107">
        <f t="shared" ref="J249:L249" si="32">SUM(J248)</f>
        <v>222</v>
      </c>
      <c r="K249" s="107">
        <f t="shared" si="32"/>
        <v>440</v>
      </c>
      <c r="L249" s="765">
        <f t="shared" si="32"/>
        <v>400</v>
      </c>
      <c r="M249" s="135" t="s">
        <v>697</v>
      </c>
      <c r="N249" s="398"/>
      <c r="O249" s="119"/>
      <c r="P249" s="43"/>
      <c r="Q249" s="68"/>
    </row>
    <row r="250" spans="1:17" ht="42.6" customHeight="1" x14ac:dyDescent="0.2">
      <c r="A250" s="64">
        <v>2</v>
      </c>
      <c r="B250" s="47"/>
      <c r="C250" s="48" t="s">
        <v>940</v>
      </c>
      <c r="D250" s="36" t="s">
        <v>941</v>
      </c>
      <c r="E250" s="43">
        <v>2</v>
      </c>
      <c r="F250" s="43" t="s">
        <v>942</v>
      </c>
      <c r="G250" s="64" t="s">
        <v>8</v>
      </c>
      <c r="H250" s="108"/>
      <c r="I250" s="15"/>
      <c r="J250" s="100">
        <f>120-20-10</f>
        <v>90</v>
      </c>
      <c r="K250" s="38">
        <v>400</v>
      </c>
      <c r="L250" s="49">
        <v>400</v>
      </c>
      <c r="M250" s="135" t="s">
        <v>697</v>
      </c>
      <c r="N250" s="398" t="s">
        <v>899</v>
      </c>
      <c r="O250" s="119" t="s">
        <v>943</v>
      </c>
      <c r="P250" s="43" t="s">
        <v>749</v>
      </c>
      <c r="Q250" s="68" t="s">
        <v>640</v>
      </c>
    </row>
    <row r="251" spans="1:17" ht="42.6" customHeight="1" x14ac:dyDescent="0.2">
      <c r="A251" s="64">
        <v>2</v>
      </c>
      <c r="B251" s="47"/>
      <c r="C251" s="48" t="s">
        <v>940</v>
      </c>
      <c r="D251" s="36" t="s">
        <v>941</v>
      </c>
      <c r="E251" s="43">
        <v>23</v>
      </c>
      <c r="F251" s="43" t="s">
        <v>942</v>
      </c>
      <c r="G251" s="64" t="s">
        <v>8</v>
      </c>
      <c r="H251" s="108"/>
      <c r="I251" s="15"/>
      <c r="J251" s="100">
        <f>10</f>
        <v>10</v>
      </c>
      <c r="K251" s="38"/>
      <c r="L251" s="49"/>
      <c r="M251" s="135"/>
      <c r="N251" s="398" t="s">
        <v>583</v>
      </c>
      <c r="O251" s="119" t="s">
        <v>1918</v>
      </c>
      <c r="P251" s="43">
        <v>1</v>
      </c>
      <c r="Q251" s="68" t="s">
        <v>640</v>
      </c>
    </row>
    <row r="252" spans="1:17" ht="20.25" customHeight="1" x14ac:dyDescent="0.2">
      <c r="A252" s="64">
        <v>2</v>
      </c>
      <c r="B252" s="47"/>
      <c r="C252" s="48" t="s">
        <v>940</v>
      </c>
      <c r="D252" s="51" t="s">
        <v>941</v>
      </c>
      <c r="E252" s="43">
        <v>36</v>
      </c>
      <c r="F252" s="43" t="s">
        <v>942</v>
      </c>
      <c r="G252" s="64" t="s">
        <v>8</v>
      </c>
      <c r="H252" s="108"/>
      <c r="I252" s="15"/>
      <c r="J252" s="100">
        <f>150-50</f>
        <v>100</v>
      </c>
      <c r="K252" s="38">
        <v>40</v>
      </c>
      <c r="L252" s="49"/>
      <c r="M252" s="135" t="s">
        <v>697</v>
      </c>
      <c r="N252" s="398" t="s">
        <v>915</v>
      </c>
      <c r="O252" s="119" t="s">
        <v>944</v>
      </c>
      <c r="P252" s="43">
        <v>6</v>
      </c>
      <c r="Q252" s="68" t="s">
        <v>640</v>
      </c>
    </row>
    <row r="253" spans="1:17" ht="29.45" customHeight="1" x14ac:dyDescent="0.2">
      <c r="A253" s="64">
        <v>2</v>
      </c>
      <c r="B253" s="47"/>
      <c r="C253" s="48" t="s">
        <v>940</v>
      </c>
      <c r="D253" s="51" t="s">
        <v>941</v>
      </c>
      <c r="E253" s="43" t="s">
        <v>534</v>
      </c>
      <c r="F253" s="43" t="s">
        <v>942</v>
      </c>
      <c r="G253" s="64" t="s">
        <v>8</v>
      </c>
      <c r="H253" s="108"/>
      <c r="I253" s="15"/>
      <c r="J253" s="100">
        <v>22</v>
      </c>
      <c r="K253" s="38"/>
      <c r="L253" s="49"/>
      <c r="M253" s="135" t="s">
        <v>697</v>
      </c>
      <c r="N253" s="398" t="s">
        <v>945</v>
      </c>
      <c r="O253" s="119" t="s">
        <v>946</v>
      </c>
      <c r="P253" s="43">
        <v>1</v>
      </c>
      <c r="Q253" s="68" t="s">
        <v>640</v>
      </c>
    </row>
    <row r="254" spans="1:17" ht="12.75" hidden="1" customHeight="1" x14ac:dyDescent="0.2">
      <c r="A254" s="64">
        <v>2</v>
      </c>
      <c r="B254" s="47"/>
      <c r="C254" s="47"/>
      <c r="D254" s="51"/>
      <c r="E254" s="43"/>
      <c r="F254" s="43"/>
      <c r="G254" s="131" t="s">
        <v>495</v>
      </c>
      <c r="H254" s="122"/>
      <c r="I254" s="131" t="e">
        <f>SUM(I249,I243,I231,I223,I220,I218,I212,I209,#REF!,I207,I198,#REF!,I196,I192,#REF!,#REF!,I187,#REF!,I185,#REF!,#REF!,I181,I175,I172,I167,I148,I143,I141)</f>
        <v>#REF!</v>
      </c>
      <c r="J254" s="131">
        <f>SUM(J249,J243,J231,J223,J220,J218,J212,J209,J207,J198,J196,J192,J187,J185,J181,J175,J172,J167,J148,J143,J141,J214)</f>
        <v>4083.5000000000005</v>
      </c>
      <c r="K254" s="131" t="e">
        <f>SUM(K249,K243,K231,K223,K220,K218,K212,K209,#REF!,K207,K198,#REF!,K196,K192,#REF!,#REF!,K187,#REF!,K185,#REF!,#REF!,K181,K175,K172,K167,K148,K143,K141)</f>
        <v>#REF!</v>
      </c>
      <c r="L254" s="798" t="e">
        <f>SUM(L249,L243,L231,L223,L220,L218,L212,L209,#REF!,L207,L198,#REF!,L196,L192,#REF!,#REF!,L187,#REF!,L185,#REF!,#REF!,L181,L175,L172,L167,L148,L143,L141)</f>
        <v>#REF!</v>
      </c>
      <c r="M254" s="135"/>
      <c r="N254" s="398"/>
      <c r="O254" s="119"/>
      <c r="P254" s="43"/>
      <c r="Q254" s="68"/>
    </row>
    <row r="255" spans="1:17" ht="12.75" hidden="1" customHeight="1" x14ac:dyDescent="0.2">
      <c r="A255" s="64">
        <v>2</v>
      </c>
      <c r="B255" s="47"/>
      <c r="C255" s="47"/>
      <c r="D255" s="51"/>
      <c r="E255" s="43"/>
      <c r="F255" s="43"/>
      <c r="G255" s="82" t="s">
        <v>8</v>
      </c>
      <c r="H255" s="38"/>
      <c r="I255" s="38" t="e">
        <f>SUM(I140,I142,I147,#REF!,I217,I219,I222,I229,I242,I166,I248,I210,I208,#REF!,I197,#REF!,I195,I189,I188,#REF!,#REF!,I186,#REF!,I184,I171,I205,#REF!,#REF!)</f>
        <v>#REF!</v>
      </c>
      <c r="J255" s="38">
        <f>SUM(J140,J142,J147,J217,J219,J222,J229,J242,J166,J248,J210,J208,J197,J195,J189,J188,J186,J184,J171,J205,J213)</f>
        <v>2012.2</v>
      </c>
      <c r="K255" s="38" t="e">
        <f>SUM(K140,K142,K147,#REF!,K217,K219,K222,K229,K242,K166,K248,K210,K208,#REF!,K197,#REF!,K195,K189,K188,#REF!,#REF!,K186,#REF!,K184,K171,K205,#REF!,#REF!)</f>
        <v>#REF!</v>
      </c>
      <c r="L255" s="49" t="e">
        <f>SUM(L140,L142,L147,#REF!,L217,L219,L222,L229,L242,L166,L248,L210,L208,#REF!,L197,#REF!,L195,L189,L188,#REF!,#REF!,L186,#REF!,L184,L171,L205,#REF!,#REF!)</f>
        <v>#REF!</v>
      </c>
      <c r="M255" s="135"/>
      <c r="N255" s="398"/>
      <c r="O255" s="119"/>
      <c r="P255" s="43"/>
      <c r="Q255" s="68"/>
    </row>
    <row r="256" spans="1:17" ht="12.75" hidden="1" customHeight="1" x14ac:dyDescent="0.2">
      <c r="A256" s="64">
        <v>2</v>
      </c>
      <c r="B256" s="47"/>
      <c r="C256" s="47"/>
      <c r="D256" s="51"/>
      <c r="E256" s="43"/>
      <c r="F256" s="43"/>
      <c r="G256" s="82" t="s">
        <v>40</v>
      </c>
      <c r="H256" s="38"/>
      <c r="I256" s="38">
        <f>SUM(I193)</f>
        <v>0</v>
      </c>
      <c r="J256" s="38"/>
      <c r="K256" s="38"/>
      <c r="L256" s="49"/>
      <c r="M256" s="135"/>
      <c r="N256" s="398"/>
      <c r="O256" s="119"/>
      <c r="P256" s="43"/>
      <c r="Q256" s="68"/>
    </row>
    <row r="257" spans="1:17" ht="12.75" hidden="1" customHeight="1" x14ac:dyDescent="0.2">
      <c r="A257" s="64">
        <v>2</v>
      </c>
      <c r="B257" s="47"/>
      <c r="C257" s="47"/>
      <c r="D257" s="51"/>
      <c r="E257" s="43"/>
      <c r="F257" s="43"/>
      <c r="G257" s="82" t="s">
        <v>598</v>
      </c>
      <c r="H257" s="38"/>
      <c r="I257" s="38">
        <f>I193</f>
        <v>0</v>
      </c>
      <c r="J257" s="38">
        <f>J193</f>
        <v>200</v>
      </c>
      <c r="K257" s="38">
        <f>K193</f>
        <v>200</v>
      </c>
      <c r="L257" s="49">
        <f>L193</f>
        <v>0</v>
      </c>
      <c r="M257" s="135"/>
      <c r="N257" s="398"/>
      <c r="O257" s="119"/>
      <c r="P257" s="43"/>
      <c r="Q257" s="68"/>
    </row>
    <row r="258" spans="1:17" ht="12.75" hidden="1" customHeight="1" x14ac:dyDescent="0.2">
      <c r="A258" s="64">
        <v>2</v>
      </c>
      <c r="B258" s="47"/>
      <c r="C258" s="47"/>
      <c r="D258" s="51"/>
      <c r="E258" s="43"/>
      <c r="F258" s="43"/>
      <c r="G258" s="75" t="s">
        <v>11</v>
      </c>
      <c r="H258" s="38"/>
      <c r="I258" s="38" t="e">
        <f>#REF!</f>
        <v>#REF!</v>
      </c>
      <c r="J258" s="38"/>
      <c r="K258" s="38" t="e">
        <f>#REF!</f>
        <v>#REF!</v>
      </c>
      <c r="L258" s="49" t="e">
        <f>#REF!</f>
        <v>#REF!</v>
      </c>
      <c r="M258" s="135"/>
      <c r="N258" s="398"/>
      <c r="O258" s="119"/>
      <c r="P258" s="43"/>
      <c r="Q258" s="68"/>
    </row>
    <row r="259" spans="1:17" ht="12.75" hidden="1" customHeight="1" x14ac:dyDescent="0.2">
      <c r="A259" s="64">
        <v>2</v>
      </c>
      <c r="B259" s="47"/>
      <c r="C259" s="47"/>
      <c r="D259" s="51"/>
      <c r="E259" s="43"/>
      <c r="F259" s="43"/>
      <c r="G259" s="75" t="s">
        <v>10</v>
      </c>
      <c r="H259" s="38"/>
      <c r="I259" s="38" t="e">
        <f>SUM(I146,I174,I180,#REF!,#REF!)</f>
        <v>#REF!</v>
      </c>
      <c r="J259" s="38">
        <f>SUM(J146,J174,J180)</f>
        <v>458.8</v>
      </c>
      <c r="K259" s="38" t="e">
        <f>SUM(K146,K174,K180,#REF!,#REF!)</f>
        <v>#REF!</v>
      </c>
      <c r="L259" s="49" t="e">
        <f>SUM(L146,L174,L180,#REF!,#REF!)</f>
        <v>#REF!</v>
      </c>
      <c r="M259" s="135"/>
      <c r="N259" s="398"/>
      <c r="O259" s="119"/>
      <c r="P259" s="43"/>
      <c r="Q259" s="68"/>
    </row>
    <row r="260" spans="1:17" ht="12.75" hidden="1" customHeight="1" x14ac:dyDescent="0.2">
      <c r="A260" s="64">
        <v>2</v>
      </c>
      <c r="B260" s="47"/>
      <c r="C260" s="47"/>
      <c r="D260" s="51"/>
      <c r="E260" s="43"/>
      <c r="F260" s="43"/>
      <c r="G260" s="75" t="s">
        <v>37</v>
      </c>
      <c r="H260" s="38"/>
      <c r="I260" s="38" t="e">
        <f>SUM(I164,#REF!,I190,I194,I211,#REF!,I206,I168)</f>
        <v>#REF!</v>
      </c>
      <c r="J260" s="38">
        <f>SUM(J164,J190,J194,J211,J206,J168)</f>
        <v>1264.3</v>
      </c>
      <c r="K260" s="38" t="e">
        <f>SUM(K164,#REF!,K190,K194,K211,#REF!,K206,K168)</f>
        <v>#REF!</v>
      </c>
      <c r="L260" s="49" t="e">
        <f>SUM(L164,#REF!,L190,L194,L211,#REF!,L206,L168)</f>
        <v>#REF!</v>
      </c>
      <c r="M260" s="135"/>
      <c r="N260" s="398"/>
      <c r="O260" s="119"/>
      <c r="P260" s="43"/>
      <c r="Q260" s="68"/>
    </row>
    <row r="261" spans="1:17" ht="12.75" hidden="1" customHeight="1" x14ac:dyDescent="0.2">
      <c r="A261" s="64">
        <v>2</v>
      </c>
      <c r="B261" s="47"/>
      <c r="C261" s="47"/>
      <c r="D261" s="51"/>
      <c r="E261" s="43"/>
      <c r="F261" s="43"/>
      <c r="G261" s="75" t="s">
        <v>947</v>
      </c>
      <c r="H261" s="38"/>
      <c r="I261" s="38"/>
      <c r="J261" s="38"/>
      <c r="K261" s="38"/>
      <c r="L261" s="49"/>
      <c r="M261" s="135"/>
      <c r="N261" s="398"/>
      <c r="O261" s="119"/>
      <c r="P261" s="43"/>
      <c r="Q261" s="68"/>
    </row>
    <row r="262" spans="1:17" ht="12.75" hidden="1" customHeight="1" x14ac:dyDescent="0.2">
      <c r="A262" s="64">
        <v>2</v>
      </c>
      <c r="B262" s="47"/>
      <c r="C262" s="47"/>
      <c r="D262" s="51"/>
      <c r="E262" s="43"/>
      <c r="F262" s="43"/>
      <c r="G262" s="75" t="s">
        <v>74</v>
      </c>
      <c r="H262" s="38"/>
      <c r="I262" s="38">
        <f>SUM(I170)</f>
        <v>0</v>
      </c>
      <c r="J262" s="38">
        <f>SUM(J170)</f>
        <v>34.799999999999997</v>
      </c>
      <c r="K262" s="38">
        <f>SUM(K170)</f>
        <v>57.5</v>
      </c>
      <c r="L262" s="49">
        <f>SUM(L170)</f>
        <v>0</v>
      </c>
      <c r="M262" s="135"/>
      <c r="N262" s="398"/>
      <c r="O262" s="119"/>
      <c r="P262" s="43"/>
      <c r="Q262" s="68"/>
    </row>
    <row r="263" spans="1:17" ht="12.75" hidden="1" customHeight="1" x14ac:dyDescent="0.2">
      <c r="A263" s="64">
        <v>2</v>
      </c>
      <c r="B263" s="47"/>
      <c r="C263" s="47"/>
      <c r="D263" s="51"/>
      <c r="E263" s="43"/>
      <c r="F263" s="43"/>
      <c r="G263" s="75" t="s">
        <v>38</v>
      </c>
      <c r="H263" s="38"/>
      <c r="I263" s="38">
        <f>SUM(I165,I169)</f>
        <v>8.4</v>
      </c>
      <c r="J263" s="38">
        <f>SUM(J165,J169,J191)</f>
        <v>46</v>
      </c>
      <c r="K263" s="38">
        <f>SUM(K165,K169)</f>
        <v>31.6</v>
      </c>
      <c r="L263" s="49">
        <f>SUM(L165,L169)</f>
        <v>0</v>
      </c>
      <c r="M263" s="135"/>
      <c r="N263" s="398"/>
      <c r="O263" s="119"/>
      <c r="P263" s="43"/>
      <c r="Q263" s="68"/>
    </row>
    <row r="264" spans="1:17" ht="12.75" hidden="1" customHeight="1" x14ac:dyDescent="0.2">
      <c r="A264" s="64">
        <v>2</v>
      </c>
      <c r="B264" s="47"/>
      <c r="C264" s="47"/>
      <c r="D264" s="51"/>
      <c r="E264" s="43"/>
      <c r="F264" s="43"/>
      <c r="G264" s="75" t="s">
        <v>253</v>
      </c>
      <c r="H264" s="38"/>
      <c r="I264" s="38" t="e">
        <f>SUM(I230,#REF!)</f>
        <v>#REF!</v>
      </c>
      <c r="J264" s="38">
        <f>SUM(J230,)</f>
        <v>67.400000000000006</v>
      </c>
      <c r="K264" s="38" t="e">
        <f>SUM(K230,#REF!)</f>
        <v>#REF!</v>
      </c>
      <c r="L264" s="49" t="e">
        <f>SUM(L230,#REF!)</f>
        <v>#REF!</v>
      </c>
      <c r="M264" s="135"/>
      <c r="N264" s="398"/>
      <c r="O264" s="119"/>
      <c r="P264" s="43"/>
      <c r="Q264" s="68"/>
    </row>
    <row r="265" spans="1:17" ht="12.75" hidden="1" customHeight="1" x14ac:dyDescent="0.2">
      <c r="A265" s="64">
        <v>2</v>
      </c>
      <c r="B265" s="47"/>
      <c r="C265" s="47"/>
      <c r="D265" s="51"/>
      <c r="E265" s="43"/>
      <c r="F265" s="43"/>
      <c r="G265" s="131" t="s">
        <v>495</v>
      </c>
      <c r="H265" s="122"/>
      <c r="I265" s="131" t="e">
        <f>SUM(I255:I264)</f>
        <v>#REF!</v>
      </c>
      <c r="J265" s="131">
        <f t="shared" ref="J265:L265" si="33">SUM(J255:J264)</f>
        <v>4083.5000000000005</v>
      </c>
      <c r="K265" s="131" t="e">
        <f t="shared" si="33"/>
        <v>#REF!</v>
      </c>
      <c r="L265" s="798" t="e">
        <f t="shared" si="33"/>
        <v>#REF!</v>
      </c>
      <c r="M265" s="135"/>
      <c r="N265" s="398"/>
      <c r="O265" s="119"/>
      <c r="P265" s="43"/>
      <c r="Q265" s="68"/>
    </row>
    <row r="266" spans="1:17" ht="16.899999999999999" hidden="1" customHeight="1" x14ac:dyDescent="0.2">
      <c r="A266" s="64">
        <v>2</v>
      </c>
      <c r="B266" s="206"/>
      <c r="C266" s="47"/>
      <c r="D266" s="51"/>
      <c r="E266" s="43"/>
      <c r="F266" s="43"/>
      <c r="G266" s="75"/>
      <c r="H266" s="38"/>
      <c r="I266" s="38" t="e">
        <f>I254-I265</f>
        <v>#REF!</v>
      </c>
      <c r="J266" s="38">
        <f>J254-J265</f>
        <v>0</v>
      </c>
      <c r="K266" s="38" t="e">
        <f>K254-K265</f>
        <v>#REF!</v>
      </c>
      <c r="L266" s="49" t="e">
        <f>L254-L265</f>
        <v>#REF!</v>
      </c>
      <c r="M266" s="135"/>
      <c r="N266" s="398"/>
      <c r="O266" s="119"/>
      <c r="P266" s="43"/>
      <c r="Q266" s="68"/>
    </row>
    <row r="267" spans="1:17" ht="13.15" customHeight="1" x14ac:dyDescent="0.2">
      <c r="A267" s="927"/>
      <c r="B267" s="927"/>
      <c r="C267" s="927"/>
      <c r="D267" s="927" t="s">
        <v>1850</v>
      </c>
      <c r="E267" s="930"/>
      <c r="F267" s="927"/>
      <c r="G267" s="927"/>
      <c r="H267" s="927"/>
      <c r="I267" s="927"/>
      <c r="J267" s="927"/>
      <c r="K267" s="927"/>
      <c r="L267" s="929"/>
      <c r="M267" s="940"/>
      <c r="N267" s="1028"/>
      <c r="O267" s="995"/>
      <c r="P267" s="941"/>
      <c r="Q267" s="941"/>
    </row>
    <row r="268" spans="1:17" ht="26.45" customHeight="1" x14ac:dyDescent="0.2">
      <c r="A268" s="64">
        <v>3</v>
      </c>
      <c r="B268" s="95"/>
      <c r="C268" s="95"/>
      <c r="D268" s="96" t="s">
        <v>948</v>
      </c>
      <c r="E268" s="97"/>
      <c r="F268" s="98"/>
      <c r="G268" s="97"/>
      <c r="H268" s="97"/>
      <c r="I268" s="97"/>
      <c r="J268" s="97"/>
      <c r="K268" s="97"/>
      <c r="L268" s="431"/>
      <c r="M268" s="135"/>
      <c r="N268" s="837"/>
      <c r="O268" s="207"/>
      <c r="P268" s="75"/>
      <c r="Q268" s="83"/>
    </row>
    <row r="269" spans="1:17" ht="24.6" customHeight="1" x14ac:dyDescent="0.2">
      <c r="A269" s="43">
        <v>3</v>
      </c>
      <c r="B269" s="114" t="s">
        <v>949</v>
      </c>
      <c r="C269" s="114" t="s">
        <v>949</v>
      </c>
      <c r="D269" s="134" t="s">
        <v>950</v>
      </c>
      <c r="E269" s="938"/>
      <c r="F269" s="413"/>
      <c r="G269" s="939"/>
      <c r="H269" s="190"/>
      <c r="I269" s="190">
        <f>I276+I278+I280+I285</f>
        <v>422.40000000000003</v>
      </c>
      <c r="J269" s="100"/>
      <c r="K269" s="190"/>
      <c r="L269" s="802"/>
      <c r="M269" s="135"/>
      <c r="N269" s="398"/>
      <c r="O269" s="119"/>
      <c r="P269" s="43"/>
      <c r="Q269" s="208"/>
    </row>
    <row r="270" spans="1:17" ht="22.5" x14ac:dyDescent="0.2">
      <c r="A270" s="43">
        <v>3</v>
      </c>
      <c r="B270" s="47"/>
      <c r="C270" s="47" t="s">
        <v>951</v>
      </c>
      <c r="D270" s="209" t="s">
        <v>113</v>
      </c>
      <c r="E270" s="47" t="s">
        <v>111</v>
      </c>
      <c r="F270" s="43" t="s">
        <v>114</v>
      </c>
      <c r="G270" s="71" t="s">
        <v>115</v>
      </c>
      <c r="H270" s="6">
        <v>394.7</v>
      </c>
      <c r="I270" s="26">
        <v>385</v>
      </c>
      <c r="J270" s="100">
        <f>368+80+48</f>
        <v>496</v>
      </c>
      <c r="K270" s="26">
        <v>368</v>
      </c>
      <c r="L270" s="27">
        <v>368</v>
      </c>
      <c r="M270" s="135"/>
      <c r="N270" s="398" t="s">
        <v>952</v>
      </c>
      <c r="O270" s="119" t="s">
        <v>953</v>
      </c>
      <c r="P270" s="67">
        <v>15</v>
      </c>
      <c r="Q270" s="208"/>
    </row>
    <row r="271" spans="1:17" ht="30.6" customHeight="1" x14ac:dyDescent="0.2">
      <c r="A271" s="43">
        <v>3</v>
      </c>
      <c r="B271" s="47"/>
      <c r="C271" s="47"/>
      <c r="D271" s="209"/>
      <c r="E271" s="47" t="s">
        <v>111</v>
      </c>
      <c r="F271" s="43" t="s">
        <v>114</v>
      </c>
      <c r="G271" s="71" t="s">
        <v>10</v>
      </c>
      <c r="H271" s="6">
        <v>12.5</v>
      </c>
      <c r="I271" s="26">
        <v>8.1</v>
      </c>
      <c r="J271" s="100">
        <f>28</f>
        <v>28</v>
      </c>
      <c r="K271" s="6"/>
      <c r="L271" s="25"/>
      <c r="M271" s="135"/>
      <c r="N271" s="838"/>
      <c r="O271" s="119" t="s">
        <v>954</v>
      </c>
      <c r="P271" s="67">
        <v>3</v>
      </c>
      <c r="Q271" s="208"/>
    </row>
    <row r="272" spans="1:17" ht="31.15" customHeight="1" x14ac:dyDescent="0.2">
      <c r="A272" s="64">
        <v>3</v>
      </c>
      <c r="B272" s="47"/>
      <c r="C272" s="47"/>
      <c r="D272" s="209"/>
      <c r="E272" s="47" t="s">
        <v>111</v>
      </c>
      <c r="F272" s="43" t="s">
        <v>114</v>
      </c>
      <c r="G272" s="71" t="s">
        <v>116</v>
      </c>
      <c r="H272" s="6">
        <v>73.8</v>
      </c>
      <c r="I272" s="26">
        <v>0.5</v>
      </c>
      <c r="J272" s="100">
        <v>39.299999999999997</v>
      </c>
      <c r="K272" s="6"/>
      <c r="L272" s="25"/>
      <c r="M272" s="135"/>
      <c r="N272" s="398"/>
      <c r="O272" s="119" t="s">
        <v>955</v>
      </c>
      <c r="P272" s="67">
        <v>6</v>
      </c>
      <c r="Q272" s="208"/>
    </row>
    <row r="273" spans="1:17" ht="21" customHeight="1" x14ac:dyDescent="0.2">
      <c r="A273" s="43">
        <v>3</v>
      </c>
      <c r="B273" s="47"/>
      <c r="C273" s="47"/>
      <c r="D273" s="209"/>
      <c r="E273" s="47" t="s">
        <v>111</v>
      </c>
      <c r="F273" s="43" t="s">
        <v>114</v>
      </c>
      <c r="G273" s="71"/>
      <c r="H273" s="6"/>
      <c r="I273" s="26"/>
      <c r="J273" s="100"/>
      <c r="K273" s="6"/>
      <c r="L273" s="25"/>
      <c r="M273" s="135"/>
      <c r="N273" s="398"/>
      <c r="O273" s="119" t="s">
        <v>956</v>
      </c>
      <c r="P273" s="67">
        <v>2</v>
      </c>
      <c r="Q273" s="208"/>
    </row>
    <row r="274" spans="1:17" ht="45" customHeight="1" x14ac:dyDescent="0.2">
      <c r="A274" s="43">
        <v>3</v>
      </c>
      <c r="B274" s="47"/>
      <c r="C274" s="47"/>
      <c r="D274" s="209"/>
      <c r="E274" s="47" t="s">
        <v>111</v>
      </c>
      <c r="F274" s="43" t="s">
        <v>114</v>
      </c>
      <c r="G274" s="71"/>
      <c r="H274" s="6"/>
      <c r="I274" s="26"/>
      <c r="J274" s="100"/>
      <c r="K274" s="6"/>
      <c r="L274" s="25"/>
      <c r="M274" s="135"/>
      <c r="N274" s="398"/>
      <c r="O274" s="399" t="s">
        <v>957</v>
      </c>
      <c r="P274" s="390">
        <v>7</v>
      </c>
      <c r="Q274" s="208"/>
    </row>
    <row r="275" spans="1:17" ht="12.75" customHeight="1" x14ac:dyDescent="0.2">
      <c r="A275" s="43">
        <v>3</v>
      </c>
      <c r="B275" s="47"/>
      <c r="C275" s="47"/>
      <c r="D275" s="209"/>
      <c r="E275" s="47" t="s">
        <v>111</v>
      </c>
      <c r="F275" s="43" t="s">
        <v>114</v>
      </c>
      <c r="G275" s="71"/>
      <c r="H275" s="6"/>
      <c r="I275" s="26"/>
      <c r="J275" s="100"/>
      <c r="K275" s="6"/>
      <c r="L275" s="25"/>
      <c r="M275" s="135"/>
      <c r="N275" s="839"/>
      <c r="O275" s="997"/>
      <c r="P275" s="962"/>
      <c r="Q275" s="840"/>
    </row>
    <row r="276" spans="1:17" x14ac:dyDescent="0.2">
      <c r="A276" s="43">
        <v>3</v>
      </c>
      <c r="B276" s="47"/>
      <c r="C276" s="47"/>
      <c r="D276" s="209"/>
      <c r="E276" s="47" t="s">
        <v>111</v>
      </c>
      <c r="F276" s="43" t="s">
        <v>114</v>
      </c>
      <c r="G276" s="105" t="s">
        <v>495</v>
      </c>
      <c r="H276" s="107">
        <v>481</v>
      </c>
      <c r="I276" s="107">
        <f>SUM(I270:I272)</f>
        <v>393.6</v>
      </c>
      <c r="J276" s="107">
        <f>SUM(J270:J272)</f>
        <v>563.29999999999995</v>
      </c>
      <c r="K276" s="107">
        <f>SUM(K270:K272)</f>
        <v>368</v>
      </c>
      <c r="L276" s="765">
        <f>SUM(L270:L272)</f>
        <v>368</v>
      </c>
      <c r="M276" s="135"/>
      <c r="N276" s="398"/>
      <c r="O276" s="198"/>
      <c r="P276" s="40"/>
      <c r="Q276" s="208"/>
    </row>
    <row r="277" spans="1:17" ht="24" customHeight="1" x14ac:dyDescent="0.2">
      <c r="A277" s="43">
        <v>3</v>
      </c>
      <c r="B277" s="47"/>
      <c r="C277" s="47" t="s">
        <v>958</v>
      </c>
      <c r="D277" s="76" t="s">
        <v>121</v>
      </c>
      <c r="E277" s="47" t="s">
        <v>111</v>
      </c>
      <c r="F277" s="135" t="s">
        <v>122</v>
      </c>
      <c r="G277" s="71" t="s">
        <v>8</v>
      </c>
      <c r="H277" s="6">
        <v>5</v>
      </c>
      <c r="I277" s="26">
        <v>5</v>
      </c>
      <c r="J277" s="100">
        <v>6</v>
      </c>
      <c r="K277" s="6">
        <v>6</v>
      </c>
      <c r="L277" s="25">
        <v>6</v>
      </c>
      <c r="M277" s="135" t="s">
        <v>624</v>
      </c>
      <c r="N277" s="398" t="s">
        <v>1998</v>
      </c>
      <c r="O277" s="83" t="s">
        <v>959</v>
      </c>
      <c r="P277" s="67">
        <v>90</v>
      </c>
      <c r="Q277" s="208"/>
    </row>
    <row r="278" spans="1:17" x14ac:dyDescent="0.2">
      <c r="A278" s="43">
        <v>3</v>
      </c>
      <c r="B278" s="47"/>
      <c r="C278" s="47"/>
      <c r="D278" s="76"/>
      <c r="E278" s="47"/>
      <c r="F278" s="135" t="s">
        <v>122</v>
      </c>
      <c r="G278" s="105" t="s">
        <v>495</v>
      </c>
      <c r="H278" s="107"/>
      <c r="I278" s="107">
        <f>SUM(I277)</f>
        <v>5</v>
      </c>
      <c r="J278" s="107">
        <f t="shared" ref="J278:L278" si="34">SUM(J277)</f>
        <v>6</v>
      </c>
      <c r="K278" s="107">
        <f t="shared" si="34"/>
        <v>6</v>
      </c>
      <c r="L278" s="765">
        <f t="shared" si="34"/>
        <v>6</v>
      </c>
      <c r="M278" s="135"/>
      <c r="N278" s="398"/>
      <c r="O278" s="119"/>
      <c r="P278" s="67"/>
      <c r="Q278" s="208"/>
    </row>
    <row r="279" spans="1:17" ht="35.450000000000003" customHeight="1" x14ac:dyDescent="0.2">
      <c r="A279" s="43">
        <v>3</v>
      </c>
      <c r="B279" s="47"/>
      <c r="C279" s="47" t="s">
        <v>960</v>
      </c>
      <c r="D279" s="76" t="s">
        <v>961</v>
      </c>
      <c r="E279" s="47" t="s">
        <v>111</v>
      </c>
      <c r="F279" s="135" t="s">
        <v>962</v>
      </c>
      <c r="G279" s="71" t="s">
        <v>8</v>
      </c>
      <c r="H279" s="6">
        <v>45</v>
      </c>
      <c r="I279" s="26"/>
      <c r="J279" s="100">
        <f>120-2.3</f>
        <v>117.7</v>
      </c>
      <c r="K279" s="6">
        <v>100</v>
      </c>
      <c r="L279" s="25">
        <v>100</v>
      </c>
      <c r="M279" s="135" t="s">
        <v>637</v>
      </c>
      <c r="N279" s="398"/>
      <c r="O279" s="119" t="s">
        <v>963</v>
      </c>
      <c r="P279" s="67">
        <v>100</v>
      </c>
      <c r="Q279" s="208"/>
    </row>
    <row r="280" spans="1:17" x14ac:dyDescent="0.2">
      <c r="A280" s="43">
        <v>3</v>
      </c>
      <c r="B280" s="47"/>
      <c r="C280" s="47"/>
      <c r="D280" s="76"/>
      <c r="E280" s="47"/>
      <c r="F280" s="135"/>
      <c r="G280" s="105" t="s">
        <v>495</v>
      </c>
      <c r="H280" s="107"/>
      <c r="I280" s="107">
        <f>SUM(I279)</f>
        <v>0</v>
      </c>
      <c r="J280" s="107">
        <f t="shared" ref="J280:L280" si="35">SUM(J279)</f>
        <v>117.7</v>
      </c>
      <c r="K280" s="107">
        <f t="shared" si="35"/>
        <v>100</v>
      </c>
      <c r="L280" s="765">
        <f t="shared" si="35"/>
        <v>100</v>
      </c>
      <c r="M280" s="135"/>
      <c r="N280" s="398"/>
      <c r="O280" s="119"/>
      <c r="P280" s="67"/>
      <c r="Q280" s="208"/>
    </row>
    <row r="281" spans="1:17" ht="44.45" customHeight="1" x14ac:dyDescent="0.2">
      <c r="A281" s="43">
        <v>3</v>
      </c>
      <c r="B281" s="47"/>
      <c r="C281" s="47" t="s">
        <v>964</v>
      </c>
      <c r="D281" s="76" t="s">
        <v>965</v>
      </c>
      <c r="E281" s="43">
        <v>9</v>
      </c>
      <c r="F281" s="135" t="s">
        <v>966</v>
      </c>
      <c r="G281" s="71" t="s">
        <v>8</v>
      </c>
      <c r="H281" s="6"/>
      <c r="I281" s="26">
        <v>19.5</v>
      </c>
      <c r="J281" s="100">
        <f>360-210+6+187</f>
        <v>343</v>
      </c>
      <c r="K281" s="6"/>
      <c r="L281" s="25"/>
      <c r="M281" s="135" t="s">
        <v>627</v>
      </c>
      <c r="N281" s="398" t="s">
        <v>1897</v>
      </c>
      <c r="O281" s="119" t="s">
        <v>967</v>
      </c>
      <c r="P281" s="43">
        <v>1</v>
      </c>
      <c r="Q281" s="208" t="s">
        <v>640</v>
      </c>
    </row>
    <row r="282" spans="1:17" ht="12.75" customHeight="1" x14ac:dyDescent="0.2">
      <c r="A282" s="64">
        <v>3</v>
      </c>
      <c r="B282" s="47"/>
      <c r="C282" s="47"/>
      <c r="D282" s="76"/>
      <c r="E282" s="47" t="s">
        <v>39</v>
      </c>
      <c r="F282" s="135" t="s">
        <v>966</v>
      </c>
      <c r="G282" s="71" t="s">
        <v>37</v>
      </c>
      <c r="H282" s="6"/>
      <c r="I282" s="26">
        <v>4.3</v>
      </c>
      <c r="J282" s="100">
        <v>210</v>
      </c>
      <c r="K282" s="6"/>
      <c r="L282" s="25"/>
      <c r="M282" s="135"/>
      <c r="N282" s="398" t="s">
        <v>1897</v>
      </c>
      <c r="O282" s="119" t="s">
        <v>968</v>
      </c>
      <c r="P282" s="67">
        <v>100</v>
      </c>
      <c r="Q282" s="208" t="s">
        <v>640</v>
      </c>
    </row>
    <row r="283" spans="1:17" ht="12.75" customHeight="1" x14ac:dyDescent="0.2">
      <c r="A283" s="43">
        <v>3</v>
      </c>
      <c r="B283" s="47"/>
      <c r="C283" s="47"/>
      <c r="D283" s="212"/>
      <c r="E283" s="47" t="s">
        <v>39</v>
      </c>
      <c r="F283" s="135" t="s">
        <v>966</v>
      </c>
      <c r="G283" s="71" t="s">
        <v>38</v>
      </c>
      <c r="H283" s="6"/>
      <c r="I283" s="26"/>
      <c r="J283" s="100">
        <v>28</v>
      </c>
      <c r="K283" s="6"/>
      <c r="L283" s="25"/>
      <c r="M283" s="135"/>
      <c r="N283" s="398" t="s">
        <v>1897</v>
      </c>
      <c r="O283" s="119"/>
      <c r="P283" s="67"/>
      <c r="Q283" s="208" t="s">
        <v>640</v>
      </c>
    </row>
    <row r="284" spans="1:17" ht="20.25" customHeight="1" x14ac:dyDescent="0.2">
      <c r="A284" s="43">
        <v>3</v>
      </c>
      <c r="B284" s="47"/>
      <c r="C284" s="47"/>
      <c r="D284" s="212"/>
      <c r="E284" s="47" t="s">
        <v>472</v>
      </c>
      <c r="F284" s="135" t="s">
        <v>2074</v>
      </c>
      <c r="G284" s="1210" t="s">
        <v>8</v>
      </c>
      <c r="H284" s="6"/>
      <c r="I284" s="26"/>
      <c r="J284" s="100">
        <v>13.1</v>
      </c>
      <c r="K284" s="6"/>
      <c r="L284" s="25"/>
      <c r="M284" s="135"/>
      <c r="N284" s="119" t="s">
        <v>583</v>
      </c>
      <c r="O284" s="119" t="s">
        <v>2075</v>
      </c>
      <c r="P284" s="43" t="s">
        <v>749</v>
      </c>
      <c r="Q284" s="208" t="s">
        <v>640</v>
      </c>
    </row>
    <row r="285" spans="1:17" x14ac:dyDescent="0.2">
      <c r="A285" s="43">
        <v>3</v>
      </c>
      <c r="B285" s="47"/>
      <c r="C285" s="47"/>
      <c r="D285" s="212"/>
      <c r="E285" s="47"/>
      <c r="F285" s="135"/>
      <c r="G285" s="105" t="s">
        <v>495</v>
      </c>
      <c r="H285" s="107">
        <v>0</v>
      </c>
      <c r="I285" s="107">
        <f>SUM(I281:I283)</f>
        <v>23.8</v>
      </c>
      <c r="J285" s="107">
        <f>SUM(J281:J284)</f>
        <v>594.1</v>
      </c>
      <c r="K285" s="107">
        <f t="shared" ref="K285:L285" si="36">SUM(K281:K283)</f>
        <v>0</v>
      </c>
      <c r="L285" s="765">
        <f t="shared" si="36"/>
        <v>0</v>
      </c>
      <c r="M285" s="135"/>
      <c r="N285" s="398"/>
      <c r="O285" s="119"/>
      <c r="P285" s="67"/>
      <c r="Q285" s="208"/>
    </row>
    <row r="286" spans="1:17" ht="32.450000000000003" customHeight="1" x14ac:dyDescent="0.2">
      <c r="A286" s="43">
        <v>3</v>
      </c>
      <c r="B286" s="114" t="s">
        <v>969</v>
      </c>
      <c r="C286" s="114"/>
      <c r="D286" s="134" t="s">
        <v>970</v>
      </c>
      <c r="E286" s="938"/>
      <c r="F286" s="413"/>
      <c r="G286" s="939"/>
      <c r="H286" s="213"/>
      <c r="I286" s="213" t="e">
        <f>#REF!+#REF!+#REF!+I289+#REF!</f>
        <v>#REF!</v>
      </c>
      <c r="J286" s="100"/>
      <c r="K286" s="190"/>
      <c r="L286" s="802"/>
      <c r="M286" s="135"/>
      <c r="N286" s="398"/>
      <c r="O286" s="119"/>
      <c r="P286" s="67"/>
      <c r="Q286" s="208"/>
    </row>
    <row r="287" spans="1:17" ht="35.450000000000003" customHeight="1" x14ac:dyDescent="0.2">
      <c r="A287" s="64">
        <v>3</v>
      </c>
      <c r="B287" s="52"/>
      <c r="C287" s="52" t="s">
        <v>971</v>
      </c>
      <c r="D287" s="76" t="s">
        <v>119</v>
      </c>
      <c r="E287" s="135">
        <v>18</v>
      </c>
      <c r="F287" s="43" t="s">
        <v>972</v>
      </c>
      <c r="G287" s="71" t="s">
        <v>10</v>
      </c>
      <c r="H287" s="6">
        <v>52.1</v>
      </c>
      <c r="I287" s="26"/>
      <c r="J287" s="100">
        <f>29.9</f>
        <v>29.9</v>
      </c>
      <c r="K287" s="6"/>
      <c r="L287" s="25"/>
      <c r="M287" s="135"/>
      <c r="N287" s="398" t="s">
        <v>973</v>
      </c>
      <c r="O287" s="119" t="s">
        <v>974</v>
      </c>
      <c r="P287" s="353">
        <v>100</v>
      </c>
      <c r="Q287" s="355"/>
    </row>
    <row r="288" spans="1:17" ht="12.75" customHeight="1" x14ac:dyDescent="0.2">
      <c r="A288" s="43">
        <v>3</v>
      </c>
      <c r="B288" s="52"/>
      <c r="C288" s="52"/>
      <c r="D288" s="76"/>
      <c r="E288" s="135">
        <v>18</v>
      </c>
      <c r="F288" s="43" t="s">
        <v>972</v>
      </c>
      <c r="G288" s="71" t="s">
        <v>8</v>
      </c>
      <c r="H288" s="6">
        <v>13.5</v>
      </c>
      <c r="I288" s="26">
        <f>40+20</f>
        <v>60</v>
      </c>
      <c r="J288" s="100">
        <f>20+2.3</f>
        <v>22.3</v>
      </c>
      <c r="K288" s="6">
        <v>20</v>
      </c>
      <c r="L288" s="25">
        <v>20</v>
      </c>
      <c r="M288" s="135" t="s">
        <v>637</v>
      </c>
      <c r="N288" s="398"/>
      <c r="O288" s="119"/>
      <c r="P288" s="353"/>
      <c r="Q288" s="355"/>
    </row>
    <row r="289" spans="1:17" x14ac:dyDescent="0.2">
      <c r="A289" s="43">
        <v>3</v>
      </c>
      <c r="B289" s="52"/>
      <c r="C289" s="52"/>
      <c r="D289" s="117"/>
      <c r="E289" s="113"/>
      <c r="F289" s="43" t="s">
        <v>972</v>
      </c>
      <c r="G289" s="105" t="s">
        <v>495</v>
      </c>
      <c r="H289" s="107"/>
      <c r="I289" s="107">
        <f>SUM(I287:I288)</f>
        <v>60</v>
      </c>
      <c r="J289" s="107">
        <f t="shared" ref="J289:L289" si="37">SUM(J287:J288)</f>
        <v>52.2</v>
      </c>
      <c r="K289" s="107">
        <f t="shared" si="37"/>
        <v>20</v>
      </c>
      <c r="L289" s="765">
        <f t="shared" si="37"/>
        <v>20</v>
      </c>
      <c r="M289" s="135"/>
      <c r="N289" s="398"/>
      <c r="O289" s="119"/>
      <c r="P289" s="353"/>
      <c r="Q289" s="355"/>
    </row>
    <row r="290" spans="1:17" ht="27" customHeight="1" x14ac:dyDescent="0.2">
      <c r="A290" s="43">
        <v>3</v>
      </c>
      <c r="B290" s="114" t="s">
        <v>975</v>
      </c>
      <c r="C290" s="114" t="s">
        <v>975</v>
      </c>
      <c r="D290" s="134" t="s">
        <v>976</v>
      </c>
      <c r="E290" s="99"/>
      <c r="F290" s="75"/>
      <c r="G290" s="135"/>
      <c r="H290" s="7">
        <v>1121.4000000000001</v>
      </c>
      <c r="I290" s="190">
        <f>SUM(I292,I294,I296,I298,I300,I302,I304,I307,I309,I311,I313,I323,I325)</f>
        <v>2120.4999999999995</v>
      </c>
      <c r="J290" s="115"/>
      <c r="K290" s="21"/>
      <c r="L290" s="58"/>
      <c r="M290" s="135"/>
      <c r="N290" s="806"/>
      <c r="O290" s="102"/>
      <c r="P290" s="361"/>
      <c r="Q290" s="357"/>
    </row>
    <row r="291" spans="1:17" ht="30" customHeight="1" x14ac:dyDescent="0.2">
      <c r="A291" s="43">
        <v>3</v>
      </c>
      <c r="B291" s="113"/>
      <c r="C291" s="113" t="s">
        <v>977</v>
      </c>
      <c r="D291" s="51" t="s">
        <v>123</v>
      </c>
      <c r="E291" s="67">
        <v>19</v>
      </c>
      <c r="F291" s="67" t="s">
        <v>124</v>
      </c>
      <c r="G291" s="67" t="s">
        <v>8</v>
      </c>
      <c r="H291" s="6">
        <v>99.7</v>
      </c>
      <c r="I291" s="26">
        <v>82</v>
      </c>
      <c r="J291" s="100">
        <v>84.6</v>
      </c>
      <c r="K291" s="6">
        <v>84.6</v>
      </c>
      <c r="L291" s="25">
        <v>84.6</v>
      </c>
      <c r="M291" s="135" t="s">
        <v>624</v>
      </c>
      <c r="N291" s="398" t="s">
        <v>1999</v>
      </c>
      <c r="O291" s="119" t="s">
        <v>978</v>
      </c>
      <c r="P291" s="353">
        <v>19</v>
      </c>
      <c r="Q291" s="358" t="s">
        <v>732</v>
      </c>
    </row>
    <row r="292" spans="1:17" x14ac:dyDescent="0.2">
      <c r="A292" s="43">
        <v>3</v>
      </c>
      <c r="B292" s="113"/>
      <c r="C292" s="113" t="s">
        <v>977</v>
      </c>
      <c r="D292" s="51"/>
      <c r="E292" s="67"/>
      <c r="F292" s="67" t="s">
        <v>979</v>
      </c>
      <c r="G292" s="105" t="s">
        <v>495</v>
      </c>
      <c r="H292" s="107">
        <f>SUM(H291)</f>
        <v>99.7</v>
      </c>
      <c r="I292" s="107">
        <f>SUM(I291)</f>
        <v>82</v>
      </c>
      <c r="J292" s="107">
        <f t="shared" ref="J292:L292" si="38">SUM(J291)</f>
        <v>84.6</v>
      </c>
      <c r="K292" s="107">
        <f t="shared" si="38"/>
        <v>84.6</v>
      </c>
      <c r="L292" s="765">
        <f t="shared" si="38"/>
        <v>84.6</v>
      </c>
      <c r="M292" s="135"/>
      <c r="N292" s="398"/>
      <c r="O292" s="119"/>
      <c r="P292" s="353"/>
      <c r="Q292" s="358">
        <f>SUM(Q291)</f>
        <v>0</v>
      </c>
    </row>
    <row r="293" spans="1:17" ht="27" customHeight="1" x14ac:dyDescent="0.2">
      <c r="A293" s="43">
        <v>3</v>
      </c>
      <c r="B293" s="113"/>
      <c r="C293" s="113" t="s">
        <v>980</v>
      </c>
      <c r="D293" s="51" t="s">
        <v>125</v>
      </c>
      <c r="E293" s="67">
        <v>20</v>
      </c>
      <c r="F293" s="67" t="s">
        <v>126</v>
      </c>
      <c r="G293" s="67" t="s">
        <v>8</v>
      </c>
      <c r="H293" s="38">
        <v>104.8</v>
      </c>
      <c r="I293" s="15">
        <v>150.5</v>
      </c>
      <c r="J293" s="100">
        <v>122.6</v>
      </c>
      <c r="K293" s="6">
        <v>122.6</v>
      </c>
      <c r="L293" s="25">
        <v>145.69999999999999</v>
      </c>
      <c r="M293" s="135" t="s">
        <v>624</v>
      </c>
      <c r="N293" s="718" t="s">
        <v>1172</v>
      </c>
      <c r="O293" s="119" t="s">
        <v>978</v>
      </c>
      <c r="P293" s="353">
        <v>20</v>
      </c>
      <c r="Q293" s="359" t="s">
        <v>981</v>
      </c>
    </row>
    <row r="294" spans="1:17" x14ac:dyDescent="0.2">
      <c r="A294" s="43">
        <v>3</v>
      </c>
      <c r="B294" s="113"/>
      <c r="C294" s="113" t="s">
        <v>980</v>
      </c>
      <c r="D294" s="51"/>
      <c r="E294" s="67"/>
      <c r="F294" s="67" t="s">
        <v>126</v>
      </c>
      <c r="G294" s="105" t="s">
        <v>495</v>
      </c>
      <c r="H294" s="107">
        <f>SUM(H293)</f>
        <v>104.8</v>
      </c>
      <c r="I294" s="107">
        <f>SUM(I293)</f>
        <v>150.5</v>
      </c>
      <c r="J294" s="107">
        <f t="shared" ref="J294:L294" si="39">SUM(J293)</f>
        <v>122.6</v>
      </c>
      <c r="K294" s="107">
        <f t="shared" si="39"/>
        <v>122.6</v>
      </c>
      <c r="L294" s="765">
        <f t="shared" si="39"/>
        <v>145.69999999999999</v>
      </c>
      <c r="M294" s="135"/>
      <c r="N294" s="398"/>
      <c r="O294" s="119"/>
      <c r="P294" s="353"/>
      <c r="Q294" s="358">
        <f>SUM(Q293)</f>
        <v>0</v>
      </c>
    </row>
    <row r="295" spans="1:17" ht="25.15" customHeight="1" x14ac:dyDescent="0.2">
      <c r="A295" s="43">
        <v>3</v>
      </c>
      <c r="B295" s="113"/>
      <c r="C295" s="113" t="s">
        <v>982</v>
      </c>
      <c r="D295" s="51" t="s">
        <v>127</v>
      </c>
      <c r="E295" s="67">
        <v>21</v>
      </c>
      <c r="F295" s="67" t="s">
        <v>128</v>
      </c>
      <c r="G295" s="67" t="s">
        <v>8</v>
      </c>
      <c r="H295" s="38">
        <v>180.7</v>
      </c>
      <c r="I295" s="15">
        <v>205</v>
      </c>
      <c r="J295" s="100">
        <v>191.1</v>
      </c>
      <c r="K295" s="6">
        <v>182.1</v>
      </c>
      <c r="L295" s="25">
        <v>182.1</v>
      </c>
      <c r="M295" s="135" t="s">
        <v>624</v>
      </c>
      <c r="N295" s="398" t="s">
        <v>2000</v>
      </c>
      <c r="O295" s="119" t="s">
        <v>978</v>
      </c>
      <c r="P295" s="353">
        <v>44</v>
      </c>
      <c r="Q295" s="359" t="s">
        <v>716</v>
      </c>
    </row>
    <row r="296" spans="1:17" ht="22.5" x14ac:dyDescent="0.2">
      <c r="A296" s="43">
        <v>3</v>
      </c>
      <c r="B296" s="113"/>
      <c r="C296" s="113" t="s">
        <v>982</v>
      </c>
      <c r="D296" s="51"/>
      <c r="E296" s="67"/>
      <c r="F296" s="67" t="s">
        <v>128</v>
      </c>
      <c r="G296" s="105" t="s">
        <v>495</v>
      </c>
      <c r="H296" s="107">
        <f>SUM(H295)</f>
        <v>180.7</v>
      </c>
      <c r="I296" s="107">
        <f>SUM(I295)</f>
        <v>205</v>
      </c>
      <c r="J296" s="107">
        <f t="shared" ref="J296:L296" si="40">SUM(J295)</f>
        <v>191.1</v>
      </c>
      <c r="K296" s="107">
        <f t="shared" si="40"/>
        <v>182.1</v>
      </c>
      <c r="L296" s="765">
        <f t="shared" si="40"/>
        <v>182.1</v>
      </c>
      <c r="M296" s="135"/>
      <c r="N296" s="398" t="s">
        <v>2000</v>
      </c>
      <c r="O296" s="119" t="s">
        <v>983</v>
      </c>
      <c r="P296" s="353">
        <v>2</v>
      </c>
      <c r="Q296" s="359" t="s">
        <v>716</v>
      </c>
    </row>
    <row r="297" spans="1:17" ht="29.45" customHeight="1" x14ac:dyDescent="0.2">
      <c r="A297" s="64">
        <v>3</v>
      </c>
      <c r="B297" s="113"/>
      <c r="C297" s="113" t="s">
        <v>984</v>
      </c>
      <c r="D297" s="51" t="s">
        <v>129</v>
      </c>
      <c r="E297" s="67">
        <v>22</v>
      </c>
      <c r="F297" s="67" t="s">
        <v>130</v>
      </c>
      <c r="G297" s="67" t="s">
        <v>8</v>
      </c>
      <c r="H297" s="6">
        <v>110.5</v>
      </c>
      <c r="I297" s="26">
        <v>89.4</v>
      </c>
      <c r="J297" s="100">
        <v>109.3</v>
      </c>
      <c r="K297" s="6">
        <v>109.3</v>
      </c>
      <c r="L297" s="25">
        <v>109.3</v>
      </c>
      <c r="M297" s="135" t="s">
        <v>624</v>
      </c>
      <c r="N297" s="398" t="s">
        <v>2001</v>
      </c>
      <c r="O297" s="119" t="s">
        <v>985</v>
      </c>
      <c r="P297" s="353">
        <v>21</v>
      </c>
      <c r="Q297" s="59" t="s">
        <v>750</v>
      </c>
    </row>
    <row r="298" spans="1:17" x14ac:dyDescent="0.2">
      <c r="A298" s="43">
        <v>3</v>
      </c>
      <c r="B298" s="113"/>
      <c r="C298" s="113" t="s">
        <v>984</v>
      </c>
      <c r="D298" s="51"/>
      <c r="E298" s="67"/>
      <c r="F298" s="67" t="s">
        <v>130</v>
      </c>
      <c r="G298" s="105" t="s">
        <v>495</v>
      </c>
      <c r="H298" s="107">
        <f>SUM(H297)</f>
        <v>110.5</v>
      </c>
      <c r="I298" s="107">
        <f>SUM(I297)</f>
        <v>89.4</v>
      </c>
      <c r="J298" s="107">
        <f t="shared" ref="J298:L298" si="41">SUM(J297)</f>
        <v>109.3</v>
      </c>
      <c r="K298" s="107">
        <f t="shared" si="41"/>
        <v>109.3</v>
      </c>
      <c r="L298" s="765">
        <f t="shared" si="41"/>
        <v>109.3</v>
      </c>
      <c r="M298" s="135"/>
      <c r="N298" s="398"/>
      <c r="O298" s="119"/>
      <c r="P298" s="353"/>
      <c r="Q298" s="358"/>
    </row>
    <row r="299" spans="1:17" ht="32.450000000000003" customHeight="1" x14ac:dyDescent="0.2">
      <c r="A299" s="43">
        <v>3</v>
      </c>
      <c r="B299" s="113"/>
      <c r="C299" s="113" t="s">
        <v>986</v>
      </c>
      <c r="D299" s="36" t="s">
        <v>131</v>
      </c>
      <c r="E299" s="70">
        <v>23</v>
      </c>
      <c r="F299" s="70" t="s">
        <v>132</v>
      </c>
      <c r="G299" s="67" t="s">
        <v>8</v>
      </c>
      <c r="H299" s="15">
        <v>655.7</v>
      </c>
      <c r="I299" s="15">
        <v>578.29999999999995</v>
      </c>
      <c r="J299" s="100">
        <v>646.70000000000005</v>
      </c>
      <c r="K299" s="6">
        <v>611</v>
      </c>
      <c r="L299" s="25">
        <v>611</v>
      </c>
      <c r="M299" s="135" t="s">
        <v>624</v>
      </c>
      <c r="N299" s="398" t="s">
        <v>2002</v>
      </c>
      <c r="O299" s="119" t="s">
        <v>978</v>
      </c>
      <c r="P299" s="353">
        <v>100</v>
      </c>
      <c r="Q299" s="59" t="s">
        <v>640</v>
      </c>
    </row>
    <row r="300" spans="1:17" x14ac:dyDescent="0.2">
      <c r="A300" s="43">
        <v>3</v>
      </c>
      <c r="B300" s="113"/>
      <c r="C300" s="113" t="s">
        <v>986</v>
      </c>
      <c r="D300" s="36"/>
      <c r="E300" s="70"/>
      <c r="F300" s="70" t="s">
        <v>132</v>
      </c>
      <c r="G300" s="105" t="s">
        <v>495</v>
      </c>
      <c r="H300" s="107">
        <f>SUM(H299)</f>
        <v>655.7</v>
      </c>
      <c r="I300" s="107">
        <f>SUM(I299)</f>
        <v>578.29999999999995</v>
      </c>
      <c r="J300" s="107">
        <f t="shared" ref="J300:L300" si="42">SUM(J299)</f>
        <v>646.70000000000005</v>
      </c>
      <c r="K300" s="107">
        <f t="shared" si="42"/>
        <v>611</v>
      </c>
      <c r="L300" s="765">
        <f t="shared" si="42"/>
        <v>611</v>
      </c>
      <c r="M300" s="135"/>
      <c r="N300" s="398"/>
      <c r="O300" s="119"/>
      <c r="P300" s="353"/>
      <c r="Q300" s="358"/>
    </row>
    <row r="301" spans="1:17" ht="22.5" x14ac:dyDescent="0.2">
      <c r="A301" s="43">
        <v>3</v>
      </c>
      <c r="B301" s="113"/>
      <c r="C301" s="113" t="s">
        <v>987</v>
      </c>
      <c r="D301" s="51" t="s">
        <v>133</v>
      </c>
      <c r="E301" s="67">
        <v>24</v>
      </c>
      <c r="F301" s="67" t="s">
        <v>134</v>
      </c>
      <c r="G301" s="67" t="s">
        <v>8</v>
      </c>
      <c r="H301" s="6">
        <v>94.8</v>
      </c>
      <c r="I301" s="26">
        <v>74.599999999999994</v>
      </c>
      <c r="J301" s="100">
        <v>93.1</v>
      </c>
      <c r="K301" s="6">
        <v>75.400000000000006</v>
      </c>
      <c r="L301" s="25">
        <v>75.400000000000006</v>
      </c>
      <c r="M301" s="135" t="s">
        <v>624</v>
      </c>
      <c r="N301" s="398" t="s">
        <v>2003</v>
      </c>
      <c r="O301" s="119" t="s">
        <v>978</v>
      </c>
      <c r="P301" s="353">
        <v>12</v>
      </c>
      <c r="Q301" s="59" t="s">
        <v>835</v>
      </c>
    </row>
    <row r="302" spans="1:17" x14ac:dyDescent="0.2">
      <c r="A302" s="43">
        <v>3</v>
      </c>
      <c r="B302" s="113"/>
      <c r="C302" s="113" t="s">
        <v>987</v>
      </c>
      <c r="D302" s="51"/>
      <c r="E302" s="67"/>
      <c r="F302" s="67" t="s">
        <v>134</v>
      </c>
      <c r="G302" s="105" t="s">
        <v>495</v>
      </c>
      <c r="H302" s="107">
        <f>SUM(H301)</f>
        <v>94.8</v>
      </c>
      <c r="I302" s="107">
        <f>SUM(I301)</f>
        <v>74.599999999999994</v>
      </c>
      <c r="J302" s="107">
        <f t="shared" ref="J302:L302" si="43">SUM(J301)</f>
        <v>93.1</v>
      </c>
      <c r="K302" s="107">
        <f t="shared" si="43"/>
        <v>75.400000000000006</v>
      </c>
      <c r="L302" s="765">
        <f t="shared" si="43"/>
        <v>75.400000000000006</v>
      </c>
      <c r="M302" s="135"/>
      <c r="N302" s="398"/>
      <c r="O302" s="119"/>
      <c r="P302" s="353"/>
      <c r="Q302" s="358"/>
    </row>
    <row r="303" spans="1:17" ht="27" customHeight="1" x14ac:dyDescent="0.2">
      <c r="A303" s="43">
        <v>3</v>
      </c>
      <c r="B303" s="113"/>
      <c r="C303" s="113" t="s">
        <v>988</v>
      </c>
      <c r="D303" s="51" t="s">
        <v>135</v>
      </c>
      <c r="E303" s="67">
        <v>25</v>
      </c>
      <c r="F303" s="67" t="s">
        <v>136</v>
      </c>
      <c r="G303" s="67" t="s">
        <v>8</v>
      </c>
      <c r="H303" s="6">
        <v>188.5</v>
      </c>
      <c r="I303" s="26">
        <v>155.80000000000001</v>
      </c>
      <c r="J303" s="100">
        <v>217.1</v>
      </c>
      <c r="K303" s="6">
        <v>197.1</v>
      </c>
      <c r="L303" s="25">
        <v>197.1</v>
      </c>
      <c r="M303" s="135" t="s">
        <v>624</v>
      </c>
      <c r="N303" s="398" t="s">
        <v>2004</v>
      </c>
      <c r="O303" s="119" t="s">
        <v>978</v>
      </c>
      <c r="P303" s="353">
        <v>42</v>
      </c>
      <c r="Q303" s="59" t="s">
        <v>728</v>
      </c>
    </row>
    <row r="304" spans="1:17" x14ac:dyDescent="0.2">
      <c r="A304" s="43">
        <v>3</v>
      </c>
      <c r="B304" s="113"/>
      <c r="C304" s="113" t="s">
        <v>988</v>
      </c>
      <c r="D304" s="51"/>
      <c r="E304" s="67"/>
      <c r="F304" s="67" t="s">
        <v>136</v>
      </c>
      <c r="G304" s="105" t="s">
        <v>495</v>
      </c>
      <c r="H304" s="107">
        <f>SUM(H303)</f>
        <v>188.5</v>
      </c>
      <c r="I304" s="107">
        <f>SUM(I303)</f>
        <v>155.80000000000001</v>
      </c>
      <c r="J304" s="107">
        <f t="shared" ref="J304:L304" si="44">SUM(J303)</f>
        <v>217.1</v>
      </c>
      <c r="K304" s="107">
        <f t="shared" si="44"/>
        <v>197.1</v>
      </c>
      <c r="L304" s="765">
        <f t="shared" si="44"/>
        <v>197.1</v>
      </c>
      <c r="M304" s="135"/>
      <c r="N304" s="398"/>
      <c r="O304" s="119"/>
      <c r="P304" s="353"/>
      <c r="Q304" s="358"/>
    </row>
    <row r="305" spans="1:17" ht="29.45" customHeight="1" x14ac:dyDescent="0.2">
      <c r="A305" s="43">
        <v>3</v>
      </c>
      <c r="B305" s="113"/>
      <c r="C305" s="113" t="s">
        <v>989</v>
      </c>
      <c r="D305" s="51" t="s">
        <v>137</v>
      </c>
      <c r="E305" s="67">
        <v>26</v>
      </c>
      <c r="F305" s="67" t="s">
        <v>138</v>
      </c>
      <c r="G305" s="67" t="s">
        <v>8</v>
      </c>
      <c r="H305" s="6">
        <v>293.10000000000002</v>
      </c>
      <c r="I305" s="26">
        <v>299.89999999999998</v>
      </c>
      <c r="J305" s="100">
        <f>374.6-13.4</f>
        <v>361.20000000000005</v>
      </c>
      <c r="K305" s="6">
        <v>374.6</v>
      </c>
      <c r="L305" s="25">
        <v>374.6</v>
      </c>
      <c r="M305" s="135" t="s">
        <v>624</v>
      </c>
      <c r="N305" s="398" t="s">
        <v>2005</v>
      </c>
      <c r="O305" s="119" t="s">
        <v>978</v>
      </c>
      <c r="P305" s="353">
        <v>90</v>
      </c>
      <c r="Q305" s="59" t="s">
        <v>720</v>
      </c>
    </row>
    <row r="306" spans="1:17" ht="12.75" customHeight="1" x14ac:dyDescent="0.2">
      <c r="A306" s="43">
        <v>3</v>
      </c>
      <c r="B306" s="113"/>
      <c r="C306" s="113" t="s">
        <v>989</v>
      </c>
      <c r="D306" s="51"/>
      <c r="E306" s="67">
        <v>26</v>
      </c>
      <c r="F306" s="67" t="s">
        <v>138</v>
      </c>
      <c r="G306" s="67" t="s">
        <v>11</v>
      </c>
      <c r="H306" s="6">
        <v>10</v>
      </c>
      <c r="I306" s="26">
        <v>8.4</v>
      </c>
      <c r="J306" s="100">
        <v>7.2</v>
      </c>
      <c r="K306" s="6">
        <v>7.2</v>
      </c>
      <c r="L306" s="25">
        <v>7.2</v>
      </c>
      <c r="M306" s="135"/>
      <c r="N306" s="398"/>
      <c r="O306" s="119"/>
      <c r="P306" s="353"/>
      <c r="Q306" s="358" t="s">
        <v>720</v>
      </c>
    </row>
    <row r="307" spans="1:17" x14ac:dyDescent="0.2">
      <c r="A307" s="64">
        <v>3</v>
      </c>
      <c r="B307" s="113"/>
      <c r="C307" s="113" t="s">
        <v>989</v>
      </c>
      <c r="D307" s="51"/>
      <c r="E307" s="67"/>
      <c r="F307" s="67" t="s">
        <v>138</v>
      </c>
      <c r="G307" s="105" t="s">
        <v>495</v>
      </c>
      <c r="H307" s="107">
        <f>SUM(H305:H306)</f>
        <v>303.10000000000002</v>
      </c>
      <c r="I307" s="107">
        <f>SUM(I305:I306)</f>
        <v>308.29999999999995</v>
      </c>
      <c r="J307" s="107">
        <f t="shared" ref="J307:L307" si="45">SUM(J305:J306)</f>
        <v>368.40000000000003</v>
      </c>
      <c r="K307" s="107">
        <f t="shared" si="45"/>
        <v>381.8</v>
      </c>
      <c r="L307" s="765">
        <f t="shared" si="45"/>
        <v>381.8</v>
      </c>
      <c r="M307" s="135"/>
      <c r="N307" s="398"/>
      <c r="O307" s="119"/>
      <c r="P307" s="353"/>
      <c r="Q307" s="358">
        <f>SUM(Q305:Q306)</f>
        <v>0</v>
      </c>
    </row>
    <row r="308" spans="1:17" ht="37.15" customHeight="1" x14ac:dyDescent="0.2">
      <c r="A308" s="43">
        <v>3</v>
      </c>
      <c r="B308" s="113"/>
      <c r="C308" s="113" t="s">
        <v>990</v>
      </c>
      <c r="D308" s="51" t="s">
        <v>139</v>
      </c>
      <c r="E308" s="67">
        <v>27</v>
      </c>
      <c r="F308" s="67" t="s">
        <v>140</v>
      </c>
      <c r="G308" s="67" t="s">
        <v>8</v>
      </c>
      <c r="H308" s="38">
        <v>141.9</v>
      </c>
      <c r="I308" s="15">
        <v>136.5</v>
      </c>
      <c r="J308" s="100">
        <v>111.5</v>
      </c>
      <c r="K308" s="6">
        <v>119.1</v>
      </c>
      <c r="L308" s="25">
        <v>119.1</v>
      </c>
      <c r="M308" s="135" t="s">
        <v>624</v>
      </c>
      <c r="N308" s="398" t="s">
        <v>2006</v>
      </c>
      <c r="O308" s="119" t="s">
        <v>978</v>
      </c>
      <c r="P308" s="353">
        <v>30</v>
      </c>
      <c r="Q308" s="59" t="s">
        <v>700</v>
      </c>
    </row>
    <row r="309" spans="1:17" x14ac:dyDescent="0.2">
      <c r="A309" s="43">
        <v>3</v>
      </c>
      <c r="B309" s="113"/>
      <c r="C309" s="113" t="s">
        <v>990</v>
      </c>
      <c r="D309" s="51"/>
      <c r="E309" s="67"/>
      <c r="F309" s="67" t="s">
        <v>140</v>
      </c>
      <c r="G309" s="105" t="s">
        <v>495</v>
      </c>
      <c r="H309" s="107">
        <f>SUM(H308)</f>
        <v>141.9</v>
      </c>
      <c r="I309" s="107">
        <f>SUM(I308)</f>
        <v>136.5</v>
      </c>
      <c r="J309" s="107">
        <f t="shared" ref="J309:L309" si="46">SUM(J308)</f>
        <v>111.5</v>
      </c>
      <c r="K309" s="107">
        <f t="shared" si="46"/>
        <v>119.1</v>
      </c>
      <c r="L309" s="765">
        <f t="shared" si="46"/>
        <v>119.1</v>
      </c>
      <c r="M309" s="135"/>
      <c r="N309" s="398"/>
      <c r="O309" s="119"/>
      <c r="P309" s="353"/>
      <c r="Q309" s="360"/>
    </row>
    <row r="310" spans="1:17" ht="32.450000000000003" customHeight="1" x14ac:dyDescent="0.2">
      <c r="A310" s="43">
        <v>3</v>
      </c>
      <c r="B310" s="113"/>
      <c r="C310" s="113" t="s">
        <v>991</v>
      </c>
      <c r="D310" s="51" t="s">
        <v>141</v>
      </c>
      <c r="E310" s="67">
        <v>28</v>
      </c>
      <c r="F310" s="67" t="s">
        <v>142</v>
      </c>
      <c r="G310" s="67" t="s">
        <v>8</v>
      </c>
      <c r="H310" s="6">
        <v>168.4</v>
      </c>
      <c r="I310" s="26">
        <v>132</v>
      </c>
      <c r="J310" s="100">
        <v>145</v>
      </c>
      <c r="K310" s="6">
        <v>145</v>
      </c>
      <c r="L310" s="25">
        <v>145</v>
      </c>
      <c r="M310" s="135" t="s">
        <v>624</v>
      </c>
      <c r="N310" s="398" t="s">
        <v>2007</v>
      </c>
      <c r="O310" s="119" t="s">
        <v>978</v>
      </c>
      <c r="P310" s="353">
        <v>34</v>
      </c>
      <c r="Q310" s="59" t="s">
        <v>712</v>
      </c>
    </row>
    <row r="311" spans="1:17" x14ac:dyDescent="0.2">
      <c r="A311" s="43">
        <v>3</v>
      </c>
      <c r="B311" s="113"/>
      <c r="C311" s="113" t="s">
        <v>991</v>
      </c>
      <c r="D311" s="51"/>
      <c r="E311" s="390"/>
      <c r="F311" s="67" t="s">
        <v>142</v>
      </c>
      <c r="G311" s="105" t="s">
        <v>495</v>
      </c>
      <c r="H311" s="107">
        <f>SUM(H310)</f>
        <v>168.4</v>
      </c>
      <c r="I311" s="107">
        <f>SUM(I310)</f>
        <v>132</v>
      </c>
      <c r="J311" s="107">
        <f t="shared" ref="J311:L311" si="47">SUM(J310)</f>
        <v>145</v>
      </c>
      <c r="K311" s="107">
        <f t="shared" si="47"/>
        <v>145</v>
      </c>
      <c r="L311" s="765">
        <f t="shared" si="47"/>
        <v>145</v>
      </c>
      <c r="M311" s="135"/>
      <c r="N311" s="398"/>
      <c r="O311" s="119"/>
      <c r="P311" s="353"/>
      <c r="Q311" s="358"/>
    </row>
    <row r="312" spans="1:17" ht="30" customHeight="1" x14ac:dyDescent="0.2">
      <c r="A312" s="43">
        <v>3</v>
      </c>
      <c r="B312" s="113"/>
      <c r="C312" s="113" t="s">
        <v>992</v>
      </c>
      <c r="D312" s="391" t="s">
        <v>143</v>
      </c>
      <c r="E312" s="397">
        <v>29</v>
      </c>
      <c r="F312" s="396" t="s">
        <v>144</v>
      </c>
      <c r="G312" s="67" t="s">
        <v>8</v>
      </c>
      <c r="H312" s="6">
        <v>148</v>
      </c>
      <c r="I312" s="26">
        <v>147.9</v>
      </c>
      <c r="J312" s="100">
        <v>145.6</v>
      </c>
      <c r="K312" s="6">
        <v>145.6</v>
      </c>
      <c r="L312" s="25">
        <v>145.6</v>
      </c>
      <c r="M312" s="135" t="s">
        <v>624</v>
      </c>
      <c r="N312" s="398" t="s">
        <v>2008</v>
      </c>
      <c r="O312" s="119" t="s">
        <v>978</v>
      </c>
      <c r="P312" s="353">
        <v>52</v>
      </c>
      <c r="Q312" s="358" t="s">
        <v>727</v>
      </c>
    </row>
    <row r="313" spans="1:17" ht="12.75" customHeight="1" x14ac:dyDescent="0.2">
      <c r="A313" s="43">
        <v>3</v>
      </c>
      <c r="B313" s="113"/>
      <c r="C313" s="113" t="s">
        <v>992</v>
      </c>
      <c r="D313" s="391"/>
      <c r="E313" s="157"/>
      <c r="F313" s="395" t="s">
        <v>144</v>
      </c>
      <c r="G313" s="392" t="s">
        <v>495</v>
      </c>
      <c r="H313" s="107">
        <f>SUM(H312)</f>
        <v>148</v>
      </c>
      <c r="I313" s="107">
        <f>SUM(I312)</f>
        <v>147.9</v>
      </c>
      <c r="J313" s="107">
        <f t="shared" ref="J313:L313" si="48">SUM(J312)</f>
        <v>145.6</v>
      </c>
      <c r="K313" s="107">
        <f t="shared" si="48"/>
        <v>145.6</v>
      </c>
      <c r="L313" s="765">
        <f t="shared" si="48"/>
        <v>145.6</v>
      </c>
      <c r="M313" s="135"/>
      <c r="N313" s="398"/>
      <c r="O313" s="119"/>
      <c r="P313" s="353"/>
      <c r="Q313" s="358">
        <f>SUM(Q312)</f>
        <v>0</v>
      </c>
    </row>
    <row r="314" spans="1:17" ht="12.75" customHeight="1" x14ac:dyDescent="0.2">
      <c r="A314" s="43">
        <v>3</v>
      </c>
      <c r="B314" s="215"/>
      <c r="C314" s="215"/>
      <c r="D314" s="216" t="s">
        <v>993</v>
      </c>
      <c r="E314" s="393"/>
      <c r="F314" s="394"/>
      <c r="G314" s="214"/>
      <c r="H314" s="210">
        <f>SUM(H313,H311,H309,H307,H304,H302,H300,H298,H296,H294,H292)</f>
        <v>2196.1</v>
      </c>
      <c r="I314" s="217">
        <f>SUM(I313,I311,I309,I307,I304,I302,I300,I298,I296,I294,I292)</f>
        <v>2060.3000000000002</v>
      </c>
      <c r="J314" s="217">
        <f t="shared" ref="J314:L314" si="49">SUM(J313,J311,J309,J307,J304,J302,J300,J298,J296,J294,J292)</f>
        <v>2235</v>
      </c>
      <c r="K314" s="217">
        <f t="shared" si="49"/>
        <v>2173.6</v>
      </c>
      <c r="L314" s="841">
        <f t="shared" si="49"/>
        <v>2196.6999999999998</v>
      </c>
      <c r="M314" s="135"/>
      <c r="N314" s="398"/>
      <c r="O314" s="119"/>
      <c r="P314" s="353"/>
      <c r="Q314" s="358"/>
    </row>
    <row r="315" spans="1:17" ht="12.75" customHeight="1" x14ac:dyDescent="0.2">
      <c r="A315" s="43">
        <v>3</v>
      </c>
      <c r="B315" s="113"/>
      <c r="C315" s="47" t="s">
        <v>994</v>
      </c>
      <c r="D315" s="218" t="s">
        <v>995</v>
      </c>
      <c r="E315" s="471" t="s">
        <v>401</v>
      </c>
      <c r="F315" s="43" t="s">
        <v>315</v>
      </c>
      <c r="G315" s="64" t="s">
        <v>11</v>
      </c>
      <c r="H315" s="6"/>
      <c r="I315" s="26">
        <v>1</v>
      </c>
      <c r="J315" s="100">
        <v>2</v>
      </c>
      <c r="K315" s="6">
        <v>2</v>
      </c>
      <c r="L315" s="25">
        <v>2</v>
      </c>
      <c r="M315" s="135"/>
      <c r="N315" s="398" t="s">
        <v>1621</v>
      </c>
      <c r="O315" s="119"/>
      <c r="P315" s="353"/>
      <c r="Q315" s="358"/>
    </row>
    <row r="316" spans="1:17" ht="12.75" customHeight="1" x14ac:dyDescent="0.2">
      <c r="A316" s="43">
        <v>3</v>
      </c>
      <c r="B316" s="113"/>
      <c r="C316" s="47" t="s">
        <v>994</v>
      </c>
      <c r="D316" s="218" t="s">
        <v>995</v>
      </c>
      <c r="E316" s="842" t="s">
        <v>39</v>
      </c>
      <c r="F316" s="43" t="s">
        <v>315</v>
      </c>
      <c r="G316" s="64" t="s">
        <v>202</v>
      </c>
      <c r="H316" s="6"/>
      <c r="I316" s="26"/>
      <c r="J316" s="100">
        <v>0.7</v>
      </c>
      <c r="K316" s="6"/>
      <c r="L316" s="25"/>
      <c r="M316" s="135"/>
      <c r="N316" s="398"/>
      <c r="O316" s="119"/>
      <c r="P316" s="353"/>
      <c r="Q316" s="358"/>
    </row>
    <row r="317" spans="1:17" ht="24.6" customHeight="1" x14ac:dyDescent="0.2">
      <c r="A317" s="43">
        <v>3</v>
      </c>
      <c r="B317" s="113"/>
      <c r="C317" s="47" t="s">
        <v>994</v>
      </c>
      <c r="D317" s="218" t="s">
        <v>995</v>
      </c>
      <c r="E317" s="222" t="s">
        <v>1846</v>
      </c>
      <c r="F317" s="43" t="s">
        <v>315</v>
      </c>
      <c r="G317" s="43" t="s">
        <v>8</v>
      </c>
      <c r="H317" s="6"/>
      <c r="I317" s="26"/>
      <c r="J317" s="100">
        <f>150-100</f>
        <v>50</v>
      </c>
      <c r="K317" s="6">
        <v>100</v>
      </c>
      <c r="L317" s="25"/>
      <c r="M317" s="135" t="s">
        <v>637</v>
      </c>
      <c r="N317" s="838" t="s">
        <v>587</v>
      </c>
      <c r="O317" s="188" t="s">
        <v>996</v>
      </c>
      <c r="P317" s="353">
        <v>40</v>
      </c>
      <c r="Q317" s="59" t="s">
        <v>700</v>
      </c>
    </row>
    <row r="318" spans="1:17" ht="24.6" customHeight="1" x14ac:dyDescent="0.2">
      <c r="A318" s="43">
        <v>3</v>
      </c>
      <c r="B318" s="113"/>
      <c r="C318" s="47" t="s">
        <v>994</v>
      </c>
      <c r="D318" s="218" t="s">
        <v>995</v>
      </c>
      <c r="E318" s="113" t="s">
        <v>471</v>
      </c>
      <c r="F318" s="220" t="s">
        <v>306</v>
      </c>
      <c r="G318" s="43" t="s">
        <v>8</v>
      </c>
      <c r="H318" s="6"/>
      <c r="I318" s="61">
        <v>15</v>
      </c>
      <c r="J318" s="100"/>
      <c r="K318" s="6"/>
      <c r="L318" s="25"/>
      <c r="M318" s="135" t="s">
        <v>637</v>
      </c>
      <c r="N318" s="398"/>
      <c r="O318" s="83"/>
      <c r="P318" s="353"/>
      <c r="Q318" s="358" t="s">
        <v>750</v>
      </c>
    </row>
    <row r="319" spans="1:17" ht="23.45" customHeight="1" x14ac:dyDescent="0.2">
      <c r="A319" s="43">
        <v>3</v>
      </c>
      <c r="B319" s="113"/>
      <c r="C319" s="47" t="s">
        <v>994</v>
      </c>
      <c r="D319" s="218" t="s">
        <v>995</v>
      </c>
      <c r="E319" s="113" t="s">
        <v>472</v>
      </c>
      <c r="F319" s="220" t="s">
        <v>308</v>
      </c>
      <c r="G319" s="43" t="s">
        <v>8</v>
      </c>
      <c r="H319" s="6"/>
      <c r="I319" s="61">
        <v>29.5</v>
      </c>
      <c r="J319" s="100">
        <v>50</v>
      </c>
      <c r="K319" s="6">
        <v>50</v>
      </c>
      <c r="L319" s="25"/>
      <c r="M319" s="135" t="s">
        <v>627</v>
      </c>
      <c r="N319" s="398" t="s">
        <v>583</v>
      </c>
      <c r="O319" s="83" t="s">
        <v>997</v>
      </c>
      <c r="P319" s="353">
        <v>1</v>
      </c>
      <c r="Q319" s="59" t="s">
        <v>640</v>
      </c>
    </row>
    <row r="320" spans="1:17" ht="26.45" customHeight="1" x14ac:dyDescent="0.2">
      <c r="A320" s="43">
        <v>3</v>
      </c>
      <c r="B320" s="113"/>
      <c r="C320" s="47" t="s">
        <v>994</v>
      </c>
      <c r="D320" s="218" t="s">
        <v>995</v>
      </c>
      <c r="E320" s="113" t="s">
        <v>998</v>
      </c>
      <c r="F320" s="221" t="s">
        <v>309</v>
      </c>
      <c r="G320" s="43" t="s">
        <v>8</v>
      </c>
      <c r="H320" s="6"/>
      <c r="I320" s="61">
        <v>1.5</v>
      </c>
      <c r="J320" s="100">
        <v>5</v>
      </c>
      <c r="K320" s="6"/>
      <c r="L320" s="25"/>
      <c r="M320" s="135" t="s">
        <v>637</v>
      </c>
      <c r="N320" s="398" t="s">
        <v>584</v>
      </c>
      <c r="O320" s="83" t="s">
        <v>999</v>
      </c>
      <c r="P320" s="353">
        <v>1</v>
      </c>
      <c r="Q320" s="59" t="s">
        <v>835</v>
      </c>
    </row>
    <row r="321" spans="1:17" ht="45.6" customHeight="1" x14ac:dyDescent="0.2">
      <c r="A321" s="43">
        <v>3</v>
      </c>
      <c r="B321" s="113"/>
      <c r="C321" s="47" t="s">
        <v>994</v>
      </c>
      <c r="D321" s="218" t="s">
        <v>995</v>
      </c>
      <c r="E321" s="113" t="s">
        <v>1000</v>
      </c>
      <c r="F321" s="221" t="s">
        <v>311</v>
      </c>
      <c r="G321" s="43" t="s">
        <v>8</v>
      </c>
      <c r="H321" s="6"/>
      <c r="I321" s="61">
        <v>8.1999999999999993</v>
      </c>
      <c r="J321" s="100">
        <v>10</v>
      </c>
      <c r="K321" s="6"/>
      <c r="L321" s="25"/>
      <c r="M321" s="135" t="s">
        <v>637</v>
      </c>
      <c r="N321" s="398" t="s">
        <v>586</v>
      </c>
      <c r="O321" s="119" t="s">
        <v>1001</v>
      </c>
      <c r="P321" s="46" t="s">
        <v>749</v>
      </c>
      <c r="Q321" s="358" t="s">
        <v>720</v>
      </c>
    </row>
    <row r="322" spans="1:17" ht="44.45" customHeight="1" x14ac:dyDescent="0.2">
      <c r="A322" s="43">
        <v>3</v>
      </c>
      <c r="B322" s="113"/>
      <c r="C322" s="47" t="s">
        <v>994</v>
      </c>
      <c r="D322" s="218" t="s">
        <v>995</v>
      </c>
      <c r="E322" s="113" t="s">
        <v>473</v>
      </c>
      <c r="F322" s="220" t="s">
        <v>313</v>
      </c>
      <c r="G322" s="43" t="s">
        <v>8</v>
      </c>
      <c r="H322" s="6"/>
      <c r="I322" s="26"/>
      <c r="J322" s="100">
        <f>18+5</f>
        <v>23</v>
      </c>
      <c r="K322" s="6">
        <v>30</v>
      </c>
      <c r="L322" s="25"/>
      <c r="M322" s="135" t="s">
        <v>637</v>
      </c>
      <c r="N322" s="398" t="s">
        <v>588</v>
      </c>
      <c r="O322" s="83" t="s">
        <v>2050</v>
      </c>
      <c r="P322" s="1183" t="s">
        <v>2051</v>
      </c>
      <c r="Q322" s="59" t="s">
        <v>712</v>
      </c>
    </row>
    <row r="323" spans="1:17" x14ac:dyDescent="0.2">
      <c r="A323" s="43">
        <v>3</v>
      </c>
      <c r="B323" s="113"/>
      <c r="C323" s="47"/>
      <c r="D323" s="117"/>
      <c r="E323" s="113"/>
      <c r="F323" s="43"/>
      <c r="G323" s="105" t="s">
        <v>495</v>
      </c>
      <c r="H323" s="107">
        <f>SUM(H315:H315)</f>
        <v>0</v>
      </c>
      <c r="I323" s="107">
        <f>SUM(I315:I322)</f>
        <v>55.2</v>
      </c>
      <c r="J323" s="107">
        <f>SUM(J315:J322)</f>
        <v>140.69999999999999</v>
      </c>
      <c r="K323" s="107">
        <f>SUM(K315:K322)</f>
        <v>182</v>
      </c>
      <c r="L323" s="765">
        <f>SUM(L315:L322)</f>
        <v>2</v>
      </c>
      <c r="M323" s="135"/>
      <c r="N323" s="398"/>
      <c r="O323" s="119"/>
      <c r="P323" s="353"/>
      <c r="Q323" s="358"/>
    </row>
    <row r="324" spans="1:17" ht="27" customHeight="1" x14ac:dyDescent="0.2">
      <c r="A324" s="43">
        <v>3</v>
      </c>
      <c r="B324" s="52"/>
      <c r="C324" s="81" t="s">
        <v>1002</v>
      </c>
      <c r="D324" s="36" t="s">
        <v>1003</v>
      </c>
      <c r="E324" s="222" t="s">
        <v>1004</v>
      </c>
      <c r="F324" s="64" t="s">
        <v>112</v>
      </c>
      <c r="G324" s="71" t="s">
        <v>8</v>
      </c>
      <c r="H324" s="26"/>
      <c r="I324" s="26">
        <v>5</v>
      </c>
      <c r="J324" s="100">
        <v>25</v>
      </c>
      <c r="K324" s="26"/>
      <c r="L324" s="27"/>
      <c r="M324" s="135" t="s">
        <v>637</v>
      </c>
      <c r="N324" s="1157" t="s">
        <v>580</v>
      </c>
      <c r="O324" s="119" t="s">
        <v>1005</v>
      </c>
      <c r="P324" s="353">
        <v>1</v>
      </c>
      <c r="Q324" s="358" t="s">
        <v>981</v>
      </c>
    </row>
    <row r="325" spans="1:17" x14ac:dyDescent="0.2">
      <c r="A325" s="64">
        <v>3</v>
      </c>
      <c r="B325" s="52"/>
      <c r="C325" s="81"/>
      <c r="D325" s="36"/>
      <c r="E325" s="222"/>
      <c r="F325" s="64" t="s">
        <v>112</v>
      </c>
      <c r="G325" s="105" t="s">
        <v>495</v>
      </c>
      <c r="H325" s="107" t="e">
        <f>SUM(#REF!)</f>
        <v>#REF!</v>
      </c>
      <c r="I325" s="107">
        <f>SUM(I324:I324)</f>
        <v>5</v>
      </c>
      <c r="J325" s="107">
        <f>SUM(J324:J324)</f>
        <v>25</v>
      </c>
      <c r="K325" s="107">
        <f>SUM(K324:K324)</f>
        <v>0</v>
      </c>
      <c r="L325" s="765">
        <f>SUM(L324:L324)</f>
        <v>0</v>
      </c>
      <c r="M325" s="135"/>
      <c r="N325" s="398"/>
      <c r="O325" s="119"/>
      <c r="P325" s="353"/>
      <c r="Q325" s="358"/>
    </row>
    <row r="326" spans="1:17" ht="27.6" customHeight="1" x14ac:dyDescent="0.2">
      <c r="A326" s="43">
        <v>3</v>
      </c>
      <c r="B326" s="114" t="s">
        <v>1006</v>
      </c>
      <c r="C326" s="114" t="s">
        <v>1006</v>
      </c>
      <c r="D326" s="134" t="s">
        <v>145</v>
      </c>
      <c r="E326" s="113" t="s">
        <v>472</v>
      </c>
      <c r="F326" s="43" t="s">
        <v>146</v>
      </c>
      <c r="G326" s="64" t="s">
        <v>8</v>
      </c>
      <c r="H326" s="211">
        <v>29.8</v>
      </c>
      <c r="I326" s="26"/>
      <c r="J326" s="100">
        <f>50-20-20</f>
        <v>10</v>
      </c>
      <c r="K326" s="28">
        <v>50</v>
      </c>
      <c r="L326" s="29">
        <v>50</v>
      </c>
      <c r="M326" s="135" t="s">
        <v>637</v>
      </c>
      <c r="N326" s="398" t="s">
        <v>583</v>
      </c>
      <c r="O326" s="188" t="s">
        <v>1007</v>
      </c>
      <c r="P326" s="46" t="s">
        <v>749</v>
      </c>
      <c r="Q326" s="358" t="s">
        <v>640</v>
      </c>
    </row>
    <row r="327" spans="1:17" ht="12.75" customHeight="1" x14ac:dyDescent="0.2">
      <c r="A327" s="43">
        <v>3</v>
      </c>
      <c r="B327" s="113"/>
      <c r="C327" s="47"/>
      <c r="D327" s="51"/>
      <c r="E327" s="113"/>
      <c r="F327" s="43" t="s">
        <v>146</v>
      </c>
      <c r="G327" s="105" t="s">
        <v>495</v>
      </c>
      <c r="H327" s="107">
        <f>SUM(H326:H326)</f>
        <v>29.8</v>
      </c>
      <c r="I327" s="107">
        <f>SUM(I326:I326)</f>
        <v>0</v>
      </c>
      <c r="J327" s="107">
        <f>SUM(J326:J326)</f>
        <v>10</v>
      </c>
      <c r="K327" s="107">
        <f>SUM(K326:K326)</f>
        <v>50</v>
      </c>
      <c r="L327" s="765">
        <f>SUM(L326:L326)</f>
        <v>50</v>
      </c>
      <c r="M327" s="135"/>
      <c r="N327" s="398"/>
      <c r="O327" s="119"/>
      <c r="P327" s="353"/>
      <c r="Q327" s="355"/>
    </row>
    <row r="328" spans="1:17" ht="12.75" hidden="1" customHeight="1" x14ac:dyDescent="0.2">
      <c r="A328" s="43">
        <v>3</v>
      </c>
      <c r="B328" s="113"/>
      <c r="C328" s="47"/>
      <c r="D328" s="51"/>
      <c r="E328" s="113"/>
      <c r="F328" s="43"/>
      <c r="G328" s="131" t="s">
        <v>495</v>
      </c>
      <c r="H328" s="122"/>
      <c r="I328" s="131" t="e">
        <f>SUM(I327,I325,I323,I313,I311,I309,I307,I304,I302,I300,I298,I296,I294,I292,I289,#REF!,#REF!,#REF!,I285,I280,I278,I276,#REF!)</f>
        <v>#REF!</v>
      </c>
      <c r="J328" s="131">
        <f>SUM(J327,J325,J323,J313,J311,J309,J307,J304,J302,J300,J298,J296,J294,J292,J289,J285,J280,J278,J276)</f>
        <v>3743.9999999999991</v>
      </c>
      <c r="K328" s="131" t="e">
        <f>SUM(K327,K325,K323,K313,K311,K309,K307,K304,K302,K300,K298,K296,K294,K292,K289,#REF!,#REF!,#REF!,K285,K280,K278,K276,#REF!)</f>
        <v>#REF!</v>
      </c>
      <c r="L328" s="798" t="e">
        <f>SUM(L327,L325,L323,L313,L311,L309,L307,L304,L302,L300,L298,L296,L294,L292,L289,#REF!,#REF!,#REF!,L285,L280,L278,L276,#REF!)</f>
        <v>#REF!</v>
      </c>
      <c r="M328" s="135"/>
      <c r="N328" s="398"/>
      <c r="O328" s="119"/>
      <c r="P328" s="353"/>
      <c r="Q328" s="355"/>
    </row>
    <row r="329" spans="1:17" ht="12.75" hidden="1" customHeight="1" x14ac:dyDescent="0.2">
      <c r="A329" s="43">
        <v>3</v>
      </c>
      <c r="B329" s="113"/>
      <c r="C329" s="47"/>
      <c r="D329" s="51"/>
      <c r="E329" s="113"/>
      <c r="F329" s="43"/>
      <c r="G329" s="75" t="s">
        <v>8</v>
      </c>
      <c r="H329" s="38"/>
      <c r="I329" s="38" t="e">
        <f>SUM(#REF!,I288,I291,I293,I295,I297,I299,I301,I303,I308,I310,I312,I317,I318,I319,I320,I321,I322,#REF!,I324,#REF!,I305,I277,I279,I281,#REF!,#REF!,I326,#REF!,#REF!)</f>
        <v>#REF!</v>
      </c>
      <c r="J329" s="38">
        <f>SUM(J288,J291,J293,J295,J297,J299,J301,J303,J308,J310,J312,J317,J318,J319,J320,J321,J322,J324,J305,J277,J279,J281,J326,J284)</f>
        <v>2902.8999999999992</v>
      </c>
      <c r="K329" s="38" t="e">
        <f>SUM(#REF!,K288,K291,K293,K295,K297,K299,K301,K303,K308,K310,K312,K317,K318,K319,K320,K321,K322,#REF!,K324,#REF!,K305,K277,K279,K281,#REF!,#REF!,K326,#REF!,#REF!)</f>
        <v>#REF!</v>
      </c>
      <c r="L329" s="49" t="e">
        <f>SUM(#REF!,L288,L291,L293,L295,L297,L299,L301,L303,L308,L310,L312,L317,L318,L319,L320,L321,L322,#REF!,L324,#REF!,L305,L277,L279,L281,#REF!,#REF!,L326,#REF!,#REF!)</f>
        <v>#REF!</v>
      </c>
      <c r="M329" s="135"/>
      <c r="N329" s="398"/>
      <c r="O329" s="119"/>
      <c r="P329" s="353"/>
      <c r="Q329" s="355"/>
    </row>
    <row r="330" spans="1:17" ht="12.75" hidden="1" customHeight="1" x14ac:dyDescent="0.2">
      <c r="A330" s="43">
        <v>3</v>
      </c>
      <c r="B330" s="113"/>
      <c r="C330" s="47"/>
      <c r="D330" s="51"/>
      <c r="E330" s="113"/>
      <c r="F330" s="43"/>
      <c r="G330" s="75" t="s">
        <v>115</v>
      </c>
      <c r="H330" s="38"/>
      <c r="I330" s="38">
        <f>SUM(I270,)</f>
        <v>385</v>
      </c>
      <c r="J330" s="38">
        <f>SUM(J270,)</f>
        <v>496</v>
      </c>
      <c r="K330" s="38">
        <f>SUM(K270,)</f>
        <v>368</v>
      </c>
      <c r="L330" s="49">
        <f>SUM(L270,)</f>
        <v>368</v>
      </c>
      <c r="M330" s="135"/>
      <c r="N330" s="398"/>
      <c r="O330" s="119"/>
      <c r="P330" s="353"/>
      <c r="Q330" s="355"/>
    </row>
    <row r="331" spans="1:17" ht="12.75" hidden="1" customHeight="1" x14ac:dyDescent="0.2">
      <c r="A331" s="64">
        <v>3</v>
      </c>
      <c r="B331" s="113"/>
      <c r="C331" s="47"/>
      <c r="D331" s="51"/>
      <c r="E331" s="113"/>
      <c r="F331" s="43"/>
      <c r="G331" s="75" t="s">
        <v>116</v>
      </c>
      <c r="H331" s="38"/>
      <c r="I331" s="38">
        <f>SUM(I272)</f>
        <v>0.5</v>
      </c>
      <c r="J331" s="38">
        <f>SUM(J272)</f>
        <v>39.299999999999997</v>
      </c>
      <c r="K331" s="38">
        <f>SUM(K272)</f>
        <v>0</v>
      </c>
      <c r="L331" s="49">
        <f>SUM(L272)</f>
        <v>0</v>
      </c>
      <c r="M331" s="135"/>
      <c r="N331" s="398"/>
      <c r="O331" s="119"/>
      <c r="P331" s="353"/>
      <c r="Q331" s="355"/>
    </row>
    <row r="332" spans="1:17" ht="12.75" hidden="1" customHeight="1" x14ac:dyDescent="0.2">
      <c r="A332" s="43">
        <v>3</v>
      </c>
      <c r="B332" s="113"/>
      <c r="C332" s="47"/>
      <c r="D332" s="51"/>
      <c r="E332" s="113"/>
      <c r="F332" s="43"/>
      <c r="G332" s="75" t="s">
        <v>37</v>
      </c>
      <c r="H332" s="38"/>
      <c r="I332" s="38">
        <f t="shared" ref="I332:L333" si="50">SUM(I282)</f>
        <v>4.3</v>
      </c>
      <c r="J332" s="38">
        <f t="shared" si="50"/>
        <v>210</v>
      </c>
      <c r="K332" s="38">
        <f t="shared" si="50"/>
        <v>0</v>
      </c>
      <c r="L332" s="49">
        <f t="shared" si="50"/>
        <v>0</v>
      </c>
      <c r="M332" s="135"/>
      <c r="N332" s="398"/>
      <c r="O332" s="119"/>
      <c r="P332" s="353"/>
      <c r="Q332" s="355"/>
    </row>
    <row r="333" spans="1:17" ht="12.75" hidden="1" customHeight="1" x14ac:dyDescent="0.2">
      <c r="A333" s="43">
        <v>3</v>
      </c>
      <c r="B333" s="113"/>
      <c r="C333" s="47"/>
      <c r="D333" s="51"/>
      <c r="E333" s="113"/>
      <c r="F333" s="43"/>
      <c r="G333" s="75" t="s">
        <v>38</v>
      </c>
      <c r="H333" s="38"/>
      <c r="I333" s="38">
        <f t="shared" si="50"/>
        <v>0</v>
      </c>
      <c r="J333" s="38">
        <f t="shared" si="50"/>
        <v>28</v>
      </c>
      <c r="K333" s="38">
        <f t="shared" si="50"/>
        <v>0</v>
      </c>
      <c r="L333" s="49">
        <f t="shared" si="50"/>
        <v>0</v>
      </c>
      <c r="M333" s="135"/>
      <c r="N333" s="398"/>
      <c r="O333" s="119"/>
      <c r="P333" s="353"/>
      <c r="Q333" s="355"/>
    </row>
    <row r="334" spans="1:17" ht="12.75" hidden="1" customHeight="1" x14ac:dyDescent="0.2">
      <c r="A334" s="43">
        <v>3</v>
      </c>
      <c r="B334" s="113"/>
      <c r="C334" s="47"/>
      <c r="D334" s="51"/>
      <c r="E334" s="113"/>
      <c r="F334" s="43"/>
      <c r="G334" s="75" t="s">
        <v>11</v>
      </c>
      <c r="H334" s="38"/>
      <c r="I334" s="38">
        <f>SUM(I306,I315)</f>
        <v>9.4</v>
      </c>
      <c r="J334" s="38">
        <f>SUM(J306,J315)</f>
        <v>9.1999999999999993</v>
      </c>
      <c r="K334" s="38">
        <f>SUM(K306,K315)</f>
        <v>9.1999999999999993</v>
      </c>
      <c r="L334" s="49">
        <f>SUM(L306,L315)</f>
        <v>9.1999999999999993</v>
      </c>
      <c r="M334" s="135"/>
      <c r="N334" s="398"/>
      <c r="O334" s="119"/>
      <c r="P334" s="353"/>
      <c r="Q334" s="355"/>
    </row>
    <row r="335" spans="1:17" ht="12.75" hidden="1" customHeight="1" x14ac:dyDescent="0.2">
      <c r="A335" s="43">
        <v>3</v>
      </c>
      <c r="B335" s="113"/>
      <c r="C335" s="47"/>
      <c r="D335" s="51"/>
      <c r="E335" s="113"/>
      <c r="F335" s="43"/>
      <c r="G335" s="82" t="s">
        <v>202</v>
      </c>
      <c r="H335" s="38"/>
      <c r="I335" s="38">
        <f>I316</f>
        <v>0</v>
      </c>
      <c r="J335" s="38">
        <f>J316</f>
        <v>0.7</v>
      </c>
      <c r="K335" s="38">
        <f>K316</f>
        <v>0</v>
      </c>
      <c r="L335" s="49">
        <f>L316</f>
        <v>0</v>
      </c>
      <c r="M335" s="135"/>
      <c r="N335" s="398"/>
      <c r="O335" s="119"/>
      <c r="P335" s="353"/>
      <c r="Q335" s="355"/>
    </row>
    <row r="336" spans="1:17" ht="12.75" hidden="1" customHeight="1" x14ac:dyDescent="0.2">
      <c r="A336" s="43">
        <v>3</v>
      </c>
      <c r="B336" s="113"/>
      <c r="C336" s="47"/>
      <c r="D336" s="51"/>
      <c r="E336" s="113"/>
      <c r="F336" s="43"/>
      <c r="G336" s="75" t="s">
        <v>10</v>
      </c>
      <c r="H336" s="38"/>
      <c r="I336" s="38" t="e">
        <f>SUM(I271,I287,#REF!)</f>
        <v>#REF!</v>
      </c>
      <c r="J336" s="38">
        <f>SUM(J271,J287)</f>
        <v>57.9</v>
      </c>
      <c r="K336" s="38" t="e">
        <f>SUM(K271,K287,#REF!)</f>
        <v>#REF!</v>
      </c>
      <c r="L336" s="49" t="e">
        <f>SUM(L271,L287,#REF!)</f>
        <v>#REF!</v>
      </c>
      <c r="M336" s="135"/>
      <c r="N336" s="398"/>
      <c r="O336" s="119"/>
      <c r="P336" s="353"/>
      <c r="Q336" s="355"/>
    </row>
    <row r="337" spans="1:17" ht="12.75" hidden="1" customHeight="1" x14ac:dyDescent="0.2">
      <c r="A337" s="43">
        <v>3</v>
      </c>
      <c r="B337" s="113"/>
      <c r="C337" s="47"/>
      <c r="D337" s="51"/>
      <c r="E337" s="113"/>
      <c r="F337" s="43"/>
      <c r="G337" s="75" t="s">
        <v>118</v>
      </c>
      <c r="H337" s="38"/>
      <c r="I337" s="38" t="e">
        <f>SUM(#REF!,#REF!,#REF!)</f>
        <v>#REF!</v>
      </c>
      <c r="J337" s="38"/>
      <c r="K337" s="38" t="e">
        <f>SUM(#REF!,#REF!,#REF!)</f>
        <v>#REF!</v>
      </c>
      <c r="L337" s="49" t="e">
        <f>SUM(#REF!,#REF!,#REF!)</f>
        <v>#REF!</v>
      </c>
      <c r="M337" s="135"/>
      <c r="N337" s="398"/>
      <c r="O337" s="119"/>
      <c r="P337" s="353"/>
      <c r="Q337" s="355"/>
    </row>
    <row r="338" spans="1:17" ht="12.75" hidden="1" customHeight="1" x14ac:dyDescent="0.2">
      <c r="A338" s="43">
        <v>3</v>
      </c>
      <c r="B338" s="113"/>
      <c r="C338" s="47"/>
      <c r="D338" s="51"/>
      <c r="E338" s="113"/>
      <c r="F338" s="43"/>
      <c r="G338" s="75" t="s">
        <v>120</v>
      </c>
      <c r="H338" s="38"/>
      <c r="I338" s="38" t="e">
        <f>SUM(#REF!,)</f>
        <v>#REF!</v>
      </c>
      <c r="J338" s="38"/>
      <c r="K338" s="38" t="e">
        <f>SUM(#REF!,)</f>
        <v>#REF!</v>
      </c>
      <c r="L338" s="49" t="e">
        <f>SUM(#REF!,)</f>
        <v>#REF!</v>
      </c>
      <c r="M338" s="135"/>
      <c r="N338" s="398"/>
      <c r="O338" s="119"/>
      <c r="P338" s="353"/>
      <c r="Q338" s="355"/>
    </row>
    <row r="339" spans="1:17" ht="12.75" hidden="1" customHeight="1" x14ac:dyDescent="0.2">
      <c r="A339" s="43">
        <v>3</v>
      </c>
      <c r="B339" s="113"/>
      <c r="C339" s="47"/>
      <c r="D339" s="51"/>
      <c r="E339" s="113"/>
      <c r="F339" s="43"/>
      <c r="G339" s="131" t="s">
        <v>495</v>
      </c>
      <c r="H339" s="122"/>
      <c r="I339" s="131" t="e">
        <f>SUM(I329:I338)</f>
        <v>#REF!</v>
      </c>
      <c r="J339" s="131">
        <f t="shared" ref="J339:L339" si="51">SUM(J329:J338)</f>
        <v>3743.9999999999991</v>
      </c>
      <c r="K339" s="131" t="e">
        <f t="shared" si="51"/>
        <v>#REF!</v>
      </c>
      <c r="L339" s="798" t="e">
        <f t="shared" si="51"/>
        <v>#REF!</v>
      </c>
      <c r="M339" s="135"/>
      <c r="N339" s="398"/>
      <c r="O339" s="119"/>
      <c r="P339" s="353"/>
      <c r="Q339" s="355"/>
    </row>
    <row r="340" spans="1:17" ht="12.75" hidden="1" customHeight="1" x14ac:dyDescent="0.2">
      <c r="A340" s="43">
        <v>3</v>
      </c>
      <c r="B340" s="113"/>
      <c r="C340" s="47"/>
      <c r="D340" s="51"/>
      <c r="E340" s="113"/>
      <c r="F340" s="43"/>
      <c r="G340" s="75"/>
      <c r="H340" s="38"/>
      <c r="I340" s="38" t="e">
        <f>I328-I339</f>
        <v>#REF!</v>
      </c>
      <c r="J340" s="38">
        <f t="shared" ref="J340:L340" si="52">J328-J339</f>
        <v>0</v>
      </c>
      <c r="K340" s="38" t="e">
        <f t="shared" si="52"/>
        <v>#REF!</v>
      </c>
      <c r="L340" s="49" t="e">
        <f t="shared" si="52"/>
        <v>#REF!</v>
      </c>
      <c r="M340" s="135"/>
      <c r="N340" s="398"/>
      <c r="O340" s="119"/>
      <c r="P340" s="353"/>
      <c r="Q340" s="355"/>
    </row>
    <row r="341" spans="1:17" ht="15.6" customHeight="1" x14ac:dyDescent="0.2">
      <c r="A341" s="927"/>
      <c r="B341" s="927"/>
      <c r="C341" s="927"/>
      <c r="D341" s="927" t="s">
        <v>1851</v>
      </c>
      <c r="E341" s="930"/>
      <c r="F341" s="927"/>
      <c r="G341" s="927"/>
      <c r="H341" s="927"/>
      <c r="I341" s="927"/>
      <c r="J341" s="927"/>
      <c r="K341" s="927"/>
      <c r="L341" s="929"/>
      <c r="M341" s="940"/>
      <c r="N341" s="1028"/>
      <c r="O341" s="995"/>
      <c r="P341" s="941"/>
      <c r="Q341" s="941"/>
    </row>
    <row r="342" spans="1:17" ht="32.450000000000003" customHeight="1" x14ac:dyDescent="0.2">
      <c r="A342" s="43">
        <v>4</v>
      </c>
      <c r="B342" s="95"/>
      <c r="C342" s="95"/>
      <c r="D342" s="96" t="s">
        <v>1008</v>
      </c>
      <c r="E342" s="97"/>
      <c r="F342" s="98"/>
      <c r="G342" s="97"/>
      <c r="H342" s="97"/>
      <c r="I342" s="97"/>
      <c r="J342" s="97"/>
      <c r="K342" s="97"/>
      <c r="L342" s="431"/>
      <c r="M342" s="135"/>
      <c r="N342" s="758"/>
      <c r="O342" s="83"/>
      <c r="P342" s="75"/>
      <c r="Q342" s="75"/>
    </row>
    <row r="343" spans="1:17" ht="22.5" x14ac:dyDescent="0.2">
      <c r="A343" s="75">
        <v>4</v>
      </c>
      <c r="B343" s="114" t="s">
        <v>1009</v>
      </c>
      <c r="C343" s="114" t="s">
        <v>1009</v>
      </c>
      <c r="D343" s="134" t="s">
        <v>148</v>
      </c>
      <c r="E343" s="99"/>
      <c r="F343" s="75"/>
      <c r="G343" s="135"/>
      <c r="H343" s="7"/>
      <c r="I343" s="115" t="e">
        <f>#REF!+#REF!+I345</f>
        <v>#REF!</v>
      </c>
      <c r="J343" s="115"/>
      <c r="K343" s="8"/>
      <c r="L343" s="9"/>
      <c r="M343" s="135"/>
      <c r="N343" s="758"/>
      <c r="O343" s="83"/>
      <c r="P343" s="75"/>
      <c r="Q343" s="75"/>
    </row>
    <row r="344" spans="1:17" ht="27.6" customHeight="1" x14ac:dyDescent="0.2">
      <c r="A344" s="43">
        <v>4</v>
      </c>
      <c r="B344" s="224"/>
      <c r="C344" s="224" t="s">
        <v>1010</v>
      </c>
      <c r="D344" s="228" t="s">
        <v>1011</v>
      </c>
      <c r="E344" s="224" t="s">
        <v>150</v>
      </c>
      <c r="F344" s="223" t="s">
        <v>1012</v>
      </c>
      <c r="G344" s="232" t="s">
        <v>8</v>
      </c>
      <c r="H344" s="229">
        <f>9-1</f>
        <v>8</v>
      </c>
      <c r="I344" s="234">
        <v>8</v>
      </c>
      <c r="J344" s="100">
        <v>8</v>
      </c>
      <c r="K344" s="226">
        <v>8</v>
      </c>
      <c r="L344" s="843">
        <v>8</v>
      </c>
      <c r="M344" s="135" t="s">
        <v>624</v>
      </c>
      <c r="N344" s="844" t="s">
        <v>1013</v>
      </c>
      <c r="O344" s="328" t="s">
        <v>1014</v>
      </c>
      <c r="P344" s="223">
        <v>1</v>
      </c>
      <c r="Q344" s="227"/>
    </row>
    <row r="345" spans="1:17" x14ac:dyDescent="0.2">
      <c r="A345" s="75">
        <v>4</v>
      </c>
      <c r="B345" s="224"/>
      <c r="C345" s="224"/>
      <c r="D345" s="230"/>
      <c r="E345" s="224" t="s">
        <v>150</v>
      </c>
      <c r="F345" s="223" t="s">
        <v>1012</v>
      </c>
      <c r="G345" s="105" t="s">
        <v>495</v>
      </c>
      <c r="H345" s="107">
        <f>SUM(H344)</f>
        <v>8</v>
      </c>
      <c r="I345" s="107">
        <f>SUM(I344)</f>
        <v>8</v>
      </c>
      <c r="J345" s="107">
        <f t="shared" ref="J345:L345" si="53">SUM(J344)</f>
        <v>8</v>
      </c>
      <c r="K345" s="107">
        <f t="shared" si="53"/>
        <v>8</v>
      </c>
      <c r="L345" s="765">
        <f t="shared" si="53"/>
        <v>8</v>
      </c>
      <c r="M345" s="135"/>
      <c r="N345" s="844"/>
      <c r="O345" s="328"/>
      <c r="P345" s="223"/>
      <c r="Q345" s="227"/>
    </row>
    <row r="346" spans="1:17" ht="22.5" x14ac:dyDescent="0.2">
      <c r="A346" s="223">
        <v>4</v>
      </c>
      <c r="B346" s="114" t="s">
        <v>1015</v>
      </c>
      <c r="C346" s="114" t="s">
        <v>1015</v>
      </c>
      <c r="D346" s="134" t="s">
        <v>152</v>
      </c>
      <c r="E346" s="99"/>
      <c r="F346" s="75"/>
      <c r="G346" s="135"/>
      <c r="H346" s="7"/>
      <c r="I346" s="190" t="e">
        <f>SUM(#REF!,#REF!,#REF!,#REF!,I348,#REF!,#REF!,I351,#REF!,I354,#REF!,#REF!,#REF!,I357,I359,#REF!)</f>
        <v>#REF!</v>
      </c>
      <c r="J346" s="115"/>
      <c r="K346" s="115"/>
      <c r="L346" s="823"/>
      <c r="M346" s="135"/>
      <c r="N346" s="844"/>
      <c r="O346" s="328"/>
      <c r="P346" s="223"/>
      <c r="Q346" s="227"/>
    </row>
    <row r="347" spans="1:17" ht="61.5" customHeight="1" x14ac:dyDescent="0.2">
      <c r="A347" s="223">
        <v>4</v>
      </c>
      <c r="B347" s="121"/>
      <c r="C347" s="224" t="s">
        <v>1016</v>
      </c>
      <c r="D347" s="225" t="s">
        <v>156</v>
      </c>
      <c r="E347" s="224" t="s">
        <v>150</v>
      </c>
      <c r="F347" s="232" t="s">
        <v>157</v>
      </c>
      <c r="G347" s="232" t="s">
        <v>8</v>
      </c>
      <c r="H347" s="229">
        <v>10</v>
      </c>
      <c r="I347" s="15">
        <v>10</v>
      </c>
      <c r="J347" s="100">
        <v>30</v>
      </c>
      <c r="K347" s="226">
        <v>30</v>
      </c>
      <c r="L347" s="843">
        <v>30</v>
      </c>
      <c r="M347" s="135" t="s">
        <v>637</v>
      </c>
      <c r="N347" s="1159" t="s">
        <v>1017</v>
      </c>
      <c r="O347" s="328" t="s">
        <v>1018</v>
      </c>
      <c r="P347" s="232" t="s">
        <v>1019</v>
      </c>
      <c r="Q347" s="227"/>
    </row>
    <row r="348" spans="1:17" x14ac:dyDescent="0.2">
      <c r="A348" s="223">
        <v>4</v>
      </c>
      <c r="B348" s="121"/>
      <c r="C348" s="224"/>
      <c r="D348" s="225"/>
      <c r="E348" s="224"/>
      <c r="F348" s="232"/>
      <c r="G348" s="105" t="s">
        <v>495</v>
      </c>
      <c r="H348" s="107">
        <f>SUM(H347:H347)</f>
        <v>10</v>
      </c>
      <c r="I348" s="107">
        <f>SUM(I347:I347)</f>
        <v>10</v>
      </c>
      <c r="J348" s="107">
        <f>SUM(J347:J347)</f>
        <v>30</v>
      </c>
      <c r="K348" s="107">
        <f>SUM(K347:K347)</f>
        <v>30</v>
      </c>
      <c r="L348" s="765">
        <f>SUM(L347:L347)</f>
        <v>30</v>
      </c>
      <c r="M348" s="135"/>
      <c r="N348" s="844"/>
      <c r="O348" s="328"/>
      <c r="P348" s="223"/>
      <c r="Q348" s="227"/>
    </row>
    <row r="349" spans="1:17" ht="23.45" customHeight="1" x14ac:dyDescent="0.2">
      <c r="A349" s="223">
        <v>4</v>
      </c>
      <c r="B349" s="121"/>
      <c r="C349" s="224" t="s">
        <v>1020</v>
      </c>
      <c r="D349" s="225" t="s">
        <v>158</v>
      </c>
      <c r="E349" s="224" t="s">
        <v>150</v>
      </c>
      <c r="F349" s="223" t="s">
        <v>159</v>
      </c>
      <c r="G349" s="223" t="s">
        <v>115</v>
      </c>
      <c r="H349" s="229">
        <f>66.9-15.8</f>
        <v>51.100000000000009</v>
      </c>
      <c r="I349" s="15">
        <v>40.1</v>
      </c>
      <c r="J349" s="100">
        <f>51.1-20+20+12</f>
        <v>63.1</v>
      </c>
      <c r="K349" s="226">
        <f>51.1-20</f>
        <v>31.1</v>
      </c>
      <c r="L349" s="843">
        <f>51.1-20</f>
        <v>31.1</v>
      </c>
      <c r="M349" s="135"/>
      <c r="N349" s="1160" t="s">
        <v>1021</v>
      </c>
      <c r="O349" s="328" t="s">
        <v>1022</v>
      </c>
      <c r="P349" s="223">
        <v>10</v>
      </c>
      <c r="Q349" s="227"/>
    </row>
    <row r="350" spans="1:17" ht="23.45" customHeight="1" x14ac:dyDescent="0.2">
      <c r="A350" s="223">
        <v>4</v>
      </c>
      <c r="B350" s="121"/>
      <c r="C350" s="224"/>
      <c r="D350" s="225"/>
      <c r="E350" s="224" t="s">
        <v>150</v>
      </c>
      <c r="F350" s="223" t="s">
        <v>159</v>
      </c>
      <c r="G350" s="223" t="s">
        <v>8</v>
      </c>
      <c r="H350" s="229"/>
      <c r="I350" s="15"/>
      <c r="J350" s="100">
        <f>15-12</f>
        <v>3</v>
      </c>
      <c r="K350" s="226"/>
      <c r="L350" s="843"/>
      <c r="M350" s="135"/>
      <c r="N350" s="1161"/>
      <c r="O350" s="328"/>
      <c r="P350" s="223"/>
      <c r="Q350" s="227"/>
    </row>
    <row r="351" spans="1:17" x14ac:dyDescent="0.2">
      <c r="A351" s="43">
        <v>4</v>
      </c>
      <c r="B351" s="121"/>
      <c r="C351" s="224"/>
      <c r="D351" s="225"/>
      <c r="E351" s="224"/>
      <c r="F351" s="223" t="s">
        <v>159</v>
      </c>
      <c r="G351" s="105" t="s">
        <v>495</v>
      </c>
      <c r="H351" s="107">
        <f>SUM(H349:H349)</f>
        <v>51.100000000000009</v>
      </c>
      <c r="I351" s="107">
        <f>SUM(I349:I349)</f>
        <v>40.1</v>
      </c>
      <c r="J351" s="107">
        <f>J349+J350</f>
        <v>66.099999999999994</v>
      </c>
      <c r="K351" s="107">
        <f>SUM(K349:K349)</f>
        <v>31.1</v>
      </c>
      <c r="L351" s="765">
        <f>SUM(L349:L349)</f>
        <v>31.1</v>
      </c>
      <c r="M351" s="135"/>
      <c r="N351" s="844"/>
      <c r="O351" s="328"/>
      <c r="P351" s="223"/>
      <c r="Q351" s="227"/>
    </row>
    <row r="352" spans="1:17" ht="28.15" customHeight="1" x14ac:dyDescent="0.2">
      <c r="A352" s="223">
        <v>4</v>
      </c>
      <c r="B352" s="121"/>
      <c r="C352" s="224" t="s">
        <v>1023</v>
      </c>
      <c r="D352" s="225" t="s">
        <v>160</v>
      </c>
      <c r="E352" s="224" t="s">
        <v>161</v>
      </c>
      <c r="F352" s="232" t="s">
        <v>162</v>
      </c>
      <c r="G352" s="232" t="s">
        <v>153</v>
      </c>
      <c r="H352" s="229">
        <v>4</v>
      </c>
      <c r="I352" s="234">
        <v>2.2999999999999998</v>
      </c>
      <c r="J352" s="100"/>
      <c r="K352" s="226"/>
      <c r="L352" s="843"/>
      <c r="M352" s="135"/>
      <c r="N352" s="844" t="s">
        <v>1989</v>
      </c>
      <c r="O352" s="328" t="s">
        <v>1024</v>
      </c>
      <c r="P352" s="232">
        <v>70</v>
      </c>
      <c r="Q352" s="339"/>
    </row>
    <row r="353" spans="1:17" ht="12.75" customHeight="1" x14ac:dyDescent="0.2">
      <c r="A353" s="223">
        <v>4</v>
      </c>
      <c r="B353" s="121"/>
      <c r="C353" s="224"/>
      <c r="D353" s="225"/>
      <c r="E353" s="224" t="s">
        <v>161</v>
      </c>
      <c r="F353" s="232" t="s">
        <v>162</v>
      </c>
      <c r="G353" s="232" t="s">
        <v>154</v>
      </c>
      <c r="H353" s="229">
        <v>21.9</v>
      </c>
      <c r="I353" s="234">
        <v>12.7</v>
      </c>
      <c r="J353" s="100">
        <v>0</v>
      </c>
      <c r="K353" s="226">
        <v>0</v>
      </c>
      <c r="L353" s="843">
        <v>0</v>
      </c>
      <c r="M353" s="135"/>
      <c r="N353" s="844"/>
      <c r="O353" s="328"/>
      <c r="P353" s="223"/>
      <c r="Q353" s="339"/>
    </row>
    <row r="354" spans="1:17" x14ac:dyDescent="0.2">
      <c r="A354" s="43">
        <v>4</v>
      </c>
      <c r="B354" s="121"/>
      <c r="C354" s="224"/>
      <c r="D354" s="225"/>
      <c r="E354" s="224"/>
      <c r="F354" s="232" t="s">
        <v>162</v>
      </c>
      <c r="G354" s="105" t="s">
        <v>495</v>
      </c>
      <c r="H354" s="107">
        <f>SUM(H352:H353)</f>
        <v>25.9</v>
      </c>
      <c r="I354" s="107">
        <f>SUM(I352:I353)</f>
        <v>15</v>
      </c>
      <c r="J354" s="107">
        <f>SUM(J352:J353)</f>
        <v>0</v>
      </c>
      <c r="K354" s="107">
        <f>SUM(K352:K353)</f>
        <v>0</v>
      </c>
      <c r="L354" s="765">
        <f>SUM(L352:L353)</f>
        <v>0</v>
      </c>
      <c r="M354" s="135"/>
      <c r="N354" s="844"/>
      <c r="O354" s="328"/>
      <c r="P354" s="223"/>
      <c r="Q354" s="227"/>
    </row>
    <row r="355" spans="1:17" ht="27" customHeight="1" x14ac:dyDescent="0.2">
      <c r="A355" s="223">
        <v>4</v>
      </c>
      <c r="B355" s="121"/>
      <c r="C355" s="224" t="s">
        <v>1025</v>
      </c>
      <c r="D355" s="225" t="s">
        <v>1027</v>
      </c>
      <c r="E355" s="224" t="s">
        <v>150</v>
      </c>
      <c r="F355" s="232" t="s">
        <v>1028</v>
      </c>
      <c r="G355" s="232" t="s">
        <v>37</v>
      </c>
      <c r="H355" s="231"/>
      <c r="I355" s="234"/>
      <c r="J355" s="100">
        <f>206.2-31</f>
        <v>175.2</v>
      </c>
      <c r="K355" s="7">
        <v>206.2</v>
      </c>
      <c r="L355" s="801">
        <v>206.2</v>
      </c>
      <c r="M355" s="135"/>
      <c r="N355" s="1160" t="s">
        <v>1021</v>
      </c>
      <c r="O355" s="328" t="s">
        <v>1029</v>
      </c>
      <c r="P355" s="223">
        <v>1</v>
      </c>
      <c r="Q355" s="227"/>
    </row>
    <row r="356" spans="1:17" ht="27" customHeight="1" x14ac:dyDescent="0.2">
      <c r="A356" s="223">
        <v>4</v>
      </c>
      <c r="B356" s="121"/>
      <c r="C356" s="224"/>
      <c r="D356" s="225"/>
      <c r="E356" s="224" t="s">
        <v>150</v>
      </c>
      <c r="F356" s="232" t="s">
        <v>1028</v>
      </c>
      <c r="G356" s="1201" t="s">
        <v>38</v>
      </c>
      <c r="H356" s="231"/>
      <c r="I356" s="234"/>
      <c r="J356" s="100">
        <v>31</v>
      </c>
      <c r="K356" s="7"/>
      <c r="L356" s="801"/>
      <c r="M356" s="135"/>
      <c r="N356" s="1161"/>
      <c r="O356" s="328"/>
      <c r="P356" s="223"/>
      <c r="Q356" s="227"/>
    </row>
    <row r="357" spans="1:17" x14ac:dyDescent="0.2">
      <c r="A357" s="223">
        <v>4</v>
      </c>
      <c r="B357" s="121"/>
      <c r="C357" s="224"/>
      <c r="D357" s="225"/>
      <c r="E357" s="224"/>
      <c r="F357" s="232"/>
      <c r="G357" s="105" t="s">
        <v>495</v>
      </c>
      <c r="H357" s="231"/>
      <c r="I357" s="107">
        <f>SUM(I355)</f>
        <v>0</v>
      </c>
      <c r="J357" s="107">
        <f>SUM(J355,J356)</f>
        <v>206.2</v>
      </c>
      <c r="K357" s="107">
        <f t="shared" ref="K357:L357" si="54">SUM(K355)</f>
        <v>206.2</v>
      </c>
      <c r="L357" s="765">
        <f t="shared" si="54"/>
        <v>206.2</v>
      </c>
      <c r="M357" s="135"/>
      <c r="N357" s="844"/>
      <c r="O357" s="328"/>
      <c r="P357" s="223"/>
      <c r="Q357" s="227"/>
    </row>
    <row r="358" spans="1:17" ht="23.45" customHeight="1" x14ac:dyDescent="0.2">
      <c r="A358" s="223">
        <v>4</v>
      </c>
      <c r="B358" s="121"/>
      <c r="C358" s="224" t="s">
        <v>1026</v>
      </c>
      <c r="D358" s="225" t="s">
        <v>1030</v>
      </c>
      <c r="E358" s="224">
        <v>17</v>
      </c>
      <c r="F358" s="232" t="s">
        <v>1031</v>
      </c>
      <c r="G358" s="232" t="s">
        <v>8</v>
      </c>
      <c r="H358" s="231" t="s">
        <v>151</v>
      </c>
      <c r="I358" s="234"/>
      <c r="J358" s="100">
        <v>50</v>
      </c>
      <c r="K358" s="7">
        <v>50</v>
      </c>
      <c r="L358" s="843">
        <v>50</v>
      </c>
      <c r="M358" s="226" t="s">
        <v>637</v>
      </c>
      <c r="N358" s="844" t="s">
        <v>1989</v>
      </c>
      <c r="O358" s="328" t="s">
        <v>1032</v>
      </c>
      <c r="P358" s="223">
        <v>3</v>
      </c>
      <c r="Q358" s="227" t="s">
        <v>640</v>
      </c>
    </row>
    <row r="359" spans="1:17" x14ac:dyDescent="0.2">
      <c r="A359" s="223">
        <v>4</v>
      </c>
      <c r="B359" s="121"/>
      <c r="C359" s="235" t="s">
        <v>151</v>
      </c>
      <c r="D359" s="340" t="s">
        <v>151</v>
      </c>
      <c r="E359" s="1080" t="s">
        <v>151</v>
      </c>
      <c r="F359" s="39" t="s">
        <v>151</v>
      </c>
      <c r="G359" s="105" t="s">
        <v>495</v>
      </c>
      <c r="H359" s="231" t="s">
        <v>151</v>
      </c>
      <c r="I359" s="107">
        <f>SUM(I358)</f>
        <v>0</v>
      </c>
      <c r="J359" s="107">
        <f t="shared" ref="J359:L359" si="55">SUM(J358)</f>
        <v>50</v>
      </c>
      <c r="K359" s="107">
        <f t="shared" si="55"/>
        <v>50</v>
      </c>
      <c r="L359" s="765">
        <f t="shared" si="55"/>
        <v>50</v>
      </c>
      <c r="M359" s="209" t="s">
        <v>151</v>
      </c>
      <c r="N359" s="1039" t="s">
        <v>151</v>
      </c>
      <c r="O359" s="328"/>
      <c r="P359" s="223"/>
      <c r="Q359" s="227"/>
    </row>
    <row r="360" spans="1:17" ht="30" customHeight="1" x14ac:dyDescent="0.2">
      <c r="A360" s="75">
        <v>4</v>
      </c>
      <c r="B360" s="114" t="s">
        <v>1033</v>
      </c>
      <c r="C360" s="114" t="s">
        <v>1033</v>
      </c>
      <c r="D360" s="134" t="s">
        <v>163</v>
      </c>
      <c r="E360" s="99"/>
      <c r="F360" s="75"/>
      <c r="G360" s="135"/>
      <c r="H360" s="7"/>
      <c r="I360" s="190" t="e">
        <f>#REF!+I362+#REF!+#REF!+#REF!+I365+I369+I371+I374+I377</f>
        <v>#REF!</v>
      </c>
      <c r="J360" s="115"/>
      <c r="K360" s="115"/>
      <c r="L360" s="823"/>
      <c r="M360" s="11"/>
      <c r="N360" s="1162"/>
      <c r="O360" s="998"/>
      <c r="P360" s="8"/>
      <c r="Q360" s="8"/>
    </row>
    <row r="361" spans="1:17" ht="30.6" customHeight="1" x14ac:dyDescent="0.2">
      <c r="A361" s="223">
        <v>4</v>
      </c>
      <c r="B361" s="224"/>
      <c r="C361" s="224" t="s">
        <v>1034</v>
      </c>
      <c r="D361" s="225" t="s">
        <v>1035</v>
      </c>
      <c r="E361" s="224" t="s">
        <v>150</v>
      </c>
      <c r="F361" s="232" t="s">
        <v>165</v>
      </c>
      <c r="G361" s="223" t="s">
        <v>8</v>
      </c>
      <c r="H361" s="229">
        <f>50+22</f>
        <v>72</v>
      </c>
      <c r="I361" s="234">
        <v>75.099999999999994</v>
      </c>
      <c r="J361" s="100">
        <v>160</v>
      </c>
      <c r="K361" s="226">
        <v>160</v>
      </c>
      <c r="L361" s="843">
        <v>160</v>
      </c>
      <c r="M361" s="135" t="s">
        <v>637</v>
      </c>
      <c r="N361" s="844" t="s">
        <v>1036</v>
      </c>
      <c r="O361" s="328" t="s">
        <v>1037</v>
      </c>
      <c r="P361" s="223">
        <v>8</v>
      </c>
      <c r="Q361" s="227"/>
    </row>
    <row r="362" spans="1:17" ht="12.75" customHeight="1" x14ac:dyDescent="0.2">
      <c r="A362" s="223">
        <v>4</v>
      </c>
      <c r="B362" s="224"/>
      <c r="C362" s="224"/>
      <c r="D362" s="225"/>
      <c r="E362" s="224" t="s">
        <v>150</v>
      </c>
      <c r="F362" s="232" t="s">
        <v>165</v>
      </c>
      <c r="G362" s="105" t="s">
        <v>495</v>
      </c>
      <c r="H362" s="107">
        <f>SUM(H361:H361)</f>
        <v>72</v>
      </c>
      <c r="I362" s="107">
        <f>SUM(I361:I361)</f>
        <v>75.099999999999994</v>
      </c>
      <c r="J362" s="107">
        <f t="shared" ref="J362:L362" si="56">SUM(J361:J361)</f>
        <v>160</v>
      </c>
      <c r="K362" s="107">
        <f t="shared" si="56"/>
        <v>160</v>
      </c>
      <c r="L362" s="765">
        <f t="shared" si="56"/>
        <v>160</v>
      </c>
      <c r="M362" s="135"/>
      <c r="N362" s="844"/>
      <c r="O362" s="328"/>
      <c r="P362" s="223"/>
      <c r="Q362" s="227"/>
    </row>
    <row r="363" spans="1:17" ht="36" customHeight="1" x14ac:dyDescent="0.2">
      <c r="A363" s="223">
        <v>4</v>
      </c>
      <c r="B363" s="224"/>
      <c r="C363" s="224" t="s">
        <v>1038</v>
      </c>
      <c r="D363" s="341" t="s">
        <v>1039</v>
      </c>
      <c r="E363" s="224" t="s">
        <v>150</v>
      </c>
      <c r="F363" s="232" t="s">
        <v>1040</v>
      </c>
      <c r="G363" s="223" t="s">
        <v>37</v>
      </c>
      <c r="H363" s="231"/>
      <c r="I363" s="234"/>
      <c r="J363" s="100">
        <v>15</v>
      </c>
      <c r="K363" s="226"/>
      <c r="L363" s="843"/>
      <c r="M363" s="135"/>
      <c r="N363" s="845" t="s">
        <v>1036</v>
      </c>
      <c r="O363" s="328" t="s">
        <v>1041</v>
      </c>
      <c r="P363" s="223">
        <v>1</v>
      </c>
      <c r="Q363" s="227" t="s">
        <v>640</v>
      </c>
    </row>
    <row r="364" spans="1:17" ht="12.75" customHeight="1" x14ac:dyDescent="0.2">
      <c r="A364" s="223">
        <v>4</v>
      </c>
      <c r="B364" s="224"/>
      <c r="C364" s="224"/>
      <c r="D364" s="225"/>
      <c r="E364" s="224" t="s">
        <v>150</v>
      </c>
      <c r="F364" s="232" t="s">
        <v>1040</v>
      </c>
      <c r="G364" s="223" t="s">
        <v>38</v>
      </c>
      <c r="H364" s="231"/>
      <c r="I364" s="234"/>
      <c r="J364" s="100">
        <v>3.2</v>
      </c>
      <c r="K364" s="226"/>
      <c r="L364" s="843"/>
      <c r="M364" s="135"/>
      <c r="N364" s="845"/>
      <c r="O364" s="328"/>
      <c r="P364" s="223"/>
      <c r="Q364" s="227"/>
    </row>
    <row r="365" spans="1:17" x14ac:dyDescent="0.2">
      <c r="A365" s="223">
        <v>4</v>
      </c>
      <c r="B365" s="224"/>
      <c r="C365" s="224"/>
      <c r="D365" s="233"/>
      <c r="E365" s="224"/>
      <c r="F365" s="232"/>
      <c r="G365" s="105" t="s">
        <v>495</v>
      </c>
      <c r="H365" s="107">
        <f>SUM(H363:H363)</f>
        <v>0</v>
      </c>
      <c r="I365" s="107">
        <f>SUM(I363:I364)</f>
        <v>0</v>
      </c>
      <c r="J365" s="107">
        <f t="shared" ref="J365:L365" si="57">SUM(J363:J364)</f>
        <v>18.2</v>
      </c>
      <c r="K365" s="107">
        <f t="shared" si="57"/>
        <v>0</v>
      </c>
      <c r="L365" s="765">
        <f t="shared" si="57"/>
        <v>0</v>
      </c>
      <c r="M365" s="135"/>
      <c r="N365" s="844"/>
      <c r="O365" s="328"/>
      <c r="P365" s="223"/>
      <c r="Q365" s="227"/>
    </row>
    <row r="366" spans="1:17" ht="30" customHeight="1" x14ac:dyDescent="0.2">
      <c r="A366" s="223">
        <v>4</v>
      </c>
      <c r="B366" s="121"/>
      <c r="C366" s="224" t="s">
        <v>1042</v>
      </c>
      <c r="D366" s="328" t="s">
        <v>1043</v>
      </c>
      <c r="E366" s="224" t="s">
        <v>150</v>
      </c>
      <c r="F366" s="232" t="s">
        <v>1044</v>
      </c>
      <c r="G366" s="232" t="s">
        <v>37</v>
      </c>
      <c r="H366" s="231"/>
      <c r="I366" s="903"/>
      <c r="J366" s="100">
        <v>4.5</v>
      </c>
      <c r="K366" s="7">
        <v>1107.5</v>
      </c>
      <c r="L366" s="801">
        <v>1107.5</v>
      </c>
      <c r="M366" s="135" t="s">
        <v>697</v>
      </c>
      <c r="N366" s="844" t="s">
        <v>1045</v>
      </c>
      <c r="O366" s="328" t="s">
        <v>1046</v>
      </c>
      <c r="P366" s="223">
        <v>20</v>
      </c>
      <c r="Q366" s="227"/>
    </row>
    <row r="367" spans="1:17" ht="12.75" customHeight="1" x14ac:dyDescent="0.2">
      <c r="A367" s="43">
        <v>4</v>
      </c>
      <c r="B367" s="121"/>
      <c r="C367" s="224"/>
      <c r="D367" s="328"/>
      <c r="E367" s="224" t="s">
        <v>150</v>
      </c>
      <c r="F367" s="232" t="s">
        <v>1044</v>
      </c>
      <c r="G367" s="232" t="s">
        <v>8</v>
      </c>
      <c r="H367" s="231"/>
      <c r="I367" s="903"/>
      <c r="J367" s="100">
        <f>136-136</f>
        <v>0</v>
      </c>
      <c r="K367" s="7">
        <f>136+136</f>
        <v>272</v>
      </c>
      <c r="L367" s="801">
        <v>136</v>
      </c>
      <c r="M367" s="135" t="s">
        <v>697</v>
      </c>
      <c r="N367" s="845"/>
      <c r="O367" s="328"/>
      <c r="P367" s="223"/>
      <c r="Q367" s="227"/>
    </row>
    <row r="368" spans="1:17" ht="12.75" customHeight="1" x14ac:dyDescent="0.2">
      <c r="A368" s="43">
        <v>4</v>
      </c>
      <c r="B368" s="121"/>
      <c r="C368" s="224"/>
      <c r="D368" s="328"/>
      <c r="E368" s="224" t="s">
        <v>150</v>
      </c>
      <c r="F368" s="232" t="s">
        <v>1044</v>
      </c>
      <c r="G368" s="232" t="s">
        <v>38</v>
      </c>
      <c r="H368" s="231"/>
      <c r="I368" s="903"/>
      <c r="J368" s="100">
        <f>0.8</f>
        <v>0.8</v>
      </c>
      <c r="K368" s="7"/>
      <c r="L368" s="801"/>
      <c r="M368" s="135"/>
      <c r="N368" s="1215"/>
      <c r="O368" s="328"/>
      <c r="P368" s="223"/>
      <c r="Q368" s="227"/>
    </row>
    <row r="369" spans="1:17" x14ac:dyDescent="0.2">
      <c r="A369" s="223">
        <v>4</v>
      </c>
      <c r="B369" s="121"/>
      <c r="C369" s="224"/>
      <c r="D369" s="328"/>
      <c r="E369" s="342"/>
      <c r="F369" s="232"/>
      <c r="G369" s="105" t="s">
        <v>495</v>
      </c>
      <c r="H369" s="107" t="e">
        <f>SUM(#REF!)</f>
        <v>#REF!</v>
      </c>
      <c r="I369" s="107">
        <f>SUM(I366:I367)</f>
        <v>0</v>
      </c>
      <c r="J369" s="107">
        <f>SUM(J366:J368)</f>
        <v>5.3</v>
      </c>
      <c r="K369" s="107">
        <f>SUM(K366:K367)</f>
        <v>1379.5</v>
      </c>
      <c r="L369" s="765">
        <f>SUM(L366:L367)</f>
        <v>1243.5</v>
      </c>
      <c r="M369" s="135" t="s">
        <v>697</v>
      </c>
      <c r="N369" s="1211"/>
      <c r="O369" s="1212"/>
      <c r="P369" s="1213"/>
      <c r="Q369" s="1214"/>
    </row>
    <row r="370" spans="1:17" ht="33" customHeight="1" x14ac:dyDescent="0.2">
      <c r="A370" s="223">
        <v>4</v>
      </c>
      <c r="B370" s="121"/>
      <c r="C370" s="224" t="s">
        <v>1047</v>
      </c>
      <c r="D370" s="328" t="s">
        <v>1048</v>
      </c>
      <c r="E370" s="224" t="s">
        <v>150</v>
      </c>
      <c r="F370" s="232" t="s">
        <v>1049</v>
      </c>
      <c r="G370" s="343" t="s">
        <v>8</v>
      </c>
      <c r="H370" s="344"/>
      <c r="I370" s="904"/>
      <c r="J370" s="100">
        <v>6</v>
      </c>
      <c r="K370" s="345"/>
      <c r="L370" s="846"/>
      <c r="M370" s="135" t="s">
        <v>710</v>
      </c>
      <c r="N370" s="1160" t="s">
        <v>1021</v>
      </c>
      <c r="O370" s="239" t="s">
        <v>1050</v>
      </c>
      <c r="P370" s="238">
        <v>1</v>
      </c>
      <c r="Q370" s="227"/>
    </row>
    <row r="371" spans="1:17" x14ac:dyDescent="0.2">
      <c r="A371" s="43">
        <v>4</v>
      </c>
      <c r="B371" s="121"/>
      <c r="C371" s="224"/>
      <c r="D371" s="346"/>
      <c r="E371" s="224"/>
      <c r="F371" s="347"/>
      <c r="G371" s="105" t="s">
        <v>495</v>
      </c>
      <c r="H371" s="107" t="e">
        <f>SUM(H369:H369)</f>
        <v>#REF!</v>
      </c>
      <c r="I371" s="107">
        <f>SUM(I370)</f>
        <v>0</v>
      </c>
      <c r="J371" s="107">
        <f t="shared" ref="J371:L371" si="58">SUM(J370)</f>
        <v>6</v>
      </c>
      <c r="K371" s="107">
        <f t="shared" si="58"/>
        <v>0</v>
      </c>
      <c r="L371" s="765">
        <f t="shared" si="58"/>
        <v>0</v>
      </c>
      <c r="M371" s="135"/>
      <c r="N371" s="1160"/>
      <c r="O371" s="239"/>
      <c r="P371" s="238"/>
      <c r="Q371" s="227"/>
    </row>
    <row r="372" spans="1:17" ht="33.6" customHeight="1" x14ac:dyDescent="0.2">
      <c r="A372" s="75">
        <v>4</v>
      </c>
      <c r="B372" s="121"/>
      <c r="C372" s="224" t="s">
        <v>1051</v>
      </c>
      <c r="D372" s="90" t="s">
        <v>1052</v>
      </c>
      <c r="E372" s="224" t="s">
        <v>150</v>
      </c>
      <c r="F372" s="232" t="s">
        <v>1053</v>
      </c>
      <c r="G372" s="157" t="s">
        <v>8</v>
      </c>
      <c r="H372" s="348"/>
      <c r="I372" s="905"/>
      <c r="J372" s="100">
        <v>19.399999999999999</v>
      </c>
      <c r="K372" s="128">
        <v>19.399999999999999</v>
      </c>
      <c r="L372" s="847">
        <v>19.399999999999999</v>
      </c>
      <c r="M372" s="135" t="s">
        <v>627</v>
      </c>
      <c r="N372" s="1160" t="s">
        <v>1021</v>
      </c>
      <c r="O372" s="999" t="s">
        <v>1054</v>
      </c>
      <c r="P372" s="238">
        <v>15</v>
      </c>
      <c r="Q372" s="227" t="s">
        <v>640</v>
      </c>
    </row>
    <row r="373" spans="1:17" ht="12.75" customHeight="1" x14ac:dyDescent="0.2">
      <c r="A373" s="223">
        <v>4</v>
      </c>
      <c r="B373" s="121"/>
      <c r="C373" s="224"/>
      <c r="D373" s="328"/>
      <c r="E373" s="224" t="s">
        <v>150</v>
      </c>
      <c r="F373" s="232" t="s">
        <v>1053</v>
      </c>
      <c r="G373" s="157" t="s">
        <v>37</v>
      </c>
      <c r="H373" s="348"/>
      <c r="I373" s="905"/>
      <c r="J373" s="100">
        <v>110</v>
      </c>
      <c r="K373" s="128">
        <v>110</v>
      </c>
      <c r="L373" s="847">
        <v>110</v>
      </c>
      <c r="M373" s="135"/>
      <c r="N373" s="1163"/>
      <c r="O373" s="1000"/>
      <c r="P373" s="238"/>
      <c r="Q373" s="227"/>
    </row>
    <row r="374" spans="1:17" ht="15" x14ac:dyDescent="0.2">
      <c r="A374" s="223">
        <v>4</v>
      </c>
      <c r="B374" s="121"/>
      <c r="C374" s="224"/>
      <c r="D374" s="328"/>
      <c r="E374" s="224"/>
      <c r="F374" s="347"/>
      <c r="G374" s="349" t="s">
        <v>495</v>
      </c>
      <c r="H374" s="240" t="e">
        <f>SUM(#REF!)</f>
        <v>#REF!</v>
      </c>
      <c r="I374" s="240">
        <f>SUM(I372:I373)</f>
        <v>0</v>
      </c>
      <c r="J374" s="240">
        <f t="shared" ref="J374:L374" si="59">SUM(J372:J373)</f>
        <v>129.4</v>
      </c>
      <c r="K374" s="240">
        <f t="shared" si="59"/>
        <v>129.4</v>
      </c>
      <c r="L374" s="848">
        <f t="shared" si="59"/>
        <v>129.4</v>
      </c>
      <c r="M374" s="135"/>
      <c r="N374" s="1163"/>
      <c r="O374" s="1000"/>
      <c r="P374" s="238"/>
      <c r="Q374" s="227"/>
    </row>
    <row r="375" spans="1:17" ht="39.6" customHeight="1" x14ac:dyDescent="0.2">
      <c r="A375" s="223">
        <v>4</v>
      </c>
      <c r="B375" s="121"/>
      <c r="C375" s="224" t="s">
        <v>1055</v>
      </c>
      <c r="D375" s="400" t="s">
        <v>1056</v>
      </c>
      <c r="E375" s="224" t="s">
        <v>150</v>
      </c>
      <c r="F375" s="232" t="s">
        <v>1057</v>
      </c>
      <c r="G375" s="157" t="s">
        <v>37</v>
      </c>
      <c r="H375" s="348"/>
      <c r="I375" s="905"/>
      <c r="J375" s="100">
        <v>322</v>
      </c>
      <c r="K375" s="128"/>
      <c r="L375" s="847"/>
      <c r="M375" s="135" t="s">
        <v>627</v>
      </c>
      <c r="N375" s="1160" t="s">
        <v>1021</v>
      </c>
      <c r="O375" s="999" t="s">
        <v>1058</v>
      </c>
      <c r="P375" s="238">
        <v>1</v>
      </c>
      <c r="Q375" s="227"/>
    </row>
    <row r="376" spans="1:17" ht="12.75" customHeight="1" x14ac:dyDescent="0.2">
      <c r="A376" s="223">
        <v>4</v>
      </c>
      <c r="B376" s="121"/>
      <c r="C376" s="224"/>
      <c r="D376" s="328"/>
      <c r="E376" s="224" t="s">
        <v>150</v>
      </c>
      <c r="F376" s="232" t="s">
        <v>1057</v>
      </c>
      <c r="G376" s="151" t="s">
        <v>38</v>
      </c>
      <c r="H376" s="404"/>
      <c r="I376" s="906"/>
      <c r="J376" s="100">
        <v>56.8</v>
      </c>
      <c r="K376" s="405"/>
      <c r="L376" s="849"/>
      <c r="M376" s="135"/>
      <c r="N376" s="1163"/>
      <c r="O376" s="1000"/>
      <c r="P376" s="238"/>
      <c r="Q376" s="227"/>
    </row>
    <row r="377" spans="1:17" ht="12.75" customHeight="1" x14ac:dyDescent="0.2">
      <c r="A377" s="223">
        <v>4</v>
      </c>
      <c r="B377" s="121"/>
      <c r="C377" s="224"/>
      <c r="D377" s="328"/>
      <c r="E377" s="224"/>
      <c r="F377" s="347"/>
      <c r="G377" s="402" t="s">
        <v>495</v>
      </c>
      <c r="H377" s="403">
        <f>SUM(H370:H370)</f>
        <v>0</v>
      </c>
      <c r="I377" s="403">
        <f>SUM(I375:I376)</f>
        <v>0</v>
      </c>
      <c r="J377" s="403">
        <f t="shared" ref="J377:L377" si="60">SUM(J375:J376)</f>
        <v>378.8</v>
      </c>
      <c r="K377" s="403">
        <f t="shared" si="60"/>
        <v>0</v>
      </c>
      <c r="L377" s="850">
        <f t="shared" si="60"/>
        <v>0</v>
      </c>
      <c r="M377" s="135"/>
      <c r="N377" s="1163"/>
      <c r="O377" s="1000"/>
      <c r="P377" s="238"/>
      <c r="Q377" s="227"/>
    </row>
    <row r="378" spans="1:17" ht="12.75" hidden="1" customHeight="1" x14ac:dyDescent="0.2">
      <c r="A378" s="43">
        <v>4</v>
      </c>
      <c r="B378" s="121"/>
      <c r="C378" s="224"/>
      <c r="D378" s="328"/>
      <c r="E378" s="224"/>
      <c r="F378" s="347"/>
      <c r="G378" s="241" t="s">
        <v>495</v>
      </c>
      <c r="H378" s="242"/>
      <c r="I378" s="241" t="e">
        <f>SUM(#REF!,#REF!,I345,#REF!,#REF!,#REF!,#REF!,I348,#REF!,#REF!,I351,#REF!,I354,#REF!,I362,#REF!,#REF!,I365,I374,I371,I369,#REF!,I357,#REF!,#REF!,#REF!,I359,I377,#REF!)</f>
        <v>#REF!</v>
      </c>
      <c r="J378" s="241">
        <f>SUM(J345,J348,J351,J354,J362,J365,J374,J371,J369,J357,J359,J377)</f>
        <v>1058</v>
      </c>
      <c r="K378" s="241" t="e">
        <f>SUM(#REF!,#REF!,K345,#REF!,#REF!,#REF!,#REF!,K348,#REF!,#REF!,K351,#REF!,K354,#REF!,K362,#REF!,#REF!,K365,K374,K371,K369,#REF!,K357,#REF!,#REF!,#REF!,K359,K377,#REF!)</f>
        <v>#REF!</v>
      </c>
      <c r="L378" s="851" t="e">
        <f>SUM(#REF!,#REF!,L345,#REF!,#REF!,#REF!,#REF!,L348,#REF!,#REF!,L351,#REF!,L354,#REF!,L362,#REF!,#REF!,L365,L374,L371,L369,#REF!,L357,#REF!,#REF!,#REF!,L359,L377,#REF!)</f>
        <v>#REF!</v>
      </c>
      <c r="M378" s="187"/>
      <c r="N378" s="1163"/>
      <c r="O378" s="1000"/>
      <c r="P378" s="238"/>
      <c r="Q378" s="227"/>
    </row>
    <row r="379" spans="1:17" ht="12.75" hidden="1" customHeight="1" x14ac:dyDescent="0.2">
      <c r="A379" s="75">
        <v>4</v>
      </c>
      <c r="B379" s="121"/>
      <c r="C379" s="224"/>
      <c r="D379" s="328"/>
      <c r="E379" s="224"/>
      <c r="F379" s="347"/>
      <c r="G379" s="75" t="s">
        <v>8</v>
      </c>
      <c r="H379" s="242"/>
      <c r="I379" s="129" t="e">
        <f>SUM(#REF!,#REF!,#REF!,I344,#REF!,#REF!,#REF!,I347,#REF!,#REF!,#REF!,#REF!,#REF!,I361,#REF!,#REF!,#REF!,#REF!,#REF!,#REF!,#REF!,#REF!,#REF!,#REF!,#REF!,#REF!,I367,#REF!,I370,I372,I358)</f>
        <v>#REF!</v>
      </c>
      <c r="J379" s="129">
        <f>SUM(J344,J347,J361,J367,J370,J372,J358,J350)</f>
        <v>276.39999999999998</v>
      </c>
      <c r="K379" s="129" t="e">
        <f>SUM(#REF!,#REF!,#REF!,K344,#REF!,#REF!,#REF!,K347,#REF!,#REF!,#REF!,#REF!,#REF!,K361,#REF!,#REF!,#REF!,#REF!,#REF!,#REF!,#REF!,#REF!,#REF!,#REF!,#REF!,#REF!,K367,#REF!,K370,K372,K358)</f>
        <v>#REF!</v>
      </c>
      <c r="L379" s="790" t="e">
        <f>SUM(#REF!,#REF!,#REF!,L344,#REF!,#REF!,#REF!,L347,#REF!,#REF!,#REF!,#REF!,#REF!,L361,#REF!,#REF!,#REF!,#REF!,#REF!,#REF!,#REF!,#REF!,#REF!,#REF!,#REF!,#REF!,L367,#REF!,L370,L372,L358)</f>
        <v>#REF!</v>
      </c>
      <c r="M379" s="135"/>
      <c r="N379" s="1163"/>
      <c r="O379" s="1000"/>
      <c r="P379" s="238"/>
      <c r="Q379" s="227"/>
    </row>
    <row r="380" spans="1:17" ht="12.75" hidden="1" customHeight="1" x14ac:dyDescent="0.2">
      <c r="A380" s="223">
        <v>4</v>
      </c>
      <c r="B380" s="121"/>
      <c r="C380" s="224"/>
      <c r="D380" s="328"/>
      <c r="E380" s="224"/>
      <c r="F380" s="347"/>
      <c r="G380" s="78" t="s">
        <v>10</v>
      </c>
      <c r="H380" s="242"/>
      <c r="I380" s="129" t="e">
        <f>SUM(#REF!,#REF!,#REF!,#REF!)</f>
        <v>#REF!</v>
      </c>
      <c r="J380" s="129"/>
      <c r="K380" s="129" t="e">
        <f>SUM(#REF!,#REF!,#REF!,#REF!)</f>
        <v>#REF!</v>
      </c>
      <c r="L380" s="790" t="e">
        <f>SUM(#REF!,#REF!,#REF!,#REF!)</f>
        <v>#REF!</v>
      </c>
      <c r="M380" s="135"/>
      <c r="N380" s="1163"/>
      <c r="O380" s="1000"/>
      <c r="P380" s="238"/>
      <c r="Q380" s="227"/>
    </row>
    <row r="381" spans="1:17" ht="12.75" hidden="1" customHeight="1" x14ac:dyDescent="0.2">
      <c r="A381" s="223">
        <v>4</v>
      </c>
      <c r="B381" s="121"/>
      <c r="C381" s="224"/>
      <c r="D381" s="328"/>
      <c r="E381" s="224"/>
      <c r="F381" s="347"/>
      <c r="G381" s="78" t="s">
        <v>115</v>
      </c>
      <c r="H381" s="242"/>
      <c r="I381" s="129" t="e">
        <f>SUM(#REF!,#REF!,I349,#REF!,#REF!)</f>
        <v>#REF!</v>
      </c>
      <c r="J381" s="129">
        <f>SUM(J349)</f>
        <v>63.1</v>
      </c>
      <c r="K381" s="129" t="e">
        <f>SUM(#REF!,#REF!,K349,#REF!,#REF!)</f>
        <v>#REF!</v>
      </c>
      <c r="L381" s="790" t="e">
        <f>SUM(#REF!,#REF!,L349,#REF!,#REF!)</f>
        <v>#REF!</v>
      </c>
      <c r="M381" s="135"/>
      <c r="N381" s="1163"/>
      <c r="O381" s="1000"/>
      <c r="P381" s="238"/>
      <c r="Q381" s="227"/>
    </row>
    <row r="382" spans="1:17" ht="12.75" hidden="1" customHeight="1" x14ac:dyDescent="0.2">
      <c r="A382" s="223">
        <v>4</v>
      </c>
      <c r="B382" s="121"/>
      <c r="C382" s="224"/>
      <c r="D382" s="328"/>
      <c r="E382" s="224"/>
      <c r="F382" s="347"/>
      <c r="G382" s="78" t="s">
        <v>116</v>
      </c>
      <c r="H382" s="242"/>
      <c r="I382" s="129" t="e">
        <f>#REF!</f>
        <v>#REF!</v>
      </c>
      <c r="J382" s="129"/>
      <c r="K382" s="129" t="e">
        <f>#REF!</f>
        <v>#REF!</v>
      </c>
      <c r="L382" s="790" t="e">
        <f>#REF!</f>
        <v>#REF!</v>
      </c>
      <c r="M382" s="135"/>
      <c r="N382" s="1163"/>
      <c r="O382" s="1000"/>
      <c r="P382" s="238"/>
      <c r="Q382" s="227"/>
    </row>
    <row r="383" spans="1:17" ht="12.75" hidden="1" customHeight="1" x14ac:dyDescent="0.2">
      <c r="A383" s="223">
        <v>4</v>
      </c>
      <c r="B383" s="121"/>
      <c r="C383" s="224"/>
      <c r="D383" s="328"/>
      <c r="E383" s="224"/>
      <c r="F383" s="347"/>
      <c r="G383" s="78" t="s">
        <v>11</v>
      </c>
      <c r="H383" s="242"/>
      <c r="I383" s="129" t="e">
        <f>#REF!</f>
        <v>#REF!</v>
      </c>
      <c r="J383" s="129"/>
      <c r="K383" s="129" t="e">
        <f>#REF!</f>
        <v>#REF!</v>
      </c>
      <c r="L383" s="790" t="e">
        <f>#REF!</f>
        <v>#REF!</v>
      </c>
      <c r="M383" s="135"/>
      <c r="N383" s="1163"/>
      <c r="O383" s="1000"/>
      <c r="P383" s="238"/>
      <c r="Q383" s="227"/>
    </row>
    <row r="384" spans="1:17" ht="12.75" hidden="1" customHeight="1" x14ac:dyDescent="0.2">
      <c r="A384" s="223">
        <v>4</v>
      </c>
      <c r="B384" s="224"/>
      <c r="C384" s="224"/>
      <c r="D384" s="233"/>
      <c r="E384" s="224"/>
      <c r="F384" s="232"/>
      <c r="G384" s="78" t="s">
        <v>155</v>
      </c>
      <c r="H384" s="19"/>
      <c r="I384" s="129" t="e">
        <f>#REF!</f>
        <v>#REF!</v>
      </c>
      <c r="J384" s="129"/>
      <c r="K384" s="129" t="e">
        <f>#REF!</f>
        <v>#REF!</v>
      </c>
      <c r="L384" s="790" t="e">
        <f>#REF!</f>
        <v>#REF!</v>
      </c>
      <c r="M384" s="135"/>
      <c r="N384" s="1163"/>
      <c r="O384" s="1001"/>
      <c r="P384" s="238"/>
      <c r="Q384" s="227"/>
    </row>
    <row r="385" spans="1:17" ht="12.75" hidden="1" customHeight="1" x14ac:dyDescent="0.2">
      <c r="A385" s="43">
        <v>4</v>
      </c>
      <c r="B385" s="224"/>
      <c r="C385" s="224"/>
      <c r="D385" s="233"/>
      <c r="E385" s="224"/>
      <c r="F385" s="232"/>
      <c r="G385" s="75" t="s">
        <v>38</v>
      </c>
      <c r="H385" s="38"/>
      <c r="I385" s="38">
        <f>I364+I376</f>
        <v>0</v>
      </c>
      <c r="J385" s="38">
        <f>J364+J376+J356+J368</f>
        <v>91.8</v>
      </c>
      <c r="K385" s="38">
        <f>K364+K376</f>
        <v>0</v>
      </c>
      <c r="L385" s="49">
        <f>L364+L376</f>
        <v>0</v>
      </c>
      <c r="M385" s="135"/>
      <c r="N385" s="1163"/>
      <c r="O385" s="1000"/>
      <c r="P385" s="238"/>
      <c r="Q385" s="227"/>
    </row>
    <row r="386" spans="1:17" ht="12.75" hidden="1" customHeight="1" x14ac:dyDescent="0.2">
      <c r="A386" s="75">
        <v>4</v>
      </c>
      <c r="B386" s="224"/>
      <c r="C386" s="224"/>
      <c r="D386" s="233"/>
      <c r="E386" s="224"/>
      <c r="F386" s="232"/>
      <c r="G386" s="75" t="s">
        <v>37</v>
      </c>
      <c r="H386" s="38"/>
      <c r="I386" s="12" t="e">
        <f>SUM(#REF!,#REF!,#REF!,I366,I363,I355,#REF!,#REF!,#REF!,I373,I375)</f>
        <v>#REF!</v>
      </c>
      <c r="J386" s="12">
        <f>SUM(J366,J363,J355,J373,J375)</f>
        <v>626.70000000000005</v>
      </c>
      <c r="K386" s="12" t="e">
        <f>SUM(#REF!,#REF!,#REF!,K366,K363,K355,#REF!,#REF!,#REF!,K373,K375)</f>
        <v>#REF!</v>
      </c>
      <c r="L386" s="19" t="e">
        <f>SUM(#REF!,#REF!,#REF!,L366,L363,L355,#REF!,#REF!,#REF!,L373,L375)</f>
        <v>#REF!</v>
      </c>
      <c r="M386" s="135"/>
      <c r="N386" s="1163"/>
      <c r="O386" s="239"/>
      <c r="P386" s="238"/>
      <c r="Q386" s="227"/>
    </row>
    <row r="387" spans="1:17" ht="12.75" hidden="1" customHeight="1" x14ac:dyDescent="0.2">
      <c r="A387" s="223">
        <v>4</v>
      </c>
      <c r="B387" s="224"/>
      <c r="C387" s="224"/>
      <c r="D387" s="233"/>
      <c r="E387" s="224"/>
      <c r="F387" s="232"/>
      <c r="G387" s="75" t="s">
        <v>154</v>
      </c>
      <c r="H387" s="38"/>
      <c r="I387" s="38" t="e">
        <f>SUM(#REF!,#REF!,I353)</f>
        <v>#REF!</v>
      </c>
      <c r="J387" s="38">
        <f>SUM(J353)</f>
        <v>0</v>
      </c>
      <c r="K387" s="38" t="e">
        <f>SUM(#REF!,#REF!,K353)</f>
        <v>#REF!</v>
      </c>
      <c r="L387" s="49" t="e">
        <f>SUM(#REF!,#REF!,L353)</f>
        <v>#REF!</v>
      </c>
      <c r="M387" s="135"/>
      <c r="N387" s="844"/>
      <c r="O387" s="243"/>
      <c r="P387" s="223"/>
      <c r="Q387" s="227"/>
    </row>
    <row r="388" spans="1:17" ht="12.75" hidden="1" customHeight="1" x14ac:dyDescent="0.2">
      <c r="A388" s="223">
        <v>4</v>
      </c>
      <c r="B388" s="224"/>
      <c r="C388" s="224"/>
      <c r="D388" s="233"/>
      <c r="E388" s="224"/>
      <c r="F388" s="232"/>
      <c r="G388" s="75" t="s">
        <v>74</v>
      </c>
      <c r="H388" s="38"/>
      <c r="I388" s="38" t="e">
        <f>SUM(#REF!,#REF!,#REF!)</f>
        <v>#REF!</v>
      </c>
      <c r="J388" s="38"/>
      <c r="K388" s="38" t="e">
        <f>SUM(#REF!,#REF!,#REF!)</f>
        <v>#REF!</v>
      </c>
      <c r="L388" s="49" t="e">
        <f>SUM(#REF!,#REF!,#REF!)</f>
        <v>#REF!</v>
      </c>
      <c r="M388" s="135"/>
      <c r="N388" s="844"/>
      <c r="O388" s="328"/>
      <c r="P388" s="223"/>
      <c r="Q388" s="227"/>
    </row>
    <row r="389" spans="1:17" ht="12.75" hidden="1" customHeight="1" x14ac:dyDescent="0.2">
      <c r="A389" s="223">
        <v>4</v>
      </c>
      <c r="B389" s="224"/>
      <c r="C389" s="224"/>
      <c r="D389" s="233"/>
      <c r="E389" s="224"/>
      <c r="F389" s="232"/>
      <c r="G389" s="75" t="s">
        <v>153</v>
      </c>
      <c r="H389" s="38"/>
      <c r="I389" s="38" t="e">
        <f>SUM(#REF!,#REF!,I352,)</f>
        <v>#REF!</v>
      </c>
      <c r="J389" s="38">
        <f>SUM(J352,)</f>
        <v>0</v>
      </c>
      <c r="K389" s="38" t="e">
        <f>SUM(#REF!,#REF!,K352,)</f>
        <v>#REF!</v>
      </c>
      <c r="L389" s="49" t="e">
        <f>SUM(#REF!,#REF!,L352,)</f>
        <v>#REF!</v>
      </c>
      <c r="M389" s="135"/>
      <c r="N389" s="844"/>
      <c r="O389" s="328"/>
      <c r="P389" s="223"/>
      <c r="Q389" s="227"/>
    </row>
    <row r="390" spans="1:17" ht="12.75" hidden="1" customHeight="1" x14ac:dyDescent="0.2">
      <c r="A390" s="223">
        <v>4</v>
      </c>
      <c r="B390" s="224"/>
      <c r="C390" s="224"/>
      <c r="D390" s="233"/>
      <c r="E390" s="224"/>
      <c r="F390" s="232"/>
      <c r="G390" s="131" t="s">
        <v>495</v>
      </c>
      <c r="H390" s="122"/>
      <c r="I390" s="131" t="e">
        <f>SUM(I379:I389)</f>
        <v>#REF!</v>
      </c>
      <c r="J390" s="131">
        <f>SUM(J379:J389)</f>
        <v>1058</v>
      </c>
      <c r="K390" s="131" t="e">
        <f>SUM(K379:K389)</f>
        <v>#REF!</v>
      </c>
      <c r="L390" s="798" t="e">
        <f>SUM(L379:L389)</f>
        <v>#REF!</v>
      </c>
      <c r="M390" s="135"/>
      <c r="N390" s="844"/>
      <c r="O390" s="328"/>
      <c r="P390" s="223"/>
      <c r="Q390" s="227"/>
    </row>
    <row r="391" spans="1:17" ht="12.75" hidden="1" customHeight="1" x14ac:dyDescent="0.2">
      <c r="A391" s="223">
        <v>4</v>
      </c>
      <c r="B391" s="224"/>
      <c r="C391" s="224"/>
      <c r="D391" s="233"/>
      <c r="E391" s="224"/>
      <c r="F391" s="232"/>
      <c r="G391" s="21"/>
      <c r="H391" s="38"/>
      <c r="I391" s="38" t="e">
        <f>I378-I390</f>
        <v>#REF!</v>
      </c>
      <c r="J391" s="38">
        <f>J378-J390</f>
        <v>0</v>
      </c>
      <c r="K391" s="38" t="e">
        <f>K378-K390</f>
        <v>#REF!</v>
      </c>
      <c r="L391" s="49" t="e">
        <f>L378-L390</f>
        <v>#REF!</v>
      </c>
      <c r="M391" s="135"/>
      <c r="N391" s="844"/>
      <c r="O391" s="328"/>
      <c r="P391" s="223"/>
      <c r="Q391" s="227"/>
    </row>
    <row r="392" spans="1:17" ht="14.45" customHeight="1" x14ac:dyDescent="0.2">
      <c r="A392" s="927"/>
      <c r="B392" s="927"/>
      <c r="C392" s="927"/>
      <c r="D392" s="927" t="s">
        <v>1852</v>
      </c>
      <c r="E392" s="930"/>
      <c r="F392" s="927"/>
      <c r="G392" s="927"/>
      <c r="H392" s="927"/>
      <c r="I392" s="927"/>
      <c r="J392" s="927"/>
      <c r="K392" s="927"/>
      <c r="L392" s="929"/>
      <c r="M392" s="940"/>
      <c r="N392" s="1028"/>
      <c r="O392" s="995"/>
      <c r="P392" s="941"/>
      <c r="Q392" s="941"/>
    </row>
    <row r="393" spans="1:17" ht="30" customHeight="1" x14ac:dyDescent="0.2">
      <c r="A393" s="43">
        <v>5</v>
      </c>
      <c r="B393" s="244"/>
      <c r="C393" s="244"/>
      <c r="D393" s="96" t="s">
        <v>1059</v>
      </c>
      <c r="E393" s="97"/>
      <c r="F393" s="98"/>
      <c r="G393" s="97"/>
      <c r="H393" s="97"/>
      <c r="I393" s="97"/>
      <c r="J393" s="97"/>
      <c r="K393" s="97"/>
      <c r="L393" s="431"/>
      <c r="M393" s="135"/>
      <c r="N393" s="758"/>
      <c r="O393" s="83"/>
      <c r="P393" s="75"/>
      <c r="Q393" s="75"/>
    </row>
    <row r="394" spans="1:17" ht="26.45" customHeight="1" x14ac:dyDescent="0.2">
      <c r="A394" s="43">
        <v>5</v>
      </c>
      <c r="B394" s="245" t="s">
        <v>1060</v>
      </c>
      <c r="C394" s="245" t="s">
        <v>1060</v>
      </c>
      <c r="D394" s="246" t="s">
        <v>166</v>
      </c>
      <c r="E394" s="247"/>
      <c r="F394" s="43"/>
      <c r="G394" s="56"/>
      <c r="H394" s="38"/>
      <c r="I394" s="190" t="e">
        <f>SUM(I398,I400,I405,I411,#REF!,I414,I416,I418,I402)</f>
        <v>#REF!</v>
      </c>
      <c r="J394" s="115"/>
      <c r="K394" s="115" t="e">
        <f>SUM(K398,K400,K405,K411,#REF!,K414,K416,K418,K402)</f>
        <v>#REF!</v>
      </c>
      <c r="L394" s="823" t="e">
        <f>SUM(L398,L400,L405,L411,#REF!,L414,L416,L418,L402)</f>
        <v>#REF!</v>
      </c>
      <c r="M394" s="135"/>
      <c r="N394" s="758"/>
      <c r="O394" s="83"/>
      <c r="P394" s="75"/>
      <c r="Q394" s="75"/>
    </row>
    <row r="395" spans="1:17" ht="12.75" customHeight="1" x14ac:dyDescent="0.2">
      <c r="A395" s="43">
        <v>5</v>
      </c>
      <c r="B395" s="47"/>
      <c r="C395" s="47" t="s">
        <v>1061</v>
      </c>
      <c r="D395" s="51" t="s">
        <v>167</v>
      </c>
      <c r="E395" s="43">
        <v>7</v>
      </c>
      <c r="F395" s="43" t="s">
        <v>168</v>
      </c>
      <c r="G395" s="43" t="s">
        <v>169</v>
      </c>
      <c r="H395" s="38">
        <v>17113.2</v>
      </c>
      <c r="I395" s="15">
        <v>20165.099999999999</v>
      </c>
      <c r="J395" s="100">
        <v>25724.2</v>
      </c>
      <c r="K395" s="384">
        <v>27000</v>
      </c>
      <c r="L395" s="852">
        <v>27000</v>
      </c>
      <c r="M395" s="135"/>
      <c r="N395" s="398" t="s">
        <v>1062</v>
      </c>
      <c r="O395" s="119" t="s">
        <v>812</v>
      </c>
      <c r="P395" s="70">
        <v>100</v>
      </c>
      <c r="Q395" s="350"/>
    </row>
    <row r="396" spans="1:17" ht="12.75" customHeight="1" x14ac:dyDescent="0.2">
      <c r="A396" s="43">
        <v>5</v>
      </c>
      <c r="B396" s="47"/>
      <c r="C396" s="47"/>
      <c r="D396" s="51"/>
      <c r="E396" s="43">
        <v>7</v>
      </c>
      <c r="F396" s="43" t="s">
        <v>168</v>
      </c>
      <c r="G396" s="64" t="s">
        <v>604</v>
      </c>
      <c r="H396" s="38">
        <f>89.9+62.6</f>
        <v>152.5</v>
      </c>
      <c r="I396" s="15">
        <v>208.9</v>
      </c>
      <c r="J396" s="100">
        <f>54+54.9</f>
        <v>108.9</v>
      </c>
      <c r="K396" s="38"/>
      <c r="L396" s="49"/>
      <c r="M396" s="135"/>
      <c r="N396" s="398" t="s">
        <v>2009</v>
      </c>
      <c r="O396" s="119" t="s">
        <v>1063</v>
      </c>
      <c r="P396" s="70">
        <v>10</v>
      </c>
      <c r="Q396" s="350"/>
    </row>
    <row r="397" spans="1:17" ht="33" customHeight="1" x14ac:dyDescent="0.2">
      <c r="A397" s="43">
        <v>5</v>
      </c>
      <c r="B397" s="47"/>
      <c r="C397" s="47"/>
      <c r="D397" s="51"/>
      <c r="E397" s="43">
        <v>7</v>
      </c>
      <c r="F397" s="43" t="s">
        <v>168</v>
      </c>
      <c r="G397" s="43" t="s">
        <v>170</v>
      </c>
      <c r="H397" s="38"/>
      <c r="I397" s="15"/>
      <c r="J397" s="100"/>
      <c r="K397" s="38"/>
      <c r="L397" s="49"/>
      <c r="M397" s="135"/>
      <c r="N397" s="398"/>
      <c r="O397" s="119"/>
      <c r="P397" s="70"/>
      <c r="Q397" s="350"/>
    </row>
    <row r="398" spans="1:17" x14ac:dyDescent="0.2">
      <c r="A398" s="43">
        <v>5</v>
      </c>
      <c r="B398" s="47"/>
      <c r="C398" s="47"/>
      <c r="D398" s="51"/>
      <c r="E398" s="43"/>
      <c r="F398" s="43" t="s">
        <v>168</v>
      </c>
      <c r="G398" s="105" t="s">
        <v>495</v>
      </c>
      <c r="H398" s="107">
        <f>SUM(H395:H397)</f>
        <v>17265.7</v>
      </c>
      <c r="I398" s="107">
        <f>SUM(I395:I397)</f>
        <v>20374</v>
      </c>
      <c r="J398" s="107">
        <f t="shared" ref="J398:L398" si="61">SUM(J395:J397)</f>
        <v>25833.100000000002</v>
      </c>
      <c r="K398" s="107">
        <f t="shared" si="61"/>
        <v>27000</v>
      </c>
      <c r="L398" s="765">
        <f t="shared" si="61"/>
        <v>27000</v>
      </c>
      <c r="M398" s="135"/>
      <c r="N398" s="398"/>
      <c r="O398" s="119"/>
      <c r="P398" s="70"/>
      <c r="Q398" s="350"/>
    </row>
    <row r="399" spans="1:17" ht="37.15" customHeight="1" x14ac:dyDescent="0.2">
      <c r="A399" s="43">
        <v>5</v>
      </c>
      <c r="B399" s="47"/>
      <c r="C399" s="47" t="s">
        <v>1064</v>
      </c>
      <c r="D399" s="51" t="s">
        <v>1065</v>
      </c>
      <c r="E399" s="43">
        <v>7</v>
      </c>
      <c r="F399" s="43" t="s">
        <v>171</v>
      </c>
      <c r="G399" s="43" t="s">
        <v>8</v>
      </c>
      <c r="H399" s="108">
        <v>351.2</v>
      </c>
      <c r="I399" s="15">
        <v>385.5</v>
      </c>
      <c r="J399" s="100">
        <f>400-50-21</f>
        <v>329</v>
      </c>
      <c r="K399" s="38">
        <v>420</v>
      </c>
      <c r="L399" s="49">
        <v>440</v>
      </c>
      <c r="M399" s="187" t="s">
        <v>637</v>
      </c>
      <c r="N399" s="1164" t="s">
        <v>1731</v>
      </c>
      <c r="O399" s="119" t="s">
        <v>1066</v>
      </c>
      <c r="P399" s="70">
        <v>800</v>
      </c>
      <c r="Q399" s="350"/>
    </row>
    <row r="400" spans="1:17" ht="12.75" customHeight="1" x14ac:dyDescent="0.2">
      <c r="A400" s="43">
        <v>5</v>
      </c>
      <c r="B400" s="47"/>
      <c r="C400" s="47"/>
      <c r="D400" s="51"/>
      <c r="E400" s="43"/>
      <c r="F400" s="43" t="s">
        <v>171</v>
      </c>
      <c r="G400" s="105" t="s">
        <v>495</v>
      </c>
      <c r="H400" s="107">
        <f>SUM(H399)</f>
        <v>351.2</v>
      </c>
      <c r="I400" s="107">
        <f>SUM(I399)</f>
        <v>385.5</v>
      </c>
      <c r="J400" s="107">
        <f t="shared" ref="J400:L400" si="62">SUM(J399)</f>
        <v>329</v>
      </c>
      <c r="K400" s="107">
        <f t="shared" si="62"/>
        <v>420</v>
      </c>
      <c r="L400" s="765">
        <f t="shared" si="62"/>
        <v>440</v>
      </c>
      <c r="M400" s="135"/>
      <c r="N400" s="1164" t="s">
        <v>1731</v>
      </c>
      <c r="O400" s="119" t="s">
        <v>1067</v>
      </c>
      <c r="P400" s="70">
        <v>25</v>
      </c>
      <c r="Q400" s="350"/>
    </row>
    <row r="401" spans="1:17" ht="12.75" customHeight="1" x14ac:dyDescent="0.2">
      <c r="A401" s="43">
        <v>5</v>
      </c>
      <c r="B401" s="47"/>
      <c r="C401" s="47" t="s">
        <v>1068</v>
      </c>
      <c r="D401" s="51" t="s">
        <v>1069</v>
      </c>
      <c r="E401" s="43">
        <v>7</v>
      </c>
      <c r="F401" s="43" t="s">
        <v>1070</v>
      </c>
      <c r="G401" s="43" t="s">
        <v>8</v>
      </c>
      <c r="H401" s="108"/>
      <c r="I401" s="15"/>
      <c r="J401" s="100">
        <f>150+50</f>
        <v>200</v>
      </c>
      <c r="K401" s="38">
        <v>150</v>
      </c>
      <c r="L401" s="49">
        <v>150</v>
      </c>
      <c r="M401" s="135" t="s">
        <v>637</v>
      </c>
      <c r="N401" s="1164" t="s">
        <v>1731</v>
      </c>
      <c r="O401" s="119" t="s">
        <v>1071</v>
      </c>
      <c r="P401" s="70">
        <v>85</v>
      </c>
      <c r="Q401" s="350"/>
    </row>
    <row r="402" spans="1:17" x14ac:dyDescent="0.2">
      <c r="A402" s="43">
        <v>5</v>
      </c>
      <c r="B402" s="47"/>
      <c r="C402" s="47"/>
      <c r="D402" s="51"/>
      <c r="E402" s="43"/>
      <c r="F402" s="64"/>
      <c r="G402" s="105" t="s">
        <v>495</v>
      </c>
      <c r="H402" s="107">
        <f>SUM(H401)</f>
        <v>0</v>
      </c>
      <c r="I402" s="107">
        <f>SUM(I401)</f>
        <v>0</v>
      </c>
      <c r="J402" s="107">
        <f t="shared" ref="J402:L402" si="63">SUM(J401)</f>
        <v>200</v>
      </c>
      <c r="K402" s="107">
        <f t="shared" si="63"/>
        <v>150</v>
      </c>
      <c r="L402" s="765">
        <f t="shared" si="63"/>
        <v>150</v>
      </c>
      <c r="M402" s="135"/>
      <c r="N402" s="398"/>
      <c r="O402" s="119"/>
      <c r="P402" s="70"/>
      <c r="Q402" s="350"/>
    </row>
    <row r="403" spans="1:17" ht="27" customHeight="1" x14ac:dyDescent="0.2">
      <c r="A403" s="43">
        <v>5</v>
      </c>
      <c r="B403" s="47"/>
      <c r="C403" s="47" t="s">
        <v>1072</v>
      </c>
      <c r="D403" s="51" t="s">
        <v>172</v>
      </c>
      <c r="E403" s="43">
        <v>7</v>
      </c>
      <c r="F403" s="43" t="s">
        <v>173</v>
      </c>
      <c r="G403" s="43" t="s">
        <v>169</v>
      </c>
      <c r="H403" s="38">
        <v>3379.49</v>
      </c>
      <c r="I403" s="15">
        <v>4888.3</v>
      </c>
      <c r="J403" s="100">
        <v>6408.4</v>
      </c>
      <c r="K403" s="38">
        <v>7000</v>
      </c>
      <c r="L403" s="49">
        <v>7000</v>
      </c>
      <c r="M403" s="135"/>
      <c r="N403" s="398" t="s">
        <v>2010</v>
      </c>
      <c r="O403" s="119" t="s">
        <v>1073</v>
      </c>
      <c r="P403" s="70">
        <v>100</v>
      </c>
      <c r="Q403" s="350"/>
    </row>
    <row r="404" spans="1:17" ht="12.75" customHeight="1" x14ac:dyDescent="0.2">
      <c r="A404" s="43">
        <v>5</v>
      </c>
      <c r="B404" s="47"/>
      <c r="C404" s="47"/>
      <c r="D404" s="51"/>
      <c r="E404" s="43">
        <v>7</v>
      </c>
      <c r="F404" s="43" t="s">
        <v>173</v>
      </c>
      <c r="G404" s="64" t="s">
        <v>604</v>
      </c>
      <c r="H404" s="38">
        <f>2.8</f>
        <v>2.8</v>
      </c>
      <c r="I404" s="15">
        <v>9.3000000000000007</v>
      </c>
      <c r="J404" s="100">
        <f>1</f>
        <v>1</v>
      </c>
      <c r="K404" s="38"/>
      <c r="L404" s="49"/>
      <c r="M404" s="135"/>
      <c r="N404" s="398" t="s">
        <v>2011</v>
      </c>
      <c r="O404" s="119" t="s">
        <v>1063</v>
      </c>
      <c r="P404" s="70">
        <v>10</v>
      </c>
      <c r="Q404" s="350"/>
    </row>
    <row r="405" spans="1:17" x14ac:dyDescent="0.2">
      <c r="A405" s="43">
        <v>5</v>
      </c>
      <c r="B405" s="47"/>
      <c r="C405" s="47"/>
      <c r="D405" s="51"/>
      <c r="E405" s="43"/>
      <c r="F405" s="43" t="s">
        <v>173</v>
      </c>
      <c r="G405" s="105" t="s">
        <v>495</v>
      </c>
      <c r="H405" s="107">
        <f>SUM(H403:H404)</f>
        <v>3382.29</v>
      </c>
      <c r="I405" s="107">
        <f>SUM(I403:I404)</f>
        <v>4897.6000000000004</v>
      </c>
      <c r="J405" s="107">
        <f t="shared" ref="J405:L405" si="64">SUM(J403:J404)</f>
        <v>6409.4</v>
      </c>
      <c r="K405" s="107">
        <f t="shared" si="64"/>
        <v>7000</v>
      </c>
      <c r="L405" s="765">
        <f t="shared" si="64"/>
        <v>7000</v>
      </c>
      <c r="M405" s="135"/>
      <c r="N405" s="398" t="s">
        <v>2012</v>
      </c>
      <c r="O405" s="119"/>
      <c r="P405" s="70"/>
      <c r="Q405" s="350"/>
    </row>
    <row r="406" spans="1:17" ht="30.6" customHeight="1" x14ac:dyDescent="0.2">
      <c r="A406" s="43">
        <v>5</v>
      </c>
      <c r="B406" s="47"/>
      <c r="C406" s="47" t="s">
        <v>1074</v>
      </c>
      <c r="D406" s="51" t="s">
        <v>1075</v>
      </c>
      <c r="E406" s="43">
        <v>7</v>
      </c>
      <c r="F406" s="43" t="s">
        <v>174</v>
      </c>
      <c r="G406" s="43" t="s">
        <v>10</v>
      </c>
      <c r="H406" s="38">
        <v>267.89999999999998</v>
      </c>
      <c r="I406" s="15">
        <v>299.5</v>
      </c>
      <c r="J406" s="100">
        <v>368.9</v>
      </c>
      <c r="K406" s="15">
        <v>368.9</v>
      </c>
      <c r="L406" s="34">
        <v>368.9</v>
      </c>
      <c r="M406" s="135"/>
      <c r="N406" s="398" t="s">
        <v>2013</v>
      </c>
      <c r="O406" s="119" t="s">
        <v>1076</v>
      </c>
      <c r="P406" s="70">
        <v>100</v>
      </c>
      <c r="Q406" s="350"/>
    </row>
    <row r="407" spans="1:17" ht="12.75" customHeight="1" x14ac:dyDescent="0.2">
      <c r="A407" s="43">
        <v>5</v>
      </c>
      <c r="B407" s="47"/>
      <c r="C407" s="47"/>
      <c r="D407" s="51"/>
      <c r="E407" s="43">
        <v>7</v>
      </c>
      <c r="F407" s="43" t="s">
        <v>174</v>
      </c>
      <c r="G407" s="43" t="s">
        <v>10</v>
      </c>
      <c r="H407" s="38"/>
      <c r="I407" s="15"/>
      <c r="J407" s="100"/>
      <c r="K407" s="38"/>
      <c r="L407" s="49"/>
      <c r="M407" s="135"/>
      <c r="N407" s="398" t="s">
        <v>2014</v>
      </c>
      <c r="O407" s="119" t="s">
        <v>1063</v>
      </c>
      <c r="P407" s="70">
        <v>10</v>
      </c>
      <c r="Q407" s="350"/>
    </row>
    <row r="408" spans="1:17" ht="12.75" customHeight="1" x14ac:dyDescent="0.2">
      <c r="A408" s="43">
        <v>5</v>
      </c>
      <c r="B408" s="47"/>
      <c r="C408" s="47"/>
      <c r="D408" s="51"/>
      <c r="E408" s="43">
        <v>7</v>
      </c>
      <c r="F408" s="43" t="s">
        <v>174</v>
      </c>
      <c r="G408" s="43" t="s">
        <v>175</v>
      </c>
      <c r="H408" s="38"/>
      <c r="I408" s="15"/>
      <c r="J408" s="100"/>
      <c r="K408" s="38"/>
      <c r="L408" s="49"/>
      <c r="M408" s="135"/>
      <c r="N408" s="398" t="s">
        <v>2015</v>
      </c>
      <c r="O408" s="119"/>
      <c r="P408" s="70"/>
      <c r="Q408" s="350"/>
    </row>
    <row r="409" spans="1:17" ht="12.75" customHeight="1" x14ac:dyDescent="0.2">
      <c r="A409" s="43">
        <v>5</v>
      </c>
      <c r="B409" s="47"/>
      <c r="C409" s="47"/>
      <c r="D409" s="51"/>
      <c r="E409" s="43">
        <v>7</v>
      </c>
      <c r="F409" s="43" t="s">
        <v>174</v>
      </c>
      <c r="G409" s="64" t="s">
        <v>621</v>
      </c>
      <c r="H409" s="38">
        <f>20.4+21.5</f>
        <v>41.9</v>
      </c>
      <c r="I409" s="15">
        <v>51.8</v>
      </c>
      <c r="J409" s="100">
        <f>11.1+11.5</f>
        <v>22.6</v>
      </c>
      <c r="K409" s="38"/>
      <c r="L409" s="49"/>
      <c r="M409" s="135"/>
      <c r="N409" s="398" t="s">
        <v>2016</v>
      </c>
      <c r="O409" s="119"/>
      <c r="P409" s="70"/>
      <c r="Q409" s="350"/>
    </row>
    <row r="410" spans="1:17" ht="24" customHeight="1" x14ac:dyDescent="0.2">
      <c r="A410" s="43">
        <v>5</v>
      </c>
      <c r="B410" s="47"/>
      <c r="C410" s="47"/>
      <c r="D410" s="51"/>
      <c r="E410" s="43">
        <v>7</v>
      </c>
      <c r="F410" s="43" t="s">
        <v>174</v>
      </c>
      <c r="G410" s="64" t="s">
        <v>8</v>
      </c>
      <c r="H410" s="38">
        <f>2073.4-1000+100+1052.7</f>
        <v>2226.1000000000004</v>
      </c>
      <c r="I410" s="15">
        <v>1923.9</v>
      </c>
      <c r="J410" s="100">
        <f>2226.1-200-18</f>
        <v>2008.1</v>
      </c>
      <c r="K410" s="15">
        <f>2226.1-200</f>
        <v>2026.1</v>
      </c>
      <c r="L410" s="49">
        <v>2226.1</v>
      </c>
      <c r="M410" s="135" t="s">
        <v>624</v>
      </c>
      <c r="N410" s="1164" t="s">
        <v>1731</v>
      </c>
      <c r="O410" s="119"/>
      <c r="P410" s="70"/>
      <c r="Q410" s="350"/>
    </row>
    <row r="411" spans="1:17" x14ac:dyDescent="0.2">
      <c r="A411" s="43">
        <v>5</v>
      </c>
      <c r="B411" s="47"/>
      <c r="C411" s="47"/>
      <c r="D411" s="51"/>
      <c r="E411" s="43"/>
      <c r="F411" s="43"/>
      <c r="G411" s="105" t="s">
        <v>495</v>
      </c>
      <c r="H411" s="107">
        <f>SUM(H406:H410)</f>
        <v>2535.9000000000005</v>
      </c>
      <c r="I411" s="107">
        <f>SUM(I406:I410)</f>
        <v>2275.2000000000003</v>
      </c>
      <c r="J411" s="107">
        <f t="shared" ref="J411:L411" si="65">SUM(J406:J410)</f>
        <v>2399.6</v>
      </c>
      <c r="K411" s="107">
        <f t="shared" si="65"/>
        <v>2395</v>
      </c>
      <c r="L411" s="765">
        <f t="shared" si="65"/>
        <v>2595</v>
      </c>
      <c r="M411" s="135"/>
      <c r="N411" s="398"/>
      <c r="O411" s="119"/>
      <c r="P411" s="70"/>
      <c r="Q411" s="350"/>
    </row>
    <row r="412" spans="1:17" ht="32.450000000000003" customHeight="1" x14ac:dyDescent="0.2">
      <c r="A412" s="43">
        <v>5</v>
      </c>
      <c r="B412" s="47"/>
      <c r="C412" s="47" t="s">
        <v>1077</v>
      </c>
      <c r="D412" s="51" t="s">
        <v>176</v>
      </c>
      <c r="E412" s="43">
        <v>7</v>
      </c>
      <c r="F412" s="43" t="s">
        <v>177</v>
      </c>
      <c r="G412" s="43" t="s">
        <v>10</v>
      </c>
      <c r="H412" s="38">
        <v>939.6</v>
      </c>
      <c r="I412" s="15">
        <v>1038.3</v>
      </c>
      <c r="J412" s="100">
        <v>1436</v>
      </c>
      <c r="K412" s="38">
        <v>1436</v>
      </c>
      <c r="L412" s="49">
        <v>1436</v>
      </c>
      <c r="M412" s="135"/>
      <c r="N412" s="1164" t="s">
        <v>1731</v>
      </c>
      <c r="O412" s="119" t="s">
        <v>1071</v>
      </c>
      <c r="P412" s="70">
        <v>3000</v>
      </c>
      <c r="Q412" s="350"/>
    </row>
    <row r="413" spans="1:17" ht="12.75" customHeight="1" x14ac:dyDescent="0.2">
      <c r="A413" s="43">
        <v>5</v>
      </c>
      <c r="B413" s="47"/>
      <c r="C413" s="47"/>
      <c r="D413" s="51"/>
      <c r="E413" s="43">
        <v>7</v>
      </c>
      <c r="F413" s="43" t="s">
        <v>177</v>
      </c>
      <c r="G413" s="64" t="s">
        <v>621</v>
      </c>
      <c r="H413" s="38">
        <f>3+2.4</f>
        <v>5.4</v>
      </c>
      <c r="I413" s="15">
        <v>7.8</v>
      </c>
      <c r="J413" s="100">
        <f>2.9+1</f>
        <v>3.9</v>
      </c>
      <c r="K413" s="38"/>
      <c r="L413" s="49"/>
      <c r="M413" s="135"/>
      <c r="N413" s="1164" t="s">
        <v>1731</v>
      </c>
      <c r="O413" s="119" t="s">
        <v>1078</v>
      </c>
      <c r="P413" s="70">
        <v>12</v>
      </c>
      <c r="Q413" s="350"/>
    </row>
    <row r="414" spans="1:17" ht="12.75" customHeight="1" x14ac:dyDescent="0.2">
      <c r="A414" s="43">
        <v>5</v>
      </c>
      <c r="B414" s="47"/>
      <c r="C414" s="47"/>
      <c r="D414" s="51"/>
      <c r="E414" s="43"/>
      <c r="F414" s="43" t="s">
        <v>1079</v>
      </c>
      <c r="G414" s="105" t="s">
        <v>495</v>
      </c>
      <c r="H414" s="107">
        <f>SUM(H412:H413)</f>
        <v>945</v>
      </c>
      <c r="I414" s="107">
        <f>SUM(I412:I413)</f>
        <v>1046.0999999999999</v>
      </c>
      <c r="J414" s="107">
        <f t="shared" ref="J414:L414" si="66">SUM(J412:J413)</f>
        <v>1439.9</v>
      </c>
      <c r="K414" s="107">
        <f t="shared" si="66"/>
        <v>1436</v>
      </c>
      <c r="L414" s="765">
        <f t="shared" si="66"/>
        <v>1436</v>
      </c>
      <c r="M414" s="135"/>
      <c r="N414" s="398"/>
      <c r="O414" s="119"/>
      <c r="P414" s="70"/>
      <c r="Q414" s="350"/>
    </row>
    <row r="415" spans="1:17" ht="12.75" customHeight="1" x14ac:dyDescent="0.2">
      <c r="A415" s="43">
        <v>5</v>
      </c>
      <c r="B415" s="47"/>
      <c r="C415" s="47" t="s">
        <v>1080</v>
      </c>
      <c r="D415" s="51" t="s">
        <v>1081</v>
      </c>
      <c r="E415" s="43">
        <v>7</v>
      </c>
      <c r="F415" s="43" t="s">
        <v>1082</v>
      </c>
      <c r="G415" s="43" t="s">
        <v>621</v>
      </c>
      <c r="H415" s="38">
        <f>65+60+50+50</f>
        <v>225</v>
      </c>
      <c r="I415" s="15">
        <v>16.600000000000001</v>
      </c>
      <c r="J415" s="100">
        <v>0</v>
      </c>
      <c r="K415" s="38">
        <v>0</v>
      </c>
      <c r="L415" s="49">
        <v>0</v>
      </c>
      <c r="M415" s="135"/>
      <c r="N415" s="1164" t="s">
        <v>1731</v>
      </c>
      <c r="O415" s="119" t="s">
        <v>1083</v>
      </c>
      <c r="P415" s="70">
        <v>100</v>
      </c>
      <c r="Q415" s="350"/>
    </row>
    <row r="416" spans="1:17" x14ac:dyDescent="0.2">
      <c r="A416" s="43">
        <v>5</v>
      </c>
      <c r="B416" s="47"/>
      <c r="C416" s="47"/>
      <c r="D416" s="51"/>
      <c r="E416" s="43"/>
      <c r="F416" s="43" t="s">
        <v>1082</v>
      </c>
      <c r="G416" s="105" t="s">
        <v>495</v>
      </c>
      <c r="H416" s="107">
        <f>SUM(H415)</f>
        <v>225</v>
      </c>
      <c r="I416" s="107">
        <f>SUM(I415)</f>
        <v>16.600000000000001</v>
      </c>
      <c r="J416" s="107">
        <f t="shared" ref="J416:L416" si="67">SUM(J415)</f>
        <v>0</v>
      </c>
      <c r="K416" s="107">
        <f t="shared" si="67"/>
        <v>0</v>
      </c>
      <c r="L416" s="765">
        <f t="shared" si="67"/>
        <v>0</v>
      </c>
      <c r="M416" s="135"/>
      <c r="N416" s="398"/>
      <c r="O416" s="119"/>
      <c r="P416" s="70"/>
      <c r="Q416" s="350"/>
    </row>
    <row r="417" spans="1:17" ht="28.15" customHeight="1" x14ac:dyDescent="0.2">
      <c r="A417" s="43">
        <v>5</v>
      </c>
      <c r="B417" s="47"/>
      <c r="C417" s="47" t="s">
        <v>1084</v>
      </c>
      <c r="D417" s="51" t="s">
        <v>1085</v>
      </c>
      <c r="E417" s="43">
        <v>7</v>
      </c>
      <c r="F417" s="43" t="s">
        <v>1086</v>
      </c>
      <c r="G417" s="43" t="s">
        <v>621</v>
      </c>
      <c r="H417" s="107"/>
      <c r="I417" s="15">
        <f>6.7+1.4+0.7+3</f>
        <v>11.799999999999999</v>
      </c>
      <c r="J417" s="100">
        <f>2.4</f>
        <v>2.4</v>
      </c>
      <c r="K417" s="38"/>
      <c r="L417" s="49"/>
      <c r="M417" s="135"/>
      <c r="N417" s="398" t="s">
        <v>2017</v>
      </c>
      <c r="O417" s="351" t="s">
        <v>1071</v>
      </c>
      <c r="P417" s="70">
        <v>40</v>
      </c>
      <c r="Q417" s="350"/>
    </row>
    <row r="418" spans="1:17" x14ac:dyDescent="0.2">
      <c r="A418" s="43">
        <v>5</v>
      </c>
      <c r="B418" s="47"/>
      <c r="C418" s="47"/>
      <c r="D418" s="51"/>
      <c r="E418" s="43">
        <v>7</v>
      </c>
      <c r="F418" s="43" t="s">
        <v>1086</v>
      </c>
      <c r="G418" s="105" t="s">
        <v>495</v>
      </c>
      <c r="H418" s="107"/>
      <c r="I418" s="107">
        <f>SUM(I417)</f>
        <v>11.799999999999999</v>
      </c>
      <c r="J418" s="107">
        <f t="shared" ref="J418:L418" si="68">SUM(J417)</f>
        <v>2.4</v>
      </c>
      <c r="K418" s="107">
        <f t="shared" si="68"/>
        <v>0</v>
      </c>
      <c r="L418" s="765">
        <f t="shared" si="68"/>
        <v>0</v>
      </c>
      <c r="M418" s="135"/>
      <c r="N418" s="398"/>
      <c r="O418" s="119"/>
      <c r="P418" s="70"/>
      <c r="Q418" s="350"/>
    </row>
    <row r="419" spans="1:17" ht="32.450000000000003" customHeight="1" x14ac:dyDescent="0.2">
      <c r="A419" s="43">
        <v>5</v>
      </c>
      <c r="B419" s="245" t="s">
        <v>1087</v>
      </c>
      <c r="C419" s="245" t="s">
        <v>1087</v>
      </c>
      <c r="D419" s="246" t="s">
        <v>178</v>
      </c>
      <c r="E419" s="247"/>
      <c r="F419" s="43"/>
      <c r="G419" s="56"/>
      <c r="H419" s="38"/>
      <c r="I419" s="190">
        <f>SUM(I421,I424,I426,I429)</f>
        <v>89.40000000000002</v>
      </c>
      <c r="J419" s="115"/>
      <c r="K419" s="115">
        <f t="shared" ref="K419:L419" si="69">SUM(K421,K424,K426,K429)</f>
        <v>162.69999999999999</v>
      </c>
      <c r="L419" s="823">
        <f t="shared" si="69"/>
        <v>162.69999999999999</v>
      </c>
      <c r="M419" s="135"/>
      <c r="N419" s="398"/>
      <c r="O419" s="119"/>
      <c r="P419" s="70"/>
      <c r="Q419" s="350"/>
    </row>
    <row r="420" spans="1:17" ht="29.45" customHeight="1" x14ac:dyDescent="0.2">
      <c r="A420" s="43">
        <v>5</v>
      </c>
      <c r="B420" s="47"/>
      <c r="C420" s="47" t="s">
        <v>1088</v>
      </c>
      <c r="D420" s="51" t="s">
        <v>179</v>
      </c>
      <c r="E420" s="43">
        <v>7</v>
      </c>
      <c r="F420" s="43" t="s">
        <v>180</v>
      </c>
      <c r="G420" s="43" t="s">
        <v>8</v>
      </c>
      <c r="H420" s="38"/>
      <c r="I420" s="15">
        <v>3</v>
      </c>
      <c r="J420" s="100">
        <v>12</v>
      </c>
      <c r="K420" s="38">
        <v>12</v>
      </c>
      <c r="L420" s="49">
        <v>12</v>
      </c>
      <c r="M420" s="187" t="s">
        <v>624</v>
      </c>
      <c r="N420" s="398" t="s">
        <v>1045</v>
      </c>
      <c r="O420" s="252" t="s">
        <v>1071</v>
      </c>
      <c r="P420" s="70">
        <v>2500</v>
      </c>
      <c r="Q420" s="350"/>
    </row>
    <row r="421" spans="1:17" ht="12.75" customHeight="1" x14ac:dyDescent="0.2">
      <c r="A421" s="43">
        <v>5</v>
      </c>
      <c r="B421" s="47"/>
      <c r="C421" s="47"/>
      <c r="D421" s="51"/>
      <c r="E421" s="43"/>
      <c r="F421" s="43" t="s">
        <v>180</v>
      </c>
      <c r="G421" s="105" t="s">
        <v>495</v>
      </c>
      <c r="H421" s="107">
        <f>SUM(H420)</f>
        <v>0</v>
      </c>
      <c r="I421" s="107">
        <f>SUM(I420)</f>
        <v>3</v>
      </c>
      <c r="J421" s="107">
        <f t="shared" ref="J421:L421" si="70">SUM(J420)</f>
        <v>12</v>
      </c>
      <c r="K421" s="107">
        <f t="shared" si="70"/>
        <v>12</v>
      </c>
      <c r="L421" s="765">
        <f t="shared" si="70"/>
        <v>12</v>
      </c>
      <c r="M421" s="135"/>
      <c r="N421" s="398"/>
      <c r="O421" s="68"/>
      <c r="P421" s="70"/>
      <c r="Q421" s="350"/>
    </row>
    <row r="422" spans="1:17" ht="19.5" customHeight="1" x14ac:dyDescent="0.2">
      <c r="A422" s="43">
        <v>5</v>
      </c>
      <c r="B422" s="47"/>
      <c r="C422" s="47" t="s">
        <v>1089</v>
      </c>
      <c r="D422" s="51" t="s">
        <v>181</v>
      </c>
      <c r="E422" s="43">
        <v>7</v>
      </c>
      <c r="F422" s="43" t="s">
        <v>182</v>
      </c>
      <c r="G422" s="43" t="s">
        <v>8</v>
      </c>
      <c r="H422" s="38">
        <v>32</v>
      </c>
      <c r="I422" s="15">
        <v>35.200000000000003</v>
      </c>
      <c r="J422" s="100">
        <f>40+12</f>
        <v>52</v>
      </c>
      <c r="K422" s="38">
        <v>32</v>
      </c>
      <c r="L422" s="49">
        <v>32</v>
      </c>
      <c r="M422" s="135" t="s">
        <v>637</v>
      </c>
      <c r="N422" s="398" t="s">
        <v>1727</v>
      </c>
      <c r="O422" s="188" t="s">
        <v>1090</v>
      </c>
      <c r="P422" s="70">
        <v>37</v>
      </c>
      <c r="Q422" s="350"/>
    </row>
    <row r="423" spans="1:17" ht="19.149999999999999" customHeight="1" x14ac:dyDescent="0.2">
      <c r="A423" s="43">
        <v>5</v>
      </c>
      <c r="B423" s="47"/>
      <c r="C423" s="47"/>
      <c r="D423" s="51"/>
      <c r="E423" s="43">
        <v>7</v>
      </c>
      <c r="F423" s="43" t="s">
        <v>182</v>
      </c>
      <c r="G423" s="43" t="s">
        <v>10</v>
      </c>
      <c r="H423" s="38">
        <f>40+25.5-25.5</f>
        <v>40</v>
      </c>
      <c r="I423" s="15">
        <v>41.6</v>
      </c>
      <c r="J423" s="100">
        <f>40+79.1</f>
        <v>119.1</v>
      </c>
      <c r="K423" s="38">
        <v>40</v>
      </c>
      <c r="L423" s="49">
        <v>40</v>
      </c>
      <c r="M423" s="135"/>
      <c r="N423" s="398" t="s">
        <v>1727</v>
      </c>
      <c r="O423" s="188" t="s">
        <v>1091</v>
      </c>
      <c r="P423" s="70">
        <v>37</v>
      </c>
      <c r="Q423" s="350"/>
    </row>
    <row r="424" spans="1:17" x14ac:dyDescent="0.2">
      <c r="A424" s="43">
        <v>5</v>
      </c>
      <c r="B424" s="47"/>
      <c r="C424" s="47"/>
      <c r="D424" s="51"/>
      <c r="E424" s="43"/>
      <c r="F424" s="43" t="s">
        <v>182</v>
      </c>
      <c r="G424" s="105" t="s">
        <v>495</v>
      </c>
      <c r="H424" s="107">
        <f>SUM(H422:H423)</f>
        <v>72</v>
      </c>
      <c r="I424" s="107">
        <f>SUM(I422:I423)</f>
        <v>76.800000000000011</v>
      </c>
      <c r="J424" s="107">
        <f t="shared" ref="J424:L424" si="71">SUM(J422:J423)</f>
        <v>171.1</v>
      </c>
      <c r="K424" s="107">
        <f t="shared" si="71"/>
        <v>72</v>
      </c>
      <c r="L424" s="765">
        <f t="shared" si="71"/>
        <v>72</v>
      </c>
      <c r="M424" s="135"/>
      <c r="N424" s="398"/>
      <c r="O424" s="119"/>
      <c r="P424" s="70"/>
      <c r="Q424" s="350"/>
    </row>
    <row r="425" spans="1:17" ht="27" customHeight="1" x14ac:dyDescent="0.2">
      <c r="A425" s="43">
        <v>5</v>
      </c>
      <c r="B425" s="47"/>
      <c r="C425" s="47" t="s">
        <v>1092</v>
      </c>
      <c r="D425" s="51" t="s">
        <v>183</v>
      </c>
      <c r="E425" s="43">
        <v>7</v>
      </c>
      <c r="F425" s="43" t="s">
        <v>184</v>
      </c>
      <c r="G425" s="43" t="s">
        <v>10</v>
      </c>
      <c r="H425" s="38">
        <v>4.9000000000000004</v>
      </c>
      <c r="I425" s="15">
        <v>4.9000000000000004</v>
      </c>
      <c r="J425" s="100">
        <v>3.4</v>
      </c>
      <c r="K425" s="38">
        <v>3.4</v>
      </c>
      <c r="L425" s="49">
        <v>3.4</v>
      </c>
      <c r="M425" s="135"/>
      <c r="N425" s="398" t="s">
        <v>1719</v>
      </c>
      <c r="O425" s="188" t="s">
        <v>1093</v>
      </c>
      <c r="P425" s="70">
        <v>100</v>
      </c>
      <c r="Q425" s="350"/>
    </row>
    <row r="426" spans="1:17" ht="12.75" customHeight="1" x14ac:dyDescent="0.2">
      <c r="A426" s="43">
        <v>5</v>
      </c>
      <c r="B426" s="47"/>
      <c r="C426" s="47"/>
      <c r="D426" s="51"/>
      <c r="E426" s="43"/>
      <c r="F426" s="43" t="s">
        <v>184</v>
      </c>
      <c r="G426" s="105" t="s">
        <v>495</v>
      </c>
      <c r="H426" s="107">
        <f>SUM(H425)</f>
        <v>4.9000000000000004</v>
      </c>
      <c r="I426" s="107">
        <f>SUM(I425)</f>
        <v>4.9000000000000004</v>
      </c>
      <c r="J426" s="107">
        <f t="shared" ref="J426:L426" si="72">SUM(J425)</f>
        <v>3.4</v>
      </c>
      <c r="K426" s="107">
        <f t="shared" si="72"/>
        <v>3.4</v>
      </c>
      <c r="L426" s="765">
        <f t="shared" si="72"/>
        <v>3.4</v>
      </c>
      <c r="M426" s="135"/>
      <c r="N426" s="398"/>
      <c r="O426" s="119"/>
      <c r="P426" s="70"/>
      <c r="Q426" s="350"/>
    </row>
    <row r="427" spans="1:17" ht="12.75" customHeight="1" x14ac:dyDescent="0.2">
      <c r="A427" s="43">
        <v>5</v>
      </c>
      <c r="B427" s="47"/>
      <c r="C427" s="47" t="s">
        <v>1094</v>
      </c>
      <c r="D427" s="51" t="s">
        <v>1095</v>
      </c>
      <c r="E427" s="43">
        <v>7</v>
      </c>
      <c r="F427" s="43" t="s">
        <v>1096</v>
      </c>
      <c r="G427" s="43" t="s">
        <v>10</v>
      </c>
      <c r="H427" s="38"/>
      <c r="I427" s="15">
        <v>4.7</v>
      </c>
      <c r="J427" s="100">
        <v>55.3</v>
      </c>
      <c r="K427" s="38">
        <v>55.3</v>
      </c>
      <c r="L427" s="49">
        <v>55.3</v>
      </c>
      <c r="M427" s="135"/>
      <c r="N427" s="398" t="s">
        <v>1723</v>
      </c>
      <c r="O427" s="252" t="s">
        <v>1071</v>
      </c>
      <c r="P427" s="70">
        <v>52</v>
      </c>
      <c r="Q427" s="350"/>
    </row>
    <row r="428" spans="1:17" ht="12.75" customHeight="1" x14ac:dyDescent="0.2">
      <c r="A428" s="43">
        <v>5</v>
      </c>
      <c r="B428" s="47"/>
      <c r="C428" s="47"/>
      <c r="D428" s="51"/>
      <c r="E428" s="43">
        <v>7</v>
      </c>
      <c r="F428" s="43" t="s">
        <v>1096</v>
      </c>
      <c r="G428" s="43" t="s">
        <v>8</v>
      </c>
      <c r="H428" s="38"/>
      <c r="I428" s="15"/>
      <c r="J428" s="100">
        <f>20-15</f>
        <v>5</v>
      </c>
      <c r="K428" s="38">
        <f>20</f>
        <v>20</v>
      </c>
      <c r="L428" s="49">
        <f>20</f>
        <v>20</v>
      </c>
      <c r="M428" s="135"/>
      <c r="N428" s="398"/>
      <c r="O428" s="252"/>
      <c r="P428" s="70"/>
      <c r="Q428" s="350"/>
    </row>
    <row r="429" spans="1:17" x14ac:dyDescent="0.2">
      <c r="A429" s="43">
        <v>5</v>
      </c>
      <c r="B429" s="47"/>
      <c r="C429" s="47"/>
      <c r="D429" s="51"/>
      <c r="E429" s="43">
        <v>7</v>
      </c>
      <c r="F429" s="43" t="s">
        <v>1096</v>
      </c>
      <c r="G429" s="105" t="s">
        <v>495</v>
      </c>
      <c r="H429" s="107"/>
      <c r="I429" s="107">
        <f>SUM(I427:I428)</f>
        <v>4.7</v>
      </c>
      <c r="J429" s="107">
        <f t="shared" ref="J429:L429" si="73">SUM(J427:J428)</f>
        <v>60.3</v>
      </c>
      <c r="K429" s="107">
        <f t="shared" si="73"/>
        <v>75.3</v>
      </c>
      <c r="L429" s="765">
        <f t="shared" si="73"/>
        <v>75.3</v>
      </c>
      <c r="M429" s="135"/>
      <c r="N429" s="398"/>
      <c r="O429" s="119"/>
      <c r="P429" s="70"/>
      <c r="Q429" s="350"/>
    </row>
    <row r="430" spans="1:17" ht="30" customHeight="1" x14ac:dyDescent="0.2">
      <c r="A430" s="43">
        <v>5</v>
      </c>
      <c r="B430" s="244"/>
      <c r="C430" s="244"/>
      <c r="D430" s="96" t="s">
        <v>1097</v>
      </c>
      <c r="E430" s="97"/>
      <c r="F430" s="98"/>
      <c r="G430" s="97"/>
      <c r="H430" s="97"/>
      <c r="I430" s="97"/>
      <c r="J430" s="97"/>
      <c r="K430" s="97"/>
      <c r="L430" s="431"/>
      <c r="M430" s="135"/>
      <c r="N430" s="398"/>
      <c r="O430" s="119"/>
      <c r="P430" s="70"/>
      <c r="Q430" s="350"/>
    </row>
    <row r="431" spans="1:17" ht="33" customHeight="1" x14ac:dyDescent="0.2">
      <c r="A431" s="43">
        <v>5</v>
      </c>
      <c r="B431" s="245" t="s">
        <v>1098</v>
      </c>
      <c r="C431" s="245" t="s">
        <v>1098</v>
      </c>
      <c r="D431" s="246" t="s">
        <v>185</v>
      </c>
      <c r="E431" s="247"/>
      <c r="F431" s="43"/>
      <c r="G431" s="56"/>
      <c r="H431" s="38"/>
      <c r="I431" s="190" t="e">
        <f>SUM(#REF!,#REF!,#REF!,#REF!,#REF!,#REF!,I433,I435,#REF!,#REF!,#REF!)</f>
        <v>#REF!</v>
      </c>
      <c r="J431" s="115"/>
      <c r="K431" s="115"/>
      <c r="L431" s="823"/>
      <c r="M431" s="135"/>
      <c r="N431" s="398"/>
      <c r="O431" s="119"/>
      <c r="P431" s="70"/>
      <c r="Q431" s="350"/>
    </row>
    <row r="432" spans="1:17" ht="22.5" x14ac:dyDescent="0.2">
      <c r="A432" s="43">
        <v>5</v>
      </c>
      <c r="B432" s="47"/>
      <c r="C432" s="47" t="s">
        <v>1099</v>
      </c>
      <c r="D432" s="250" t="s">
        <v>1100</v>
      </c>
      <c r="E432" s="43">
        <v>18</v>
      </c>
      <c r="F432" s="43" t="s">
        <v>186</v>
      </c>
      <c r="G432" s="43" t="s">
        <v>8</v>
      </c>
      <c r="H432" s="38">
        <f>130-30-4</f>
        <v>96</v>
      </c>
      <c r="I432" s="15">
        <v>103</v>
      </c>
      <c r="J432" s="100">
        <f>100+40</f>
        <v>140</v>
      </c>
      <c r="K432" s="38">
        <v>100</v>
      </c>
      <c r="L432" s="49">
        <v>100</v>
      </c>
      <c r="M432" s="135" t="s">
        <v>624</v>
      </c>
      <c r="N432" s="398" t="s">
        <v>2018</v>
      </c>
      <c r="O432" s="119" t="s">
        <v>1101</v>
      </c>
      <c r="P432" s="70">
        <v>100</v>
      </c>
      <c r="Q432" s="350"/>
    </row>
    <row r="433" spans="1:17" x14ac:dyDescent="0.2">
      <c r="A433" s="43">
        <v>5</v>
      </c>
      <c r="B433" s="47"/>
      <c r="C433" s="47"/>
      <c r="D433" s="250"/>
      <c r="E433" s="43"/>
      <c r="F433" s="43" t="s">
        <v>186</v>
      </c>
      <c r="G433" s="105" t="s">
        <v>495</v>
      </c>
      <c r="H433" s="107">
        <f>SUM(H432)</f>
        <v>96</v>
      </c>
      <c r="I433" s="107">
        <f>SUM(I432)</f>
        <v>103</v>
      </c>
      <c r="J433" s="107">
        <f t="shared" ref="J433:L433" si="74">SUM(J432)</f>
        <v>140</v>
      </c>
      <c r="K433" s="107">
        <f t="shared" si="74"/>
        <v>100</v>
      </c>
      <c r="L433" s="765">
        <f t="shared" si="74"/>
        <v>100</v>
      </c>
      <c r="M433" s="135"/>
      <c r="N433" s="398"/>
      <c r="O433" s="119"/>
      <c r="P433" s="70"/>
      <c r="Q433" s="350"/>
    </row>
    <row r="434" spans="1:17" ht="33.75" x14ac:dyDescent="0.2">
      <c r="A434" s="43">
        <v>5</v>
      </c>
      <c r="B434" s="47"/>
      <c r="C434" s="47" t="s">
        <v>1102</v>
      </c>
      <c r="D434" s="51" t="s">
        <v>1103</v>
      </c>
      <c r="E434" s="43">
        <v>7</v>
      </c>
      <c r="F434" s="43" t="s">
        <v>187</v>
      </c>
      <c r="G434" s="43" t="s">
        <v>8</v>
      </c>
      <c r="H434" s="38">
        <v>4</v>
      </c>
      <c r="I434" s="15">
        <v>8</v>
      </c>
      <c r="J434" s="100">
        <v>8</v>
      </c>
      <c r="K434" s="38">
        <v>200</v>
      </c>
      <c r="L434" s="49">
        <v>200</v>
      </c>
      <c r="M434" s="135"/>
      <c r="N434" s="411" t="s">
        <v>2019</v>
      </c>
      <c r="O434" s="119" t="s">
        <v>1104</v>
      </c>
      <c r="P434" s="70">
        <v>100</v>
      </c>
      <c r="Q434" s="350"/>
    </row>
    <row r="435" spans="1:17" x14ac:dyDescent="0.2">
      <c r="A435" s="43">
        <v>5</v>
      </c>
      <c r="B435" s="47"/>
      <c r="C435" s="47"/>
      <c r="D435" s="51"/>
      <c r="E435" s="43"/>
      <c r="F435" s="43" t="s">
        <v>187</v>
      </c>
      <c r="G435" s="105" t="s">
        <v>495</v>
      </c>
      <c r="H435" s="107">
        <f>SUM(H434:H434)</f>
        <v>4</v>
      </c>
      <c r="I435" s="107">
        <f>SUM(I434:I434)</f>
        <v>8</v>
      </c>
      <c r="J435" s="107">
        <f>SUM(J434:J434)</f>
        <v>8</v>
      </c>
      <c r="K435" s="107">
        <f>SUM(K434:K434)</f>
        <v>200</v>
      </c>
      <c r="L435" s="765">
        <f>SUM(L434:L434)</f>
        <v>200</v>
      </c>
      <c r="M435" s="135" t="s">
        <v>637</v>
      </c>
      <c r="N435" s="398"/>
      <c r="O435" s="119"/>
      <c r="P435" s="70"/>
      <c r="Q435" s="350"/>
    </row>
    <row r="436" spans="1:17" ht="22.5" x14ac:dyDescent="0.2">
      <c r="A436" s="43">
        <v>5</v>
      </c>
      <c r="B436" s="245" t="s">
        <v>1105</v>
      </c>
      <c r="C436" s="245" t="s">
        <v>1105</v>
      </c>
      <c r="D436" s="246" t="s">
        <v>188</v>
      </c>
      <c r="E436" s="43"/>
      <c r="F436" s="43"/>
      <c r="G436" s="21"/>
      <c r="H436" s="115"/>
      <c r="I436" s="190" t="e">
        <f>SUM(I440,I443,I445,I447,I451,I454,#REF!,I457,I459)</f>
        <v>#REF!</v>
      </c>
      <c r="J436" s="115"/>
      <c r="K436" s="115"/>
      <c r="L436" s="823"/>
      <c r="M436" s="135"/>
      <c r="N436" s="398"/>
      <c r="O436" s="119"/>
      <c r="P436" s="70"/>
      <c r="Q436" s="350"/>
    </row>
    <row r="437" spans="1:17" ht="56.25" x14ac:dyDescent="0.2">
      <c r="A437" s="43">
        <v>5</v>
      </c>
      <c r="B437" s="47"/>
      <c r="C437" s="47" t="s">
        <v>1106</v>
      </c>
      <c r="D437" s="180" t="s">
        <v>1107</v>
      </c>
      <c r="E437" s="43">
        <v>7</v>
      </c>
      <c r="F437" s="43" t="s">
        <v>189</v>
      </c>
      <c r="G437" s="43" t="s">
        <v>10</v>
      </c>
      <c r="H437" s="251">
        <f>797.6+133.4+332.1</f>
        <v>1263.0999999999999</v>
      </c>
      <c r="I437" s="15">
        <v>2059.4</v>
      </c>
      <c r="J437" s="100">
        <v>2124</v>
      </c>
      <c r="K437" s="251">
        <v>2124</v>
      </c>
      <c r="L437" s="853">
        <v>2124</v>
      </c>
      <c r="M437" s="135"/>
      <c r="N437" s="398" t="s">
        <v>2020</v>
      </c>
      <c r="O437" s="119" t="s">
        <v>1108</v>
      </c>
      <c r="P437" s="70">
        <v>100</v>
      </c>
      <c r="Q437" s="350"/>
    </row>
    <row r="438" spans="1:17" ht="33.75" x14ac:dyDescent="0.2">
      <c r="A438" s="43">
        <v>5</v>
      </c>
      <c r="B438" s="47"/>
      <c r="C438" s="47"/>
      <c r="D438" s="51"/>
      <c r="E438" s="43">
        <v>7</v>
      </c>
      <c r="F438" s="43" t="s">
        <v>189</v>
      </c>
      <c r="G438" s="43" t="s">
        <v>8</v>
      </c>
      <c r="H438" s="251">
        <v>1130</v>
      </c>
      <c r="I438" s="15">
        <v>1570.2</v>
      </c>
      <c r="J438" s="100">
        <f>2207.1-150-20</f>
        <v>2037.1</v>
      </c>
      <c r="K438" s="38">
        <v>2467.9</v>
      </c>
      <c r="L438" s="853">
        <v>2963.3</v>
      </c>
      <c r="M438" s="135" t="s">
        <v>624</v>
      </c>
      <c r="N438" s="398"/>
      <c r="O438" s="351" t="s">
        <v>1109</v>
      </c>
      <c r="P438" s="70">
        <v>1174</v>
      </c>
      <c r="Q438" s="350"/>
    </row>
    <row r="439" spans="1:17" x14ac:dyDescent="0.2">
      <c r="A439" s="43">
        <v>5</v>
      </c>
      <c r="B439" s="47"/>
      <c r="C439" s="47"/>
      <c r="D439" s="51"/>
      <c r="E439" s="43">
        <v>7</v>
      </c>
      <c r="F439" s="43" t="s">
        <v>189</v>
      </c>
      <c r="G439" s="64" t="s">
        <v>621</v>
      </c>
      <c r="H439" s="251"/>
      <c r="I439" s="15"/>
      <c r="J439" s="100">
        <f>2.2+2.2</f>
        <v>4.4000000000000004</v>
      </c>
      <c r="K439" s="38"/>
      <c r="L439" s="853"/>
      <c r="M439" s="135"/>
      <c r="N439" s="398"/>
      <c r="O439" s="351"/>
      <c r="P439" s="70"/>
      <c r="Q439" s="350"/>
    </row>
    <row r="440" spans="1:17" ht="22.5" x14ac:dyDescent="0.2">
      <c r="A440" s="43">
        <v>5</v>
      </c>
      <c r="B440" s="47"/>
      <c r="C440" s="47"/>
      <c r="D440" s="51"/>
      <c r="E440" s="43">
        <v>7</v>
      </c>
      <c r="F440" s="43" t="s">
        <v>189</v>
      </c>
      <c r="G440" s="105" t="s">
        <v>495</v>
      </c>
      <c r="H440" s="107">
        <f>SUM(H437:H438)</f>
        <v>2393.1</v>
      </c>
      <c r="I440" s="107">
        <f>SUM(I437:I438)</f>
        <v>3629.6000000000004</v>
      </c>
      <c r="J440" s="107">
        <f>SUM(J437:J439)</f>
        <v>4165.5</v>
      </c>
      <c r="K440" s="107">
        <f t="shared" ref="K440:L440" si="75">SUM(K437:K438)</f>
        <v>4591.8999999999996</v>
      </c>
      <c r="L440" s="765">
        <f t="shared" si="75"/>
        <v>5087.3</v>
      </c>
      <c r="M440" s="135"/>
      <c r="N440" s="411"/>
      <c r="O440" s="351" t="s">
        <v>1110</v>
      </c>
      <c r="P440" s="67">
        <v>100</v>
      </c>
      <c r="Q440" s="350"/>
    </row>
    <row r="441" spans="1:17" ht="22.5" x14ac:dyDescent="0.2">
      <c r="A441" s="43">
        <v>5</v>
      </c>
      <c r="B441" s="47"/>
      <c r="C441" s="47" t="s">
        <v>1111</v>
      </c>
      <c r="D441" s="51" t="s">
        <v>1112</v>
      </c>
      <c r="E441" s="43">
        <v>7</v>
      </c>
      <c r="F441" s="43" t="s">
        <v>190</v>
      </c>
      <c r="G441" s="43" t="s">
        <v>8</v>
      </c>
      <c r="H441" s="38">
        <f>60-30-5</f>
        <v>25</v>
      </c>
      <c r="I441" s="15">
        <v>32.799999999999997</v>
      </c>
      <c r="J441" s="100">
        <f>70.3-19.2-12</f>
        <v>39.099999999999994</v>
      </c>
      <c r="K441" s="38">
        <v>70.3</v>
      </c>
      <c r="L441" s="49">
        <v>70.3</v>
      </c>
      <c r="M441" s="187" t="s">
        <v>624</v>
      </c>
      <c r="N441" s="398" t="s">
        <v>1723</v>
      </c>
      <c r="O441" s="252" t="s">
        <v>1113</v>
      </c>
      <c r="P441" s="67">
        <v>4</v>
      </c>
      <c r="Q441" s="350"/>
    </row>
    <row r="442" spans="1:17" ht="22.5" x14ac:dyDescent="0.2">
      <c r="A442" s="43">
        <v>5</v>
      </c>
      <c r="B442" s="47"/>
      <c r="C442" s="47"/>
      <c r="D442" s="51"/>
      <c r="E442" s="43">
        <v>7</v>
      </c>
      <c r="F442" s="43" t="s">
        <v>190</v>
      </c>
      <c r="G442" s="43" t="s">
        <v>10</v>
      </c>
      <c r="H442" s="38">
        <f>56.8-13.8</f>
        <v>43</v>
      </c>
      <c r="I442" s="15">
        <v>41.4</v>
      </c>
      <c r="J442" s="100">
        <f>47.1-3.4</f>
        <v>43.7</v>
      </c>
      <c r="K442" s="38">
        <v>47.1</v>
      </c>
      <c r="L442" s="49">
        <v>47.1</v>
      </c>
      <c r="M442" s="135"/>
      <c r="N442" s="398" t="s">
        <v>1723</v>
      </c>
      <c r="O442" s="252" t="s">
        <v>1114</v>
      </c>
      <c r="P442" s="67">
        <v>96</v>
      </c>
      <c r="Q442" s="350"/>
    </row>
    <row r="443" spans="1:17" x14ac:dyDescent="0.2">
      <c r="A443" s="43">
        <v>5</v>
      </c>
      <c r="B443" s="47"/>
      <c r="C443" s="47"/>
      <c r="D443" s="51"/>
      <c r="E443" s="43">
        <v>7</v>
      </c>
      <c r="F443" s="43" t="s">
        <v>190</v>
      </c>
      <c r="G443" s="105" t="s">
        <v>495</v>
      </c>
      <c r="H443" s="107">
        <f>SUM(H441:H442)</f>
        <v>68</v>
      </c>
      <c r="I443" s="107">
        <f>SUM(I441:I442)</f>
        <v>74.199999999999989</v>
      </c>
      <c r="J443" s="107">
        <f t="shared" ref="J443:L443" si="76">SUM(J441:J442)</f>
        <v>82.8</v>
      </c>
      <c r="K443" s="107">
        <f t="shared" si="76"/>
        <v>117.4</v>
      </c>
      <c r="L443" s="765">
        <f t="shared" si="76"/>
        <v>117.4</v>
      </c>
      <c r="M443" s="135"/>
      <c r="N443" s="398" t="s">
        <v>1723</v>
      </c>
      <c r="O443" s="252" t="s">
        <v>1078</v>
      </c>
      <c r="P443" s="67">
        <v>4</v>
      </c>
      <c r="Q443" s="350"/>
    </row>
    <row r="444" spans="1:17" ht="33.75" x14ac:dyDescent="0.2">
      <c r="A444" s="43">
        <v>5</v>
      </c>
      <c r="B444" s="47"/>
      <c r="C444" s="47" t="s">
        <v>1115</v>
      </c>
      <c r="D444" s="51" t="s">
        <v>191</v>
      </c>
      <c r="E444" s="43">
        <v>7</v>
      </c>
      <c r="F444" s="43" t="s">
        <v>192</v>
      </c>
      <c r="G444" s="43" t="s">
        <v>8</v>
      </c>
      <c r="H444" s="38">
        <v>40</v>
      </c>
      <c r="I444" s="15">
        <v>40</v>
      </c>
      <c r="J444" s="100">
        <v>45</v>
      </c>
      <c r="K444" s="38">
        <v>45</v>
      </c>
      <c r="L444" s="49">
        <v>45</v>
      </c>
      <c r="M444" s="135" t="s">
        <v>624</v>
      </c>
      <c r="N444" s="398" t="s">
        <v>1723</v>
      </c>
      <c r="O444" s="119" t="s">
        <v>1071</v>
      </c>
      <c r="P444" s="67">
        <v>521</v>
      </c>
      <c r="Q444" s="350"/>
    </row>
    <row r="445" spans="1:17" x14ac:dyDescent="0.2">
      <c r="A445" s="43">
        <v>5</v>
      </c>
      <c r="B445" s="47"/>
      <c r="C445" s="47"/>
      <c r="D445" s="51"/>
      <c r="E445" s="43">
        <v>7</v>
      </c>
      <c r="F445" s="43" t="s">
        <v>192</v>
      </c>
      <c r="G445" s="105" t="s">
        <v>495</v>
      </c>
      <c r="H445" s="107">
        <f>SUM(H444)</f>
        <v>40</v>
      </c>
      <c r="I445" s="107">
        <f>SUM(I444)</f>
        <v>40</v>
      </c>
      <c r="J445" s="107">
        <f t="shared" ref="J445:L445" si="77">SUM(J444)</f>
        <v>45</v>
      </c>
      <c r="K445" s="107">
        <f t="shared" si="77"/>
        <v>45</v>
      </c>
      <c r="L445" s="765">
        <f t="shared" si="77"/>
        <v>45</v>
      </c>
      <c r="M445" s="135"/>
      <c r="N445" s="398"/>
      <c r="O445" s="119"/>
      <c r="P445" s="67"/>
      <c r="Q445" s="350"/>
    </row>
    <row r="446" spans="1:17" ht="22.5" x14ac:dyDescent="0.2">
      <c r="A446" s="43">
        <v>5</v>
      </c>
      <c r="B446" s="47"/>
      <c r="C446" s="47" t="s">
        <v>1116</v>
      </c>
      <c r="D446" s="51" t="s">
        <v>193</v>
      </c>
      <c r="E446" s="43">
        <v>7</v>
      </c>
      <c r="F446" s="43" t="s">
        <v>194</v>
      </c>
      <c r="G446" s="43" t="s">
        <v>8</v>
      </c>
      <c r="H446" s="38">
        <v>2</v>
      </c>
      <c r="I446" s="15">
        <v>2</v>
      </c>
      <c r="J446" s="100">
        <v>2</v>
      </c>
      <c r="K446" s="38">
        <v>2</v>
      </c>
      <c r="L446" s="49">
        <v>2</v>
      </c>
      <c r="M446" s="135" t="s">
        <v>624</v>
      </c>
      <c r="N446" s="398" t="s">
        <v>1723</v>
      </c>
      <c r="O446" s="252" t="s">
        <v>1083</v>
      </c>
      <c r="P446" s="253">
        <v>100</v>
      </c>
      <c r="Q446" s="350"/>
    </row>
    <row r="447" spans="1:17" x14ac:dyDescent="0.2">
      <c r="A447" s="43">
        <v>5</v>
      </c>
      <c r="B447" s="47"/>
      <c r="C447" s="47"/>
      <c r="D447" s="51"/>
      <c r="E447" s="43">
        <v>7</v>
      </c>
      <c r="F447" s="43" t="s">
        <v>194</v>
      </c>
      <c r="G447" s="105" t="s">
        <v>495</v>
      </c>
      <c r="H447" s="107">
        <f>SUM(H446)</f>
        <v>2</v>
      </c>
      <c r="I447" s="107">
        <f>SUM(I446)</f>
        <v>2</v>
      </c>
      <c r="J447" s="107">
        <f t="shared" ref="J447:L447" si="78">SUM(J446)</f>
        <v>2</v>
      </c>
      <c r="K447" s="107">
        <f t="shared" si="78"/>
        <v>2</v>
      </c>
      <c r="L447" s="765">
        <f t="shared" si="78"/>
        <v>2</v>
      </c>
      <c r="M447" s="135"/>
      <c r="N447" s="398"/>
      <c r="O447" s="119"/>
      <c r="P447" s="67"/>
      <c r="Q447" s="350"/>
    </row>
    <row r="448" spans="1:17" ht="22.5" x14ac:dyDescent="0.2">
      <c r="A448" s="43">
        <v>5</v>
      </c>
      <c r="B448" s="47"/>
      <c r="C448" s="47" t="s">
        <v>1117</v>
      </c>
      <c r="D448" s="51" t="s">
        <v>195</v>
      </c>
      <c r="E448" s="43">
        <v>7</v>
      </c>
      <c r="F448" s="43" t="s">
        <v>196</v>
      </c>
      <c r="G448" s="43" t="s">
        <v>8</v>
      </c>
      <c r="H448" s="38">
        <f>70.6-53.5+30</f>
        <v>47.099999999999994</v>
      </c>
      <c r="I448" s="15">
        <v>72</v>
      </c>
      <c r="J448" s="100">
        <f>111.3-20.5+20.4</f>
        <v>111.19999999999999</v>
      </c>
      <c r="K448" s="38">
        <f t="shared" ref="K448:L448" si="79">111.3-20.5</f>
        <v>90.8</v>
      </c>
      <c r="L448" s="49">
        <f t="shared" si="79"/>
        <v>90.8</v>
      </c>
      <c r="M448" s="135" t="s">
        <v>624</v>
      </c>
      <c r="N448" s="398" t="s">
        <v>1045</v>
      </c>
      <c r="O448" s="351" t="s">
        <v>1869</v>
      </c>
      <c r="P448" s="43" t="s">
        <v>1870</v>
      </c>
      <c r="Q448" s="350"/>
    </row>
    <row r="449" spans="1:17" x14ac:dyDescent="0.2">
      <c r="A449" s="43">
        <v>5</v>
      </c>
      <c r="B449" s="47"/>
      <c r="C449" s="47"/>
      <c r="D449" s="51"/>
      <c r="E449" s="43">
        <v>7</v>
      </c>
      <c r="F449" s="43" t="s">
        <v>196</v>
      </c>
      <c r="G449" s="43" t="s">
        <v>10</v>
      </c>
      <c r="H449" s="38">
        <f>74-16.7</f>
        <v>57.3</v>
      </c>
      <c r="I449" s="15">
        <v>76.400000000000006</v>
      </c>
      <c r="J449" s="100">
        <v>116.6</v>
      </c>
      <c r="K449" s="38">
        <v>116.6</v>
      </c>
      <c r="L449" s="49">
        <v>116.6</v>
      </c>
      <c r="M449" s="135"/>
      <c r="N449" s="398"/>
      <c r="O449" s="119"/>
      <c r="P449" s="67"/>
      <c r="Q449" s="350"/>
    </row>
    <row r="450" spans="1:17" ht="12.75" customHeight="1" x14ac:dyDescent="0.2">
      <c r="A450" s="43">
        <v>5</v>
      </c>
      <c r="B450" s="47"/>
      <c r="C450" s="47"/>
      <c r="D450" s="51"/>
      <c r="E450" s="43">
        <v>7</v>
      </c>
      <c r="F450" s="43" t="s">
        <v>196</v>
      </c>
      <c r="G450" s="43" t="s">
        <v>621</v>
      </c>
      <c r="H450" s="38"/>
      <c r="I450" s="15">
        <v>0.1</v>
      </c>
      <c r="J450" s="100"/>
      <c r="K450" s="38"/>
      <c r="L450" s="49"/>
      <c r="M450" s="135"/>
      <c r="N450" s="398"/>
      <c r="O450" s="119"/>
      <c r="P450" s="67"/>
      <c r="Q450" s="350"/>
    </row>
    <row r="451" spans="1:17" x14ac:dyDescent="0.2">
      <c r="A451" s="43">
        <v>5</v>
      </c>
      <c r="B451" s="47"/>
      <c r="C451" s="47"/>
      <c r="D451" s="51"/>
      <c r="E451" s="43"/>
      <c r="F451" s="43" t="s">
        <v>196</v>
      </c>
      <c r="G451" s="105" t="s">
        <v>495</v>
      </c>
      <c r="H451" s="107">
        <f>SUM(H448:H450)</f>
        <v>104.39999999999999</v>
      </c>
      <c r="I451" s="107">
        <f>SUM(I448:I450)</f>
        <v>148.5</v>
      </c>
      <c r="J451" s="107">
        <f>SUM(J448:J450)</f>
        <v>227.79999999999998</v>
      </c>
      <c r="K451" s="107">
        <f>SUM(K448:K450)</f>
        <v>207.39999999999998</v>
      </c>
      <c r="L451" s="765">
        <f>SUM(L448:L450)</f>
        <v>207.39999999999998</v>
      </c>
      <c r="M451" s="135"/>
      <c r="N451" s="398"/>
      <c r="O451" s="119"/>
      <c r="P451" s="67"/>
      <c r="Q451" s="350"/>
    </row>
    <row r="452" spans="1:17" ht="24.6" customHeight="1" x14ac:dyDescent="0.2">
      <c r="A452" s="43">
        <v>5</v>
      </c>
      <c r="B452" s="47"/>
      <c r="C452" s="47" t="s">
        <v>1118</v>
      </c>
      <c r="D452" s="51" t="s">
        <v>197</v>
      </c>
      <c r="E452" s="43">
        <v>7</v>
      </c>
      <c r="F452" s="43" t="s">
        <v>198</v>
      </c>
      <c r="G452" s="56" t="s">
        <v>10</v>
      </c>
      <c r="H452" s="38">
        <f>142.5+100.2</f>
        <v>242.7</v>
      </c>
      <c r="I452" s="15">
        <v>218.4</v>
      </c>
      <c r="J452" s="100">
        <f>315.3+17.7</f>
        <v>333</v>
      </c>
      <c r="K452" s="38">
        <v>315.3</v>
      </c>
      <c r="L452" s="49">
        <v>315.3</v>
      </c>
      <c r="M452" s="135"/>
      <c r="N452" s="398" t="s">
        <v>1719</v>
      </c>
      <c r="O452" s="351" t="s">
        <v>1869</v>
      </c>
      <c r="P452" s="43" t="s">
        <v>1871</v>
      </c>
      <c r="Q452" s="350"/>
    </row>
    <row r="453" spans="1:17" ht="12.75" customHeight="1" x14ac:dyDescent="0.2">
      <c r="A453" s="43">
        <v>5</v>
      </c>
      <c r="B453" s="47"/>
      <c r="C453" s="47"/>
      <c r="D453" s="51"/>
      <c r="E453" s="43">
        <v>7</v>
      </c>
      <c r="F453" s="43" t="s">
        <v>198</v>
      </c>
      <c r="G453" s="43" t="s">
        <v>621</v>
      </c>
      <c r="H453" s="38">
        <v>8.8000000000000007</v>
      </c>
      <c r="I453" s="15">
        <v>14.1</v>
      </c>
      <c r="J453" s="100">
        <f>2.7+3.2</f>
        <v>5.9</v>
      </c>
      <c r="K453" s="38"/>
      <c r="L453" s="49"/>
      <c r="M453" s="135"/>
      <c r="N453" s="398"/>
      <c r="O453" s="119"/>
      <c r="P453" s="67"/>
      <c r="Q453" s="350"/>
    </row>
    <row r="454" spans="1:17" ht="12.75" customHeight="1" x14ac:dyDescent="0.2">
      <c r="A454" s="43">
        <v>5</v>
      </c>
      <c r="B454" s="47"/>
      <c r="C454" s="47"/>
      <c r="D454" s="51"/>
      <c r="E454" s="43">
        <v>7</v>
      </c>
      <c r="F454" s="43" t="s">
        <v>198</v>
      </c>
      <c r="G454" s="105" t="s">
        <v>495</v>
      </c>
      <c r="H454" s="107">
        <f>SUM(H452:H453)</f>
        <v>251.5</v>
      </c>
      <c r="I454" s="107">
        <f>SUM(I452:I453)</f>
        <v>232.5</v>
      </c>
      <c r="J454" s="107">
        <f>SUM(J452:J453)</f>
        <v>338.9</v>
      </c>
      <c r="K454" s="107">
        <f>SUM(K452:K453)</f>
        <v>315.3</v>
      </c>
      <c r="L454" s="765">
        <f>SUM(L452:L453)</f>
        <v>315.3</v>
      </c>
      <c r="M454" s="135"/>
      <c r="N454" s="398"/>
      <c r="O454" s="119"/>
      <c r="P454" s="67"/>
      <c r="Q454" s="350"/>
    </row>
    <row r="455" spans="1:17" ht="12.75" customHeight="1" x14ac:dyDescent="0.2">
      <c r="A455" s="43">
        <v>5</v>
      </c>
      <c r="B455" s="47"/>
      <c r="C455" s="47" t="s">
        <v>1119</v>
      </c>
      <c r="D455" s="51" t="s">
        <v>1120</v>
      </c>
      <c r="E455" s="43">
        <v>7</v>
      </c>
      <c r="F455" s="43" t="s">
        <v>1121</v>
      </c>
      <c r="G455" s="43" t="s">
        <v>8</v>
      </c>
      <c r="H455" s="38"/>
      <c r="I455" s="15">
        <v>29.2</v>
      </c>
      <c r="J455" s="100">
        <v>50</v>
      </c>
      <c r="K455" s="38">
        <v>50</v>
      </c>
      <c r="L455" s="49">
        <v>50</v>
      </c>
      <c r="M455" s="135" t="s">
        <v>627</v>
      </c>
      <c r="N455" s="398" t="s">
        <v>1723</v>
      </c>
      <c r="O455" s="188" t="s">
        <v>1071</v>
      </c>
      <c r="P455" s="70">
        <v>10</v>
      </c>
      <c r="Q455" s="350"/>
    </row>
    <row r="456" spans="1:17" ht="12.75" customHeight="1" x14ac:dyDescent="0.2">
      <c r="A456" s="43">
        <v>5</v>
      </c>
      <c r="B456" s="47"/>
      <c r="C456" s="47"/>
      <c r="D456" s="51"/>
      <c r="E456" s="43">
        <v>7</v>
      </c>
      <c r="F456" s="43" t="s">
        <v>1121</v>
      </c>
      <c r="G456" s="43" t="s">
        <v>37</v>
      </c>
      <c r="H456" s="38"/>
      <c r="I456" s="15">
        <v>25</v>
      </c>
      <c r="J456" s="100">
        <v>50</v>
      </c>
      <c r="K456" s="38">
        <v>50</v>
      </c>
      <c r="L456" s="49">
        <v>50</v>
      </c>
      <c r="M456" s="135"/>
      <c r="N456" s="398"/>
      <c r="O456" s="119"/>
      <c r="P456" s="67"/>
      <c r="Q456" s="350"/>
    </row>
    <row r="457" spans="1:17" ht="12.75" customHeight="1" x14ac:dyDescent="0.2">
      <c r="A457" s="43">
        <v>5</v>
      </c>
      <c r="B457" s="47"/>
      <c r="C457" s="47"/>
      <c r="D457" s="51"/>
      <c r="E457" s="43">
        <v>7</v>
      </c>
      <c r="F457" s="43" t="s">
        <v>1121</v>
      </c>
      <c r="G457" s="105" t="s">
        <v>495</v>
      </c>
      <c r="H457" s="107">
        <f>SUM(H455:H456)</f>
        <v>0</v>
      </c>
      <c r="I457" s="107">
        <f>SUM(I455:I456)</f>
        <v>54.2</v>
      </c>
      <c r="J457" s="107">
        <f t="shared" ref="J457:L457" si="80">SUM(J455:J456)</f>
        <v>100</v>
      </c>
      <c r="K457" s="107">
        <f t="shared" si="80"/>
        <v>100</v>
      </c>
      <c r="L457" s="765">
        <f t="shared" si="80"/>
        <v>100</v>
      </c>
      <c r="M457" s="135"/>
      <c r="N457" s="398"/>
      <c r="O457" s="119"/>
      <c r="P457" s="67"/>
      <c r="Q457" s="350"/>
    </row>
    <row r="458" spans="1:17" ht="12.75" customHeight="1" x14ac:dyDescent="0.2">
      <c r="A458" s="43">
        <v>5</v>
      </c>
      <c r="B458" s="47"/>
      <c r="C458" s="47" t="s">
        <v>1122</v>
      </c>
      <c r="D458" s="51" t="s">
        <v>1123</v>
      </c>
      <c r="E458" s="43">
        <v>7</v>
      </c>
      <c r="F458" s="43" t="s">
        <v>1124</v>
      </c>
      <c r="G458" s="75" t="s">
        <v>8</v>
      </c>
      <c r="H458" s="107"/>
      <c r="I458" s="15">
        <v>2.5</v>
      </c>
      <c r="J458" s="100">
        <f>90.5-20.4</f>
        <v>70.099999999999994</v>
      </c>
      <c r="K458" s="38">
        <v>179</v>
      </c>
      <c r="L458" s="49">
        <v>179</v>
      </c>
      <c r="M458" s="135" t="s">
        <v>697</v>
      </c>
      <c r="N458" s="398" t="s">
        <v>1045</v>
      </c>
      <c r="O458" s="119" t="s">
        <v>1125</v>
      </c>
      <c r="P458" s="67">
        <v>455</v>
      </c>
      <c r="Q458" s="350"/>
    </row>
    <row r="459" spans="1:17" x14ac:dyDescent="0.2">
      <c r="A459" s="43">
        <v>5</v>
      </c>
      <c r="B459" s="47"/>
      <c r="C459" s="47"/>
      <c r="D459" s="51"/>
      <c r="E459" s="43">
        <v>7</v>
      </c>
      <c r="F459" s="43" t="s">
        <v>1124</v>
      </c>
      <c r="G459" s="105" t="s">
        <v>495</v>
      </c>
      <c r="H459" s="107"/>
      <c r="I459" s="107">
        <f>SUM(I458)</f>
        <v>2.5</v>
      </c>
      <c r="J459" s="107">
        <f>SUM(J458:J458)</f>
        <v>70.099999999999994</v>
      </c>
      <c r="K459" s="107">
        <f>SUM(K458:K458)</f>
        <v>179</v>
      </c>
      <c r="L459" s="765">
        <f>SUM(L458:L458)</f>
        <v>179</v>
      </c>
      <c r="M459" s="135" t="s">
        <v>697</v>
      </c>
      <c r="N459" s="398"/>
      <c r="O459" s="119"/>
      <c r="P459" s="38"/>
      <c r="Q459" s="350"/>
    </row>
    <row r="460" spans="1:17" ht="30" customHeight="1" x14ac:dyDescent="0.2">
      <c r="A460" s="43">
        <v>5</v>
      </c>
      <c r="B460" s="245" t="s">
        <v>1126</v>
      </c>
      <c r="C460" s="245" t="s">
        <v>1126</v>
      </c>
      <c r="D460" s="246" t="s">
        <v>199</v>
      </c>
      <c r="E460" s="43"/>
      <c r="F460" s="43"/>
      <c r="G460" s="21"/>
      <c r="H460" s="115"/>
      <c r="I460" s="190" t="e">
        <f>SUM(I467,#REF!,I471,#REF!,I475,#REF!,I478,#REF!,#REF!)</f>
        <v>#REF!</v>
      </c>
      <c r="J460" s="115"/>
      <c r="K460" s="115"/>
      <c r="L460" s="823"/>
      <c r="M460" s="135"/>
      <c r="N460" s="398"/>
      <c r="O460" s="119"/>
      <c r="P460" s="67"/>
      <c r="Q460" s="350"/>
    </row>
    <row r="461" spans="1:17" ht="32.450000000000003" customHeight="1" x14ac:dyDescent="0.2">
      <c r="A461" s="43">
        <v>5</v>
      </c>
      <c r="B461" s="47"/>
      <c r="C461" s="47" t="s">
        <v>1127</v>
      </c>
      <c r="D461" s="51" t="s">
        <v>200</v>
      </c>
      <c r="E461" s="43">
        <v>7</v>
      </c>
      <c r="F461" s="43" t="s">
        <v>201</v>
      </c>
      <c r="G461" s="43" t="s">
        <v>8</v>
      </c>
      <c r="H461" s="38">
        <v>74</v>
      </c>
      <c r="I461" s="15">
        <v>54.9</v>
      </c>
      <c r="J461" s="100">
        <f>75+15</f>
        <v>90</v>
      </c>
      <c r="K461" s="38">
        <v>75</v>
      </c>
      <c r="L461" s="49">
        <v>75</v>
      </c>
      <c r="M461" s="135" t="s">
        <v>637</v>
      </c>
      <c r="N461" s="398" t="s">
        <v>2021</v>
      </c>
      <c r="O461" s="119" t="s">
        <v>1128</v>
      </c>
      <c r="P461" s="67">
        <v>3</v>
      </c>
      <c r="Q461" s="350"/>
    </row>
    <row r="462" spans="1:17" ht="20.45" customHeight="1" x14ac:dyDescent="0.2">
      <c r="A462" s="43">
        <v>5</v>
      </c>
      <c r="B462" s="47"/>
      <c r="C462" s="47"/>
      <c r="D462" s="51"/>
      <c r="E462" s="43">
        <v>7</v>
      </c>
      <c r="F462" s="43" t="s">
        <v>201</v>
      </c>
      <c r="G462" s="43" t="s">
        <v>11</v>
      </c>
      <c r="H462" s="254">
        <v>26</v>
      </c>
      <c r="I462" s="15">
        <v>15.6</v>
      </c>
      <c r="J462" s="100">
        <v>26</v>
      </c>
      <c r="K462" s="254">
        <v>26</v>
      </c>
      <c r="L462" s="854">
        <v>26</v>
      </c>
      <c r="M462" s="135"/>
      <c r="N462" s="398" t="s">
        <v>2021</v>
      </c>
      <c r="O462" s="119" t="s">
        <v>1129</v>
      </c>
      <c r="P462" s="67">
        <v>5</v>
      </c>
      <c r="Q462" s="350"/>
    </row>
    <row r="463" spans="1:17" ht="12.75" customHeight="1" x14ac:dyDescent="0.2">
      <c r="A463" s="43">
        <v>5</v>
      </c>
      <c r="B463" s="47"/>
      <c r="C463" s="47"/>
      <c r="D463" s="51"/>
      <c r="E463" s="43">
        <v>7</v>
      </c>
      <c r="F463" s="43" t="s">
        <v>201</v>
      </c>
      <c r="G463" s="43" t="s">
        <v>10</v>
      </c>
      <c r="H463" s="38">
        <f>10.2+2.6</f>
        <v>12.799999999999999</v>
      </c>
      <c r="I463" s="15">
        <v>4.5</v>
      </c>
      <c r="J463" s="100">
        <f>55.7-35</f>
        <v>20.700000000000003</v>
      </c>
      <c r="K463" s="38">
        <v>55.7</v>
      </c>
      <c r="L463" s="49">
        <v>55.7</v>
      </c>
      <c r="M463" s="135"/>
      <c r="N463" s="398" t="s">
        <v>2021</v>
      </c>
      <c r="O463" s="119"/>
      <c r="P463" s="67"/>
      <c r="Q463" s="350"/>
    </row>
    <row r="464" spans="1:17" ht="12.75" customHeight="1" x14ac:dyDescent="0.2">
      <c r="A464" s="43">
        <v>5</v>
      </c>
      <c r="B464" s="47"/>
      <c r="C464" s="47"/>
      <c r="D464" s="51"/>
      <c r="E464" s="43">
        <v>7</v>
      </c>
      <c r="F464" s="43" t="s">
        <v>201</v>
      </c>
      <c r="G464" s="43" t="s">
        <v>10</v>
      </c>
      <c r="H464" s="38"/>
      <c r="I464" s="15"/>
      <c r="J464" s="100">
        <f>2.4-2.4</f>
        <v>0</v>
      </c>
      <c r="K464" s="38">
        <v>2.4</v>
      </c>
      <c r="L464" s="49">
        <v>2.4</v>
      </c>
      <c r="M464" s="187"/>
      <c r="N464" s="398" t="s">
        <v>2021</v>
      </c>
      <c r="O464" s="119"/>
      <c r="P464" s="67"/>
      <c r="Q464" s="350"/>
    </row>
    <row r="465" spans="1:17" ht="12.75" customHeight="1" x14ac:dyDescent="0.2">
      <c r="A465" s="43">
        <v>5</v>
      </c>
      <c r="B465" s="47"/>
      <c r="C465" s="47"/>
      <c r="D465" s="51"/>
      <c r="E465" s="43">
        <v>7</v>
      </c>
      <c r="F465" s="43" t="s">
        <v>201</v>
      </c>
      <c r="G465" s="43" t="s">
        <v>202</v>
      </c>
      <c r="H465" s="254">
        <v>25</v>
      </c>
      <c r="I465" s="15">
        <v>3.6</v>
      </c>
      <c r="J465" s="100">
        <v>7.3</v>
      </c>
      <c r="K465" s="254"/>
      <c r="L465" s="854"/>
      <c r="M465" s="135"/>
      <c r="N465" s="398" t="s">
        <v>2021</v>
      </c>
      <c r="O465" s="119"/>
      <c r="P465" s="67"/>
      <c r="Q465" s="350"/>
    </row>
    <row r="466" spans="1:17" ht="12.75" customHeight="1" x14ac:dyDescent="0.2">
      <c r="A466" s="43">
        <v>5</v>
      </c>
      <c r="B466" s="47"/>
      <c r="C466" s="47"/>
      <c r="D466" s="51"/>
      <c r="E466" s="43">
        <v>7</v>
      </c>
      <c r="F466" s="43" t="s">
        <v>201</v>
      </c>
      <c r="G466" s="43" t="s">
        <v>621</v>
      </c>
      <c r="H466" s="254">
        <v>11.5</v>
      </c>
      <c r="I466" s="15">
        <v>4.5999999999999996</v>
      </c>
      <c r="J466" s="100">
        <f>1+4.7</f>
        <v>5.7</v>
      </c>
      <c r="K466" s="254"/>
      <c r="L466" s="854"/>
      <c r="M466" s="135"/>
      <c r="N466" s="398" t="s">
        <v>2021</v>
      </c>
      <c r="O466" s="119"/>
      <c r="P466" s="67"/>
      <c r="Q466" s="350"/>
    </row>
    <row r="467" spans="1:17" x14ac:dyDescent="0.2">
      <c r="A467" s="43">
        <v>5</v>
      </c>
      <c r="B467" s="47"/>
      <c r="C467" s="47"/>
      <c r="D467" s="51"/>
      <c r="E467" s="43"/>
      <c r="F467" s="43" t="s">
        <v>201</v>
      </c>
      <c r="G467" s="105" t="s">
        <v>495</v>
      </c>
      <c r="H467" s="107">
        <f>SUM(H461:H466)</f>
        <v>149.30000000000001</v>
      </c>
      <c r="I467" s="107">
        <f>SUM(I461:I466)</f>
        <v>83.199999999999989</v>
      </c>
      <c r="J467" s="107">
        <f t="shared" ref="J467:L467" si="81">SUM(J461:J466)</f>
        <v>149.69999999999999</v>
      </c>
      <c r="K467" s="107">
        <f t="shared" si="81"/>
        <v>159.1</v>
      </c>
      <c r="L467" s="765">
        <f t="shared" si="81"/>
        <v>159.1</v>
      </c>
      <c r="M467" s="135"/>
      <c r="N467" s="398" t="s">
        <v>2021</v>
      </c>
      <c r="O467" s="119"/>
      <c r="P467" s="67"/>
      <c r="Q467" s="350"/>
    </row>
    <row r="468" spans="1:17" ht="42" customHeight="1" x14ac:dyDescent="0.2">
      <c r="A468" s="43">
        <v>5</v>
      </c>
      <c r="B468" s="47"/>
      <c r="C468" s="47" t="s">
        <v>1130</v>
      </c>
      <c r="D468" s="51" t="s">
        <v>1131</v>
      </c>
      <c r="E468" s="47"/>
      <c r="F468" s="43"/>
      <c r="G468" s="15"/>
      <c r="H468" s="38"/>
      <c r="I468" s="100"/>
      <c r="J468" s="376"/>
      <c r="K468" s="376"/>
      <c r="L468" s="855"/>
      <c r="M468" s="135"/>
      <c r="O468" s="188"/>
      <c r="P468" s="70"/>
      <c r="Q468" s="856"/>
    </row>
    <row r="469" spans="1:17" ht="12.75" customHeight="1" x14ac:dyDescent="0.2">
      <c r="A469" s="43">
        <v>5</v>
      </c>
      <c r="B469" s="47"/>
      <c r="C469" s="47" t="s">
        <v>1132</v>
      </c>
      <c r="D469" s="76" t="s">
        <v>1133</v>
      </c>
      <c r="E469" s="47" t="s">
        <v>150</v>
      </c>
      <c r="F469" s="43" t="s">
        <v>1134</v>
      </c>
      <c r="G469" s="135" t="s">
        <v>598</v>
      </c>
      <c r="H469" s="7"/>
      <c r="I469" s="61"/>
      <c r="J469" s="100">
        <v>157.6</v>
      </c>
      <c r="K469" s="7">
        <v>265.7</v>
      </c>
      <c r="L469" s="801">
        <v>100.6</v>
      </c>
      <c r="M469" s="135" t="s">
        <v>627</v>
      </c>
      <c r="N469" s="398" t="s">
        <v>1697</v>
      </c>
      <c r="O469" s="119" t="s">
        <v>1878</v>
      </c>
      <c r="P469" s="70">
        <v>5</v>
      </c>
      <c r="Q469" s="350"/>
    </row>
    <row r="470" spans="1:17" ht="12.75" customHeight="1" x14ac:dyDescent="0.2">
      <c r="A470" s="43">
        <v>5</v>
      </c>
      <c r="B470" s="47"/>
      <c r="C470" s="47"/>
      <c r="D470" s="76"/>
      <c r="E470" s="47" t="s">
        <v>150</v>
      </c>
      <c r="F470" s="43" t="s">
        <v>1134</v>
      </c>
      <c r="G470" s="135" t="s">
        <v>37</v>
      </c>
      <c r="H470" s="7"/>
      <c r="I470" s="61"/>
      <c r="J470" s="100">
        <v>893.3</v>
      </c>
      <c r="K470" s="7">
        <v>1505.8</v>
      </c>
      <c r="L470" s="801">
        <v>570.29999999999995</v>
      </c>
      <c r="M470" s="135"/>
      <c r="N470" s="398" t="s">
        <v>1697</v>
      </c>
      <c r="O470" s="119"/>
      <c r="P470" s="67"/>
      <c r="Q470" s="350"/>
    </row>
    <row r="471" spans="1:17" x14ac:dyDescent="0.2">
      <c r="A471" s="43">
        <v>5</v>
      </c>
      <c r="B471" s="47"/>
      <c r="C471" s="47"/>
      <c r="D471" s="76"/>
      <c r="E471" s="47"/>
      <c r="F471" s="43"/>
      <c r="G471" s="105" t="s">
        <v>495</v>
      </c>
      <c r="H471" s="107">
        <f>SUM(H469:H470)</f>
        <v>0</v>
      </c>
      <c r="I471" s="107">
        <f>SUM(I469:I470)</f>
        <v>0</v>
      </c>
      <c r="J471" s="107">
        <f t="shared" ref="J471:L471" si="82">SUM(J469:J470)</f>
        <v>1050.8999999999999</v>
      </c>
      <c r="K471" s="107">
        <f t="shared" si="82"/>
        <v>1771.5</v>
      </c>
      <c r="L471" s="765">
        <f t="shared" si="82"/>
        <v>670.9</v>
      </c>
      <c r="M471" s="135"/>
      <c r="N471" s="398"/>
      <c r="O471" s="119"/>
      <c r="P471" s="67"/>
      <c r="Q471" s="350"/>
    </row>
    <row r="472" spans="1:17" ht="35.450000000000003" customHeight="1" x14ac:dyDescent="0.2">
      <c r="A472" s="43">
        <v>5</v>
      </c>
      <c r="B472" s="47"/>
      <c r="C472" s="47" t="s">
        <v>1135</v>
      </c>
      <c r="D472" s="76" t="s">
        <v>1136</v>
      </c>
      <c r="E472" s="47" t="s">
        <v>150</v>
      </c>
      <c r="F472" s="43" t="s">
        <v>1137</v>
      </c>
      <c r="G472" s="135" t="s">
        <v>598</v>
      </c>
      <c r="H472" s="7"/>
      <c r="I472" s="61"/>
      <c r="J472" s="100">
        <v>18</v>
      </c>
      <c r="K472" s="7">
        <v>17.3</v>
      </c>
      <c r="L472" s="801"/>
      <c r="M472" s="135" t="s">
        <v>627</v>
      </c>
      <c r="N472" s="398" t="s">
        <v>1697</v>
      </c>
      <c r="O472" s="188" t="s">
        <v>1138</v>
      </c>
      <c r="P472" s="67">
        <v>20</v>
      </c>
      <c r="Q472" s="248" t="s">
        <v>640</v>
      </c>
    </row>
    <row r="473" spans="1:17" ht="12.75" customHeight="1" x14ac:dyDescent="0.2">
      <c r="A473" s="43">
        <v>5</v>
      </c>
      <c r="B473" s="47"/>
      <c r="C473" s="47"/>
      <c r="D473" s="76"/>
      <c r="E473" s="47" t="s">
        <v>150</v>
      </c>
      <c r="F473" s="43" t="s">
        <v>1137</v>
      </c>
      <c r="G473" s="135" t="s">
        <v>37</v>
      </c>
      <c r="H473" s="7"/>
      <c r="I473" s="61"/>
      <c r="J473" s="100">
        <v>100</v>
      </c>
      <c r="K473" s="7">
        <v>100</v>
      </c>
      <c r="L473" s="801"/>
      <c r="M473" s="135"/>
      <c r="N473" s="398" t="s">
        <v>1697</v>
      </c>
      <c r="O473" s="119"/>
      <c r="P473" s="67"/>
      <c r="Q473" s="248" t="s">
        <v>640</v>
      </c>
    </row>
    <row r="474" spans="1:17" ht="12.75" customHeight="1" x14ac:dyDescent="0.2">
      <c r="A474" s="43">
        <v>5</v>
      </c>
      <c r="B474" s="47"/>
      <c r="C474" s="47"/>
      <c r="D474" s="76"/>
      <c r="E474" s="47" t="s">
        <v>472</v>
      </c>
      <c r="F474" s="43" t="s">
        <v>1137</v>
      </c>
      <c r="G474" s="187" t="s">
        <v>8</v>
      </c>
      <c r="H474" s="7"/>
      <c r="I474" s="61"/>
      <c r="J474" s="100">
        <f>18</f>
        <v>18</v>
      </c>
      <c r="K474" s="7"/>
      <c r="L474" s="801"/>
      <c r="M474" s="135"/>
      <c r="N474" s="398" t="s">
        <v>583</v>
      </c>
      <c r="O474" s="188" t="s">
        <v>2061</v>
      </c>
      <c r="P474" s="70">
        <v>1</v>
      </c>
      <c r="Q474" s="248" t="s">
        <v>640</v>
      </c>
    </row>
    <row r="475" spans="1:17" x14ac:dyDescent="0.2">
      <c r="A475" s="43">
        <v>5</v>
      </c>
      <c r="B475" s="47"/>
      <c r="C475" s="47"/>
      <c r="D475" s="76"/>
      <c r="E475" s="47"/>
      <c r="F475" s="43"/>
      <c r="G475" s="105" t="s">
        <v>495</v>
      </c>
      <c r="H475" s="107">
        <f>SUM(H472:H473)</f>
        <v>0</v>
      </c>
      <c r="I475" s="107">
        <f>SUM(I472:I473)</f>
        <v>0</v>
      </c>
      <c r="J475" s="107">
        <f>SUM(J472:J474)</f>
        <v>136</v>
      </c>
      <c r="K475" s="107">
        <f t="shared" ref="K475:L475" si="83">SUM(K472:K473)</f>
        <v>117.3</v>
      </c>
      <c r="L475" s="765">
        <f t="shared" si="83"/>
        <v>0</v>
      </c>
      <c r="M475" s="135"/>
      <c r="N475" s="398"/>
      <c r="O475" s="119"/>
      <c r="P475" s="67"/>
      <c r="Q475" s="350"/>
    </row>
    <row r="476" spans="1:17" ht="36.6" customHeight="1" x14ac:dyDescent="0.2">
      <c r="A476" s="43">
        <v>5</v>
      </c>
      <c r="B476" s="47"/>
      <c r="C476" s="47" t="s">
        <v>1139</v>
      </c>
      <c r="D476" s="76" t="s">
        <v>1140</v>
      </c>
      <c r="E476" s="47" t="s">
        <v>150</v>
      </c>
      <c r="F476" s="43" t="s">
        <v>1141</v>
      </c>
      <c r="G476" s="135" t="s">
        <v>598</v>
      </c>
      <c r="H476" s="7"/>
      <c r="I476" s="61"/>
      <c r="J476" s="100">
        <v>15</v>
      </c>
      <c r="K476" s="7">
        <v>195.4</v>
      </c>
      <c r="L476" s="801">
        <v>142.5</v>
      </c>
      <c r="M476" s="135" t="s">
        <v>627</v>
      </c>
      <c r="N476" s="398" t="s">
        <v>1697</v>
      </c>
      <c r="O476" s="188" t="s">
        <v>1142</v>
      </c>
      <c r="P476" s="70">
        <v>1</v>
      </c>
      <c r="Q476" s="856"/>
    </row>
    <row r="477" spans="1:17" ht="12.75" customHeight="1" x14ac:dyDescent="0.2">
      <c r="A477" s="43">
        <v>5</v>
      </c>
      <c r="B477" s="47"/>
      <c r="C477" s="47"/>
      <c r="D477" s="76"/>
      <c r="E477" s="47" t="s">
        <v>150</v>
      </c>
      <c r="F477" s="43" t="s">
        <v>1141</v>
      </c>
      <c r="G477" s="135" t="s">
        <v>37</v>
      </c>
      <c r="H477" s="7"/>
      <c r="I477" s="61"/>
      <c r="J477" s="100">
        <v>85</v>
      </c>
      <c r="K477" s="7">
        <v>1000</v>
      </c>
      <c r="L477" s="801">
        <v>950</v>
      </c>
      <c r="M477" s="135"/>
      <c r="N477" s="398" t="s">
        <v>1697</v>
      </c>
      <c r="O477" s="119"/>
      <c r="P477" s="67"/>
      <c r="Q477" s="350"/>
    </row>
    <row r="478" spans="1:17" ht="12.75" customHeight="1" x14ac:dyDescent="0.2">
      <c r="A478" s="43">
        <v>5</v>
      </c>
      <c r="B478" s="47"/>
      <c r="C478" s="47"/>
      <c r="D478" s="76"/>
      <c r="E478" s="47"/>
      <c r="F478" s="43"/>
      <c r="G478" s="105" t="s">
        <v>495</v>
      </c>
      <c r="H478" s="107">
        <f>SUM(H476:H477)</f>
        <v>0</v>
      </c>
      <c r="I478" s="107">
        <f>SUM(I476:I477)</f>
        <v>0</v>
      </c>
      <c r="J478" s="107">
        <f t="shared" ref="J478:L478" si="84">SUM(J476:J477)</f>
        <v>100</v>
      </c>
      <c r="K478" s="107">
        <f t="shared" si="84"/>
        <v>1195.4000000000001</v>
      </c>
      <c r="L478" s="765">
        <f t="shared" si="84"/>
        <v>1092.5</v>
      </c>
      <c r="M478" s="135"/>
      <c r="N478" s="398"/>
      <c r="O478" s="119"/>
      <c r="P478" s="67"/>
      <c r="Q478" s="350"/>
    </row>
    <row r="479" spans="1:17" ht="25.15" customHeight="1" x14ac:dyDescent="0.2">
      <c r="A479" s="43">
        <v>5</v>
      </c>
      <c r="B479" s="244"/>
      <c r="C479" s="244"/>
      <c r="D479" s="96" t="s">
        <v>1143</v>
      </c>
      <c r="E479" s="97"/>
      <c r="F479" s="98"/>
      <c r="G479" s="97"/>
      <c r="H479" s="97"/>
      <c r="I479" s="97"/>
      <c r="J479" s="97"/>
      <c r="K479" s="97"/>
      <c r="L479" s="431"/>
      <c r="M479" s="135"/>
      <c r="N479" s="398"/>
      <c r="O479" s="119"/>
      <c r="P479" s="67"/>
      <c r="Q479" s="350"/>
    </row>
    <row r="480" spans="1:17" ht="28.15" customHeight="1" x14ac:dyDescent="0.2">
      <c r="A480" s="43">
        <v>5</v>
      </c>
      <c r="B480" s="245" t="s">
        <v>1144</v>
      </c>
      <c r="C480" s="245" t="s">
        <v>1144</v>
      </c>
      <c r="D480" s="246" t="s">
        <v>203</v>
      </c>
      <c r="E480" s="247">
        <v>7</v>
      </c>
      <c r="F480" s="43" t="s">
        <v>204</v>
      </c>
      <c r="G480" s="56" t="s">
        <v>10</v>
      </c>
      <c r="H480" s="38">
        <v>107.2</v>
      </c>
      <c r="I480" s="15">
        <v>77.900000000000006</v>
      </c>
      <c r="J480" s="100">
        <v>77.2</v>
      </c>
      <c r="K480" s="38">
        <v>77.2</v>
      </c>
      <c r="L480" s="49">
        <v>77.2</v>
      </c>
      <c r="M480" s="135"/>
      <c r="N480" s="398" t="s">
        <v>1719</v>
      </c>
      <c r="O480" s="119" t="s">
        <v>1145</v>
      </c>
      <c r="P480" s="67">
        <v>5</v>
      </c>
      <c r="Q480" s="350"/>
    </row>
    <row r="481" spans="1:17" x14ac:dyDescent="0.2">
      <c r="A481" s="43">
        <v>5</v>
      </c>
      <c r="B481" s="47"/>
      <c r="C481" s="47"/>
      <c r="D481" s="51"/>
      <c r="E481" s="247"/>
      <c r="F481" s="43" t="s">
        <v>204</v>
      </c>
      <c r="G481" s="105" t="s">
        <v>495</v>
      </c>
      <c r="H481" s="107">
        <f>SUM(H480:H480)</f>
        <v>107.2</v>
      </c>
      <c r="I481" s="107">
        <f>SUM(I480:I480)</f>
        <v>77.900000000000006</v>
      </c>
      <c r="J481" s="107">
        <f>SUM(J480:J480)</f>
        <v>77.2</v>
      </c>
      <c r="K481" s="107">
        <f>SUM(K480:K480)</f>
        <v>77.2</v>
      </c>
      <c r="L481" s="765">
        <f>SUM(L480:L480)</f>
        <v>77.2</v>
      </c>
      <c r="M481" s="135"/>
      <c r="N481" s="398"/>
      <c r="O481" s="119"/>
      <c r="P481" s="67"/>
      <c r="Q481" s="350"/>
    </row>
    <row r="482" spans="1:17" ht="36" customHeight="1" x14ac:dyDescent="0.2">
      <c r="A482" s="43">
        <v>5</v>
      </c>
      <c r="B482" s="245" t="s">
        <v>1146</v>
      </c>
      <c r="C482" s="245" t="s">
        <v>1146</v>
      </c>
      <c r="D482" s="246" t="s">
        <v>1147</v>
      </c>
      <c r="E482" s="247"/>
      <c r="F482" s="43"/>
      <c r="G482" s="75"/>
      <c r="H482" s="38"/>
      <c r="I482" s="190" t="e">
        <f>SUM(I486,#REF!)</f>
        <v>#REF!</v>
      </c>
      <c r="J482" s="115"/>
      <c r="K482" s="115"/>
      <c r="L482" s="823"/>
      <c r="M482" s="135"/>
      <c r="N482" s="398" t="s">
        <v>1986</v>
      </c>
      <c r="O482" s="132" t="s">
        <v>1148</v>
      </c>
      <c r="P482" s="67">
        <v>11</v>
      </c>
      <c r="Q482" s="350"/>
    </row>
    <row r="483" spans="1:17" ht="27" customHeight="1" x14ac:dyDescent="0.2">
      <c r="A483" s="43">
        <v>5</v>
      </c>
      <c r="B483" s="47"/>
      <c r="C483" s="47" t="s">
        <v>1149</v>
      </c>
      <c r="D483" s="51" t="s">
        <v>205</v>
      </c>
      <c r="E483" s="47" t="s">
        <v>206</v>
      </c>
      <c r="F483" s="43" t="s">
        <v>207</v>
      </c>
      <c r="G483" s="43" t="s">
        <v>8</v>
      </c>
      <c r="H483" s="15">
        <v>25</v>
      </c>
      <c r="I483" s="15">
        <v>22</v>
      </c>
      <c r="J483" s="100">
        <v>22.5</v>
      </c>
      <c r="K483" s="15">
        <v>22.5</v>
      </c>
      <c r="L483" s="34">
        <v>22.5</v>
      </c>
      <c r="M483" s="135" t="s">
        <v>637</v>
      </c>
      <c r="N483" s="398" t="s">
        <v>1986</v>
      </c>
      <c r="O483" s="132" t="s">
        <v>1872</v>
      </c>
      <c r="P483" s="43" t="s">
        <v>1873</v>
      </c>
      <c r="Q483" s="350"/>
    </row>
    <row r="484" spans="1:17" ht="24" customHeight="1" x14ac:dyDescent="0.2">
      <c r="A484" s="43">
        <v>5</v>
      </c>
      <c r="B484" s="47"/>
      <c r="C484" s="47"/>
      <c r="D484" s="51"/>
      <c r="E484" s="47" t="s">
        <v>206</v>
      </c>
      <c r="F484" s="43" t="s">
        <v>207</v>
      </c>
      <c r="G484" s="43" t="s">
        <v>10</v>
      </c>
      <c r="H484" s="15"/>
      <c r="I484" s="15"/>
      <c r="J484" s="100"/>
      <c r="K484" s="15"/>
      <c r="L484" s="34"/>
      <c r="M484" s="135"/>
      <c r="N484" s="398" t="s">
        <v>1986</v>
      </c>
      <c r="O484" s="132" t="s">
        <v>1874</v>
      </c>
      <c r="P484" s="67">
        <v>46</v>
      </c>
      <c r="Q484" s="350"/>
    </row>
    <row r="485" spans="1:17" ht="28.15" customHeight="1" x14ac:dyDescent="0.2">
      <c r="A485" s="43">
        <v>5</v>
      </c>
      <c r="B485" s="47"/>
      <c r="C485" s="47"/>
      <c r="D485" s="51"/>
      <c r="E485" s="47" t="s">
        <v>206</v>
      </c>
      <c r="F485" s="43" t="s">
        <v>207</v>
      </c>
      <c r="G485" s="43" t="s">
        <v>8</v>
      </c>
      <c r="H485" s="15">
        <f>20+5</f>
        <v>25</v>
      </c>
      <c r="I485" s="15">
        <v>21.1</v>
      </c>
      <c r="J485" s="100"/>
      <c r="K485" s="15"/>
      <c r="L485" s="34"/>
      <c r="M485" s="135" t="s">
        <v>637</v>
      </c>
      <c r="N485" s="398" t="s">
        <v>1986</v>
      </c>
      <c r="O485" s="132" t="s">
        <v>1150</v>
      </c>
      <c r="P485" s="67">
        <v>21</v>
      </c>
      <c r="Q485" s="350"/>
    </row>
    <row r="486" spans="1:17" ht="12.75" customHeight="1" x14ac:dyDescent="0.2">
      <c r="A486" s="43">
        <v>5</v>
      </c>
      <c r="B486" s="47"/>
      <c r="C486" s="47"/>
      <c r="D486" s="51"/>
      <c r="E486" s="47" t="s">
        <v>206</v>
      </c>
      <c r="F486" s="43" t="s">
        <v>207</v>
      </c>
      <c r="G486" s="105" t="s">
        <v>495</v>
      </c>
      <c r="H486" s="107">
        <f>SUM(H483:H485)</f>
        <v>50</v>
      </c>
      <c r="I486" s="107">
        <f>SUM(I483:I485)</f>
        <v>43.1</v>
      </c>
      <c r="J486" s="107">
        <f>SUM(J483:J485)</f>
        <v>22.5</v>
      </c>
      <c r="K486" s="107">
        <f>SUM(K483:K485)</f>
        <v>22.5</v>
      </c>
      <c r="L486" s="765">
        <f>SUM(L483:L485)</f>
        <v>22.5</v>
      </c>
      <c r="M486" s="135"/>
      <c r="N486" s="398" t="s">
        <v>1986</v>
      </c>
      <c r="O486" s="119"/>
      <c r="P486" s="67"/>
      <c r="Q486" s="350"/>
    </row>
    <row r="487" spans="1:17" ht="33" customHeight="1" x14ac:dyDescent="0.2">
      <c r="A487" s="43">
        <v>5</v>
      </c>
      <c r="B487" s="244"/>
      <c r="C487" s="244"/>
      <c r="D487" s="96" t="s">
        <v>1151</v>
      </c>
      <c r="E487" s="97"/>
      <c r="F487" s="98"/>
      <c r="G487" s="97"/>
      <c r="H487" s="97"/>
      <c r="I487" s="97"/>
      <c r="J487" s="97"/>
      <c r="K487" s="97"/>
      <c r="L487" s="431"/>
      <c r="M487" s="135"/>
      <c r="N487" s="398"/>
      <c r="O487" s="119"/>
      <c r="P487" s="67"/>
      <c r="Q487" s="350"/>
    </row>
    <row r="488" spans="1:17" ht="33.6" customHeight="1" x14ac:dyDescent="0.2">
      <c r="A488" s="43">
        <v>5</v>
      </c>
      <c r="B488" s="114" t="s">
        <v>1152</v>
      </c>
      <c r="C488" s="114" t="s">
        <v>1152</v>
      </c>
      <c r="D488" s="134" t="s">
        <v>209</v>
      </c>
      <c r="E488" s="65"/>
      <c r="F488" s="43"/>
      <c r="G488" s="75"/>
      <c r="H488" s="38"/>
      <c r="I488" s="190" t="e">
        <f>SUM(I491,I493,I495,I499)</f>
        <v>#REF!</v>
      </c>
      <c r="J488" s="100"/>
      <c r="K488" s="21"/>
      <c r="L488" s="58"/>
      <c r="M488" s="135"/>
      <c r="N488" s="398" t="s">
        <v>2022</v>
      </c>
      <c r="O488" s="255" t="s">
        <v>1153</v>
      </c>
      <c r="P488" s="67">
        <v>43</v>
      </c>
      <c r="Q488" s="350"/>
    </row>
    <row r="489" spans="1:17" ht="27" customHeight="1" x14ac:dyDescent="0.2">
      <c r="A489" s="43">
        <v>5</v>
      </c>
      <c r="B489" s="47"/>
      <c r="C489" s="47" t="s">
        <v>1154</v>
      </c>
      <c r="D489" s="51" t="s">
        <v>210</v>
      </c>
      <c r="E489" s="47" t="s">
        <v>1155</v>
      </c>
      <c r="F489" s="43" t="s">
        <v>211</v>
      </c>
      <c r="G489" s="43" t="s">
        <v>74</v>
      </c>
      <c r="H489" s="15"/>
      <c r="I489" s="15"/>
      <c r="J489" s="100"/>
      <c r="K489" s="15"/>
      <c r="L489" s="34"/>
      <c r="M489" s="135"/>
      <c r="N489" s="398" t="s">
        <v>2022</v>
      </c>
      <c r="O489" s="256" t="s">
        <v>1156</v>
      </c>
      <c r="P489" s="67">
        <v>43</v>
      </c>
      <c r="Q489" s="350"/>
    </row>
    <row r="490" spans="1:17" ht="25.15" customHeight="1" x14ac:dyDescent="0.2">
      <c r="A490" s="43">
        <v>5</v>
      </c>
      <c r="B490" s="47"/>
      <c r="C490" s="47"/>
      <c r="D490" s="51"/>
      <c r="E490" s="47" t="s">
        <v>1155</v>
      </c>
      <c r="F490" s="43" t="s">
        <v>211</v>
      </c>
      <c r="G490" s="43" t="s">
        <v>8</v>
      </c>
      <c r="H490" s="38">
        <f>160-8.7</f>
        <v>151.30000000000001</v>
      </c>
      <c r="I490" s="15">
        <v>160.30000000000001</v>
      </c>
      <c r="J490" s="100">
        <f>200-19</f>
        <v>181</v>
      </c>
      <c r="K490" s="38">
        <v>190</v>
      </c>
      <c r="L490" s="49">
        <v>190</v>
      </c>
      <c r="M490" s="135" t="s">
        <v>637</v>
      </c>
      <c r="N490" s="398" t="s">
        <v>2022</v>
      </c>
      <c r="O490" s="255" t="s">
        <v>1157</v>
      </c>
      <c r="P490" s="67">
        <v>2</v>
      </c>
      <c r="Q490" s="350"/>
    </row>
    <row r="491" spans="1:17" ht="33.75" x14ac:dyDescent="0.2">
      <c r="A491" s="43">
        <v>5</v>
      </c>
      <c r="B491" s="47"/>
      <c r="C491" s="47"/>
      <c r="D491" s="51"/>
      <c r="E491" s="47" t="s">
        <v>1155</v>
      </c>
      <c r="F491" s="43" t="s">
        <v>211</v>
      </c>
      <c r="G491" s="105" t="s">
        <v>495</v>
      </c>
      <c r="H491" s="107">
        <f>SUM(H489:H490)</f>
        <v>151.30000000000001</v>
      </c>
      <c r="I491" s="107">
        <f>SUM(I489:I490)</f>
        <v>160.30000000000001</v>
      </c>
      <c r="J491" s="107">
        <f t="shared" ref="J491:L491" si="85">SUM(J489:J490)</f>
        <v>181</v>
      </c>
      <c r="K491" s="107">
        <f t="shared" si="85"/>
        <v>190</v>
      </c>
      <c r="L491" s="765">
        <f t="shared" si="85"/>
        <v>190</v>
      </c>
      <c r="M491" s="135"/>
      <c r="N491" s="398" t="s">
        <v>2022</v>
      </c>
      <c r="O491" s="255" t="s">
        <v>1158</v>
      </c>
      <c r="P491" s="67">
        <v>9</v>
      </c>
      <c r="Q491" s="350"/>
    </row>
    <row r="492" spans="1:17" ht="36" customHeight="1" x14ac:dyDescent="0.2">
      <c r="A492" s="43">
        <v>5</v>
      </c>
      <c r="B492" s="47"/>
      <c r="C492" s="47" t="s">
        <v>1159</v>
      </c>
      <c r="D492" s="51" t="s">
        <v>212</v>
      </c>
      <c r="E492" s="65">
        <v>8</v>
      </c>
      <c r="F492" s="43" t="s">
        <v>1875</v>
      </c>
      <c r="G492" s="64" t="s">
        <v>10</v>
      </c>
      <c r="H492" s="15">
        <f>45+1.7</f>
        <v>46.7</v>
      </c>
      <c r="I492" s="15">
        <v>48.5</v>
      </c>
      <c r="J492" s="100">
        <v>49.6</v>
      </c>
      <c r="K492" s="15">
        <v>49.6</v>
      </c>
      <c r="L492" s="34">
        <v>49.6</v>
      </c>
      <c r="M492" s="135"/>
      <c r="N492" s="398" t="s">
        <v>2022</v>
      </c>
      <c r="O492" s="256" t="s">
        <v>1160</v>
      </c>
      <c r="P492" s="67">
        <v>12</v>
      </c>
      <c r="Q492" s="350"/>
    </row>
    <row r="493" spans="1:17" x14ac:dyDescent="0.2">
      <c r="A493" s="43">
        <v>5</v>
      </c>
      <c r="B493" s="47"/>
      <c r="C493" s="47"/>
      <c r="D493" s="51"/>
      <c r="E493" s="65">
        <v>8</v>
      </c>
      <c r="F493" s="6" t="s">
        <v>1875</v>
      </c>
      <c r="G493" s="105" t="s">
        <v>495</v>
      </c>
      <c r="H493" s="107">
        <f>SUM(H492)</f>
        <v>46.7</v>
      </c>
      <c r="I493" s="107">
        <f>SUM(I492)</f>
        <v>48.5</v>
      </c>
      <c r="J493" s="107">
        <f t="shared" ref="J493:L493" si="86">SUM(J492)</f>
        <v>49.6</v>
      </c>
      <c r="K493" s="107">
        <f t="shared" si="86"/>
        <v>49.6</v>
      </c>
      <c r="L493" s="765">
        <f t="shared" si="86"/>
        <v>49.6</v>
      </c>
      <c r="M493" s="135"/>
      <c r="N493" s="398"/>
      <c r="O493" s="132"/>
      <c r="P493" s="67"/>
      <c r="Q493" s="350"/>
    </row>
    <row r="494" spans="1:17" ht="55.5" customHeight="1" x14ac:dyDescent="0.2">
      <c r="A494" s="43">
        <v>5</v>
      </c>
      <c r="B494" s="47"/>
      <c r="C494" s="47" t="s">
        <v>1161</v>
      </c>
      <c r="D494" s="51" t="s">
        <v>1927</v>
      </c>
      <c r="E494" s="47" t="s">
        <v>1155</v>
      </c>
      <c r="F494" s="43" t="s">
        <v>213</v>
      </c>
      <c r="G494" s="38" t="s">
        <v>8</v>
      </c>
      <c r="H494" s="38">
        <f>263.3+75+60+51.9+56.5</f>
        <v>506.7</v>
      </c>
      <c r="I494" s="15" t="e">
        <f>#REF!+#REF!+#REF!+#REF!+#REF!+#REF!+#REF!+I496</f>
        <v>#REF!</v>
      </c>
      <c r="J494" s="100">
        <f>+J496</f>
        <v>60</v>
      </c>
      <c r="K494" s="100" t="e">
        <f>#REF!+#REF!+#REF!+#REF!+#REF!+#REF!+#REF!+K496</f>
        <v>#REF!</v>
      </c>
      <c r="L494" s="127" t="e">
        <f>#REF!+#REF!+#REF!+#REF!+#REF!+#REF!+#REF!+L496</f>
        <v>#REF!</v>
      </c>
      <c r="M494" s="135" t="s">
        <v>637</v>
      </c>
      <c r="N494" s="398" t="s">
        <v>2022</v>
      </c>
      <c r="O494" s="256" t="s">
        <v>1162</v>
      </c>
      <c r="P494" s="43">
        <v>2</v>
      </c>
      <c r="Q494" s="350"/>
    </row>
    <row r="495" spans="1:17" ht="12.75" customHeight="1" x14ac:dyDescent="0.2">
      <c r="A495" s="43">
        <v>5</v>
      </c>
      <c r="B495" s="47"/>
      <c r="C495" s="47"/>
      <c r="D495" s="51"/>
      <c r="E495" s="47" t="s">
        <v>1155</v>
      </c>
      <c r="F495" s="43" t="s">
        <v>213</v>
      </c>
      <c r="G495" s="105" t="s">
        <v>495</v>
      </c>
      <c r="H495" s="107">
        <f>SUM(H494)</f>
        <v>506.7</v>
      </c>
      <c r="I495" s="107" t="e">
        <f>SUM(I494)</f>
        <v>#REF!</v>
      </c>
      <c r="J495" s="107">
        <f t="shared" ref="J495:L495" si="87">SUM(J494)</f>
        <v>60</v>
      </c>
      <c r="K495" s="107" t="e">
        <f t="shared" si="87"/>
        <v>#REF!</v>
      </c>
      <c r="L495" s="765" t="e">
        <f t="shared" si="87"/>
        <v>#REF!</v>
      </c>
      <c r="M495" s="135"/>
      <c r="N495" s="398" t="s">
        <v>2022</v>
      </c>
      <c r="O495" s="132"/>
      <c r="P495" s="67"/>
      <c r="Q495" s="350"/>
    </row>
    <row r="496" spans="1:17" ht="12.75" customHeight="1" x14ac:dyDescent="0.2">
      <c r="A496" s="43">
        <v>5</v>
      </c>
      <c r="B496" s="47"/>
      <c r="C496" s="47" t="s">
        <v>1163</v>
      </c>
      <c r="D496" s="205" t="s">
        <v>1164</v>
      </c>
      <c r="E496" s="47" t="s">
        <v>1155</v>
      </c>
      <c r="F496" s="43"/>
      <c r="G496" s="187" t="s">
        <v>8</v>
      </c>
      <c r="H496" s="38"/>
      <c r="I496" s="61"/>
      <c r="J496" s="100">
        <v>60</v>
      </c>
      <c r="K496" s="38"/>
      <c r="L496" s="38"/>
      <c r="M496" s="135"/>
      <c r="N496" s="398" t="s">
        <v>2022</v>
      </c>
      <c r="O496" s="119"/>
      <c r="P496" s="67"/>
      <c r="Q496" s="248" t="s">
        <v>640</v>
      </c>
    </row>
    <row r="497" spans="1:17" ht="32.450000000000003" customHeight="1" x14ac:dyDescent="0.2">
      <c r="A497" s="43">
        <v>5</v>
      </c>
      <c r="B497" s="47"/>
      <c r="C497" s="47" t="s">
        <v>1165</v>
      </c>
      <c r="D497" s="51" t="s">
        <v>214</v>
      </c>
      <c r="E497" s="65">
        <v>8</v>
      </c>
      <c r="F497" s="43" t="s">
        <v>215</v>
      </c>
      <c r="G497" s="43" t="s">
        <v>8</v>
      </c>
      <c r="H497" s="15">
        <f>150-20</f>
        <v>130</v>
      </c>
      <c r="I497" s="15">
        <v>129.9</v>
      </c>
      <c r="J497" s="100">
        <v>150</v>
      </c>
      <c r="K497" s="15">
        <v>150</v>
      </c>
      <c r="L497" s="15">
        <v>150</v>
      </c>
      <c r="M497" s="187" t="s">
        <v>637</v>
      </c>
      <c r="N497" s="398" t="s">
        <v>2022</v>
      </c>
      <c r="O497" s="256" t="s">
        <v>1160</v>
      </c>
      <c r="P497" s="67">
        <v>14</v>
      </c>
      <c r="Q497" s="350"/>
    </row>
    <row r="498" spans="1:17" ht="12.75" customHeight="1" x14ac:dyDescent="0.2">
      <c r="A498" s="43">
        <v>5</v>
      </c>
      <c r="B498" s="47"/>
      <c r="C498" s="47"/>
      <c r="D498" s="51"/>
      <c r="E498" s="65">
        <v>8</v>
      </c>
      <c r="F498" s="43" t="s">
        <v>215</v>
      </c>
      <c r="G498" s="64" t="s">
        <v>74</v>
      </c>
      <c r="H498" s="15">
        <v>45</v>
      </c>
      <c r="I498" s="15">
        <v>45</v>
      </c>
      <c r="J498" s="100">
        <v>45</v>
      </c>
      <c r="K498" s="15">
        <v>45</v>
      </c>
      <c r="L498" s="34">
        <v>45</v>
      </c>
      <c r="M498" s="135"/>
      <c r="N498" s="398" t="s">
        <v>2022</v>
      </c>
      <c r="O498" s="132"/>
      <c r="P498" s="67"/>
      <c r="Q498" s="350"/>
    </row>
    <row r="499" spans="1:17" ht="12.75" customHeight="1" x14ac:dyDescent="0.2">
      <c r="A499" s="43">
        <v>5</v>
      </c>
      <c r="B499" s="47"/>
      <c r="C499" s="47"/>
      <c r="D499" s="51"/>
      <c r="E499" s="65"/>
      <c r="F499" s="43" t="s">
        <v>215</v>
      </c>
      <c r="G499" s="105" t="s">
        <v>495</v>
      </c>
      <c r="H499" s="107">
        <f>SUM(H497:H498)</f>
        <v>175</v>
      </c>
      <c r="I499" s="107">
        <f>SUM(I497:I498)</f>
        <v>174.9</v>
      </c>
      <c r="J499" s="107">
        <f t="shared" ref="J499:L499" si="88">SUM(J497:J498)</f>
        <v>195</v>
      </c>
      <c r="K499" s="107">
        <f t="shared" si="88"/>
        <v>195</v>
      </c>
      <c r="L499" s="765">
        <f t="shared" si="88"/>
        <v>195</v>
      </c>
      <c r="M499" s="135"/>
      <c r="N499" s="398" t="s">
        <v>2022</v>
      </c>
      <c r="O499" s="119"/>
      <c r="P499" s="67"/>
      <c r="Q499" s="350"/>
    </row>
    <row r="500" spans="1:17" ht="33.75" x14ac:dyDescent="0.2">
      <c r="A500" s="43">
        <v>5</v>
      </c>
      <c r="B500" s="47"/>
      <c r="C500" s="48" t="s">
        <v>2076</v>
      </c>
      <c r="D500" s="51" t="s">
        <v>2077</v>
      </c>
      <c r="E500" s="65">
        <v>8</v>
      </c>
      <c r="F500" s="43" t="s">
        <v>2078</v>
      </c>
      <c r="G500" s="64" t="s">
        <v>8</v>
      </c>
      <c r="H500" s="107"/>
      <c r="I500" s="107"/>
      <c r="J500" s="100">
        <v>19</v>
      </c>
      <c r="K500" s="107"/>
      <c r="L500" s="765"/>
      <c r="M500" s="135"/>
      <c r="N500" s="1216" t="s">
        <v>2068</v>
      </c>
      <c r="O500" s="256" t="s">
        <v>2069</v>
      </c>
      <c r="P500" s="1217">
        <v>1</v>
      </c>
      <c r="Q500" s="350"/>
    </row>
    <row r="501" spans="1:17" ht="12.75" customHeight="1" x14ac:dyDescent="0.2">
      <c r="A501" s="43">
        <v>5</v>
      </c>
      <c r="B501" s="47"/>
      <c r="C501" s="47"/>
      <c r="D501" s="51"/>
      <c r="E501" s="65">
        <v>8</v>
      </c>
      <c r="F501" s="43" t="s">
        <v>2078</v>
      </c>
      <c r="G501" s="64" t="s">
        <v>37</v>
      </c>
      <c r="H501" s="107"/>
      <c r="I501" s="107"/>
      <c r="J501" s="100"/>
      <c r="K501" s="107"/>
      <c r="L501" s="765"/>
      <c r="M501" s="135"/>
      <c r="N501" s="398"/>
      <c r="O501" s="119"/>
      <c r="P501" s="67"/>
      <c r="Q501" s="350"/>
    </row>
    <row r="502" spans="1:17" ht="12.75" customHeight="1" x14ac:dyDescent="0.2">
      <c r="A502" s="43">
        <v>5</v>
      </c>
      <c r="B502" s="47"/>
      <c r="C502" s="47"/>
      <c r="D502" s="51"/>
      <c r="E502" s="65">
        <v>8</v>
      </c>
      <c r="F502" s="43" t="s">
        <v>2078</v>
      </c>
      <c r="G502" s="105" t="s">
        <v>495</v>
      </c>
      <c r="H502" s="107"/>
      <c r="I502" s="107"/>
      <c r="J502" s="107">
        <f t="shared" ref="J502" si="89">SUM(J500:J501)</f>
        <v>19</v>
      </c>
      <c r="K502" s="107"/>
      <c r="L502" s="765"/>
      <c r="M502" s="135"/>
      <c r="N502" s="398"/>
      <c r="O502" s="119"/>
      <c r="P502" s="67"/>
      <c r="Q502" s="350"/>
    </row>
    <row r="503" spans="1:17" ht="12.75" hidden="1" customHeight="1" x14ac:dyDescent="0.2">
      <c r="A503" s="43">
        <v>5</v>
      </c>
      <c r="B503" s="47"/>
      <c r="C503" s="47"/>
      <c r="D503" s="51"/>
      <c r="E503" s="65"/>
      <c r="F503" s="43"/>
      <c r="G503" s="131" t="s">
        <v>495</v>
      </c>
      <c r="H503" s="122"/>
      <c r="I503" s="131" t="e">
        <f>SUM(I398,I400,I405,I411,#REF!,I414,I416,I421,I424,#REF!,#REF!,#REF!,#REF!,#REF!,#REF!,I433,I435,#REF!,I440,I443,I447,I451,I454,#REF!,I457,I459,I467,#REF!,I481,I486,#REF!,I491,I493,I495,I499,I418,I426,I445,#REF!,#REF!,I429,I402,I471,#REF!,I475,#REF!,I478,#REF!,#REF!)</f>
        <v>#REF!</v>
      </c>
      <c r="J503" s="131">
        <f>SUM(J398,J400,J405,J411,J414,J416,J421,J424,J433,J435,J440,J443,J447,J451,J454,J457,J459,J467,J481,J486,J491,J493,J495,J499,J418,J426,J445,J429,J402,J471,J475,J478,J502)</f>
        <v>44081.200000000004</v>
      </c>
      <c r="K503" s="131" t="e">
        <f>SUM(K398,K400,K405,K411,#REF!,K414,K416,K421,K424,#REF!,#REF!,#REF!,#REF!,#REF!,#REF!,K433,K435,#REF!,K440,K443,K447,K451,K454,#REF!,K457,K459,K467,#REF!,K481,K486,#REF!,K491,K493,K495,K499,K418,K426,K445,#REF!,#REF!,K429,K402,K471,#REF!,K475,#REF!,K478,#REF!,#REF!)</f>
        <v>#REF!</v>
      </c>
      <c r="L503" s="798" t="e">
        <f>SUM(L398,L400,L405,L411,#REF!,L414,L416,L421,L424,#REF!,#REF!,#REF!,#REF!,#REF!,#REF!,L433,L435,#REF!,L440,L443,L447,L451,L454,#REF!,L457,L459,L467,#REF!,L481,L486,#REF!,L491,L493,L495,L499,L418,L426,L445,#REF!,#REF!,L429,L402,L471,#REF!,L475,#REF!,L478,#REF!,#REF!)</f>
        <v>#REF!</v>
      </c>
      <c r="M503" s="135"/>
      <c r="N503" s="398"/>
      <c r="O503" s="119"/>
      <c r="P503" s="67"/>
      <c r="Q503" s="350"/>
    </row>
    <row r="504" spans="1:17" ht="12.75" hidden="1" customHeight="1" x14ac:dyDescent="0.2">
      <c r="A504" s="43">
        <v>5</v>
      </c>
      <c r="B504" s="47"/>
      <c r="C504" s="47"/>
      <c r="D504" s="51"/>
      <c r="E504" s="65"/>
      <c r="F504" s="43"/>
      <c r="G504" s="75" t="s">
        <v>8</v>
      </c>
      <c r="H504" s="38"/>
      <c r="I504" s="38" t="e">
        <f>SUM(I399,I410,#REF!,I420,I422,#REF!,#REF!,#REF!,#REF!,#REF!,#REF!,I432,I434,#REF!,#REF!,#REF!,#REF!,#REF!,#REF!,I438,I441,I444,I446,I448,#REF!,#REF!,#REF!,I455,I458,I461,#REF!,#REF!,I483,I485,#REF!,I490,I494,I497,I401,#REF!,#REF!,#REF!,I428)</f>
        <v>#REF!</v>
      </c>
      <c r="J504" s="38">
        <f>SUM(J399,J410,J420,J422,J432,J434,J438,J441,J444,J446,J448,J455,J458,J461,J483,J485,J490,J494,J497,J401,J428,J474,J500)</f>
        <v>5649.1</v>
      </c>
      <c r="K504" s="38" t="e">
        <f>SUM(K399,K410,#REF!,K420,K422,#REF!,#REF!,#REF!,#REF!,#REF!,#REF!,K432,K434,#REF!,#REF!,#REF!,#REF!,#REF!,#REF!,K438,K441,K444,K446,K448,#REF!,#REF!,#REF!,K455,K458,K461,#REF!,#REF!,K483,K485,#REF!,K490,K494,K497,K401,#REF!,#REF!,#REF!,K428)</f>
        <v>#REF!</v>
      </c>
      <c r="L504" s="49" t="e">
        <f>SUM(L399,L410,#REF!,L420,L422,#REF!,#REF!,#REF!,#REF!,#REF!,#REF!,L432,L434,#REF!,#REF!,#REF!,#REF!,#REF!,#REF!,L438,L441,L444,L446,L448,#REF!,#REF!,#REF!,L455,L458,L461,#REF!,#REF!,L483,L485,#REF!,L490,L494,L497,L401,#REF!,#REF!,#REF!,L428)</f>
        <v>#REF!</v>
      </c>
      <c r="M504" s="135"/>
      <c r="N504" s="398"/>
      <c r="O504" s="119"/>
      <c r="P504" s="67"/>
      <c r="Q504" s="350"/>
    </row>
    <row r="505" spans="1:17" ht="12.75" hidden="1" customHeight="1" x14ac:dyDescent="0.2">
      <c r="A505" s="43">
        <v>5</v>
      </c>
      <c r="B505" s="47"/>
      <c r="C505" s="47"/>
      <c r="D505" s="51"/>
      <c r="E505" s="65"/>
      <c r="F505" s="43"/>
      <c r="G505" s="75" t="s">
        <v>169</v>
      </c>
      <c r="H505" s="38"/>
      <c r="I505" s="38">
        <f>SUM(I395,I403)</f>
        <v>25053.399999999998</v>
      </c>
      <c r="J505" s="38">
        <f>SUM(J395,J403)</f>
        <v>32132.6</v>
      </c>
      <c r="K505" s="38">
        <f>SUM(K395,K403)</f>
        <v>34000</v>
      </c>
      <c r="L505" s="49">
        <f>SUM(L395,L403)</f>
        <v>34000</v>
      </c>
      <c r="M505" s="135"/>
      <c r="N505" s="398"/>
      <c r="O505" s="119"/>
      <c r="P505" s="67"/>
      <c r="Q505" s="350"/>
    </row>
    <row r="506" spans="1:17" ht="12.75" hidden="1" customHeight="1" x14ac:dyDescent="0.2">
      <c r="A506" s="43">
        <v>5</v>
      </c>
      <c r="B506" s="47"/>
      <c r="C506" s="47"/>
      <c r="D506" s="51"/>
      <c r="E506" s="65"/>
      <c r="F506" s="43"/>
      <c r="G506" s="75" t="s">
        <v>10</v>
      </c>
      <c r="H506" s="38"/>
      <c r="I506" s="38" t="e">
        <f>SUM(I406,I407,I412,I423,I425,#REF!,#REF!,#REF!,#REF!,#REF!,#REF!,#REF!,#REF!,#REF!,#REF!,I437,I442,,I449,#REF!,#REF!,I452,I463,I464,I480,I484,#REF!,#REF!,I492,#REF!,#REF!,#REF!,#REF!,#REF!,I427,#REF!)</f>
        <v>#REF!</v>
      </c>
      <c r="J506" s="38">
        <f>SUM(J406,J407,J412,J423,J425,J437,J442,,J449,J452,J463,J464,J480,J484,J492,J427)</f>
        <v>4747.5</v>
      </c>
      <c r="K506" s="38" t="e">
        <f>SUM(K406,K407,K412,K423,K425,#REF!,#REF!,#REF!,#REF!,#REF!,#REF!,#REF!,#REF!,#REF!,#REF!,K437,K442,,K449,#REF!,#REF!,K452,K463,K464,K480,K484,#REF!,#REF!,K492,#REF!,#REF!,#REF!,#REF!,#REF!,K427,#REF!)</f>
        <v>#REF!</v>
      </c>
      <c r="L506" s="49" t="e">
        <f>SUM(L406,L407,L412,L423,L425,#REF!,#REF!,#REF!,#REF!,#REF!,#REF!,#REF!,#REF!,#REF!,#REF!,L437,L442,,L449,#REF!,#REF!,L452,L463,L464,L480,L484,#REF!,#REF!,L492,#REF!,#REF!,#REF!,#REF!,#REF!,L427,#REF!)</f>
        <v>#REF!</v>
      </c>
      <c r="M506" s="135"/>
      <c r="N506" s="398"/>
      <c r="O506" s="119"/>
      <c r="P506" s="67"/>
      <c r="Q506" s="350"/>
    </row>
    <row r="507" spans="1:17" ht="12.75" hidden="1" customHeight="1" x14ac:dyDescent="0.2">
      <c r="A507" s="43">
        <v>5</v>
      </c>
      <c r="B507" s="47"/>
      <c r="C507" s="47"/>
      <c r="D507" s="51"/>
      <c r="E507" s="65"/>
      <c r="F507" s="43"/>
      <c r="G507" s="75" t="s">
        <v>37</v>
      </c>
      <c r="H507" s="38"/>
      <c r="I507" s="38" t="e">
        <f>SUM(#REF!,#REF!,I456,I470,#REF!,I473,#REF!,I477,#REF!,#REF!)</f>
        <v>#REF!</v>
      </c>
      <c r="J507" s="38">
        <f>SUM(J456,J470,J473,J477)</f>
        <v>1128.3</v>
      </c>
      <c r="K507" s="38" t="e">
        <f>SUM(#REF!,#REF!,K456,K470,#REF!,K473,#REF!,K477,#REF!,#REF!)</f>
        <v>#REF!</v>
      </c>
      <c r="L507" s="49" t="e">
        <f>SUM(#REF!,#REF!,L456,L470,#REF!,L473,#REF!,L477,#REF!,#REF!)</f>
        <v>#REF!</v>
      </c>
      <c r="M507" s="135"/>
      <c r="N507" s="398"/>
      <c r="O507" s="119"/>
      <c r="P507" s="67"/>
      <c r="Q507" s="350"/>
    </row>
    <row r="508" spans="1:17" ht="12.75" hidden="1" customHeight="1" x14ac:dyDescent="0.2">
      <c r="A508" s="43">
        <v>5</v>
      </c>
      <c r="B508" s="47"/>
      <c r="C508" s="47"/>
      <c r="D508" s="51"/>
      <c r="E508" s="65"/>
      <c r="F508" s="43"/>
      <c r="G508" s="75" t="s">
        <v>74</v>
      </c>
      <c r="H508" s="38"/>
      <c r="I508" s="38" t="e">
        <f>SUM(#REF!,#REF!,#REF!,#REF!,#REF!,I489,I498)</f>
        <v>#REF!</v>
      </c>
      <c r="J508" s="38">
        <f>SUM(J489,J498)</f>
        <v>45</v>
      </c>
      <c r="K508" s="38" t="e">
        <f>SUM(#REF!,#REF!,#REF!,#REF!,#REF!,K489,K498)</f>
        <v>#REF!</v>
      </c>
      <c r="L508" s="49" t="e">
        <f>SUM(#REF!,#REF!,#REF!,#REF!,#REF!,L489,L498)</f>
        <v>#REF!</v>
      </c>
      <c r="M508" s="135"/>
      <c r="N508" s="398"/>
      <c r="O508" s="119"/>
      <c r="P508" s="67"/>
      <c r="Q508" s="350"/>
    </row>
    <row r="509" spans="1:17" ht="12.75" hidden="1" customHeight="1" x14ac:dyDescent="0.2">
      <c r="A509" s="43">
        <v>5</v>
      </c>
      <c r="B509" s="47"/>
      <c r="C509" s="47"/>
      <c r="D509" s="51"/>
      <c r="E509" s="65"/>
      <c r="F509" s="43"/>
      <c r="G509" s="75" t="s">
        <v>11</v>
      </c>
      <c r="H509" s="38"/>
      <c r="I509" s="38" t="e">
        <f>SUM(#REF!,#REF!,#REF!,#REF!,#REF!,I462,#REF!,)</f>
        <v>#REF!</v>
      </c>
      <c r="J509" s="38">
        <f>SUM(J462)</f>
        <v>26</v>
      </c>
      <c r="K509" s="38" t="e">
        <f>SUM(#REF!,#REF!,#REF!,#REF!,#REF!,K462,#REF!,)</f>
        <v>#REF!</v>
      </c>
      <c r="L509" s="49" t="e">
        <f>SUM(#REF!,#REF!,#REF!,#REF!,#REF!,L462,#REF!,)</f>
        <v>#REF!</v>
      </c>
      <c r="M509" s="135"/>
      <c r="N509" s="398"/>
      <c r="O509" s="119"/>
      <c r="P509" s="67"/>
      <c r="Q509" s="350"/>
    </row>
    <row r="510" spans="1:17" ht="12.75" hidden="1" customHeight="1" x14ac:dyDescent="0.2">
      <c r="A510" s="43">
        <v>5</v>
      </c>
      <c r="B510" s="47"/>
      <c r="C510" s="47"/>
      <c r="D510" s="51"/>
      <c r="E510" s="65"/>
      <c r="F510" s="43"/>
      <c r="G510" s="75" t="s">
        <v>202</v>
      </c>
      <c r="H510" s="38"/>
      <c r="I510" s="38">
        <f>I465</f>
        <v>3.6</v>
      </c>
      <c r="J510" s="38">
        <f>J465</f>
        <v>7.3</v>
      </c>
      <c r="K510" s="38">
        <f>K465</f>
        <v>0</v>
      </c>
      <c r="L510" s="49">
        <f>L465</f>
        <v>0</v>
      </c>
      <c r="M510" s="135"/>
      <c r="N510" s="398"/>
      <c r="O510" s="119"/>
      <c r="P510" s="67"/>
      <c r="Q510" s="350"/>
    </row>
    <row r="511" spans="1:17" ht="12.75" hidden="1" customHeight="1" x14ac:dyDescent="0.2">
      <c r="A511" s="43">
        <v>5</v>
      </c>
      <c r="B511" s="47"/>
      <c r="C511" s="47"/>
      <c r="D511" s="51"/>
      <c r="E511" s="65"/>
      <c r="F511" s="43"/>
      <c r="G511" s="75" t="s">
        <v>621</v>
      </c>
      <c r="H511" s="38"/>
      <c r="I511" s="38" t="e">
        <f>SUM(I409,I413,I415,I417,#REF!,I453,I466,I450)</f>
        <v>#REF!</v>
      </c>
      <c r="J511" s="38">
        <f>SUM(J409,J413,J415,J417,J453,J466,J450,J439)</f>
        <v>44.9</v>
      </c>
      <c r="K511" s="38" t="e">
        <f>SUM(K409,K413,K415,K417,#REF!,K453,K466,K450)</f>
        <v>#REF!</v>
      </c>
      <c r="L511" s="49" t="e">
        <f>SUM(L409,L413,L415,L417,#REF!,L453,L466,L450)</f>
        <v>#REF!</v>
      </c>
      <c r="M511" s="135"/>
      <c r="N511" s="398"/>
      <c r="O511" s="119"/>
      <c r="P511" s="67"/>
      <c r="Q511" s="350"/>
    </row>
    <row r="512" spans="1:17" ht="12.75" hidden="1" customHeight="1" x14ac:dyDescent="0.2">
      <c r="A512" s="43">
        <v>5</v>
      </c>
      <c r="B512" s="47"/>
      <c r="C512" s="47"/>
      <c r="D512" s="51"/>
      <c r="E512" s="65"/>
      <c r="F512" s="43"/>
      <c r="G512" s="75" t="s">
        <v>604</v>
      </c>
      <c r="H512" s="38"/>
      <c r="I512" s="38">
        <f>I396+I404</f>
        <v>218.20000000000002</v>
      </c>
      <c r="J512" s="38">
        <f>J396+J404</f>
        <v>109.9</v>
      </c>
      <c r="K512" s="38">
        <f>K396+K404</f>
        <v>0</v>
      </c>
      <c r="L512" s="49">
        <f>L396+L404</f>
        <v>0</v>
      </c>
      <c r="M512" s="135"/>
      <c r="N512" s="398"/>
      <c r="O512" s="119"/>
      <c r="P512" s="67"/>
      <c r="Q512" s="350"/>
    </row>
    <row r="513" spans="1:17" ht="12.75" hidden="1" customHeight="1" x14ac:dyDescent="0.2">
      <c r="A513" s="43">
        <v>5</v>
      </c>
      <c r="B513" s="47"/>
      <c r="C513" s="47"/>
      <c r="D513" s="51"/>
      <c r="E513" s="65"/>
      <c r="F513" s="43"/>
      <c r="G513" s="75" t="s">
        <v>40</v>
      </c>
      <c r="H513" s="38"/>
      <c r="I513" s="38" t="e">
        <f>SUM(#REF!,)</f>
        <v>#REF!</v>
      </c>
      <c r="J513" s="38"/>
      <c r="K513" s="38" t="e">
        <f>SUM(#REF!,)</f>
        <v>#REF!</v>
      </c>
      <c r="L513" s="49" t="e">
        <f>SUM(#REF!,)</f>
        <v>#REF!</v>
      </c>
      <c r="M513" s="135"/>
      <c r="N513" s="398"/>
      <c r="O513" s="119"/>
      <c r="P513" s="67"/>
      <c r="Q513" s="350"/>
    </row>
    <row r="514" spans="1:17" ht="12.75" hidden="1" customHeight="1" x14ac:dyDescent="0.2">
      <c r="A514" s="43">
        <v>5</v>
      </c>
      <c r="B514" s="47"/>
      <c r="C514" s="47"/>
      <c r="D514" s="51"/>
      <c r="E514" s="65"/>
      <c r="F514" s="43"/>
      <c r="G514" s="75" t="s">
        <v>598</v>
      </c>
      <c r="H514" s="38"/>
      <c r="I514" s="38" t="e">
        <f>#REF!+I476+#REF!+I472+#REF!+I469</f>
        <v>#REF!</v>
      </c>
      <c r="J514" s="38">
        <f>J476+J472+J469</f>
        <v>190.6</v>
      </c>
      <c r="K514" s="38" t="e">
        <f>#REF!+K476+#REF!+K472+#REF!+K469</f>
        <v>#REF!</v>
      </c>
      <c r="L514" s="49" t="e">
        <f>#REF!+L476+#REF!+L472+#REF!+L469</f>
        <v>#REF!</v>
      </c>
      <c r="M514" s="135"/>
      <c r="N514" s="398"/>
      <c r="O514" s="119"/>
      <c r="P514" s="67"/>
      <c r="Q514" s="350"/>
    </row>
    <row r="515" spans="1:17" ht="12.75" hidden="1" customHeight="1" x14ac:dyDescent="0.2">
      <c r="A515" s="43">
        <v>5</v>
      </c>
      <c r="B515" s="47"/>
      <c r="C515" s="47"/>
      <c r="D515" s="51"/>
      <c r="E515" s="65"/>
      <c r="F515" s="43"/>
      <c r="G515" s="75" t="s">
        <v>947</v>
      </c>
      <c r="H515" s="38"/>
      <c r="I515" s="38" t="e">
        <f>SUM(#REF!,)</f>
        <v>#REF!</v>
      </c>
      <c r="J515" s="38"/>
      <c r="K515" s="38" t="e">
        <f>SUM(#REF!,)</f>
        <v>#REF!</v>
      </c>
      <c r="L515" s="49" t="e">
        <f>SUM(#REF!,)</f>
        <v>#REF!</v>
      </c>
      <c r="M515" s="135"/>
      <c r="N515" s="398"/>
      <c r="O515" s="119"/>
      <c r="P515" s="67"/>
      <c r="Q515" s="350"/>
    </row>
    <row r="516" spans="1:17" ht="12.75" hidden="1" customHeight="1" x14ac:dyDescent="0.2">
      <c r="A516" s="43">
        <v>5</v>
      </c>
      <c r="B516" s="47"/>
      <c r="C516" s="47"/>
      <c r="D516" s="51"/>
      <c r="E516" s="65"/>
      <c r="F516" s="43"/>
      <c r="G516" s="131" t="s">
        <v>495</v>
      </c>
      <c r="H516" s="122"/>
      <c r="I516" s="131" t="e">
        <f>SUM(I504:I515)</f>
        <v>#REF!</v>
      </c>
      <c r="J516" s="131">
        <f t="shared" ref="J516:L516" si="90">SUM(J504:J515)</f>
        <v>44081.200000000004</v>
      </c>
      <c r="K516" s="131" t="e">
        <f t="shared" si="90"/>
        <v>#REF!</v>
      </c>
      <c r="L516" s="798" t="e">
        <f t="shared" si="90"/>
        <v>#REF!</v>
      </c>
      <c r="M516" s="135"/>
      <c r="N516" s="398"/>
      <c r="O516" s="119"/>
      <c r="P516" s="67"/>
      <c r="Q516" s="350"/>
    </row>
    <row r="517" spans="1:17" ht="12.75" hidden="1" customHeight="1" x14ac:dyDescent="0.2">
      <c r="A517" s="43">
        <v>5</v>
      </c>
      <c r="B517" s="47"/>
      <c r="C517" s="47"/>
      <c r="D517" s="51"/>
      <c r="E517" s="65"/>
      <c r="F517" s="43"/>
      <c r="G517" s="75"/>
      <c r="H517" s="38"/>
      <c r="I517" s="38" t="e">
        <f>I503-I516</f>
        <v>#REF!</v>
      </c>
      <c r="J517" s="38">
        <f>J503-J516</f>
        <v>0</v>
      </c>
      <c r="K517" s="38" t="e">
        <f>K503-K516</f>
        <v>#REF!</v>
      </c>
      <c r="L517" s="49" t="e">
        <f>L503-L516</f>
        <v>#REF!</v>
      </c>
      <c r="M517" s="135"/>
      <c r="N517" s="398"/>
      <c r="O517" s="119"/>
      <c r="P517" s="67"/>
      <c r="Q517" s="350"/>
    </row>
    <row r="518" spans="1:17" ht="14.45" customHeight="1" x14ac:dyDescent="0.2">
      <c r="A518" s="927"/>
      <c r="B518" s="927"/>
      <c r="C518" s="927"/>
      <c r="D518" s="927" t="s">
        <v>1853</v>
      </c>
      <c r="E518" s="930"/>
      <c r="F518" s="927"/>
      <c r="G518" s="927"/>
      <c r="H518" s="927"/>
      <c r="I518" s="927"/>
      <c r="J518" s="927"/>
      <c r="K518" s="927"/>
      <c r="L518" s="929"/>
      <c r="M518" s="940"/>
      <c r="N518" s="1028"/>
      <c r="O518" s="995"/>
      <c r="P518" s="941"/>
      <c r="Q518" s="941"/>
    </row>
    <row r="519" spans="1:17" ht="34.15" customHeight="1" x14ac:dyDescent="0.2">
      <c r="A519" s="472">
        <v>6</v>
      </c>
      <c r="B519" s="473"/>
      <c r="C519" s="473"/>
      <c r="D519" s="266" t="s">
        <v>1166</v>
      </c>
      <c r="E519" s="1081"/>
      <c r="F519" s="1078"/>
      <c r="G519" s="474"/>
      <c r="H519" s="475"/>
      <c r="I519" s="475"/>
      <c r="J519" s="476"/>
      <c r="K519" s="477"/>
      <c r="L519" s="478"/>
      <c r="M519" s="479"/>
      <c r="N519" s="1040"/>
      <c r="O519" s="702"/>
      <c r="P519" s="703"/>
      <c r="Q519" s="702"/>
    </row>
    <row r="520" spans="1:17" ht="26.45" customHeight="1" x14ac:dyDescent="0.2">
      <c r="A520" s="472">
        <v>6</v>
      </c>
      <c r="B520" s="114" t="s">
        <v>1167</v>
      </c>
      <c r="C520" s="114" t="s">
        <v>1167</v>
      </c>
      <c r="D520" s="480" t="s">
        <v>216</v>
      </c>
      <c r="E520" s="481"/>
      <c r="F520" s="481"/>
      <c r="G520" s="481"/>
      <c r="H520" s="481"/>
      <c r="I520" s="481"/>
      <c r="J520" s="482"/>
      <c r="K520" s="482"/>
      <c r="L520" s="483"/>
      <c r="M520" s="135"/>
      <c r="N520" s="758"/>
      <c r="O520" s="83"/>
      <c r="P520" s="79"/>
      <c r="Q520" s="83"/>
    </row>
    <row r="521" spans="1:17" ht="22.5" x14ac:dyDescent="0.2">
      <c r="A521" s="472">
        <v>6</v>
      </c>
      <c r="B521" s="269"/>
      <c r="C521" s="484"/>
      <c r="D521" s="485"/>
      <c r="E521" s="254"/>
      <c r="F521" s="992"/>
      <c r="G521" s="258" t="s">
        <v>242</v>
      </c>
      <c r="H521" s="258">
        <f>SUM(H524,H527,H530,H533,H536,H539,H542,H545,H548,H551,H554,H557,)</f>
        <v>212.99999999999997</v>
      </c>
      <c r="I521" s="258">
        <f>SUM(I524,I527,I530,I533,I536,I539,I542,I545,I548,I551,I554,I557,I560)</f>
        <v>723.8</v>
      </c>
      <c r="J521" s="414">
        <f>SUM(J524,J527,J530,J533,J536,J539,J542,J545,J548,J551,J554,J557,J560)</f>
        <v>0</v>
      </c>
      <c r="K521" s="414">
        <f t="shared" ref="K521:L521" si="91">SUM(K524,K527,K530,K533,K536,K539,K542,K545,K548,K551,K554,K557,K560)</f>
        <v>100</v>
      </c>
      <c r="L521" s="421">
        <f t="shared" si="91"/>
        <v>50</v>
      </c>
      <c r="M521" s="135"/>
      <c r="N521" s="718"/>
      <c r="O521" s="704"/>
      <c r="P521" s="705"/>
      <c r="Q521" s="706"/>
    </row>
    <row r="522" spans="1:17" ht="33.75" x14ac:dyDescent="0.2">
      <c r="A522" s="472">
        <v>6</v>
      </c>
      <c r="B522" s="269"/>
      <c r="C522" s="269"/>
      <c r="D522" s="485"/>
      <c r="E522" s="254"/>
      <c r="F522" s="992"/>
      <c r="G522" s="258" t="s">
        <v>243</v>
      </c>
      <c r="H522" s="258">
        <f>SUM(H525,H528,H531,H534,H537,H540,H543,H546,H549,H552,H555)</f>
        <v>1469.8999999999999</v>
      </c>
      <c r="I522" s="258">
        <f>SUM(I525,I528,I531,I534,I537,I540,I543,I546,I549,I552,I555,I561,I558)</f>
        <v>1750.1000000000001</v>
      </c>
      <c r="J522" s="414">
        <f t="shared" ref="J522:L522" si="92">SUM(J525,J528,J531,J534,J537,J540,J543,J546,J549,J552,J555,J561,J558)</f>
        <v>2061.6999999999998</v>
      </c>
      <c r="K522" s="414">
        <f t="shared" si="92"/>
        <v>1999.9999999999998</v>
      </c>
      <c r="L522" s="421">
        <f t="shared" si="92"/>
        <v>1999.9999999999998</v>
      </c>
      <c r="M522" s="135"/>
      <c r="N522" s="718"/>
      <c r="O522" s="706"/>
      <c r="P522" s="705"/>
      <c r="Q522" s="706"/>
    </row>
    <row r="523" spans="1:17" ht="21" customHeight="1" x14ac:dyDescent="0.2">
      <c r="A523" s="472">
        <v>6</v>
      </c>
      <c r="B523" s="269"/>
      <c r="C523" s="269"/>
      <c r="D523" s="485"/>
      <c r="E523" s="254"/>
      <c r="F523" s="992"/>
      <c r="G523" s="259" t="s">
        <v>1168</v>
      </c>
      <c r="H523" s="259"/>
      <c r="I523" s="259">
        <f>I521+I522</f>
        <v>2473.9</v>
      </c>
      <c r="J523" s="415">
        <f t="shared" ref="J523:L523" si="93">J521+J522</f>
        <v>2061.6999999999998</v>
      </c>
      <c r="K523" s="415">
        <f t="shared" si="93"/>
        <v>2100</v>
      </c>
      <c r="L523" s="422">
        <f t="shared" si="93"/>
        <v>2050</v>
      </c>
      <c r="M523" s="135"/>
      <c r="N523" s="718"/>
      <c r="O523" s="706"/>
      <c r="P523" s="705"/>
      <c r="Q523" s="706"/>
    </row>
    <row r="524" spans="1:17" ht="24.6" customHeight="1" x14ac:dyDescent="0.2">
      <c r="A524" s="472">
        <v>6</v>
      </c>
      <c r="B524" s="269"/>
      <c r="C524" s="269" t="s">
        <v>1169</v>
      </c>
      <c r="D524" s="485" t="s">
        <v>217</v>
      </c>
      <c r="E524" s="472">
        <v>19</v>
      </c>
      <c r="F524" s="254" t="s">
        <v>218</v>
      </c>
      <c r="G524" s="254" t="s">
        <v>8</v>
      </c>
      <c r="H524" s="487">
        <v>5.5</v>
      </c>
      <c r="I524" s="490">
        <v>6.3</v>
      </c>
      <c r="J524" s="100"/>
      <c r="K524" s="488"/>
      <c r="L524" s="489"/>
      <c r="M524" s="135" t="s">
        <v>624</v>
      </c>
      <c r="N524" s="1157" t="s">
        <v>2026</v>
      </c>
      <c r="O524" s="706" t="s">
        <v>1170</v>
      </c>
      <c r="P524" s="963">
        <v>53.1</v>
      </c>
      <c r="Q524" s="706" t="s">
        <v>732</v>
      </c>
    </row>
    <row r="525" spans="1:17" ht="12.75" customHeight="1" x14ac:dyDescent="0.2">
      <c r="A525" s="472">
        <v>6</v>
      </c>
      <c r="B525" s="269"/>
      <c r="C525" s="269"/>
      <c r="D525" s="485"/>
      <c r="E525" s="472">
        <v>19</v>
      </c>
      <c r="F525" s="254" t="s">
        <v>218</v>
      </c>
      <c r="G525" s="490" t="s">
        <v>219</v>
      </c>
      <c r="H525" s="487">
        <v>48.1</v>
      </c>
      <c r="I525" s="490">
        <v>52.9</v>
      </c>
      <c r="J525" s="100">
        <v>62.5</v>
      </c>
      <c r="K525" s="491">
        <v>62.5</v>
      </c>
      <c r="L525" s="492">
        <v>62.5</v>
      </c>
      <c r="M525" s="135" t="s">
        <v>624</v>
      </c>
      <c r="N525" s="718"/>
      <c r="O525" s="706"/>
      <c r="P525" s="963"/>
      <c r="Q525" s="706" t="s">
        <v>732</v>
      </c>
    </row>
    <row r="526" spans="1:17" x14ac:dyDescent="0.2">
      <c r="A526" s="472">
        <v>6</v>
      </c>
      <c r="B526" s="269"/>
      <c r="C526" s="269"/>
      <c r="D526" s="485"/>
      <c r="E526" s="472">
        <v>19</v>
      </c>
      <c r="F526" s="254" t="s">
        <v>218</v>
      </c>
      <c r="G526" s="105" t="s">
        <v>495</v>
      </c>
      <c r="H526" s="107">
        <f>SUM(H524:H525)</f>
        <v>53.6</v>
      </c>
      <c r="I526" s="107">
        <f>SUM(I524:I525)</f>
        <v>59.199999999999996</v>
      </c>
      <c r="J526" s="493">
        <f t="shared" ref="J526:L526" si="94">SUM(J524:J525)</f>
        <v>62.5</v>
      </c>
      <c r="K526" s="493">
        <f t="shared" si="94"/>
        <v>62.5</v>
      </c>
      <c r="L526" s="494">
        <f t="shared" si="94"/>
        <v>62.5</v>
      </c>
      <c r="M526" s="135"/>
      <c r="N526" s="718"/>
      <c r="O526" s="708"/>
      <c r="P526" s="732"/>
      <c r="Q526" s="708"/>
    </row>
    <row r="527" spans="1:17" ht="27" customHeight="1" x14ac:dyDescent="0.2">
      <c r="A527" s="472">
        <v>6</v>
      </c>
      <c r="B527" s="269"/>
      <c r="C527" s="269" t="s">
        <v>1171</v>
      </c>
      <c r="D527" s="485" t="s">
        <v>220</v>
      </c>
      <c r="E527" s="472">
        <v>20</v>
      </c>
      <c r="F527" s="254" t="s">
        <v>221</v>
      </c>
      <c r="G527" s="254" t="s">
        <v>8</v>
      </c>
      <c r="H527" s="487">
        <f>13.5</f>
        <v>13.5</v>
      </c>
      <c r="I527" s="490">
        <v>8.8000000000000007</v>
      </c>
      <c r="J527" s="100"/>
      <c r="K527" s="488"/>
      <c r="L527" s="489"/>
      <c r="M527" s="135" t="s">
        <v>624</v>
      </c>
      <c r="N527" s="1157" t="s">
        <v>2024</v>
      </c>
      <c r="O527" s="706" t="s">
        <v>1170</v>
      </c>
      <c r="P527" s="963">
        <v>72.900000000000006</v>
      </c>
      <c r="Q527" s="706" t="s">
        <v>981</v>
      </c>
    </row>
    <row r="528" spans="1:17" ht="12.75" customHeight="1" x14ac:dyDescent="0.2">
      <c r="A528" s="472">
        <v>6</v>
      </c>
      <c r="B528" s="269"/>
      <c r="C528" s="269"/>
      <c r="D528" s="485"/>
      <c r="E528" s="472">
        <v>20</v>
      </c>
      <c r="F528" s="254" t="s">
        <v>221</v>
      </c>
      <c r="G528" s="490" t="s">
        <v>219</v>
      </c>
      <c r="H528" s="487">
        <v>99</v>
      </c>
      <c r="I528" s="490">
        <v>114.9</v>
      </c>
      <c r="J528" s="100">
        <v>135.80000000000001</v>
      </c>
      <c r="K528" s="491">
        <v>135.80000000000001</v>
      </c>
      <c r="L528" s="492">
        <v>135.80000000000001</v>
      </c>
      <c r="M528" s="135" t="s">
        <v>624</v>
      </c>
      <c r="N528" s="718"/>
      <c r="O528" s="706"/>
      <c r="P528" s="963"/>
      <c r="Q528" s="706" t="s">
        <v>981</v>
      </c>
    </row>
    <row r="529" spans="1:17" x14ac:dyDescent="0.2">
      <c r="A529" s="472">
        <v>6</v>
      </c>
      <c r="B529" s="269"/>
      <c r="C529" s="269"/>
      <c r="D529" s="485"/>
      <c r="E529" s="472">
        <v>20</v>
      </c>
      <c r="F529" s="254" t="s">
        <v>221</v>
      </c>
      <c r="G529" s="105" t="s">
        <v>495</v>
      </c>
      <c r="H529" s="107">
        <f>SUM(H527:H528)</f>
        <v>112.5</v>
      </c>
      <c r="I529" s="107">
        <f>SUM(I527:I528)</f>
        <v>123.7</v>
      </c>
      <c r="J529" s="495">
        <f>SUM(J527:J528)</f>
        <v>135.80000000000001</v>
      </c>
      <c r="K529" s="493">
        <f>SUM(K527:K528)</f>
        <v>135.80000000000001</v>
      </c>
      <c r="L529" s="494">
        <f>SUM(L527:L528)</f>
        <v>135.80000000000001</v>
      </c>
      <c r="M529" s="135"/>
      <c r="N529" s="718"/>
      <c r="O529" s="708"/>
      <c r="P529" s="732"/>
      <c r="Q529" s="708"/>
    </row>
    <row r="530" spans="1:17" ht="29.45" customHeight="1" x14ac:dyDescent="0.2">
      <c r="A530" s="472">
        <v>6</v>
      </c>
      <c r="B530" s="269"/>
      <c r="C530" s="269" t="s">
        <v>1173</v>
      </c>
      <c r="D530" s="485" t="s">
        <v>222</v>
      </c>
      <c r="E530" s="472">
        <v>21</v>
      </c>
      <c r="F530" s="254" t="s">
        <v>223</v>
      </c>
      <c r="G530" s="254" t="s">
        <v>8</v>
      </c>
      <c r="H530" s="487">
        <v>30</v>
      </c>
      <c r="I530" s="490">
        <v>59.8</v>
      </c>
      <c r="J530" s="100"/>
      <c r="K530" s="488"/>
      <c r="L530" s="489"/>
      <c r="M530" s="135" t="s">
        <v>624</v>
      </c>
      <c r="N530" s="1157" t="s">
        <v>2000</v>
      </c>
      <c r="O530" s="706" t="s">
        <v>1170</v>
      </c>
      <c r="P530" s="963">
        <v>119</v>
      </c>
      <c r="Q530" s="706" t="s">
        <v>716</v>
      </c>
    </row>
    <row r="531" spans="1:17" ht="12.75" customHeight="1" x14ac:dyDescent="0.2">
      <c r="A531" s="472">
        <v>6</v>
      </c>
      <c r="B531" s="269"/>
      <c r="C531" s="269"/>
      <c r="D531" s="485"/>
      <c r="E531" s="472">
        <v>21</v>
      </c>
      <c r="F531" s="254" t="s">
        <v>223</v>
      </c>
      <c r="G531" s="490" t="s">
        <v>219</v>
      </c>
      <c r="H531" s="487">
        <v>147.19999999999999</v>
      </c>
      <c r="I531" s="490">
        <v>164</v>
      </c>
      <c r="J531" s="100">
        <v>195.8</v>
      </c>
      <c r="K531" s="491">
        <v>195.8</v>
      </c>
      <c r="L531" s="492">
        <v>195.8</v>
      </c>
      <c r="M531" s="135" t="s">
        <v>624</v>
      </c>
      <c r="N531" s="718"/>
      <c r="O531" s="706"/>
      <c r="P531" s="963"/>
      <c r="Q531" s="706" t="s">
        <v>716</v>
      </c>
    </row>
    <row r="532" spans="1:17" x14ac:dyDescent="0.2">
      <c r="A532" s="472">
        <v>6</v>
      </c>
      <c r="B532" s="269"/>
      <c r="C532" s="269"/>
      <c r="D532" s="485"/>
      <c r="E532" s="472">
        <v>21</v>
      </c>
      <c r="F532" s="254" t="s">
        <v>223</v>
      </c>
      <c r="G532" s="105" t="s">
        <v>495</v>
      </c>
      <c r="H532" s="107">
        <f>SUM(H530:H531)</f>
        <v>177.2</v>
      </c>
      <c r="I532" s="107">
        <f>SUM(I530:I531)</f>
        <v>223.8</v>
      </c>
      <c r="J532" s="495">
        <f>SUM(J530:J531)</f>
        <v>195.8</v>
      </c>
      <c r="K532" s="493">
        <f>SUM(K530:K531)</f>
        <v>195.8</v>
      </c>
      <c r="L532" s="494">
        <f>SUM(L530:L531)</f>
        <v>195.8</v>
      </c>
      <c r="M532" s="135"/>
      <c r="N532" s="718"/>
      <c r="O532" s="1002"/>
      <c r="P532" s="732"/>
      <c r="Q532" s="708"/>
    </row>
    <row r="533" spans="1:17" ht="25.9" customHeight="1" x14ac:dyDescent="0.2">
      <c r="A533" s="472">
        <v>6</v>
      </c>
      <c r="B533" s="269"/>
      <c r="C533" s="269" t="s">
        <v>1174</v>
      </c>
      <c r="D533" s="485" t="s">
        <v>224</v>
      </c>
      <c r="E533" s="472">
        <v>22</v>
      </c>
      <c r="F533" s="254" t="s">
        <v>225</v>
      </c>
      <c r="G533" s="254" t="s">
        <v>8</v>
      </c>
      <c r="H533" s="487">
        <v>9.4</v>
      </c>
      <c r="I533" s="490">
        <v>14.6</v>
      </c>
      <c r="J533" s="100"/>
      <c r="K533" s="488"/>
      <c r="L533" s="489"/>
      <c r="M533" s="135" t="s">
        <v>624</v>
      </c>
      <c r="N533" s="1157" t="s">
        <v>2028</v>
      </c>
      <c r="O533" s="706" t="s">
        <v>1170</v>
      </c>
      <c r="P533" s="963">
        <v>77.900000000000006</v>
      </c>
      <c r="Q533" s="706" t="s">
        <v>750</v>
      </c>
    </row>
    <row r="534" spans="1:17" ht="12.75" customHeight="1" x14ac:dyDescent="0.2">
      <c r="A534" s="472">
        <v>6</v>
      </c>
      <c r="B534" s="269"/>
      <c r="C534" s="269"/>
      <c r="D534" s="485"/>
      <c r="E534" s="472">
        <v>22</v>
      </c>
      <c r="F534" s="254" t="s">
        <v>225</v>
      </c>
      <c r="G534" s="490" t="s">
        <v>219</v>
      </c>
      <c r="H534" s="487">
        <v>69.2</v>
      </c>
      <c r="I534" s="490">
        <v>76.2</v>
      </c>
      <c r="J534" s="100">
        <v>87.7</v>
      </c>
      <c r="K534" s="491">
        <v>87.7</v>
      </c>
      <c r="L534" s="492">
        <v>87.7</v>
      </c>
      <c r="M534" s="135" t="s">
        <v>624</v>
      </c>
      <c r="N534" s="718"/>
      <c r="O534" s="706"/>
      <c r="P534" s="963"/>
      <c r="Q534" s="706" t="s">
        <v>750</v>
      </c>
    </row>
    <row r="535" spans="1:17" x14ac:dyDescent="0.2">
      <c r="A535" s="472">
        <v>6</v>
      </c>
      <c r="B535" s="269"/>
      <c r="C535" s="269"/>
      <c r="D535" s="485"/>
      <c r="E535" s="472">
        <v>22</v>
      </c>
      <c r="F535" s="254" t="s">
        <v>225</v>
      </c>
      <c r="G535" s="105" t="s">
        <v>495</v>
      </c>
      <c r="H535" s="107">
        <f>SUM(H533:H534)</f>
        <v>78.600000000000009</v>
      </c>
      <c r="I535" s="107">
        <f>SUM(I533:I534)</f>
        <v>90.8</v>
      </c>
      <c r="J535" s="495">
        <f>SUM(J533:J534)</f>
        <v>87.7</v>
      </c>
      <c r="K535" s="493">
        <f>SUM(K533:K534)</f>
        <v>87.7</v>
      </c>
      <c r="L535" s="494">
        <f>SUM(L533:L534)</f>
        <v>87.7</v>
      </c>
      <c r="M535" s="135"/>
      <c r="N535" s="718"/>
      <c r="O535" s="708"/>
      <c r="P535" s="732"/>
      <c r="Q535" s="708"/>
    </row>
    <row r="536" spans="1:17" ht="24" customHeight="1" x14ac:dyDescent="0.2">
      <c r="A536" s="472">
        <v>6</v>
      </c>
      <c r="B536" s="269"/>
      <c r="C536" s="269" t="s">
        <v>1175</v>
      </c>
      <c r="D536" s="485" t="s">
        <v>226</v>
      </c>
      <c r="E536" s="472">
        <v>23</v>
      </c>
      <c r="F536" s="254" t="s">
        <v>227</v>
      </c>
      <c r="G536" s="254" t="s">
        <v>8</v>
      </c>
      <c r="H536" s="487">
        <v>23.6</v>
      </c>
      <c r="I536" s="490">
        <v>123</v>
      </c>
      <c r="J536" s="100"/>
      <c r="K536" s="488"/>
      <c r="L536" s="489"/>
      <c r="M536" s="135" t="s">
        <v>624</v>
      </c>
      <c r="N536" s="1157" t="s">
        <v>2023</v>
      </c>
      <c r="O536" s="706" t="s">
        <v>1170</v>
      </c>
      <c r="P536" s="963">
        <v>65.599999999999994</v>
      </c>
      <c r="Q536" s="706" t="s">
        <v>640</v>
      </c>
    </row>
    <row r="537" spans="1:17" ht="12.75" customHeight="1" x14ac:dyDescent="0.2">
      <c r="A537" s="472">
        <v>6</v>
      </c>
      <c r="B537" s="269"/>
      <c r="C537" s="269"/>
      <c r="D537" s="485"/>
      <c r="E537" s="472">
        <v>23</v>
      </c>
      <c r="F537" s="254" t="s">
        <v>227</v>
      </c>
      <c r="G537" s="490" t="s">
        <v>219</v>
      </c>
      <c r="H537" s="487">
        <v>208.9</v>
      </c>
      <c r="I537" s="490">
        <v>224</v>
      </c>
      <c r="J537" s="100">
        <v>258.2</v>
      </c>
      <c r="K537" s="491">
        <v>258.2</v>
      </c>
      <c r="L537" s="492">
        <v>258.2</v>
      </c>
      <c r="M537" s="135" t="s">
        <v>624</v>
      </c>
      <c r="N537" s="718"/>
      <c r="O537" s="706"/>
      <c r="P537" s="963"/>
      <c r="Q537" s="706" t="s">
        <v>640</v>
      </c>
    </row>
    <row r="538" spans="1:17" x14ac:dyDescent="0.2">
      <c r="A538" s="472">
        <v>6</v>
      </c>
      <c r="B538" s="269"/>
      <c r="C538" s="269"/>
      <c r="D538" s="485"/>
      <c r="E538" s="472">
        <v>23</v>
      </c>
      <c r="F538" s="254" t="s">
        <v>227</v>
      </c>
      <c r="G538" s="105" t="s">
        <v>495</v>
      </c>
      <c r="H538" s="107">
        <f>SUM(H536:H537)</f>
        <v>232.5</v>
      </c>
      <c r="I538" s="107">
        <f>SUM(I536:I537)</f>
        <v>347</v>
      </c>
      <c r="J538" s="495">
        <f>SUM(J536:J537)</f>
        <v>258.2</v>
      </c>
      <c r="K538" s="493">
        <f>SUM(K536:K537)</f>
        <v>258.2</v>
      </c>
      <c r="L538" s="494">
        <f>SUM(L536:L537)</f>
        <v>258.2</v>
      </c>
      <c r="M538" s="135"/>
      <c r="N538" s="718"/>
      <c r="O538" s="708"/>
      <c r="P538" s="732"/>
      <c r="Q538" s="708"/>
    </row>
    <row r="539" spans="1:17" ht="25.15" customHeight="1" x14ac:dyDescent="0.2">
      <c r="A539" s="472">
        <v>6</v>
      </c>
      <c r="B539" s="269"/>
      <c r="C539" s="269" t="s">
        <v>1177</v>
      </c>
      <c r="D539" s="485" t="s">
        <v>228</v>
      </c>
      <c r="E539" s="472">
        <v>24</v>
      </c>
      <c r="F539" s="254" t="s">
        <v>229</v>
      </c>
      <c r="G539" s="254" t="s">
        <v>8</v>
      </c>
      <c r="H539" s="487">
        <f>4.8</f>
        <v>4.8</v>
      </c>
      <c r="I539" s="490">
        <v>0.4</v>
      </c>
      <c r="J539" s="100"/>
      <c r="K539" s="488"/>
      <c r="L539" s="489"/>
      <c r="M539" s="135" t="s">
        <v>624</v>
      </c>
      <c r="N539" s="1157" t="s">
        <v>2027</v>
      </c>
      <c r="O539" s="706" t="s">
        <v>1170</v>
      </c>
      <c r="P539" s="963">
        <v>42.4</v>
      </c>
      <c r="Q539" s="706" t="s">
        <v>835</v>
      </c>
    </row>
    <row r="540" spans="1:17" ht="12.75" customHeight="1" x14ac:dyDescent="0.2">
      <c r="A540" s="472">
        <v>6</v>
      </c>
      <c r="B540" s="269"/>
      <c r="C540" s="269"/>
      <c r="D540" s="485"/>
      <c r="E540" s="472">
        <v>24</v>
      </c>
      <c r="F540" s="254" t="s">
        <v>229</v>
      </c>
      <c r="G540" s="490" t="s">
        <v>219</v>
      </c>
      <c r="H540" s="487">
        <v>35</v>
      </c>
      <c r="I540" s="490">
        <v>38.799999999999997</v>
      </c>
      <c r="J540" s="100">
        <v>45.7</v>
      </c>
      <c r="K540" s="491">
        <v>45.7</v>
      </c>
      <c r="L540" s="492">
        <v>45.7</v>
      </c>
      <c r="M540" s="135" t="s">
        <v>624</v>
      </c>
      <c r="N540" s="718"/>
      <c r="O540" s="706"/>
      <c r="P540" s="963"/>
      <c r="Q540" s="706" t="s">
        <v>835</v>
      </c>
    </row>
    <row r="541" spans="1:17" x14ac:dyDescent="0.2">
      <c r="A541" s="472">
        <v>6</v>
      </c>
      <c r="B541" s="269"/>
      <c r="C541" s="269"/>
      <c r="D541" s="485"/>
      <c r="E541" s="472">
        <v>24</v>
      </c>
      <c r="F541" s="254" t="s">
        <v>229</v>
      </c>
      <c r="G541" s="105" t="s">
        <v>495</v>
      </c>
      <c r="H541" s="107">
        <f>SUM(H539:H540)</f>
        <v>39.799999999999997</v>
      </c>
      <c r="I541" s="107">
        <f>SUM(I539:I540)</f>
        <v>39.199999999999996</v>
      </c>
      <c r="J541" s="495">
        <f>SUM(J539:J540)</f>
        <v>45.7</v>
      </c>
      <c r="K541" s="493">
        <f>SUM(K539:K540)</f>
        <v>45.7</v>
      </c>
      <c r="L541" s="494">
        <f>SUM(L539:L540)</f>
        <v>45.7</v>
      </c>
      <c r="M541" s="135"/>
      <c r="N541" s="718"/>
      <c r="O541" s="708"/>
      <c r="P541" s="732"/>
      <c r="Q541" s="708"/>
    </row>
    <row r="542" spans="1:17" ht="28.15" customHeight="1" x14ac:dyDescent="0.2">
      <c r="A542" s="472">
        <v>6</v>
      </c>
      <c r="B542" s="269"/>
      <c r="C542" s="269" t="s">
        <v>1178</v>
      </c>
      <c r="D542" s="485" t="s">
        <v>230</v>
      </c>
      <c r="E542" s="472">
        <v>25</v>
      </c>
      <c r="F542" s="254" t="s">
        <v>231</v>
      </c>
      <c r="G542" s="254" t="s">
        <v>8</v>
      </c>
      <c r="H542" s="487">
        <v>21.3</v>
      </c>
      <c r="I542" s="490">
        <v>22</v>
      </c>
      <c r="J542" s="100"/>
      <c r="K542" s="488"/>
      <c r="L542" s="489"/>
      <c r="M542" s="135" t="s">
        <v>624</v>
      </c>
      <c r="N542" s="1157" t="s">
        <v>2025</v>
      </c>
      <c r="O542" s="706" t="s">
        <v>1170</v>
      </c>
      <c r="P542" s="963">
        <v>139.30000000000001</v>
      </c>
      <c r="Q542" s="706" t="s">
        <v>728</v>
      </c>
    </row>
    <row r="543" spans="1:17" ht="12.75" customHeight="1" x14ac:dyDescent="0.2">
      <c r="A543" s="472">
        <v>6</v>
      </c>
      <c r="B543" s="269"/>
      <c r="C543" s="269"/>
      <c r="D543" s="485"/>
      <c r="E543" s="472">
        <v>25</v>
      </c>
      <c r="F543" s="254" t="s">
        <v>231</v>
      </c>
      <c r="G543" s="490" t="s">
        <v>219</v>
      </c>
      <c r="H543" s="487">
        <v>156.19999999999999</v>
      </c>
      <c r="I543" s="490">
        <v>177.2</v>
      </c>
      <c r="J543" s="100">
        <v>209.8</v>
      </c>
      <c r="K543" s="491">
        <v>209.8</v>
      </c>
      <c r="L543" s="492">
        <v>209.8</v>
      </c>
      <c r="M543" s="135" t="s">
        <v>624</v>
      </c>
      <c r="N543" s="718"/>
      <c r="O543" s="706"/>
      <c r="P543" s="963"/>
      <c r="Q543" s="706" t="s">
        <v>728</v>
      </c>
    </row>
    <row r="544" spans="1:17" x14ac:dyDescent="0.2">
      <c r="A544" s="472">
        <v>6</v>
      </c>
      <c r="B544" s="269"/>
      <c r="C544" s="269"/>
      <c r="D544" s="485"/>
      <c r="E544" s="472">
        <v>25</v>
      </c>
      <c r="F544" s="254" t="s">
        <v>231</v>
      </c>
      <c r="G544" s="105" t="s">
        <v>495</v>
      </c>
      <c r="H544" s="107">
        <f>SUM(H542:H543)</f>
        <v>177.5</v>
      </c>
      <c r="I544" s="107">
        <f>SUM(I542:I543)</f>
        <v>199.2</v>
      </c>
      <c r="J544" s="495">
        <f>SUM(J542:J543)</f>
        <v>209.8</v>
      </c>
      <c r="K544" s="493">
        <f>SUM(K542:K543)</f>
        <v>209.8</v>
      </c>
      <c r="L544" s="494">
        <f>SUM(L542:L543)</f>
        <v>209.8</v>
      </c>
      <c r="M544" s="135"/>
      <c r="N544" s="718"/>
      <c r="O544" s="708"/>
      <c r="P544" s="732"/>
      <c r="Q544" s="708"/>
    </row>
    <row r="545" spans="1:17" ht="26.45" customHeight="1" x14ac:dyDescent="0.2">
      <c r="A545" s="472">
        <v>6</v>
      </c>
      <c r="B545" s="269"/>
      <c r="C545" s="269" t="s">
        <v>1179</v>
      </c>
      <c r="D545" s="485" t="s">
        <v>232</v>
      </c>
      <c r="E545" s="472">
        <v>26</v>
      </c>
      <c r="F545" s="254" t="s">
        <v>233</v>
      </c>
      <c r="G545" s="254" t="s">
        <v>8</v>
      </c>
      <c r="H545" s="487">
        <v>6.8</v>
      </c>
      <c r="I545" s="490">
        <v>45.5</v>
      </c>
      <c r="J545" s="100"/>
      <c r="K545" s="488"/>
      <c r="L545" s="489"/>
      <c r="M545" s="135" t="s">
        <v>624</v>
      </c>
      <c r="N545" s="1157" t="s">
        <v>2029</v>
      </c>
      <c r="O545" s="706" t="s">
        <v>1170</v>
      </c>
      <c r="P545" s="963">
        <v>144.30000000000001</v>
      </c>
      <c r="Q545" s="706" t="s">
        <v>720</v>
      </c>
    </row>
    <row r="546" spans="1:17" ht="12.75" customHeight="1" x14ac:dyDescent="0.2">
      <c r="A546" s="472">
        <v>6</v>
      </c>
      <c r="B546" s="269"/>
      <c r="C546" s="269"/>
      <c r="D546" s="485"/>
      <c r="E546" s="472">
        <v>26</v>
      </c>
      <c r="F546" s="254" t="s">
        <v>233</v>
      </c>
      <c r="G546" s="490" t="s">
        <v>219</v>
      </c>
      <c r="H546" s="487">
        <v>205.6</v>
      </c>
      <c r="I546" s="490">
        <v>228.7</v>
      </c>
      <c r="J546" s="100">
        <v>270.2</v>
      </c>
      <c r="K546" s="491">
        <v>270.2</v>
      </c>
      <c r="L546" s="492">
        <v>270.2</v>
      </c>
      <c r="M546" s="135" t="s">
        <v>624</v>
      </c>
      <c r="N546" s="718"/>
      <c r="O546" s="706"/>
      <c r="P546" s="963"/>
      <c r="Q546" s="706" t="s">
        <v>720</v>
      </c>
    </row>
    <row r="547" spans="1:17" x14ac:dyDescent="0.2">
      <c r="A547" s="472">
        <v>6</v>
      </c>
      <c r="B547" s="269"/>
      <c r="C547" s="269"/>
      <c r="D547" s="485"/>
      <c r="E547" s="472">
        <v>26</v>
      </c>
      <c r="F547" s="254" t="s">
        <v>233</v>
      </c>
      <c r="G547" s="105" t="s">
        <v>495</v>
      </c>
      <c r="H547" s="107">
        <f>SUM(H545:H546)</f>
        <v>212.4</v>
      </c>
      <c r="I547" s="107">
        <f>SUM(I545:I546)</f>
        <v>274.2</v>
      </c>
      <c r="J547" s="495">
        <f>SUM(J545:J546)</f>
        <v>270.2</v>
      </c>
      <c r="K547" s="493">
        <f>SUM(K545:K546)</f>
        <v>270.2</v>
      </c>
      <c r="L547" s="494">
        <f>SUM(L545:L546)</f>
        <v>270.2</v>
      </c>
      <c r="M547" s="135"/>
      <c r="N547" s="718"/>
      <c r="O547" s="708"/>
      <c r="P547" s="732"/>
      <c r="Q547" s="708"/>
    </row>
    <row r="548" spans="1:17" ht="25.15" customHeight="1" x14ac:dyDescent="0.2">
      <c r="A548" s="472">
        <v>6</v>
      </c>
      <c r="B548" s="269"/>
      <c r="C548" s="269" t="s">
        <v>1180</v>
      </c>
      <c r="D548" s="485" t="s">
        <v>234</v>
      </c>
      <c r="E548" s="472">
        <v>27</v>
      </c>
      <c r="F548" s="254" t="s">
        <v>235</v>
      </c>
      <c r="G548" s="254" t="s">
        <v>8</v>
      </c>
      <c r="H548" s="487">
        <v>31.9</v>
      </c>
      <c r="I548" s="490">
        <v>95.1</v>
      </c>
      <c r="J548" s="100"/>
      <c r="K548" s="488"/>
      <c r="L548" s="489"/>
      <c r="M548" s="135" t="s">
        <v>624</v>
      </c>
      <c r="N548" s="1157" t="s">
        <v>2030</v>
      </c>
      <c r="O548" s="706" t="s">
        <v>1170</v>
      </c>
      <c r="P548" s="963">
        <v>87.8</v>
      </c>
      <c r="Q548" s="706" t="s">
        <v>700</v>
      </c>
    </row>
    <row r="549" spans="1:17" ht="12.75" customHeight="1" x14ac:dyDescent="0.2">
      <c r="A549" s="472">
        <v>6</v>
      </c>
      <c r="B549" s="269"/>
      <c r="C549" s="269"/>
      <c r="D549" s="485"/>
      <c r="E549" s="472">
        <v>27</v>
      </c>
      <c r="F549" s="254" t="s">
        <v>235</v>
      </c>
      <c r="G549" s="490" t="s">
        <v>219</v>
      </c>
      <c r="H549" s="487">
        <v>234.6</v>
      </c>
      <c r="I549" s="490">
        <v>279</v>
      </c>
      <c r="J549" s="100">
        <v>339.9</v>
      </c>
      <c r="K549" s="491">
        <v>339.9</v>
      </c>
      <c r="L549" s="492">
        <v>339.9</v>
      </c>
      <c r="M549" s="135" t="s">
        <v>624</v>
      </c>
      <c r="N549" s="718"/>
      <c r="O549" s="706"/>
      <c r="P549" s="963"/>
      <c r="Q549" s="706" t="s">
        <v>700</v>
      </c>
    </row>
    <row r="550" spans="1:17" x14ac:dyDescent="0.2">
      <c r="A550" s="472">
        <v>6</v>
      </c>
      <c r="B550" s="269"/>
      <c r="C550" s="269"/>
      <c r="D550" s="485"/>
      <c r="E550" s="472">
        <v>27</v>
      </c>
      <c r="F550" s="254" t="s">
        <v>235</v>
      </c>
      <c r="G550" s="105" t="s">
        <v>495</v>
      </c>
      <c r="H550" s="107">
        <f>SUM(H548:H549)</f>
        <v>266.5</v>
      </c>
      <c r="I550" s="107">
        <f>SUM(I548:I549)</f>
        <v>374.1</v>
      </c>
      <c r="J550" s="495">
        <f>SUM(J548:J549)</f>
        <v>339.9</v>
      </c>
      <c r="K550" s="493">
        <f>SUM(K548:K549)</f>
        <v>339.9</v>
      </c>
      <c r="L550" s="494">
        <f>SUM(L548:L549)</f>
        <v>339.9</v>
      </c>
      <c r="M550" s="135"/>
      <c r="N550" s="718"/>
      <c r="O550" s="708"/>
      <c r="P550" s="732"/>
      <c r="Q550" s="708"/>
    </row>
    <row r="551" spans="1:17" ht="32.450000000000003" customHeight="1" x14ac:dyDescent="0.2">
      <c r="A551" s="472">
        <v>6</v>
      </c>
      <c r="B551" s="269"/>
      <c r="C551" s="269" t="s">
        <v>1181</v>
      </c>
      <c r="D551" s="485" t="s">
        <v>236</v>
      </c>
      <c r="E551" s="472">
        <v>28</v>
      </c>
      <c r="F551" s="254" t="s">
        <v>237</v>
      </c>
      <c r="G551" s="254" t="s">
        <v>8</v>
      </c>
      <c r="H551" s="487">
        <v>15.6</v>
      </c>
      <c r="I551" s="490">
        <v>36.1</v>
      </c>
      <c r="J551" s="100"/>
      <c r="K551" s="488"/>
      <c r="L551" s="489"/>
      <c r="M551" s="135" t="s">
        <v>624</v>
      </c>
      <c r="N551" s="1157" t="s">
        <v>2031</v>
      </c>
      <c r="O551" s="706" t="s">
        <v>1170</v>
      </c>
      <c r="P551" s="963">
        <v>127.5</v>
      </c>
      <c r="Q551" s="706" t="s">
        <v>712</v>
      </c>
    </row>
    <row r="552" spans="1:17" ht="12.75" customHeight="1" x14ac:dyDescent="0.2">
      <c r="A552" s="472">
        <v>6</v>
      </c>
      <c r="B552" s="269"/>
      <c r="C552" s="269"/>
      <c r="D552" s="485"/>
      <c r="E552" s="472">
        <v>28</v>
      </c>
      <c r="F552" s="254" t="s">
        <v>237</v>
      </c>
      <c r="G552" s="490" t="s">
        <v>219</v>
      </c>
      <c r="H552" s="487">
        <v>114.5</v>
      </c>
      <c r="I552" s="490">
        <v>126.5</v>
      </c>
      <c r="J552" s="100">
        <v>148.30000000000001</v>
      </c>
      <c r="K552" s="491">
        <v>148.30000000000001</v>
      </c>
      <c r="L552" s="492">
        <v>148.30000000000001</v>
      </c>
      <c r="M552" s="135" t="s">
        <v>624</v>
      </c>
      <c r="N552" s="718"/>
      <c r="O552" s="706"/>
      <c r="P552" s="963"/>
      <c r="Q552" s="706" t="s">
        <v>712</v>
      </c>
    </row>
    <row r="553" spans="1:17" x14ac:dyDescent="0.2">
      <c r="A553" s="472">
        <v>6</v>
      </c>
      <c r="B553" s="269"/>
      <c r="C553" s="269"/>
      <c r="D553" s="485"/>
      <c r="E553" s="472">
        <v>28</v>
      </c>
      <c r="F553" s="254" t="s">
        <v>237</v>
      </c>
      <c r="G553" s="105" t="s">
        <v>495</v>
      </c>
      <c r="H553" s="107">
        <f>SUM(H551:H552)</f>
        <v>130.1</v>
      </c>
      <c r="I553" s="107">
        <f>SUM(I551:I552)</f>
        <v>162.6</v>
      </c>
      <c r="J553" s="495">
        <f>SUM(J551:J552)</f>
        <v>148.30000000000001</v>
      </c>
      <c r="K553" s="493">
        <f>SUM(K551:K552)</f>
        <v>148.30000000000001</v>
      </c>
      <c r="L553" s="494">
        <f>SUM(L551:L552)</f>
        <v>148.30000000000001</v>
      </c>
      <c r="M553" s="135"/>
      <c r="N553" s="718"/>
      <c r="O553" s="708"/>
      <c r="P553" s="732"/>
      <c r="Q553" s="708"/>
    </row>
    <row r="554" spans="1:17" ht="29.45" customHeight="1" x14ac:dyDescent="0.2">
      <c r="A554" s="472">
        <v>6</v>
      </c>
      <c r="B554" s="269"/>
      <c r="C554" s="269" t="s">
        <v>1182</v>
      </c>
      <c r="D554" s="485" t="s">
        <v>238</v>
      </c>
      <c r="E554" s="472">
        <v>29</v>
      </c>
      <c r="F554" s="254" t="s">
        <v>239</v>
      </c>
      <c r="G554" s="254" t="s">
        <v>8</v>
      </c>
      <c r="H554" s="487">
        <v>20.6</v>
      </c>
      <c r="I554" s="490">
        <v>25.5</v>
      </c>
      <c r="J554" s="100"/>
      <c r="K554" s="488"/>
      <c r="L554" s="489"/>
      <c r="M554" s="135" t="s">
        <v>624</v>
      </c>
      <c r="N554" s="1157" t="s">
        <v>2032</v>
      </c>
      <c r="O554" s="706" t="s">
        <v>1170</v>
      </c>
      <c r="P554" s="963">
        <v>153.4</v>
      </c>
      <c r="Q554" s="706" t="s">
        <v>727</v>
      </c>
    </row>
    <row r="555" spans="1:17" ht="12.75" customHeight="1" x14ac:dyDescent="0.2">
      <c r="A555" s="472">
        <v>6</v>
      </c>
      <c r="B555" s="269"/>
      <c r="C555" s="269"/>
      <c r="D555" s="485"/>
      <c r="E555" s="472">
        <v>29</v>
      </c>
      <c r="F555" s="254" t="s">
        <v>239</v>
      </c>
      <c r="G555" s="490" t="s">
        <v>219</v>
      </c>
      <c r="H555" s="487">
        <v>151.6</v>
      </c>
      <c r="I555" s="490">
        <v>167.9</v>
      </c>
      <c r="J555" s="100">
        <v>196.1</v>
      </c>
      <c r="K555" s="491">
        <v>196.1</v>
      </c>
      <c r="L555" s="492">
        <v>196.1</v>
      </c>
      <c r="M555" s="135" t="s">
        <v>624</v>
      </c>
      <c r="N555" s="718"/>
      <c r="O555" s="706"/>
      <c r="P555" s="963"/>
      <c r="Q555" s="706" t="s">
        <v>727</v>
      </c>
    </row>
    <row r="556" spans="1:17" x14ac:dyDescent="0.2">
      <c r="A556" s="472">
        <v>6</v>
      </c>
      <c r="B556" s="269"/>
      <c r="C556" s="269"/>
      <c r="D556" s="485"/>
      <c r="E556" s="472">
        <v>29</v>
      </c>
      <c r="F556" s="254" t="s">
        <v>239</v>
      </c>
      <c r="G556" s="105" t="s">
        <v>495</v>
      </c>
      <c r="H556" s="107">
        <f>SUM(H554:H555)</f>
        <v>172.2</v>
      </c>
      <c r="I556" s="107">
        <f>SUM(I554:I555)</f>
        <v>193.4</v>
      </c>
      <c r="J556" s="495">
        <f>SUM(J554:J555)</f>
        <v>196.1</v>
      </c>
      <c r="K556" s="493">
        <f>SUM(K554:K555)</f>
        <v>196.1</v>
      </c>
      <c r="L556" s="494">
        <f>SUM(L554:L555)</f>
        <v>196.1</v>
      </c>
      <c r="M556" s="135"/>
      <c r="N556" s="718"/>
      <c r="O556" s="708"/>
      <c r="P556" s="732"/>
      <c r="Q556" s="708"/>
    </row>
    <row r="557" spans="1:17" ht="38.450000000000003" customHeight="1" x14ac:dyDescent="0.2">
      <c r="A557" s="472">
        <v>6</v>
      </c>
      <c r="B557" s="269"/>
      <c r="C557" s="269" t="s">
        <v>1183</v>
      </c>
      <c r="D557" s="209" t="s">
        <v>240</v>
      </c>
      <c r="E557" s="472">
        <v>9</v>
      </c>
      <c r="F557" s="254" t="s">
        <v>241</v>
      </c>
      <c r="G557" s="254" t="s">
        <v>8</v>
      </c>
      <c r="H557" s="487">
        <v>30</v>
      </c>
      <c r="I557" s="490">
        <v>50</v>
      </c>
      <c r="J557" s="100"/>
      <c r="K557" s="491"/>
      <c r="L557" s="492"/>
      <c r="M557" s="135" t="s">
        <v>624</v>
      </c>
      <c r="N557" s="1157" t="s">
        <v>1823</v>
      </c>
      <c r="O557" s="706" t="s">
        <v>1184</v>
      </c>
      <c r="P557" s="964">
        <v>100</v>
      </c>
      <c r="Q557" s="706"/>
    </row>
    <row r="558" spans="1:17" ht="12.75" customHeight="1" x14ac:dyDescent="0.2">
      <c r="A558" s="472">
        <v>6</v>
      </c>
      <c r="B558" s="269"/>
      <c r="C558" s="269"/>
      <c r="D558" s="209"/>
      <c r="E558" s="472">
        <v>9</v>
      </c>
      <c r="F558" s="254" t="s">
        <v>241</v>
      </c>
      <c r="G558" s="254" t="s">
        <v>219</v>
      </c>
      <c r="H558" s="487"/>
      <c r="I558" s="490"/>
      <c r="J558" s="100">
        <v>50</v>
      </c>
      <c r="K558" s="491">
        <v>50</v>
      </c>
      <c r="L558" s="492">
        <v>50</v>
      </c>
      <c r="M558" s="135"/>
      <c r="N558" s="1157" t="s">
        <v>1823</v>
      </c>
      <c r="O558" s="706"/>
      <c r="P558" s="964"/>
      <c r="Q558" s="706"/>
    </row>
    <row r="559" spans="1:17" x14ac:dyDescent="0.2">
      <c r="A559" s="472">
        <v>6</v>
      </c>
      <c r="B559" s="269"/>
      <c r="C559" s="269"/>
      <c r="D559" s="485"/>
      <c r="E559" s="472"/>
      <c r="F559" s="254" t="s">
        <v>241</v>
      </c>
      <c r="G559" s="105" t="s">
        <v>495</v>
      </c>
      <c r="H559" s="107">
        <f>SUM(H557)</f>
        <v>30</v>
      </c>
      <c r="I559" s="107">
        <f>SUM(I557:I558)</f>
        <v>50</v>
      </c>
      <c r="J559" s="493">
        <f t="shared" ref="J559:L559" si="95">SUM(J557:J558)</f>
        <v>50</v>
      </c>
      <c r="K559" s="493">
        <f t="shared" si="95"/>
        <v>50</v>
      </c>
      <c r="L559" s="494">
        <f t="shared" si="95"/>
        <v>50</v>
      </c>
      <c r="M559" s="135"/>
      <c r="N559" s="718"/>
      <c r="O559" s="708"/>
      <c r="P559" s="732"/>
      <c r="Q559" s="710"/>
    </row>
    <row r="560" spans="1:17" ht="19.149999999999999" customHeight="1" x14ac:dyDescent="0.2">
      <c r="A560" s="472">
        <v>6</v>
      </c>
      <c r="B560" s="496"/>
      <c r="C560" s="269" t="s">
        <v>1185</v>
      </c>
      <c r="D560" s="497" t="s">
        <v>1186</v>
      </c>
      <c r="E560" s="472" t="s">
        <v>2033</v>
      </c>
      <c r="F560" s="254" t="s">
        <v>246</v>
      </c>
      <c r="G560" s="254" t="s">
        <v>8</v>
      </c>
      <c r="H560" s="254"/>
      <c r="I560" s="907">
        <v>236.7</v>
      </c>
      <c r="J560" s="100">
        <f>100-50-50</f>
        <v>0</v>
      </c>
      <c r="K560" s="498">
        <v>100</v>
      </c>
      <c r="L560" s="499">
        <v>50</v>
      </c>
      <c r="M560" s="135" t="s">
        <v>637</v>
      </c>
      <c r="N560" s="1042" t="s">
        <v>2034</v>
      </c>
      <c r="O560" s="706" t="s">
        <v>1187</v>
      </c>
      <c r="P560" s="965">
        <v>100</v>
      </c>
      <c r="Q560" s="59"/>
    </row>
    <row r="561" spans="1:17" ht="12.75" customHeight="1" x14ac:dyDescent="0.2">
      <c r="A561" s="472">
        <v>6</v>
      </c>
      <c r="B561" s="496"/>
      <c r="C561" s="496"/>
      <c r="D561" s="485"/>
      <c r="E561" s="472" t="s">
        <v>2033</v>
      </c>
      <c r="F561" s="254" t="s">
        <v>246</v>
      </c>
      <c r="G561" s="490" t="s">
        <v>219</v>
      </c>
      <c r="H561" s="487">
        <v>100</v>
      </c>
      <c r="I561" s="490">
        <v>100</v>
      </c>
      <c r="J561" s="100">
        <f>161.7-100</f>
        <v>61.699999999999989</v>
      </c>
      <c r="K561" s="491"/>
      <c r="L561" s="492"/>
      <c r="M561" s="135" t="s">
        <v>637</v>
      </c>
      <c r="N561" s="1042"/>
      <c r="O561" s="706"/>
      <c r="P561" s="705"/>
      <c r="Q561" s="711"/>
    </row>
    <row r="562" spans="1:17" x14ac:dyDescent="0.2">
      <c r="A562" s="472">
        <v>6</v>
      </c>
      <c r="B562" s="496"/>
      <c r="C562" s="496"/>
      <c r="D562" s="485"/>
      <c r="E562" s="472"/>
      <c r="F562" s="254" t="s">
        <v>246</v>
      </c>
      <c r="G562" s="105" t="s">
        <v>495</v>
      </c>
      <c r="H562" s="107">
        <f>SUM(H560:H561)</f>
        <v>100</v>
      </c>
      <c r="I562" s="107">
        <f>SUM(I560:I561)</f>
        <v>336.7</v>
      </c>
      <c r="J562" s="493">
        <f>SUM(J560:J561)</f>
        <v>61.699999999999989</v>
      </c>
      <c r="K562" s="493">
        <f t="shared" ref="K562:L562" si="96">SUM(K560:K561)</f>
        <v>100</v>
      </c>
      <c r="L562" s="494">
        <f t="shared" si="96"/>
        <v>50</v>
      </c>
      <c r="M562" s="135"/>
      <c r="N562" s="718"/>
      <c r="O562" s="708"/>
      <c r="P562" s="709"/>
      <c r="Q562" s="708"/>
    </row>
    <row r="563" spans="1:17" ht="25.15" customHeight="1" x14ac:dyDescent="0.2">
      <c r="A563" s="472">
        <v>6</v>
      </c>
      <c r="B563" s="473"/>
      <c r="C563" s="473"/>
      <c r="D563" s="266" t="s">
        <v>1188</v>
      </c>
      <c r="E563" s="1082"/>
      <c r="F563" s="500"/>
      <c r="G563" s="500"/>
      <c r="H563" s="501"/>
      <c r="I563" s="501"/>
      <c r="J563" s="502"/>
      <c r="K563" s="502"/>
      <c r="L563" s="503"/>
      <c r="M563" s="479"/>
      <c r="N563" s="1165"/>
      <c r="O563" s="260"/>
      <c r="P563" s="261"/>
      <c r="Q563" s="260"/>
    </row>
    <row r="564" spans="1:17" ht="30.6" customHeight="1" x14ac:dyDescent="0.2">
      <c r="A564" s="472">
        <v>6</v>
      </c>
      <c r="B564" s="114" t="s">
        <v>1189</v>
      </c>
      <c r="C564" s="114" t="s">
        <v>1189</v>
      </c>
      <c r="D564" s="480" t="s">
        <v>1190</v>
      </c>
      <c r="E564" s="481"/>
      <c r="F564" s="481"/>
      <c r="G564" s="481"/>
      <c r="H564" s="481"/>
      <c r="I564" s="481"/>
      <c r="J564" s="482"/>
      <c r="K564" s="482"/>
      <c r="L564" s="483"/>
      <c r="M564" s="135"/>
      <c r="N564" s="718"/>
      <c r="O564" s="708"/>
      <c r="P564" s="709"/>
      <c r="Q564" s="708"/>
    </row>
    <row r="565" spans="1:17" ht="24.6" customHeight="1" x14ac:dyDescent="0.2">
      <c r="A565" s="472">
        <v>6</v>
      </c>
      <c r="B565" s="269"/>
      <c r="C565" s="484"/>
      <c r="D565" s="485"/>
      <c r="E565" s="254"/>
      <c r="F565" s="992"/>
      <c r="G565" s="258" t="s">
        <v>242</v>
      </c>
      <c r="H565" s="258" t="e">
        <f>SUM(H576,#REF!,#REF!,#REF!,H578,H581,#REF!,#REF!,#REF!,#REF!,#REF!,#REF!,)</f>
        <v>#REF!</v>
      </c>
      <c r="I565" s="258" t="e">
        <f>SUM(I576,I579,I580,I581,I582,I583,#REF!,I603,I584,I585,I587,I595,I597,I598,I578,I574,I575,#REF!,I604,I605)</f>
        <v>#REF!</v>
      </c>
      <c r="J565" s="414">
        <f>SUM(J576,J579,J580,J581,J582,J583,J603,J584,J585,J587,J595,J597,J598,J578,J574,J575,J604,J605,J594,J599)</f>
        <v>5132.2000000000007</v>
      </c>
      <c r="K565" s="414" t="e">
        <f>SUM(K576,K579,K580,K581,K582,K583,#REF!,K603,K584,K585,K587,K595,K597,K598,K578,K574,K575,#REF!,K604,K605)</f>
        <v>#REF!</v>
      </c>
      <c r="L565" s="421" t="e">
        <f>SUM(L576,L579,L580,L581,L582,L583,#REF!,L603,L584,L585,L587,L595,L597,L598,L578,L574,L575,#REF!,L604,L605)</f>
        <v>#REF!</v>
      </c>
      <c r="M565" s="135"/>
      <c r="N565" s="718"/>
      <c r="O565" s="712"/>
      <c r="P565" s="966"/>
      <c r="Q565" s="388"/>
    </row>
    <row r="566" spans="1:17" ht="12.75" customHeight="1" x14ac:dyDescent="0.2">
      <c r="A566" s="472">
        <v>6</v>
      </c>
      <c r="B566" s="269"/>
      <c r="C566" s="484"/>
      <c r="D566" s="485"/>
      <c r="E566" s="254"/>
      <c r="F566" s="992"/>
      <c r="G566" s="258" t="s">
        <v>11</v>
      </c>
      <c r="H566" s="258"/>
      <c r="I566" s="258">
        <f>SUM(I577,I586,I588,I606)</f>
        <v>1540.8</v>
      </c>
      <c r="J566" s="414">
        <f>SUM(J577,J586,J588,J606)</f>
        <v>48.9</v>
      </c>
      <c r="K566" s="414">
        <f>SUM(K577,K586,K588,K606)</f>
        <v>0</v>
      </c>
      <c r="L566" s="421">
        <f>SUM(L577,L586,L588,L606)</f>
        <v>610</v>
      </c>
      <c r="M566" s="135"/>
      <c r="N566" s="1043"/>
      <c r="O566" s="713"/>
      <c r="P566" s="967"/>
      <c r="Q566" s="386"/>
    </row>
    <row r="567" spans="1:17" ht="12.75" customHeight="1" x14ac:dyDescent="0.2">
      <c r="A567" s="472">
        <v>6</v>
      </c>
      <c r="B567" s="269"/>
      <c r="C567" s="484"/>
      <c r="D567" s="485"/>
      <c r="E567" s="254"/>
      <c r="F567" s="992"/>
      <c r="G567" s="258" t="s">
        <v>202</v>
      </c>
      <c r="H567" s="258"/>
      <c r="I567" s="258"/>
      <c r="J567" s="414"/>
      <c r="K567" s="414"/>
      <c r="L567" s="421"/>
      <c r="M567" s="135"/>
      <c r="N567" s="1043"/>
      <c r="O567" s="714"/>
      <c r="P567" s="967"/>
      <c r="Q567" s="386"/>
    </row>
    <row r="568" spans="1:17" ht="12.75" customHeight="1" x14ac:dyDescent="0.2">
      <c r="A568" s="472">
        <v>6</v>
      </c>
      <c r="B568" s="269"/>
      <c r="C568" s="484"/>
      <c r="D568" s="485"/>
      <c r="E568" s="254"/>
      <c r="F568" s="992"/>
      <c r="G568" s="258" t="s">
        <v>10</v>
      </c>
      <c r="H568" s="258"/>
      <c r="I568" s="258">
        <f>SUM(I591,I592,I593)</f>
        <v>152</v>
      </c>
      <c r="J568" s="414">
        <f>SUM(J591,J592,J593)</f>
        <v>1060</v>
      </c>
      <c r="K568" s="414">
        <f t="shared" ref="K568:L568" si="97">SUM(K591,K592,K593)</f>
        <v>2160</v>
      </c>
      <c r="L568" s="421">
        <f t="shared" si="97"/>
        <v>1000</v>
      </c>
      <c r="M568" s="135"/>
      <c r="N568" s="1043"/>
      <c r="O568" s="714"/>
      <c r="P568" s="967"/>
      <c r="Q568" s="386"/>
    </row>
    <row r="569" spans="1:17" ht="12.75" customHeight="1" x14ac:dyDescent="0.2">
      <c r="A569" s="472">
        <v>6</v>
      </c>
      <c r="B569" s="269"/>
      <c r="C569" s="484"/>
      <c r="D569" s="485"/>
      <c r="E569" s="254"/>
      <c r="F569" s="992"/>
      <c r="G569" s="258" t="s">
        <v>1191</v>
      </c>
      <c r="H569" s="258"/>
      <c r="I569" s="258">
        <f>SUM(I596)</f>
        <v>93.100000000000009</v>
      </c>
      <c r="J569" s="414">
        <f>SUM(J596)</f>
        <v>40.200000000000003</v>
      </c>
      <c r="K569" s="414">
        <f>SUM(K596)</f>
        <v>0</v>
      </c>
      <c r="L569" s="421">
        <f>SUM(L596)</f>
        <v>0</v>
      </c>
      <c r="M569" s="135"/>
      <c r="N569" s="1043"/>
      <c r="O569" s="714"/>
      <c r="P569" s="967"/>
      <c r="Q569" s="387"/>
    </row>
    <row r="570" spans="1:17" ht="12.75" customHeight="1" x14ac:dyDescent="0.2">
      <c r="A570" s="472">
        <v>6</v>
      </c>
      <c r="B570" s="269"/>
      <c r="C570" s="484"/>
      <c r="D570" s="485"/>
      <c r="E570" s="254"/>
      <c r="F570" s="992"/>
      <c r="G570" s="258" t="s">
        <v>37</v>
      </c>
      <c r="H570" s="258"/>
      <c r="I570" s="258">
        <f>SUM(I590)</f>
        <v>0</v>
      </c>
      <c r="J570" s="414">
        <f>SUM(J590)</f>
        <v>400</v>
      </c>
      <c r="K570" s="414">
        <f>SUM(K590)</f>
        <v>645.70000000000005</v>
      </c>
      <c r="L570" s="421">
        <f>SUM(L590)</f>
        <v>0</v>
      </c>
      <c r="M570" s="135"/>
      <c r="N570" s="1043"/>
      <c r="O570" s="714"/>
      <c r="P570" s="967"/>
      <c r="Q570" s="386"/>
    </row>
    <row r="571" spans="1:17" ht="12.75" customHeight="1" x14ac:dyDescent="0.2">
      <c r="A571" s="472">
        <v>6</v>
      </c>
      <c r="B571" s="269"/>
      <c r="C571" s="484"/>
      <c r="D571" s="485"/>
      <c r="E571" s="254"/>
      <c r="F571" s="992"/>
      <c r="G571" s="258" t="s">
        <v>598</v>
      </c>
      <c r="H571" s="258"/>
      <c r="I571" s="258">
        <f>I589</f>
        <v>0</v>
      </c>
      <c r="J571" s="414">
        <f t="shared" ref="J571:L571" si="98">J589</f>
        <v>85</v>
      </c>
      <c r="K571" s="414">
        <f t="shared" si="98"/>
        <v>97.199999999999989</v>
      </c>
      <c r="L571" s="421">
        <f t="shared" si="98"/>
        <v>0</v>
      </c>
      <c r="M571" s="135"/>
      <c r="N571" s="1043"/>
      <c r="O571" s="714"/>
      <c r="P571" s="967"/>
      <c r="Q571" s="386"/>
    </row>
    <row r="572" spans="1:17" ht="12.75" customHeight="1" x14ac:dyDescent="0.2">
      <c r="A572" s="472">
        <v>6</v>
      </c>
      <c r="B572" s="269"/>
      <c r="C572" s="269"/>
      <c r="D572" s="485"/>
      <c r="E572" s="254"/>
      <c r="F572" s="992"/>
      <c r="G572" s="258" t="s">
        <v>74</v>
      </c>
      <c r="H572" s="258" t="e">
        <f>SUM(H577,#REF!,#REF!,#REF!,H579,H582,#REF!,#REF!,#REF!,#REF!,#REF!)</f>
        <v>#REF!</v>
      </c>
      <c r="I572" s="258" t="e">
        <f>SUM(#REF!)</f>
        <v>#REF!</v>
      </c>
      <c r="J572" s="414">
        <f>J600</f>
        <v>25.8</v>
      </c>
      <c r="K572" s="414"/>
      <c r="L572" s="421"/>
      <c r="M572" s="135"/>
      <c r="N572" s="1043"/>
      <c r="O572" s="714"/>
      <c r="P572" s="715"/>
      <c r="Q572" s="715"/>
    </row>
    <row r="573" spans="1:17" ht="16.899999999999999" customHeight="1" x14ac:dyDescent="0.2">
      <c r="A573" s="472">
        <v>6</v>
      </c>
      <c r="B573" s="269"/>
      <c r="C573" s="269"/>
      <c r="D573" s="330"/>
      <c r="E573" s="254"/>
      <c r="F573" s="992"/>
      <c r="G573" s="258" t="s">
        <v>622</v>
      </c>
      <c r="H573" s="258"/>
      <c r="I573" s="258" t="e">
        <f>SUM(I565:I572)</f>
        <v>#REF!</v>
      </c>
      <c r="J573" s="414">
        <f t="shared" ref="J573:L573" si="99">SUM(J565:J572)</f>
        <v>6792.1</v>
      </c>
      <c r="K573" s="414" t="e">
        <f t="shared" si="99"/>
        <v>#REF!</v>
      </c>
      <c r="L573" s="421" t="e">
        <f t="shared" si="99"/>
        <v>#REF!</v>
      </c>
      <c r="M573" s="135"/>
      <c r="N573" s="1043"/>
      <c r="O573" s="714"/>
      <c r="P573" s="715"/>
      <c r="Q573" s="715"/>
    </row>
    <row r="574" spans="1:17" ht="81" customHeight="1" x14ac:dyDescent="0.2">
      <c r="A574" s="472">
        <v>6</v>
      </c>
      <c r="B574" s="269"/>
      <c r="C574" s="269" t="s">
        <v>1192</v>
      </c>
      <c r="D574" s="330" t="s">
        <v>1193</v>
      </c>
      <c r="E574" s="472">
        <v>9</v>
      </c>
      <c r="F574" s="504" t="s">
        <v>1194</v>
      </c>
      <c r="G574" s="7" t="s">
        <v>8</v>
      </c>
      <c r="H574" s="262"/>
      <c r="I574" s="907"/>
      <c r="J574" s="100">
        <v>192.5</v>
      </c>
      <c r="K574" s="417"/>
      <c r="L574" s="423"/>
      <c r="M574" s="135" t="s">
        <v>627</v>
      </c>
      <c r="N574" s="1044" t="s">
        <v>2035</v>
      </c>
      <c r="O574" s="857" t="s">
        <v>1196</v>
      </c>
      <c r="P574" s="968">
        <v>100</v>
      </c>
      <c r="Q574" s="716" t="s">
        <v>716</v>
      </c>
    </row>
    <row r="575" spans="1:17" ht="37.15" customHeight="1" x14ac:dyDescent="0.2">
      <c r="A575" s="472">
        <v>6</v>
      </c>
      <c r="B575" s="269"/>
      <c r="C575" s="269" t="s">
        <v>1197</v>
      </c>
      <c r="D575" s="330" t="s">
        <v>1198</v>
      </c>
      <c r="E575" s="472">
        <v>9</v>
      </c>
      <c r="F575" s="505" t="s">
        <v>1199</v>
      </c>
      <c r="G575" s="7" t="s">
        <v>8</v>
      </c>
      <c r="H575" s="258"/>
      <c r="I575" s="61">
        <v>0</v>
      </c>
      <c r="J575" s="100">
        <f>120+60</f>
        <v>180</v>
      </c>
      <c r="K575" s="416">
        <v>70</v>
      </c>
      <c r="L575" s="423"/>
      <c r="M575" s="135" t="s">
        <v>710</v>
      </c>
      <c r="N575" s="1044" t="s">
        <v>2035</v>
      </c>
      <c r="O575" s="858" t="s">
        <v>1200</v>
      </c>
      <c r="P575" s="969">
        <v>100</v>
      </c>
      <c r="Q575" s="718" t="s">
        <v>700</v>
      </c>
    </row>
    <row r="576" spans="1:17" ht="12.75" customHeight="1" x14ac:dyDescent="0.2">
      <c r="A576" s="472">
        <v>6</v>
      </c>
      <c r="B576" s="269"/>
      <c r="C576" s="269" t="s">
        <v>1201</v>
      </c>
      <c r="D576" s="1236" t="s">
        <v>1208</v>
      </c>
      <c r="E576" s="472">
        <v>9</v>
      </c>
      <c r="F576" s="382" t="s">
        <v>1209</v>
      </c>
      <c r="G576" s="7" t="s">
        <v>8</v>
      </c>
      <c r="H576" s="507"/>
      <c r="I576" s="409">
        <v>70.900000000000006</v>
      </c>
      <c r="J576" s="100">
        <v>764.7</v>
      </c>
      <c r="K576" s="508"/>
      <c r="L576" s="509"/>
      <c r="M576" s="135" t="s">
        <v>627</v>
      </c>
      <c r="N576" s="859" t="s">
        <v>1992</v>
      </c>
      <c r="O576" s="731" t="s">
        <v>1196</v>
      </c>
      <c r="P576" s="734">
        <v>100</v>
      </c>
      <c r="Q576" s="706" t="s">
        <v>700</v>
      </c>
    </row>
    <row r="577" spans="1:17" ht="24.6" customHeight="1" x14ac:dyDescent="0.2">
      <c r="A577" s="472">
        <v>6</v>
      </c>
      <c r="B577" s="269"/>
      <c r="C577" s="269" t="s">
        <v>1201</v>
      </c>
      <c r="D577" s="1238"/>
      <c r="E577" s="472">
        <v>9</v>
      </c>
      <c r="F577" s="437" t="s">
        <v>1209</v>
      </c>
      <c r="G577" s="135" t="s">
        <v>11</v>
      </c>
      <c r="H577" s="7"/>
      <c r="I577" s="409">
        <v>400</v>
      </c>
      <c r="J577" s="100"/>
      <c r="K577" s="510"/>
      <c r="L577" s="511"/>
      <c r="M577" s="187" t="s">
        <v>627</v>
      </c>
      <c r="N577" s="139"/>
      <c r="O577" s="1003"/>
      <c r="P577" s="970"/>
      <c r="Q577" s="720" t="s">
        <v>700</v>
      </c>
    </row>
    <row r="578" spans="1:17" ht="36" customHeight="1" x14ac:dyDescent="0.2">
      <c r="A578" s="472">
        <v>6</v>
      </c>
      <c r="B578" s="269"/>
      <c r="C578" s="269" t="s">
        <v>1207</v>
      </c>
      <c r="D578" s="76" t="s">
        <v>1843</v>
      </c>
      <c r="E578" s="472">
        <v>9</v>
      </c>
      <c r="F578" s="382" t="s">
        <v>1211</v>
      </c>
      <c r="G578" s="135" t="s">
        <v>8</v>
      </c>
      <c r="H578" s="507"/>
      <c r="I578" s="15"/>
      <c r="J578" s="100">
        <f>45-45</f>
        <v>0</v>
      </c>
      <c r="K578" s="508">
        <f>300+45</f>
        <v>345</v>
      </c>
      <c r="L578" s="512"/>
      <c r="M578" s="187" t="s">
        <v>710</v>
      </c>
      <c r="N578" s="1044" t="s">
        <v>2036</v>
      </c>
      <c r="O578" s="859" t="s">
        <v>1212</v>
      </c>
      <c r="P578" s="963" t="s">
        <v>1213</v>
      </c>
      <c r="Q578" s="708" t="s">
        <v>640</v>
      </c>
    </row>
    <row r="579" spans="1:17" ht="21.6" customHeight="1" x14ac:dyDescent="0.2">
      <c r="A579" s="472">
        <v>6</v>
      </c>
      <c r="B579" s="269"/>
      <c r="C579" s="269" t="s">
        <v>1210</v>
      </c>
      <c r="D579" s="76" t="s">
        <v>1215</v>
      </c>
      <c r="E579" s="472">
        <v>9</v>
      </c>
      <c r="F579" s="382" t="s">
        <v>1216</v>
      </c>
      <c r="G579" s="135" t="s">
        <v>8</v>
      </c>
      <c r="H579" s="507"/>
      <c r="I579" s="15">
        <f>180-140</f>
        <v>40</v>
      </c>
      <c r="J579" s="100"/>
      <c r="K579" s="23">
        <v>100</v>
      </c>
      <c r="L579" s="513"/>
      <c r="M579" s="187" t="s">
        <v>710</v>
      </c>
      <c r="N579" s="1044" t="s">
        <v>1823</v>
      </c>
      <c r="O579" s="731" t="s">
        <v>1217</v>
      </c>
      <c r="P579" s="971">
        <v>0.35</v>
      </c>
      <c r="Q579" s="708" t="s">
        <v>640</v>
      </c>
    </row>
    <row r="580" spans="1:17" ht="20.25" customHeight="1" x14ac:dyDescent="0.2">
      <c r="A580" s="472">
        <v>6</v>
      </c>
      <c r="B580" s="269"/>
      <c r="C580" s="269" t="s">
        <v>1214</v>
      </c>
      <c r="D580" s="76" t="s">
        <v>1219</v>
      </c>
      <c r="E580" s="472">
        <v>9</v>
      </c>
      <c r="F580" s="382" t="s">
        <v>1220</v>
      </c>
      <c r="G580" s="135" t="s">
        <v>8</v>
      </c>
      <c r="H580" s="507"/>
      <c r="I580" s="15">
        <v>325.8</v>
      </c>
      <c r="J580" s="100">
        <v>388</v>
      </c>
      <c r="K580" s="23">
        <v>100</v>
      </c>
      <c r="L580" s="513">
        <v>0</v>
      </c>
      <c r="M580" s="187" t="s">
        <v>627</v>
      </c>
      <c r="N580" s="1044" t="s">
        <v>1960</v>
      </c>
      <c r="O580" s="731" t="s">
        <v>1221</v>
      </c>
      <c r="P580" s="972">
        <v>100</v>
      </c>
      <c r="Q580" s="708" t="s">
        <v>640</v>
      </c>
    </row>
    <row r="581" spans="1:17" ht="27.75" customHeight="1" x14ac:dyDescent="0.2">
      <c r="A581" s="472">
        <v>6</v>
      </c>
      <c r="B581" s="514"/>
      <c r="C581" s="514" t="s">
        <v>1218</v>
      </c>
      <c r="D581" s="331" t="s">
        <v>1223</v>
      </c>
      <c r="E581" s="515">
        <v>9</v>
      </c>
      <c r="F581" s="516" t="s">
        <v>1224</v>
      </c>
      <c r="G581" s="517" t="s">
        <v>8</v>
      </c>
      <c r="H581" s="345"/>
      <c r="I581" s="377">
        <v>4.9000000000000004</v>
      </c>
      <c r="J581" s="100">
        <v>25</v>
      </c>
      <c r="K581" s="518">
        <v>120</v>
      </c>
      <c r="L581" s="519"/>
      <c r="M581" s="187" t="s">
        <v>710</v>
      </c>
      <c r="N581" s="1044" t="s">
        <v>1960</v>
      </c>
      <c r="O581" s="859" t="s">
        <v>1225</v>
      </c>
      <c r="P581" s="973" t="s">
        <v>749</v>
      </c>
      <c r="Q581" s="708" t="s">
        <v>640</v>
      </c>
    </row>
    <row r="582" spans="1:17" ht="33.6" customHeight="1" x14ac:dyDescent="0.2">
      <c r="A582" s="472">
        <v>6</v>
      </c>
      <c r="B582" s="520"/>
      <c r="C582" s="520" t="s">
        <v>1222</v>
      </c>
      <c r="D582" s="159" t="s">
        <v>1227</v>
      </c>
      <c r="E582" s="521">
        <v>9</v>
      </c>
      <c r="F582" s="202" t="s">
        <v>1228</v>
      </c>
      <c r="G582" s="157" t="s">
        <v>8</v>
      </c>
      <c r="H582" s="522"/>
      <c r="I582" s="401">
        <v>10</v>
      </c>
      <c r="J582" s="100">
        <v>35</v>
      </c>
      <c r="K582" s="523">
        <v>120</v>
      </c>
      <c r="L582" s="524"/>
      <c r="M582" s="187" t="s">
        <v>627</v>
      </c>
      <c r="N582" s="1044" t="s">
        <v>1960</v>
      </c>
      <c r="O582" s="731" t="s">
        <v>1229</v>
      </c>
      <c r="P582" s="972">
        <v>1</v>
      </c>
      <c r="Q582" s="708" t="s">
        <v>640</v>
      </c>
    </row>
    <row r="583" spans="1:17" ht="50.45" customHeight="1" x14ac:dyDescent="0.2">
      <c r="A583" s="472">
        <v>6</v>
      </c>
      <c r="B583" s="520"/>
      <c r="C583" s="520" t="s">
        <v>1226</v>
      </c>
      <c r="D583" s="332" t="s">
        <v>1231</v>
      </c>
      <c r="E583" s="521">
        <v>9</v>
      </c>
      <c r="F583" s="525" t="s">
        <v>254</v>
      </c>
      <c r="G583" s="526" t="s">
        <v>8</v>
      </c>
      <c r="H583" s="527">
        <f>50-32-18</f>
        <v>0</v>
      </c>
      <c r="I583" s="908">
        <v>18.38</v>
      </c>
      <c r="J583" s="100">
        <f>46.9-45</f>
        <v>1.8999999999999986</v>
      </c>
      <c r="K583" s="528">
        <f>500-400</f>
        <v>100</v>
      </c>
      <c r="L583" s="529">
        <f>600+400</f>
        <v>1000</v>
      </c>
      <c r="M583" s="135" t="s">
        <v>710</v>
      </c>
      <c r="N583" s="1044" t="s">
        <v>1992</v>
      </c>
      <c r="O583" s="731" t="s">
        <v>1232</v>
      </c>
      <c r="P583" s="972">
        <v>1</v>
      </c>
      <c r="Q583" s="708" t="s">
        <v>640</v>
      </c>
    </row>
    <row r="584" spans="1:17" ht="18.600000000000001" customHeight="1" x14ac:dyDescent="0.2">
      <c r="A584" s="472">
        <v>6</v>
      </c>
      <c r="B584" s="269"/>
      <c r="C584" s="514" t="s">
        <v>1230</v>
      </c>
      <c r="D584" s="530" t="s">
        <v>1234</v>
      </c>
      <c r="E584" s="515">
        <v>9</v>
      </c>
      <c r="F584" s="444" t="s">
        <v>1235</v>
      </c>
      <c r="G584" s="531" t="s">
        <v>8</v>
      </c>
      <c r="H584" s="532"/>
      <c r="I584" s="377"/>
      <c r="J584" s="100">
        <f>80-40-30-5</f>
        <v>5</v>
      </c>
      <c r="K584" s="533">
        <f>300+40</f>
        <v>340</v>
      </c>
      <c r="L584" s="509">
        <v>200</v>
      </c>
      <c r="M584" s="135" t="s">
        <v>710</v>
      </c>
      <c r="N584" s="1044" t="s">
        <v>2064</v>
      </c>
      <c r="O584" s="731" t="s">
        <v>1844</v>
      </c>
      <c r="P584" s="974">
        <v>1</v>
      </c>
      <c r="Q584" s="722" t="s">
        <v>728</v>
      </c>
    </row>
    <row r="585" spans="1:17" ht="12.75" customHeight="1" x14ac:dyDescent="0.2">
      <c r="A585" s="472">
        <v>6</v>
      </c>
      <c r="B585" s="534"/>
      <c r="C585" s="520" t="s">
        <v>1233</v>
      </c>
      <c r="D585" s="1256" t="s">
        <v>1237</v>
      </c>
      <c r="E585" s="521" t="s">
        <v>534</v>
      </c>
      <c r="F585" s="535" t="s">
        <v>1238</v>
      </c>
      <c r="G585" s="155" t="s">
        <v>8</v>
      </c>
      <c r="H585" s="526"/>
      <c r="I585" s="129"/>
      <c r="J585" s="100">
        <f>370-70+6.2+118.6+55.6</f>
        <v>480.4</v>
      </c>
      <c r="K585" s="536">
        <v>50</v>
      </c>
      <c r="L585" s="511"/>
      <c r="M585" s="135" t="s">
        <v>697</v>
      </c>
      <c r="N585" s="1045" t="s">
        <v>2037</v>
      </c>
      <c r="O585" s="860" t="s">
        <v>1239</v>
      </c>
      <c r="P585" s="975">
        <v>1</v>
      </c>
      <c r="Q585" s="723" t="s">
        <v>700</v>
      </c>
    </row>
    <row r="586" spans="1:17" ht="12.75" customHeight="1" x14ac:dyDescent="0.2">
      <c r="A586" s="472">
        <v>6</v>
      </c>
      <c r="B586" s="534"/>
      <c r="C586" s="520" t="s">
        <v>1233</v>
      </c>
      <c r="D586" s="1257"/>
      <c r="E586" s="861">
        <v>9</v>
      </c>
      <c r="F586" s="537" t="s">
        <v>1238</v>
      </c>
      <c r="G586" s="157" t="s">
        <v>11</v>
      </c>
      <c r="H586" s="522"/>
      <c r="I586" s="401">
        <v>65</v>
      </c>
      <c r="J586" s="100"/>
      <c r="K586" s="536"/>
      <c r="L586" s="511"/>
      <c r="M586" s="187" t="s">
        <v>697</v>
      </c>
      <c r="N586" s="1045" t="s">
        <v>2038</v>
      </c>
      <c r="O586" s="860" t="s">
        <v>1241</v>
      </c>
      <c r="P586" s="975">
        <v>100</v>
      </c>
      <c r="Q586" s="725" t="s">
        <v>700</v>
      </c>
    </row>
    <row r="587" spans="1:17" ht="12.75" customHeight="1" x14ac:dyDescent="0.2">
      <c r="A587" s="472">
        <v>6</v>
      </c>
      <c r="B587" s="269"/>
      <c r="C587" s="538" t="s">
        <v>1236</v>
      </c>
      <c r="D587" s="1258" t="s">
        <v>1243</v>
      </c>
      <c r="E587" s="539">
        <v>9</v>
      </c>
      <c r="F587" s="537" t="s">
        <v>1244</v>
      </c>
      <c r="G587" s="540" t="s">
        <v>8</v>
      </c>
      <c r="H587" s="541"/>
      <c r="I587" s="909"/>
      <c r="J587" s="100">
        <f>1015-400-85-300-130-55.6</f>
        <v>44.4</v>
      </c>
      <c r="K587" s="542">
        <f>700-85+300+130</f>
        <v>1045</v>
      </c>
      <c r="L587" s="543"/>
      <c r="M587" s="187" t="s">
        <v>697</v>
      </c>
      <c r="N587" s="1045" t="s">
        <v>2038</v>
      </c>
      <c r="O587" s="759" t="s">
        <v>1245</v>
      </c>
      <c r="P587" s="976">
        <v>100</v>
      </c>
      <c r="Q587" s="726" t="s">
        <v>700</v>
      </c>
    </row>
    <row r="588" spans="1:17" ht="12.75" customHeight="1" x14ac:dyDescent="0.2">
      <c r="A588" s="472">
        <v>6</v>
      </c>
      <c r="B588" s="514"/>
      <c r="C588" s="538" t="s">
        <v>1236</v>
      </c>
      <c r="D588" s="1259"/>
      <c r="E588" s="521" t="s">
        <v>534</v>
      </c>
      <c r="F588" s="537" t="s">
        <v>1244</v>
      </c>
      <c r="G588" s="526" t="s">
        <v>11</v>
      </c>
      <c r="H588" s="544"/>
      <c r="I588" s="129">
        <v>50</v>
      </c>
      <c r="J588" s="100"/>
      <c r="K588" s="545"/>
      <c r="L588" s="546"/>
      <c r="M588" s="187" t="s">
        <v>697</v>
      </c>
      <c r="N588" s="1045" t="s">
        <v>2037</v>
      </c>
      <c r="O588" s="862" t="s">
        <v>1246</v>
      </c>
      <c r="P588" s="972">
        <v>1</v>
      </c>
      <c r="Q588" s="708" t="s">
        <v>700</v>
      </c>
    </row>
    <row r="589" spans="1:17" ht="12.75" customHeight="1" x14ac:dyDescent="0.2">
      <c r="A589" s="472">
        <v>6</v>
      </c>
      <c r="B589" s="514"/>
      <c r="C589" s="538" t="s">
        <v>1236</v>
      </c>
      <c r="D589" s="1259"/>
      <c r="E589" s="521">
        <v>9</v>
      </c>
      <c r="F589" s="537" t="s">
        <v>1244</v>
      </c>
      <c r="G589" s="526" t="s">
        <v>598</v>
      </c>
      <c r="H589" s="544"/>
      <c r="I589" s="129"/>
      <c r="J589" s="100">
        <v>85</v>
      </c>
      <c r="K589" s="547">
        <f>182.2-J589</f>
        <v>97.199999999999989</v>
      </c>
      <c r="L589" s="546"/>
      <c r="M589" s="187" t="s">
        <v>697</v>
      </c>
      <c r="N589" s="1045" t="s">
        <v>2038</v>
      </c>
      <c r="O589" s="759"/>
      <c r="P589" s="734"/>
      <c r="Q589" s="708" t="s">
        <v>700</v>
      </c>
    </row>
    <row r="590" spans="1:17" ht="34.5" customHeight="1" x14ac:dyDescent="0.2">
      <c r="A590" s="472">
        <v>6</v>
      </c>
      <c r="B590" s="269"/>
      <c r="C590" s="538" t="s">
        <v>1236</v>
      </c>
      <c r="D590" s="1259"/>
      <c r="E590" s="521">
        <v>9</v>
      </c>
      <c r="F590" s="537" t="s">
        <v>1244</v>
      </c>
      <c r="G590" s="548" t="s">
        <v>37</v>
      </c>
      <c r="H590" s="544"/>
      <c r="I590" s="129"/>
      <c r="J590" s="100">
        <v>400</v>
      </c>
      <c r="K590" s="549">
        <f>1032.2-J590+13.5</f>
        <v>645.70000000000005</v>
      </c>
      <c r="L590" s="546"/>
      <c r="M590" s="187" t="s">
        <v>697</v>
      </c>
      <c r="N590" s="1045" t="s">
        <v>2038</v>
      </c>
      <c r="O590" s="759"/>
      <c r="P590" s="732"/>
      <c r="Q590" s="708" t="s">
        <v>700</v>
      </c>
    </row>
    <row r="591" spans="1:17" ht="33.75" x14ac:dyDescent="0.2">
      <c r="A591" s="472">
        <v>6</v>
      </c>
      <c r="B591" s="538"/>
      <c r="C591" s="550" t="s">
        <v>1242</v>
      </c>
      <c r="D591" s="334" t="s">
        <v>1248</v>
      </c>
      <c r="E591" s="521">
        <v>9</v>
      </c>
      <c r="F591" s="551" t="s">
        <v>1249</v>
      </c>
      <c r="G591" s="157" t="s">
        <v>10</v>
      </c>
      <c r="H591" s="522"/>
      <c r="I591" s="401">
        <f>460-308</f>
        <v>152</v>
      </c>
      <c r="J591" s="100">
        <v>1000</v>
      </c>
      <c r="K591" s="536">
        <f>1200-100</f>
        <v>1100</v>
      </c>
      <c r="L591" s="511"/>
      <c r="M591" s="187" t="s">
        <v>627</v>
      </c>
      <c r="N591" s="812" t="s">
        <v>2035</v>
      </c>
      <c r="O591" s="805" t="s">
        <v>1250</v>
      </c>
      <c r="P591" s="977" t="s">
        <v>850</v>
      </c>
      <c r="Q591" s="295" t="s">
        <v>720</v>
      </c>
    </row>
    <row r="592" spans="1:17" ht="44.45" customHeight="1" x14ac:dyDescent="0.2">
      <c r="A592" s="472">
        <v>6</v>
      </c>
      <c r="B592" s="534"/>
      <c r="C592" s="520" t="s">
        <v>1247</v>
      </c>
      <c r="D592" s="552" t="s">
        <v>1251</v>
      </c>
      <c r="E592" s="553">
        <v>9</v>
      </c>
      <c r="F592" s="554" t="s">
        <v>1249</v>
      </c>
      <c r="G592" s="443" t="s">
        <v>10</v>
      </c>
      <c r="H592" s="5"/>
      <c r="I592" s="910"/>
      <c r="J592" s="100">
        <f>60</f>
        <v>60</v>
      </c>
      <c r="K592" s="512">
        <f>1000+60</f>
        <v>1060</v>
      </c>
      <c r="L592" s="555">
        <v>1000</v>
      </c>
      <c r="M592" s="187" t="s">
        <v>627</v>
      </c>
      <c r="N592" s="1166" t="s">
        <v>2038</v>
      </c>
      <c r="O592" s="860" t="s">
        <v>1239</v>
      </c>
      <c r="P592" s="978">
        <v>1</v>
      </c>
      <c r="Q592" s="295" t="s">
        <v>720</v>
      </c>
    </row>
    <row r="593" spans="1:17" ht="27.75" customHeight="1" x14ac:dyDescent="0.2">
      <c r="A593" s="472">
        <v>6</v>
      </c>
      <c r="B593" s="534"/>
      <c r="C593" s="1112" t="s">
        <v>1252</v>
      </c>
      <c r="D593" s="1269" t="s">
        <v>1253</v>
      </c>
      <c r="E593" s="472">
        <v>9</v>
      </c>
      <c r="F593" s="554" t="s">
        <v>1254</v>
      </c>
      <c r="G593" s="135" t="s">
        <v>10</v>
      </c>
      <c r="H593" s="7"/>
      <c r="I593" s="61"/>
      <c r="J593" s="100">
        <f>1500-1500</f>
        <v>0</v>
      </c>
      <c r="K593" s="557"/>
      <c r="L593" s="558"/>
      <c r="M593" s="187" t="s">
        <v>627</v>
      </c>
      <c r="N593" s="1167" t="s">
        <v>1823</v>
      </c>
      <c r="O593" s="1109" t="s">
        <v>1255</v>
      </c>
      <c r="P593" s="1110">
        <v>100</v>
      </c>
      <c r="Q593" s="1111" t="s">
        <v>700</v>
      </c>
    </row>
    <row r="594" spans="1:17" ht="25.5" customHeight="1" x14ac:dyDescent="0.2">
      <c r="A594" s="472">
        <v>6</v>
      </c>
      <c r="B594" s="534"/>
      <c r="C594" s="269"/>
      <c r="D594" s="1270"/>
      <c r="E594" s="472">
        <v>9</v>
      </c>
      <c r="F594" s="554" t="s">
        <v>1254</v>
      </c>
      <c r="G594" s="187" t="s">
        <v>8</v>
      </c>
      <c r="H594" s="7"/>
      <c r="I594" s="61"/>
      <c r="J594" s="100">
        <f>744.4</f>
        <v>744.4</v>
      </c>
      <c r="K594" s="557"/>
      <c r="L594" s="92"/>
      <c r="M594" s="187"/>
      <c r="N594" s="1167" t="s">
        <v>1823</v>
      </c>
      <c r="O594" s="731"/>
      <c r="P594" s="734"/>
      <c r="Q594" s="728"/>
    </row>
    <row r="595" spans="1:17" ht="32.450000000000003" customHeight="1" x14ac:dyDescent="0.2">
      <c r="A595" s="472">
        <v>6</v>
      </c>
      <c r="B595" s="269"/>
      <c r="C595" s="1113" t="s">
        <v>1256</v>
      </c>
      <c r="D595" s="1252" t="s">
        <v>1257</v>
      </c>
      <c r="E595" s="472">
        <v>9</v>
      </c>
      <c r="F595" s="254" t="s">
        <v>259</v>
      </c>
      <c r="G595" s="187" t="s">
        <v>8</v>
      </c>
      <c r="H595" s="107"/>
      <c r="I595" s="61">
        <v>341.8</v>
      </c>
      <c r="J595" s="100">
        <v>797.2</v>
      </c>
      <c r="K595" s="236"/>
      <c r="L595" s="557"/>
      <c r="M595" s="135" t="s">
        <v>697</v>
      </c>
      <c r="N595" s="1044" t="s">
        <v>2035</v>
      </c>
      <c r="O595" s="731" t="s">
        <v>1196</v>
      </c>
      <c r="P595" s="734">
        <v>100</v>
      </c>
      <c r="Q595" s="329" t="s">
        <v>720</v>
      </c>
    </row>
    <row r="596" spans="1:17" ht="12.75" customHeight="1" x14ac:dyDescent="0.2">
      <c r="A596" s="472">
        <v>6</v>
      </c>
      <c r="B596" s="269"/>
      <c r="C596" s="520" t="s">
        <v>1256</v>
      </c>
      <c r="D596" s="1237"/>
      <c r="E596" s="472">
        <v>9</v>
      </c>
      <c r="F596" s="254" t="s">
        <v>259</v>
      </c>
      <c r="G596" s="135" t="s">
        <v>601</v>
      </c>
      <c r="H596" s="107"/>
      <c r="I596" s="61">
        <f>133.3-40.2</f>
        <v>93.100000000000009</v>
      </c>
      <c r="J596" s="100">
        <v>40.200000000000003</v>
      </c>
      <c r="K596" s="236"/>
      <c r="L596" s="557"/>
      <c r="M596" s="135" t="s">
        <v>697</v>
      </c>
      <c r="N596" s="1044" t="s">
        <v>2035</v>
      </c>
      <c r="O596" s="731"/>
      <c r="P596" s="732"/>
      <c r="Q596" s="329" t="s">
        <v>720</v>
      </c>
    </row>
    <row r="597" spans="1:17" ht="21" customHeight="1" x14ac:dyDescent="0.2">
      <c r="A597" s="472">
        <v>6</v>
      </c>
      <c r="B597" s="269"/>
      <c r="C597" s="520" t="s">
        <v>1258</v>
      </c>
      <c r="D597" s="76" t="s">
        <v>1259</v>
      </c>
      <c r="E597" s="472">
        <v>26</v>
      </c>
      <c r="F597" s="254" t="s">
        <v>2095</v>
      </c>
      <c r="G597" s="187" t="s">
        <v>8</v>
      </c>
      <c r="H597" s="107"/>
      <c r="I597" s="61">
        <v>10</v>
      </c>
      <c r="J597" s="100">
        <v>10</v>
      </c>
      <c r="K597" s="236">
        <v>10</v>
      </c>
      <c r="L597" s="557">
        <v>10</v>
      </c>
      <c r="M597" s="135" t="s">
        <v>710</v>
      </c>
      <c r="N597" s="1044" t="s">
        <v>2039</v>
      </c>
      <c r="O597" s="731"/>
      <c r="P597" s="732"/>
      <c r="Q597" s="329" t="s">
        <v>720</v>
      </c>
    </row>
    <row r="598" spans="1:17" ht="22.5" x14ac:dyDescent="0.2">
      <c r="A598" s="472">
        <v>6</v>
      </c>
      <c r="B598" s="269"/>
      <c r="C598" s="1112" t="s">
        <v>1261</v>
      </c>
      <c r="D598" s="335" t="s">
        <v>1262</v>
      </c>
      <c r="E598" s="472">
        <v>29</v>
      </c>
      <c r="F598" s="254" t="s">
        <v>2096</v>
      </c>
      <c r="G598" s="187" t="s">
        <v>8</v>
      </c>
      <c r="H598" s="107"/>
      <c r="I598" s="61"/>
      <c r="J598" s="100">
        <v>200</v>
      </c>
      <c r="K598" s="236"/>
      <c r="L598" s="557"/>
      <c r="M598" s="135" t="s">
        <v>627</v>
      </c>
      <c r="N598" s="1157" t="s">
        <v>2008</v>
      </c>
      <c r="O598" s="731" t="s">
        <v>1196</v>
      </c>
      <c r="P598" s="734">
        <v>100</v>
      </c>
      <c r="Q598" s="329" t="s">
        <v>727</v>
      </c>
    </row>
    <row r="599" spans="1:17" ht="56.25" x14ac:dyDescent="0.2">
      <c r="A599" s="574">
        <v>6</v>
      </c>
      <c r="B599" s="269"/>
      <c r="C599" s="269" t="s">
        <v>2053</v>
      </c>
      <c r="D599" s="85" t="s">
        <v>2054</v>
      </c>
      <c r="E599" s="556">
        <v>9</v>
      </c>
      <c r="F599" s="254" t="s">
        <v>2055</v>
      </c>
      <c r="G599" s="187" t="s">
        <v>8</v>
      </c>
      <c r="H599" s="107"/>
      <c r="I599" s="1190"/>
      <c r="J599" s="100">
        <f>J602</f>
        <v>25.8</v>
      </c>
      <c r="K599" s="236"/>
      <c r="L599" s="557"/>
      <c r="M599" s="135"/>
      <c r="N599" s="1197" t="s">
        <v>2057</v>
      </c>
      <c r="O599" s="731"/>
      <c r="P599" s="734"/>
      <c r="Q599" s="329"/>
    </row>
    <row r="600" spans="1:17" x14ac:dyDescent="0.2">
      <c r="A600" s="574">
        <v>6</v>
      </c>
      <c r="B600" s="269"/>
      <c r="C600" s="269"/>
      <c r="D600" s="335"/>
      <c r="E600" s="556">
        <v>9</v>
      </c>
      <c r="F600" s="254" t="s">
        <v>2055</v>
      </c>
      <c r="G600" s="187" t="s">
        <v>74</v>
      </c>
      <c r="H600" s="107"/>
      <c r="I600" s="1190"/>
      <c r="J600" s="100">
        <v>25.8</v>
      </c>
      <c r="K600" s="236"/>
      <c r="L600" s="557"/>
      <c r="M600" s="135"/>
      <c r="N600" s="1197" t="s">
        <v>2057</v>
      </c>
      <c r="O600" s="731"/>
      <c r="P600" s="734"/>
      <c r="Q600" s="329"/>
    </row>
    <row r="601" spans="1:17" x14ac:dyDescent="0.2">
      <c r="A601" s="574">
        <v>6</v>
      </c>
      <c r="B601" s="269"/>
      <c r="C601" s="534"/>
      <c r="D601" s="335"/>
      <c r="E601" s="556"/>
      <c r="F601" s="254"/>
      <c r="G601" s="105" t="s">
        <v>495</v>
      </c>
      <c r="H601" s="107">
        <f>SUM(H599:H600)</f>
        <v>0</v>
      </c>
      <c r="I601" s="107">
        <f>SUM(I599:I600)</f>
        <v>0</v>
      </c>
      <c r="J601" s="495">
        <f>SUM(J599:J600)</f>
        <v>51.6</v>
      </c>
      <c r="K601" s="236"/>
      <c r="L601" s="557"/>
      <c r="M601" s="135"/>
      <c r="N601" s="1195"/>
      <c r="O601" s="731"/>
      <c r="P601" s="734"/>
      <c r="Q601" s="329"/>
    </row>
    <row r="602" spans="1:17" x14ac:dyDescent="0.2">
      <c r="A602" s="574">
        <v>6</v>
      </c>
      <c r="B602" s="269"/>
      <c r="C602" s="534"/>
      <c r="D602" s="1196" t="s">
        <v>2056</v>
      </c>
      <c r="E602" s="556">
        <v>9</v>
      </c>
      <c r="F602" s="254" t="s">
        <v>2055</v>
      </c>
      <c r="G602" s="187" t="s">
        <v>8</v>
      </c>
      <c r="H602" s="107"/>
      <c r="I602" s="1190"/>
      <c r="J602" s="100">
        <v>25.8</v>
      </c>
      <c r="K602" s="236"/>
      <c r="L602" s="557"/>
      <c r="M602" s="135"/>
      <c r="N602" s="1197" t="s">
        <v>2057</v>
      </c>
      <c r="O602" s="731" t="s">
        <v>1196</v>
      </c>
      <c r="P602" s="734">
        <v>100</v>
      </c>
      <c r="Q602" s="329" t="s">
        <v>728</v>
      </c>
    </row>
    <row r="603" spans="1:17" ht="21" customHeight="1" x14ac:dyDescent="0.2">
      <c r="A603" s="472">
        <v>6</v>
      </c>
      <c r="B603" s="269"/>
      <c r="C603" s="534" t="s">
        <v>1264</v>
      </c>
      <c r="D603" s="336" t="s">
        <v>1265</v>
      </c>
      <c r="E603" s="556">
        <v>9</v>
      </c>
      <c r="F603" s="254" t="s">
        <v>255</v>
      </c>
      <c r="G603" s="75" t="s">
        <v>8</v>
      </c>
      <c r="H603" s="507"/>
      <c r="I603" s="911"/>
      <c r="J603" s="100">
        <f>600+620</f>
        <v>1220</v>
      </c>
      <c r="K603" s="23">
        <f>600-277.8</f>
        <v>322.2</v>
      </c>
      <c r="L603" s="513">
        <f>600+3536.4-282.6</f>
        <v>3853.7999999999997</v>
      </c>
      <c r="M603" s="135" t="s">
        <v>710</v>
      </c>
      <c r="N603" s="1191" t="s">
        <v>1823</v>
      </c>
      <c r="O603" s="1192" t="s">
        <v>1266</v>
      </c>
      <c r="P603" s="1193" t="s">
        <v>1267</v>
      </c>
      <c r="Q603" s="1194"/>
    </row>
    <row r="604" spans="1:17" ht="22.15" customHeight="1" x14ac:dyDescent="0.2">
      <c r="A604" s="472">
        <v>6</v>
      </c>
      <c r="B604" s="269"/>
      <c r="C604" s="534" t="s">
        <v>1268</v>
      </c>
      <c r="D604" s="406" t="s">
        <v>251</v>
      </c>
      <c r="E604" s="556">
        <v>9</v>
      </c>
      <c r="F604" s="254" t="s">
        <v>252</v>
      </c>
      <c r="G604" s="407" t="s">
        <v>8</v>
      </c>
      <c r="H604" s="562"/>
      <c r="I604" s="129">
        <v>631.6</v>
      </c>
      <c r="J604" s="100">
        <v>15.6</v>
      </c>
      <c r="K604" s="23"/>
      <c r="L604" s="513"/>
      <c r="M604" s="135"/>
      <c r="N604" s="1045" t="s">
        <v>1823</v>
      </c>
      <c r="O604" s="860" t="s">
        <v>1881</v>
      </c>
      <c r="P604" s="979"/>
      <c r="Q604" s="729" t="s">
        <v>640</v>
      </c>
    </row>
    <row r="605" spans="1:17" ht="21" customHeight="1" x14ac:dyDescent="0.2">
      <c r="A605" s="472">
        <v>6</v>
      </c>
      <c r="B605" s="269"/>
      <c r="C605" s="534" t="s">
        <v>1269</v>
      </c>
      <c r="D605" s="406" t="s">
        <v>249</v>
      </c>
      <c r="E605" s="556">
        <v>9</v>
      </c>
      <c r="F605" s="254" t="s">
        <v>250</v>
      </c>
      <c r="G605" s="407" t="s">
        <v>8</v>
      </c>
      <c r="H605" s="562"/>
      <c r="I605" s="129">
        <v>70.599999999999994</v>
      </c>
      <c r="J605" s="100">
        <v>2.2999999999999998</v>
      </c>
      <c r="K605" s="23"/>
      <c r="L605" s="513"/>
      <c r="M605" s="135"/>
      <c r="N605" s="1045" t="s">
        <v>1823</v>
      </c>
      <c r="O605" s="860" t="s">
        <v>1881</v>
      </c>
      <c r="P605" s="979"/>
      <c r="Q605" s="729" t="s">
        <v>700</v>
      </c>
    </row>
    <row r="606" spans="1:17" ht="54" customHeight="1" x14ac:dyDescent="0.2">
      <c r="A606" s="472">
        <v>6</v>
      </c>
      <c r="B606" s="269"/>
      <c r="C606" s="534" t="s">
        <v>1270</v>
      </c>
      <c r="D606" s="406" t="s">
        <v>1271</v>
      </c>
      <c r="E606" s="556">
        <v>9</v>
      </c>
      <c r="F606" s="254" t="s">
        <v>1272</v>
      </c>
      <c r="G606" s="407" t="s">
        <v>11</v>
      </c>
      <c r="H606" s="562"/>
      <c r="I606" s="129">
        <v>1025.8</v>
      </c>
      <c r="J606" s="100">
        <v>48.9</v>
      </c>
      <c r="K606" s="23"/>
      <c r="L606" s="513">
        <v>610</v>
      </c>
      <c r="M606" s="135"/>
      <c r="N606" s="1045" t="s">
        <v>1823</v>
      </c>
      <c r="O606" s="860" t="s">
        <v>1881</v>
      </c>
      <c r="P606" s="979"/>
      <c r="Q606" s="729"/>
    </row>
    <row r="607" spans="1:17" ht="44.45" customHeight="1" x14ac:dyDescent="0.2">
      <c r="A607" s="472">
        <v>6</v>
      </c>
      <c r="B607" s="114" t="s">
        <v>1273</v>
      </c>
      <c r="C607" s="114" t="s">
        <v>1273</v>
      </c>
      <c r="D607" s="480" t="s">
        <v>1274</v>
      </c>
      <c r="E607" s="481"/>
      <c r="F607" s="481"/>
      <c r="G607" s="481"/>
      <c r="H607" s="481"/>
      <c r="I607" s="563"/>
      <c r="J607" s="482"/>
      <c r="K607" s="482"/>
      <c r="L607" s="483"/>
      <c r="M607" s="135"/>
      <c r="N607" s="1046"/>
      <c r="O607" s="863"/>
      <c r="P607" s="980"/>
      <c r="Q607" s="337"/>
    </row>
    <row r="608" spans="1:17" ht="12.75" customHeight="1" x14ac:dyDescent="0.2">
      <c r="A608" s="472">
        <v>6</v>
      </c>
      <c r="B608" s="564"/>
      <c r="C608" s="564"/>
      <c r="D608" s="565"/>
      <c r="E608" s="566"/>
      <c r="F608" s="567"/>
      <c r="G608" s="568" t="s">
        <v>245</v>
      </c>
      <c r="H608" s="569">
        <f>3100+55.7</f>
        <v>3155.7</v>
      </c>
      <c r="I608" s="570" t="e">
        <f>I619+I626+I628+I630+I632+I634+#REF!+#REF!+#REF!+I637+I639+#REF!+I642+I644+I646+I650+I652+I659+I654+I622</f>
        <v>#REF!</v>
      </c>
      <c r="J608" s="571">
        <f>J619+J626+J628+J630+J632+J634+J637+J639+J642+J644+J646+J650+J652+J659+J654+J622</f>
        <v>3852.8999999999996</v>
      </c>
      <c r="K608" s="571" t="e">
        <f>K619+K626+K628+K630+K632+K634+#REF!+#REF!+#REF!+K637+K639+#REF!+K642+K644+K646+K650+K652+K659+K654+K622</f>
        <v>#REF!</v>
      </c>
      <c r="L608" s="572" t="e">
        <f>L619+L626+L628+L630+L632+L634+#REF!+#REF!+#REF!+L637+L639+#REF!+L642+L644+L646+L650+L652+L659+L654+L622</f>
        <v>#REF!</v>
      </c>
      <c r="M608" s="135"/>
      <c r="N608" s="716"/>
      <c r="O608" s="704"/>
      <c r="P608" s="981"/>
      <c r="Q608" s="338"/>
    </row>
    <row r="609" spans="1:17" ht="12.75" customHeight="1" x14ac:dyDescent="0.2">
      <c r="A609" s="472">
        <v>6</v>
      </c>
      <c r="B609" s="573"/>
      <c r="C609" s="573"/>
      <c r="D609" s="219"/>
      <c r="E609" s="574"/>
      <c r="F609" s="490"/>
      <c r="G609" s="263" t="s">
        <v>219</v>
      </c>
      <c r="H609" s="575">
        <v>450</v>
      </c>
      <c r="I609" s="575">
        <f>I647</f>
        <v>0</v>
      </c>
      <c r="J609" s="576">
        <f>J647+J657</f>
        <v>100</v>
      </c>
      <c r="K609" s="576">
        <f t="shared" ref="K609:L609" si="100">K647</f>
        <v>0</v>
      </c>
      <c r="L609" s="577">
        <f t="shared" si="100"/>
        <v>0</v>
      </c>
      <c r="M609" s="187"/>
      <c r="N609" s="718"/>
      <c r="O609" s="704"/>
      <c r="P609" s="981"/>
      <c r="Q609" s="338"/>
    </row>
    <row r="610" spans="1:17" ht="12.75" customHeight="1" x14ac:dyDescent="0.2">
      <c r="A610" s="472">
        <v>6</v>
      </c>
      <c r="B610" s="573"/>
      <c r="C610" s="573"/>
      <c r="D610" s="219"/>
      <c r="E610" s="574"/>
      <c r="F610" s="490"/>
      <c r="G610" s="263" t="s">
        <v>11</v>
      </c>
      <c r="H610" s="575"/>
      <c r="I610" s="575">
        <f>I648+I655</f>
        <v>733.9</v>
      </c>
      <c r="J610" s="576">
        <f t="shared" ref="J610:L610" si="101">J648+J655</f>
        <v>575</v>
      </c>
      <c r="K610" s="576">
        <f t="shared" si="101"/>
        <v>610</v>
      </c>
      <c r="L610" s="577">
        <f t="shared" si="101"/>
        <v>0</v>
      </c>
      <c r="M610" s="187"/>
      <c r="N610" s="718"/>
      <c r="O610" s="704"/>
      <c r="P610" s="981"/>
      <c r="Q610" s="338"/>
    </row>
    <row r="611" spans="1:17" ht="12.75" customHeight="1" x14ac:dyDescent="0.2">
      <c r="A611" s="472">
        <v>6</v>
      </c>
      <c r="B611" s="573"/>
      <c r="C611" s="573"/>
      <c r="D611" s="219"/>
      <c r="E611" s="574"/>
      <c r="F611" s="490"/>
      <c r="G611" s="263" t="s">
        <v>37</v>
      </c>
      <c r="H611" s="575"/>
      <c r="I611" s="575">
        <f>SUM(I620,I623)</f>
        <v>0</v>
      </c>
      <c r="J611" s="576">
        <f t="shared" ref="J611:L611" si="102">SUM(J620,J623)</f>
        <v>383.3</v>
      </c>
      <c r="K611" s="576">
        <f t="shared" si="102"/>
        <v>764.8</v>
      </c>
      <c r="L611" s="577">
        <f t="shared" si="102"/>
        <v>371.7</v>
      </c>
      <c r="M611" s="187"/>
      <c r="N611" s="718"/>
      <c r="O611" s="704"/>
      <c r="P611" s="981"/>
      <c r="Q611" s="338"/>
    </row>
    <row r="612" spans="1:17" ht="12.75" customHeight="1" x14ac:dyDescent="0.2">
      <c r="A612" s="472">
        <v>6</v>
      </c>
      <c r="B612" s="573"/>
      <c r="C612" s="573"/>
      <c r="D612" s="219"/>
      <c r="E612" s="574"/>
      <c r="F612" s="490"/>
      <c r="G612" s="263" t="s">
        <v>598</v>
      </c>
      <c r="H612" s="575"/>
      <c r="I612" s="575">
        <f>I624</f>
        <v>0</v>
      </c>
      <c r="J612" s="576">
        <f t="shared" ref="J612:L612" si="103">J624</f>
        <v>0</v>
      </c>
      <c r="K612" s="576">
        <f t="shared" si="103"/>
        <v>79.099999999999994</v>
      </c>
      <c r="L612" s="577">
        <f t="shared" si="103"/>
        <v>70</v>
      </c>
      <c r="M612" s="187"/>
      <c r="N612" s="718"/>
      <c r="O612" s="704"/>
      <c r="P612" s="981"/>
      <c r="Q612" s="338"/>
    </row>
    <row r="613" spans="1:17" ht="12.75" customHeight="1" x14ac:dyDescent="0.2">
      <c r="A613" s="472">
        <v>6</v>
      </c>
      <c r="B613" s="573"/>
      <c r="C613" s="573"/>
      <c r="D613" s="219"/>
      <c r="E613" s="574"/>
      <c r="F613" s="490"/>
      <c r="G613" s="263" t="s">
        <v>202</v>
      </c>
      <c r="H613" s="575"/>
      <c r="I613" s="575">
        <f>SUM(I641,I656)</f>
        <v>736.1</v>
      </c>
      <c r="J613" s="576">
        <f t="shared" ref="J613:L613" si="104">SUM(J641,J656)</f>
        <v>81.599999999999994</v>
      </c>
      <c r="K613" s="576">
        <f t="shared" si="104"/>
        <v>0</v>
      </c>
      <c r="L613" s="577">
        <f t="shared" si="104"/>
        <v>0</v>
      </c>
      <c r="M613" s="187"/>
      <c r="N613" s="718"/>
      <c r="O613" s="704"/>
      <c r="P613" s="730"/>
      <c r="Q613" s="730"/>
    </row>
    <row r="614" spans="1:17" ht="12.75" customHeight="1" x14ac:dyDescent="0.2">
      <c r="A614" s="472">
        <v>6</v>
      </c>
      <c r="B614" s="573"/>
      <c r="C614" s="573"/>
      <c r="D614" s="219"/>
      <c r="E614" s="574"/>
      <c r="F614" s="490"/>
      <c r="G614" s="263" t="s">
        <v>8</v>
      </c>
      <c r="H614" s="575">
        <v>45.8</v>
      </c>
      <c r="I614" s="258" t="e">
        <f>I616+I617+I618+I621+I625+I627+I629+I631+I633+#REF!+#REF!+#REF!+I635+I636+I638+#REF!+I640+I643+I645+I649+I651+I653+I658+I660+I661</f>
        <v>#REF!</v>
      </c>
      <c r="J614" s="414">
        <f>J616+J617+J618+J621+J625+J627+J629+J631+J633+J635+J636+J638+J640+J643+J645+J649+J651+J653+J658+J660+J661</f>
        <v>1023.4</v>
      </c>
      <c r="K614" s="414" t="e">
        <f>K616+K617+K618+K621+K625+K627+K629+K631+K633+#REF!+#REF!+#REF!+K635+K636+K638+#REF!+K640+K643+K645+K649+K651+K653+K658+K660+K661</f>
        <v>#REF!</v>
      </c>
      <c r="L614" s="421" t="e">
        <f>L616+L617+L618+L621+L625+L627+L629+L631+L633+#REF!+#REF!+#REF!+L635+L636+L638+#REF!+L640+L643+L645+L649+L651+L653+L658+L660+L661</f>
        <v>#REF!</v>
      </c>
      <c r="M614" s="187"/>
      <c r="N614" s="718"/>
      <c r="O614" s="706"/>
      <c r="P614" s="705"/>
      <c r="Q614" s="706"/>
    </row>
    <row r="615" spans="1:17" ht="28.5" customHeight="1" x14ac:dyDescent="0.2">
      <c r="A615" s="472">
        <v>6</v>
      </c>
      <c r="B615" s="573"/>
      <c r="C615" s="573"/>
      <c r="D615" s="219"/>
      <c r="E615" s="574"/>
      <c r="F615" s="490"/>
      <c r="G615" s="105" t="s">
        <v>495</v>
      </c>
      <c r="H615" s="263">
        <f>SUM(H607:H614)</f>
        <v>3651.5</v>
      </c>
      <c r="I615" s="107" t="e">
        <f>SUM(I607:I614)</f>
        <v>#REF!</v>
      </c>
      <c r="J615" s="493">
        <f>SUM(J607:J614)</f>
        <v>6016.2</v>
      </c>
      <c r="K615" s="493" t="e">
        <f>SUM(K607:K614)</f>
        <v>#REF!</v>
      </c>
      <c r="L615" s="494" t="e">
        <f>SUM(L607:L614)</f>
        <v>#REF!</v>
      </c>
      <c r="M615" s="135"/>
      <c r="N615" s="718"/>
      <c r="O615" s="708"/>
      <c r="P615" s="709"/>
      <c r="Q615" s="708"/>
    </row>
    <row r="616" spans="1:17" ht="22.5" x14ac:dyDescent="0.2">
      <c r="A616" s="472">
        <v>6</v>
      </c>
      <c r="B616" s="573"/>
      <c r="C616" s="578" t="s">
        <v>1275</v>
      </c>
      <c r="D616" s="209" t="s">
        <v>1276</v>
      </c>
      <c r="E616" s="472">
        <v>9</v>
      </c>
      <c r="F616" s="82" t="s">
        <v>1277</v>
      </c>
      <c r="G616" s="135" t="s">
        <v>8</v>
      </c>
      <c r="H616" s="263"/>
      <c r="I616" s="61"/>
      <c r="J616" s="100">
        <v>132.30000000000001</v>
      </c>
      <c r="K616" s="508"/>
      <c r="L616" s="510"/>
      <c r="M616" s="135" t="s">
        <v>710</v>
      </c>
      <c r="N616" s="1157" t="s">
        <v>1823</v>
      </c>
      <c r="O616" s="708" t="s">
        <v>1255</v>
      </c>
      <c r="P616" s="709">
        <v>100</v>
      </c>
      <c r="Q616" s="708" t="s">
        <v>700</v>
      </c>
    </row>
    <row r="617" spans="1:17" ht="35.450000000000003" customHeight="1" x14ac:dyDescent="0.2">
      <c r="A617" s="472">
        <v>6</v>
      </c>
      <c r="B617" s="264"/>
      <c r="C617" s="578" t="s">
        <v>1278</v>
      </c>
      <c r="D617" s="83" t="s">
        <v>1279</v>
      </c>
      <c r="E617" s="472">
        <v>9</v>
      </c>
      <c r="F617" s="437" t="s">
        <v>247</v>
      </c>
      <c r="G617" s="135" t="s">
        <v>8</v>
      </c>
      <c r="H617" s="263"/>
      <c r="I617" s="61">
        <v>132.64699999999999</v>
      </c>
      <c r="J617" s="100">
        <v>11</v>
      </c>
      <c r="K617" s="508"/>
      <c r="L617" s="510"/>
      <c r="M617" s="135" t="s">
        <v>627</v>
      </c>
      <c r="N617" s="1157" t="s">
        <v>2035</v>
      </c>
      <c r="O617" s="1025" t="s">
        <v>1907</v>
      </c>
      <c r="P617" s="721">
        <v>100</v>
      </c>
      <c r="Q617" s="708" t="s">
        <v>700</v>
      </c>
    </row>
    <row r="618" spans="1:17" ht="12.75" customHeight="1" x14ac:dyDescent="0.2">
      <c r="A618" s="472">
        <v>6</v>
      </c>
      <c r="B618" s="264"/>
      <c r="C618" s="379" t="s">
        <v>1280</v>
      </c>
      <c r="D618" s="1236" t="s">
        <v>1281</v>
      </c>
      <c r="E618" s="472">
        <v>9</v>
      </c>
      <c r="F618" s="437" t="s">
        <v>1282</v>
      </c>
      <c r="G618" s="135" t="s">
        <v>8</v>
      </c>
      <c r="H618" s="263"/>
      <c r="I618" s="61"/>
      <c r="J618" s="100">
        <v>1.5</v>
      </c>
      <c r="K618" s="508">
        <v>2</v>
      </c>
      <c r="L618" s="510">
        <v>20</v>
      </c>
      <c r="M618" s="135" t="s">
        <v>697</v>
      </c>
      <c r="N618" s="1157" t="s">
        <v>2035</v>
      </c>
      <c r="O618" s="708" t="s">
        <v>1255</v>
      </c>
      <c r="P618" s="721">
        <v>10</v>
      </c>
      <c r="Q618" s="708" t="s">
        <v>700</v>
      </c>
    </row>
    <row r="619" spans="1:17" ht="43.9" customHeight="1" x14ac:dyDescent="0.2">
      <c r="A619" s="472">
        <v>6</v>
      </c>
      <c r="B619" s="264"/>
      <c r="C619" s="265"/>
      <c r="D619" s="1237"/>
      <c r="E619" s="472">
        <v>9</v>
      </c>
      <c r="F619" s="437" t="s">
        <v>1282</v>
      </c>
      <c r="G619" s="135" t="s">
        <v>245</v>
      </c>
      <c r="H619" s="263"/>
      <c r="I619" s="61"/>
      <c r="J619" s="100">
        <v>115</v>
      </c>
      <c r="K619" s="508">
        <v>800</v>
      </c>
      <c r="L619" s="510">
        <v>1000</v>
      </c>
      <c r="M619" s="135" t="s">
        <v>697</v>
      </c>
      <c r="N619" s="1157" t="s">
        <v>2035</v>
      </c>
      <c r="O619" s="1026" t="s">
        <v>1286</v>
      </c>
      <c r="P619" s="721">
        <v>1</v>
      </c>
      <c r="Q619" s="708" t="s">
        <v>700</v>
      </c>
    </row>
    <row r="620" spans="1:17" ht="12.75" customHeight="1" x14ac:dyDescent="0.2">
      <c r="A620" s="472">
        <v>6</v>
      </c>
      <c r="B620" s="264"/>
      <c r="C620" s="265"/>
      <c r="D620" s="1238"/>
      <c r="E620" s="472">
        <v>9</v>
      </c>
      <c r="F620" s="437" t="s">
        <v>1282</v>
      </c>
      <c r="G620" s="187" t="s">
        <v>37</v>
      </c>
      <c r="H620" s="263"/>
      <c r="I620" s="61"/>
      <c r="J620" s="100">
        <f>ROUND((2300/3/2), 1)</f>
        <v>383.3</v>
      </c>
      <c r="K620" s="23">
        <f>ROUND((736.3-J620+15.1), 1)</f>
        <v>368.1</v>
      </c>
      <c r="L620" s="513"/>
      <c r="M620" s="135" t="s">
        <v>697</v>
      </c>
      <c r="N620" s="1157" t="s">
        <v>2035</v>
      </c>
      <c r="O620" s="708"/>
      <c r="P620" s="721"/>
      <c r="Q620" s="708" t="s">
        <v>700</v>
      </c>
    </row>
    <row r="621" spans="1:17" ht="12.75" customHeight="1" x14ac:dyDescent="0.2">
      <c r="A621" s="472">
        <v>6</v>
      </c>
      <c r="B621" s="264"/>
      <c r="C621" s="379" t="s">
        <v>1283</v>
      </c>
      <c r="D621" s="1236" t="s">
        <v>1284</v>
      </c>
      <c r="E621" s="472">
        <v>9</v>
      </c>
      <c r="F621" s="437" t="s">
        <v>1285</v>
      </c>
      <c r="G621" s="187" t="s">
        <v>8</v>
      </c>
      <c r="H621" s="263"/>
      <c r="I621" s="61"/>
      <c r="J621" s="100"/>
      <c r="K621" s="579">
        <f>ROUND((2800-(2800/3))/2-900, 1)</f>
        <v>33.299999999999997</v>
      </c>
      <c r="L621" s="580">
        <f>ROUND((2800-(2800/3))/2, 1)</f>
        <v>933.3</v>
      </c>
      <c r="M621" s="135" t="s">
        <v>697</v>
      </c>
      <c r="N621" s="1157" t="s">
        <v>2035</v>
      </c>
      <c r="O621" s="708" t="s">
        <v>1286</v>
      </c>
      <c r="P621" s="721">
        <v>1</v>
      </c>
      <c r="Q621" s="708" t="s">
        <v>700</v>
      </c>
    </row>
    <row r="622" spans="1:17" ht="12.75" customHeight="1" x14ac:dyDescent="0.2">
      <c r="A622" s="472">
        <v>6</v>
      </c>
      <c r="B622" s="264"/>
      <c r="C622" s="379"/>
      <c r="D622" s="1237"/>
      <c r="E622" s="472">
        <v>9</v>
      </c>
      <c r="F622" s="437" t="s">
        <v>1285</v>
      </c>
      <c r="G622" s="187" t="s">
        <v>245</v>
      </c>
      <c r="H622" s="263"/>
      <c r="I622" s="61"/>
      <c r="J622" s="100"/>
      <c r="K622" s="579">
        <v>900</v>
      </c>
      <c r="L622" s="580"/>
      <c r="M622" s="135" t="s">
        <v>697</v>
      </c>
      <c r="N622" s="1157" t="s">
        <v>2035</v>
      </c>
      <c r="O622" s="708" t="s">
        <v>967</v>
      </c>
      <c r="P622" s="721">
        <v>1</v>
      </c>
      <c r="Q622" s="708" t="s">
        <v>700</v>
      </c>
    </row>
    <row r="623" spans="1:17" ht="12.75" customHeight="1" x14ac:dyDescent="0.2">
      <c r="A623" s="472">
        <v>6</v>
      </c>
      <c r="B623" s="264"/>
      <c r="C623" s="265"/>
      <c r="D623" s="1237"/>
      <c r="E623" s="472">
        <v>9</v>
      </c>
      <c r="F623" s="437" t="s">
        <v>1285</v>
      </c>
      <c r="G623" s="187" t="s">
        <v>37</v>
      </c>
      <c r="H623" s="263"/>
      <c r="I623" s="61"/>
      <c r="J623" s="100"/>
      <c r="K623" s="579">
        <f>ROUND((2800/3*0.85/2), 1)</f>
        <v>396.7</v>
      </c>
      <c r="L623" s="580">
        <f>744.9-K623+23.5</f>
        <v>371.7</v>
      </c>
      <c r="M623" s="135" t="s">
        <v>697</v>
      </c>
      <c r="N623" s="1157" t="s">
        <v>2035</v>
      </c>
      <c r="O623" s="708"/>
      <c r="P623" s="721"/>
      <c r="Q623" s="708" t="s">
        <v>700</v>
      </c>
    </row>
    <row r="624" spans="1:17" ht="12.75" customHeight="1" x14ac:dyDescent="0.2">
      <c r="A624" s="472">
        <v>6</v>
      </c>
      <c r="B624" s="264"/>
      <c r="C624" s="265"/>
      <c r="D624" s="1238"/>
      <c r="E624" s="472">
        <v>9</v>
      </c>
      <c r="F624" s="437" t="s">
        <v>1285</v>
      </c>
      <c r="G624" s="187" t="s">
        <v>598</v>
      </c>
      <c r="H624" s="263"/>
      <c r="I624" s="61"/>
      <c r="J624" s="100"/>
      <c r="K624" s="23">
        <f>149.1-L624</f>
        <v>79.099999999999994</v>
      </c>
      <c r="L624" s="513">
        <f>2800/3*0.15/2</f>
        <v>70</v>
      </c>
      <c r="M624" s="135" t="s">
        <v>697</v>
      </c>
      <c r="N624" s="1157" t="s">
        <v>2035</v>
      </c>
      <c r="O624" s="708"/>
      <c r="P624" s="721"/>
      <c r="Q624" s="708" t="s">
        <v>700</v>
      </c>
    </row>
    <row r="625" spans="1:17" ht="12.75" customHeight="1" x14ac:dyDescent="0.2">
      <c r="A625" s="472">
        <v>6</v>
      </c>
      <c r="B625" s="264"/>
      <c r="C625" s="379" t="s">
        <v>1287</v>
      </c>
      <c r="D625" s="1236" t="s">
        <v>1288</v>
      </c>
      <c r="E625" s="472">
        <v>9</v>
      </c>
      <c r="F625" s="437" t="s">
        <v>1289</v>
      </c>
      <c r="G625" s="135" t="s">
        <v>8</v>
      </c>
      <c r="H625" s="263"/>
      <c r="I625" s="61"/>
      <c r="J625" s="100">
        <v>20</v>
      </c>
      <c r="K625" s="508">
        <v>10</v>
      </c>
      <c r="L625" s="510"/>
      <c r="M625" s="135" t="s">
        <v>710</v>
      </c>
      <c r="N625" s="1157" t="s">
        <v>2038</v>
      </c>
      <c r="O625" s="708" t="s">
        <v>1290</v>
      </c>
      <c r="P625" s="721">
        <v>50</v>
      </c>
      <c r="Q625" s="708" t="s">
        <v>700</v>
      </c>
    </row>
    <row r="626" spans="1:17" ht="36.6" customHeight="1" x14ac:dyDescent="0.2">
      <c r="A626" s="472">
        <v>6</v>
      </c>
      <c r="B626" s="264"/>
      <c r="C626" s="265"/>
      <c r="D626" s="1238"/>
      <c r="E626" s="472">
        <v>9</v>
      </c>
      <c r="F626" s="437" t="s">
        <v>1289</v>
      </c>
      <c r="G626" s="135" t="s">
        <v>245</v>
      </c>
      <c r="H626" s="263"/>
      <c r="I626" s="61"/>
      <c r="J626" s="100"/>
      <c r="K626" s="508"/>
      <c r="L626" s="510">
        <v>300</v>
      </c>
      <c r="M626" s="135" t="s">
        <v>710</v>
      </c>
      <c r="N626" s="718" t="s">
        <v>1240</v>
      </c>
      <c r="O626" s="708"/>
      <c r="P626" s="721"/>
      <c r="Q626" s="708" t="s">
        <v>700</v>
      </c>
    </row>
    <row r="627" spans="1:17" ht="12.75" customHeight="1" x14ac:dyDescent="0.2">
      <c r="A627" s="472">
        <v>6</v>
      </c>
      <c r="B627" s="264"/>
      <c r="C627" s="379" t="s">
        <v>1291</v>
      </c>
      <c r="D627" s="1236" t="s">
        <v>1292</v>
      </c>
      <c r="E627" s="472">
        <v>9</v>
      </c>
      <c r="F627" s="437" t="s">
        <v>1293</v>
      </c>
      <c r="G627" s="135" t="s">
        <v>8</v>
      </c>
      <c r="H627" s="263"/>
      <c r="I627" s="61"/>
      <c r="J627" s="100">
        <v>30</v>
      </c>
      <c r="K627" s="508">
        <v>25</v>
      </c>
      <c r="L627" s="510"/>
      <c r="M627" s="135" t="s">
        <v>710</v>
      </c>
      <c r="N627" s="718" t="s">
        <v>1195</v>
      </c>
      <c r="O627" s="708" t="s">
        <v>1290</v>
      </c>
      <c r="P627" s="721">
        <v>50</v>
      </c>
      <c r="Q627" s="708" t="s">
        <v>720</v>
      </c>
    </row>
    <row r="628" spans="1:17" ht="39.6" customHeight="1" x14ac:dyDescent="0.2">
      <c r="A628" s="472">
        <v>6</v>
      </c>
      <c r="B628" s="264"/>
      <c r="C628" s="265"/>
      <c r="D628" s="1238"/>
      <c r="E628" s="472">
        <v>9</v>
      </c>
      <c r="F628" s="437" t="s">
        <v>1293</v>
      </c>
      <c r="G628" s="135" t="s">
        <v>245</v>
      </c>
      <c r="H628" s="263"/>
      <c r="I628" s="61"/>
      <c r="J628" s="100"/>
      <c r="K628" s="508"/>
      <c r="L628" s="510"/>
      <c r="M628" s="135" t="s">
        <v>710</v>
      </c>
      <c r="N628" s="718" t="s">
        <v>1195</v>
      </c>
      <c r="O628" s="708"/>
      <c r="P628" s="721"/>
      <c r="Q628" s="708" t="s">
        <v>720</v>
      </c>
    </row>
    <row r="629" spans="1:17" ht="12.75" customHeight="1" x14ac:dyDescent="0.2">
      <c r="A629" s="472">
        <v>6</v>
      </c>
      <c r="B629" s="264"/>
      <c r="C629" s="379" t="s">
        <v>1294</v>
      </c>
      <c r="D629" s="1236" t="s">
        <v>1295</v>
      </c>
      <c r="E629" s="472">
        <v>9</v>
      </c>
      <c r="F629" s="437" t="s">
        <v>1296</v>
      </c>
      <c r="G629" s="135" t="s">
        <v>8</v>
      </c>
      <c r="H629" s="263"/>
      <c r="I629" s="61"/>
      <c r="J629" s="100">
        <v>10</v>
      </c>
      <c r="K629" s="508">
        <v>8</v>
      </c>
      <c r="L629" s="510"/>
      <c r="M629" s="135" t="s">
        <v>710</v>
      </c>
      <c r="N629" s="1209" t="s">
        <v>2066</v>
      </c>
      <c r="O629" s="708" t="s">
        <v>1290</v>
      </c>
      <c r="P629" s="721">
        <v>50</v>
      </c>
      <c r="Q629" s="708" t="s">
        <v>727</v>
      </c>
    </row>
    <row r="630" spans="1:17" ht="33.6" customHeight="1" x14ac:dyDescent="0.2">
      <c r="A630" s="472">
        <v>6</v>
      </c>
      <c r="B630" s="264"/>
      <c r="C630" s="265"/>
      <c r="D630" s="1238"/>
      <c r="E630" s="472">
        <v>9</v>
      </c>
      <c r="F630" s="437" t="s">
        <v>1296</v>
      </c>
      <c r="G630" s="135" t="s">
        <v>245</v>
      </c>
      <c r="H630" s="263"/>
      <c r="I630" s="61"/>
      <c r="J630" s="100"/>
      <c r="K630" s="508"/>
      <c r="L630" s="510"/>
      <c r="M630" s="135" t="s">
        <v>710</v>
      </c>
      <c r="N630" s="1209" t="s">
        <v>2066</v>
      </c>
      <c r="O630" s="708"/>
      <c r="P630" s="721"/>
      <c r="Q630" s="708" t="s">
        <v>727</v>
      </c>
    </row>
    <row r="631" spans="1:17" ht="30.6" customHeight="1" x14ac:dyDescent="0.2">
      <c r="A631" s="472">
        <v>6</v>
      </c>
      <c r="B631" s="264"/>
      <c r="C631" s="379" t="s">
        <v>1297</v>
      </c>
      <c r="D631" s="1236" t="s">
        <v>1298</v>
      </c>
      <c r="E631" s="472">
        <v>9</v>
      </c>
      <c r="F631" s="437" t="s">
        <v>1299</v>
      </c>
      <c r="G631" s="135" t="s">
        <v>8</v>
      </c>
      <c r="H631" s="263"/>
      <c r="I631" s="61"/>
      <c r="J631" s="100">
        <v>20</v>
      </c>
      <c r="K631" s="508">
        <v>42</v>
      </c>
      <c r="L631" s="510"/>
      <c r="M631" s="135" t="s">
        <v>710</v>
      </c>
      <c r="N631" s="1209" t="s">
        <v>2066</v>
      </c>
      <c r="O631" s="708" t="s">
        <v>1290</v>
      </c>
      <c r="P631" s="721">
        <v>50</v>
      </c>
      <c r="Q631" s="708" t="s">
        <v>727</v>
      </c>
    </row>
    <row r="632" spans="1:17" ht="12.75" customHeight="1" x14ac:dyDescent="0.2">
      <c r="A632" s="472">
        <v>6</v>
      </c>
      <c r="B632" s="264"/>
      <c r="C632" s="265"/>
      <c r="D632" s="1238"/>
      <c r="E632" s="472">
        <v>9</v>
      </c>
      <c r="F632" s="437" t="s">
        <v>1299</v>
      </c>
      <c r="G632" s="135" t="s">
        <v>245</v>
      </c>
      <c r="H632" s="263"/>
      <c r="I632" s="61"/>
      <c r="J632" s="100"/>
      <c r="K632" s="508"/>
      <c r="L632" s="510"/>
      <c r="M632" s="135" t="s">
        <v>710</v>
      </c>
      <c r="N632" s="1209" t="s">
        <v>2066</v>
      </c>
      <c r="O632" s="708"/>
      <c r="P632" s="721"/>
      <c r="Q632" s="708" t="s">
        <v>727</v>
      </c>
    </row>
    <row r="633" spans="1:17" ht="33.6" customHeight="1" x14ac:dyDescent="0.2">
      <c r="A633" s="472">
        <v>6</v>
      </c>
      <c r="B633" s="264"/>
      <c r="C633" s="379" t="s">
        <v>1300</v>
      </c>
      <c r="D633" s="1236" t="s">
        <v>1301</v>
      </c>
      <c r="E633" s="472">
        <v>9</v>
      </c>
      <c r="F633" s="437" t="s">
        <v>1302</v>
      </c>
      <c r="G633" s="135" t="s">
        <v>8</v>
      </c>
      <c r="H633" s="263"/>
      <c r="I633" s="61"/>
      <c r="J633" s="100">
        <v>15</v>
      </c>
      <c r="K633" s="508">
        <v>22</v>
      </c>
      <c r="L633" s="510"/>
      <c r="M633" s="135" t="s">
        <v>710</v>
      </c>
      <c r="N633" s="718" t="s">
        <v>1240</v>
      </c>
      <c r="O633" s="708" t="s">
        <v>1290</v>
      </c>
      <c r="P633" s="721">
        <v>50</v>
      </c>
      <c r="Q633" s="708" t="s">
        <v>700</v>
      </c>
    </row>
    <row r="634" spans="1:17" ht="12.75" customHeight="1" x14ac:dyDescent="0.2">
      <c r="A634" s="472">
        <v>6</v>
      </c>
      <c r="B634" s="264"/>
      <c r="C634" s="265"/>
      <c r="D634" s="1238"/>
      <c r="E634" s="472">
        <v>9</v>
      </c>
      <c r="F634" s="437" t="s">
        <v>1302</v>
      </c>
      <c r="G634" s="135" t="s">
        <v>245</v>
      </c>
      <c r="H634" s="263"/>
      <c r="I634" s="61"/>
      <c r="J634" s="100"/>
      <c r="K634" s="508"/>
      <c r="L634" s="510"/>
      <c r="M634" s="135" t="s">
        <v>710</v>
      </c>
      <c r="N634" s="718" t="s">
        <v>1240</v>
      </c>
      <c r="O634" s="708"/>
      <c r="P634" s="721"/>
      <c r="Q634" s="708" t="s">
        <v>700</v>
      </c>
    </row>
    <row r="635" spans="1:17" ht="23.45" customHeight="1" x14ac:dyDescent="0.2">
      <c r="A635" s="472">
        <v>6</v>
      </c>
      <c r="B635" s="269"/>
      <c r="C635" s="379" t="s">
        <v>1303</v>
      </c>
      <c r="D635" s="329" t="s">
        <v>1304</v>
      </c>
      <c r="E635" s="472">
        <v>9</v>
      </c>
      <c r="F635" s="437" t="s">
        <v>248</v>
      </c>
      <c r="G635" s="135" t="s">
        <v>8</v>
      </c>
      <c r="H635" s="7"/>
      <c r="I635" s="61"/>
      <c r="J635" s="100">
        <v>5.6</v>
      </c>
      <c r="K635" s="508">
        <v>50</v>
      </c>
      <c r="L635" s="510"/>
      <c r="M635" s="187" t="s">
        <v>710</v>
      </c>
      <c r="N635" s="718" t="s">
        <v>638</v>
      </c>
      <c r="O635" s="706" t="s">
        <v>1305</v>
      </c>
      <c r="P635" s="721">
        <v>1</v>
      </c>
      <c r="Q635" s="708" t="s">
        <v>640</v>
      </c>
    </row>
    <row r="636" spans="1:17" ht="12.75" customHeight="1" x14ac:dyDescent="0.2">
      <c r="A636" s="472">
        <v>6</v>
      </c>
      <c r="B636" s="269"/>
      <c r="C636" s="379" t="s">
        <v>1306</v>
      </c>
      <c r="D636" s="1236" t="s">
        <v>1307</v>
      </c>
      <c r="E636" s="472">
        <v>9</v>
      </c>
      <c r="F636" s="382" t="s">
        <v>1308</v>
      </c>
      <c r="G636" s="135" t="s">
        <v>8</v>
      </c>
      <c r="H636" s="7"/>
      <c r="I636" s="61"/>
      <c r="J636" s="100"/>
      <c r="K636" s="236"/>
      <c r="L636" s="557"/>
      <c r="M636" s="187" t="s">
        <v>627</v>
      </c>
      <c r="N636" s="1168" t="s">
        <v>638</v>
      </c>
      <c r="O636" s="708" t="s">
        <v>1255</v>
      </c>
      <c r="P636" s="721">
        <v>100</v>
      </c>
      <c r="Q636" s="720" t="s">
        <v>716</v>
      </c>
    </row>
    <row r="637" spans="1:17" ht="12.75" customHeight="1" x14ac:dyDescent="0.2">
      <c r="A637" s="472">
        <v>6</v>
      </c>
      <c r="B637" s="269"/>
      <c r="C637" s="269"/>
      <c r="D637" s="1238"/>
      <c r="E637" s="472">
        <v>9</v>
      </c>
      <c r="F637" s="382" t="s">
        <v>1308</v>
      </c>
      <c r="G637" s="135" t="s">
        <v>245</v>
      </c>
      <c r="H637" s="7"/>
      <c r="I637" s="61"/>
      <c r="J637" s="100">
        <v>333.9</v>
      </c>
      <c r="K637" s="236"/>
      <c r="L637" s="557"/>
      <c r="M637" s="187" t="s">
        <v>627</v>
      </c>
      <c r="N637" s="1168" t="s">
        <v>638</v>
      </c>
      <c r="O637" s="708"/>
      <c r="P637" s="709"/>
      <c r="Q637" s="720" t="s">
        <v>716</v>
      </c>
    </row>
    <row r="638" spans="1:17" ht="38.450000000000003" customHeight="1" x14ac:dyDescent="0.2">
      <c r="A638" s="472">
        <v>6</v>
      </c>
      <c r="B638" s="582"/>
      <c r="C638" s="379" t="s">
        <v>1309</v>
      </c>
      <c r="D638" s="1252" t="s">
        <v>1310</v>
      </c>
      <c r="E638" s="583">
        <v>9</v>
      </c>
      <c r="F638" s="584" t="s">
        <v>1311</v>
      </c>
      <c r="G638" s="432" t="s">
        <v>8</v>
      </c>
      <c r="H638" s="124"/>
      <c r="I638" s="409">
        <v>0</v>
      </c>
      <c r="J638" s="100">
        <v>9</v>
      </c>
      <c r="K638" s="559"/>
      <c r="L638" s="585">
        <v>599</v>
      </c>
      <c r="M638" s="504" t="s">
        <v>627</v>
      </c>
      <c r="N638" s="1169" t="s">
        <v>1195</v>
      </c>
      <c r="O638" s="731" t="s">
        <v>1286</v>
      </c>
      <c r="P638" s="721">
        <v>1</v>
      </c>
      <c r="Q638" s="728" t="s">
        <v>716</v>
      </c>
    </row>
    <row r="639" spans="1:17" ht="12.75" customHeight="1" x14ac:dyDescent="0.2">
      <c r="A639" s="472">
        <v>6</v>
      </c>
      <c r="B639" s="269"/>
      <c r="C639" s="269"/>
      <c r="D639" s="1253"/>
      <c r="E639" s="472">
        <v>9</v>
      </c>
      <c r="F639" s="382" t="s">
        <v>1311</v>
      </c>
      <c r="G639" s="135" t="s">
        <v>245</v>
      </c>
      <c r="H639" s="7"/>
      <c r="I639" s="61"/>
      <c r="J639" s="100"/>
      <c r="K639" s="236"/>
      <c r="L639" s="557"/>
      <c r="M639" s="187" t="s">
        <v>627</v>
      </c>
      <c r="N639" s="1169" t="s">
        <v>1195</v>
      </c>
      <c r="O639" s="708"/>
      <c r="P639" s="709"/>
      <c r="Q639" s="720" t="s">
        <v>716</v>
      </c>
    </row>
    <row r="640" spans="1:17" ht="12.75" customHeight="1" x14ac:dyDescent="0.2">
      <c r="A640" s="472">
        <v>6</v>
      </c>
      <c r="B640" s="269"/>
      <c r="C640" s="379" t="s">
        <v>1312</v>
      </c>
      <c r="D640" s="1236" t="s">
        <v>1313</v>
      </c>
      <c r="E640" s="472">
        <v>9</v>
      </c>
      <c r="F640" s="382" t="s">
        <v>1314</v>
      </c>
      <c r="G640" s="135" t="s">
        <v>8</v>
      </c>
      <c r="H640" s="7"/>
      <c r="I640" s="61"/>
      <c r="J640" s="100">
        <v>39</v>
      </c>
      <c r="K640" s="236">
        <v>13</v>
      </c>
      <c r="L640" s="557"/>
      <c r="M640" s="135" t="s">
        <v>627</v>
      </c>
      <c r="N640" s="718" t="s">
        <v>638</v>
      </c>
      <c r="O640" s="708" t="s">
        <v>1255</v>
      </c>
      <c r="P640" s="721">
        <v>80</v>
      </c>
      <c r="Q640" s="720" t="s">
        <v>981</v>
      </c>
    </row>
    <row r="641" spans="1:17" ht="12.75" customHeight="1" x14ac:dyDescent="0.2">
      <c r="A641" s="472">
        <v>6</v>
      </c>
      <c r="B641" s="269"/>
      <c r="C641" s="269"/>
      <c r="D641" s="1237"/>
      <c r="E641" s="472">
        <v>9</v>
      </c>
      <c r="F641" s="382" t="s">
        <v>1314</v>
      </c>
      <c r="G641" s="135" t="s">
        <v>202</v>
      </c>
      <c r="H641" s="7"/>
      <c r="I641" s="61">
        <v>370</v>
      </c>
      <c r="J641" s="100"/>
      <c r="K641" s="236"/>
      <c r="L641" s="557"/>
      <c r="M641" s="135" t="s">
        <v>627</v>
      </c>
      <c r="N641" s="718" t="s">
        <v>638</v>
      </c>
      <c r="O641" s="708"/>
      <c r="P641" s="709"/>
      <c r="Q641" s="720" t="s">
        <v>981</v>
      </c>
    </row>
    <row r="642" spans="1:17" ht="12.75" customHeight="1" x14ac:dyDescent="0.2">
      <c r="A642" s="472">
        <v>6</v>
      </c>
      <c r="B642" s="269"/>
      <c r="C642" s="269"/>
      <c r="D642" s="1238"/>
      <c r="E642" s="472">
        <v>9</v>
      </c>
      <c r="F642" s="382" t="s">
        <v>1314</v>
      </c>
      <c r="G642" s="135" t="s">
        <v>245</v>
      </c>
      <c r="H642" s="7"/>
      <c r="I642" s="61">
        <v>276.89999999999998</v>
      </c>
      <c r="J642" s="100">
        <v>969.4</v>
      </c>
      <c r="K642" s="236">
        <v>299.3</v>
      </c>
      <c r="L642" s="557"/>
      <c r="M642" s="135" t="s">
        <v>627</v>
      </c>
      <c r="N642" s="718" t="s">
        <v>638</v>
      </c>
      <c r="O642" s="708"/>
      <c r="P642" s="709"/>
      <c r="Q642" s="720" t="s">
        <v>981</v>
      </c>
    </row>
    <row r="643" spans="1:17" ht="57.6" customHeight="1" x14ac:dyDescent="0.2">
      <c r="A643" s="472">
        <v>6</v>
      </c>
      <c r="B643" s="269"/>
      <c r="C643" s="379" t="s">
        <v>1315</v>
      </c>
      <c r="D643" s="1236" t="s">
        <v>1316</v>
      </c>
      <c r="E643" s="472">
        <v>9</v>
      </c>
      <c r="F643" s="382" t="s">
        <v>1317</v>
      </c>
      <c r="G643" s="135" t="s">
        <v>8</v>
      </c>
      <c r="H643" s="7"/>
      <c r="I643" s="61"/>
      <c r="J643" s="100">
        <v>25</v>
      </c>
      <c r="K643" s="559">
        <v>11.8</v>
      </c>
      <c r="L643" s="586"/>
      <c r="M643" s="187" t="s">
        <v>627</v>
      </c>
      <c r="N643" s="1168" t="s">
        <v>1240</v>
      </c>
      <c r="O643" s="708" t="s">
        <v>1255</v>
      </c>
      <c r="P643" s="721">
        <v>80</v>
      </c>
      <c r="Q643" s="720" t="s">
        <v>640</v>
      </c>
    </row>
    <row r="644" spans="1:17" ht="12.75" customHeight="1" x14ac:dyDescent="0.2">
      <c r="A644" s="472">
        <v>6</v>
      </c>
      <c r="B644" s="269"/>
      <c r="C644" s="269"/>
      <c r="D644" s="1238"/>
      <c r="E644" s="472">
        <v>9</v>
      </c>
      <c r="F644" s="382" t="s">
        <v>1317</v>
      </c>
      <c r="G644" s="135" t="s">
        <v>245</v>
      </c>
      <c r="H644" s="7"/>
      <c r="I644" s="61">
        <v>1000</v>
      </c>
      <c r="J644" s="100">
        <f>1127.5+77.6</f>
        <v>1205.0999999999999</v>
      </c>
      <c r="K644" s="581">
        <v>926.2</v>
      </c>
      <c r="L644" s="586"/>
      <c r="M644" s="187" t="s">
        <v>627</v>
      </c>
      <c r="N644" s="1168" t="s">
        <v>1240</v>
      </c>
      <c r="O644" s="708"/>
      <c r="P644" s="709"/>
      <c r="Q644" s="720" t="s">
        <v>640</v>
      </c>
    </row>
    <row r="645" spans="1:17" ht="12.75" customHeight="1" x14ac:dyDescent="0.2">
      <c r="A645" s="472">
        <v>6</v>
      </c>
      <c r="B645" s="269"/>
      <c r="C645" s="379" t="s">
        <v>1318</v>
      </c>
      <c r="D645" s="1236" t="s">
        <v>1319</v>
      </c>
      <c r="E645" s="472">
        <v>9</v>
      </c>
      <c r="F645" s="382" t="s">
        <v>1320</v>
      </c>
      <c r="G645" s="135" t="s">
        <v>8</v>
      </c>
      <c r="H645" s="7"/>
      <c r="I645" s="61"/>
      <c r="J645" s="100">
        <f>6-5.5+170</f>
        <v>170.5</v>
      </c>
      <c r="K645" s="236">
        <v>6</v>
      </c>
      <c r="L645" s="557"/>
      <c r="M645" s="187" t="s">
        <v>627</v>
      </c>
      <c r="N645" s="1168" t="s">
        <v>1240</v>
      </c>
      <c r="O645" s="731" t="s">
        <v>1255</v>
      </c>
      <c r="P645" s="733">
        <v>100</v>
      </c>
      <c r="Q645" s="720" t="s">
        <v>700</v>
      </c>
    </row>
    <row r="646" spans="1:17" ht="12.75" customHeight="1" x14ac:dyDescent="0.2">
      <c r="A646" s="472">
        <v>6</v>
      </c>
      <c r="B646" s="269"/>
      <c r="C646" s="269"/>
      <c r="D646" s="1237"/>
      <c r="E646" s="472">
        <v>9</v>
      </c>
      <c r="F646" s="382" t="s">
        <v>1320</v>
      </c>
      <c r="G646" s="135" t="s">
        <v>245</v>
      </c>
      <c r="H646" s="7"/>
      <c r="I646" s="61"/>
      <c r="J646" s="100">
        <f>550+512.5</f>
        <v>1062.5</v>
      </c>
      <c r="K646" s="236"/>
      <c r="L646" s="557"/>
      <c r="M646" s="187" t="s">
        <v>627</v>
      </c>
      <c r="N646" s="1168" t="s">
        <v>1240</v>
      </c>
      <c r="O646" s="731"/>
      <c r="P646" s="733"/>
      <c r="Q646" s="720" t="s">
        <v>700</v>
      </c>
    </row>
    <row r="647" spans="1:17" ht="12.75" customHeight="1" x14ac:dyDescent="0.2">
      <c r="A647" s="472">
        <v>6</v>
      </c>
      <c r="B647" s="269"/>
      <c r="C647" s="269"/>
      <c r="D647" s="1237"/>
      <c r="E647" s="472">
        <v>9</v>
      </c>
      <c r="F647" s="382" t="s">
        <v>1320</v>
      </c>
      <c r="G647" s="135" t="s">
        <v>219</v>
      </c>
      <c r="H647" s="7"/>
      <c r="I647" s="61"/>
      <c r="J647" s="100">
        <f>100-25</f>
        <v>75</v>
      </c>
      <c r="K647" s="236"/>
      <c r="L647" s="557"/>
      <c r="M647" s="187"/>
      <c r="N647" s="1168" t="s">
        <v>1240</v>
      </c>
      <c r="O647" s="731"/>
      <c r="P647" s="733"/>
      <c r="Q647" s="720" t="s">
        <v>700</v>
      </c>
    </row>
    <row r="648" spans="1:17" ht="12.75" customHeight="1" x14ac:dyDescent="0.2">
      <c r="A648" s="472">
        <v>6</v>
      </c>
      <c r="B648" s="269"/>
      <c r="C648" s="269"/>
      <c r="D648" s="1238"/>
      <c r="E648" s="472">
        <v>9</v>
      </c>
      <c r="F648" s="437" t="s">
        <v>1320</v>
      </c>
      <c r="G648" s="187" t="s">
        <v>11</v>
      </c>
      <c r="H648" s="375"/>
      <c r="I648" s="61">
        <v>600</v>
      </c>
      <c r="J648" s="100">
        <f>1063-580-100-100-283</f>
        <v>0</v>
      </c>
      <c r="K648" s="508">
        <v>100</v>
      </c>
      <c r="L648" s="510"/>
      <c r="M648" s="187" t="s">
        <v>627</v>
      </c>
      <c r="N648" s="1168" t="s">
        <v>1240</v>
      </c>
      <c r="O648" s="864"/>
      <c r="P648" s="719"/>
      <c r="Q648" s="720" t="s">
        <v>700</v>
      </c>
    </row>
    <row r="649" spans="1:17" ht="33.6" customHeight="1" x14ac:dyDescent="0.2">
      <c r="A649" s="472">
        <v>6</v>
      </c>
      <c r="B649" s="269"/>
      <c r="C649" s="379" t="s">
        <v>1321</v>
      </c>
      <c r="D649" s="1236" t="s">
        <v>1322</v>
      </c>
      <c r="E649" s="472">
        <v>9</v>
      </c>
      <c r="F649" s="382" t="s">
        <v>1323</v>
      </c>
      <c r="G649" s="135" t="s">
        <v>8</v>
      </c>
      <c r="H649" s="7"/>
      <c r="I649" s="61">
        <v>7</v>
      </c>
      <c r="J649" s="100">
        <v>16</v>
      </c>
      <c r="K649" s="587"/>
      <c r="L649" s="586"/>
      <c r="M649" s="187" t="s">
        <v>627</v>
      </c>
      <c r="N649" s="1168" t="s">
        <v>1240</v>
      </c>
      <c r="O649" s="945" t="s">
        <v>1880</v>
      </c>
      <c r="P649" s="734"/>
      <c r="Q649" s="720" t="s">
        <v>716</v>
      </c>
    </row>
    <row r="650" spans="1:17" ht="12.75" customHeight="1" x14ac:dyDescent="0.2">
      <c r="A650" s="472">
        <v>6</v>
      </c>
      <c r="B650" s="269"/>
      <c r="C650" s="269"/>
      <c r="D650" s="1238"/>
      <c r="E650" s="472">
        <v>9</v>
      </c>
      <c r="F650" s="382" t="s">
        <v>1323</v>
      </c>
      <c r="G650" s="135" t="s">
        <v>245</v>
      </c>
      <c r="H650" s="7"/>
      <c r="I650" s="61">
        <v>1000</v>
      </c>
      <c r="J650" s="100">
        <f>69.6-2.6</f>
        <v>67</v>
      </c>
      <c r="K650" s="587"/>
      <c r="L650" s="586"/>
      <c r="M650" s="187" t="s">
        <v>627</v>
      </c>
      <c r="N650" s="1168" t="s">
        <v>1240</v>
      </c>
      <c r="O650" s="708"/>
      <c r="P650" s="709"/>
      <c r="Q650" s="720" t="s">
        <v>716</v>
      </c>
    </row>
    <row r="651" spans="1:17" ht="30.6" customHeight="1" x14ac:dyDescent="0.2">
      <c r="A651" s="472">
        <v>6</v>
      </c>
      <c r="B651" s="269"/>
      <c r="C651" s="379" t="s">
        <v>1324</v>
      </c>
      <c r="D651" s="1236" t="s">
        <v>1325</v>
      </c>
      <c r="E651" s="472">
        <v>9</v>
      </c>
      <c r="F651" s="382" t="s">
        <v>1326</v>
      </c>
      <c r="G651" s="135" t="s">
        <v>8</v>
      </c>
      <c r="H651" s="7"/>
      <c r="I651" s="61">
        <v>20</v>
      </c>
      <c r="J651" s="100">
        <v>5</v>
      </c>
      <c r="K651" s="236">
        <v>10</v>
      </c>
      <c r="L651" s="557">
        <v>10</v>
      </c>
      <c r="M651" s="187" t="s">
        <v>627</v>
      </c>
      <c r="N651" s="1168" t="s">
        <v>638</v>
      </c>
      <c r="O651" s="708"/>
      <c r="P651" s="721"/>
      <c r="Q651" s="720" t="s">
        <v>728</v>
      </c>
    </row>
    <row r="652" spans="1:17" ht="12.75" customHeight="1" x14ac:dyDescent="0.2">
      <c r="A652" s="472">
        <v>6</v>
      </c>
      <c r="B652" s="269"/>
      <c r="C652" s="269"/>
      <c r="D652" s="1238"/>
      <c r="E652" s="472">
        <v>9</v>
      </c>
      <c r="F652" s="382" t="s">
        <v>1326</v>
      </c>
      <c r="G652" s="135" t="s">
        <v>245</v>
      </c>
      <c r="H652" s="7"/>
      <c r="I652" s="61"/>
      <c r="J652" s="100">
        <v>100</v>
      </c>
      <c r="K652" s="236">
        <v>500</v>
      </c>
      <c r="L652" s="557">
        <v>1000</v>
      </c>
      <c r="M652" s="187" t="s">
        <v>627</v>
      </c>
      <c r="N652" s="1168" t="s">
        <v>638</v>
      </c>
      <c r="O652" s="731" t="s">
        <v>1255</v>
      </c>
      <c r="P652" s="734">
        <v>20</v>
      </c>
      <c r="Q652" s="720" t="s">
        <v>728</v>
      </c>
    </row>
    <row r="653" spans="1:17" ht="12.75" customHeight="1" x14ac:dyDescent="0.2">
      <c r="A653" s="472">
        <v>6</v>
      </c>
      <c r="B653" s="582"/>
      <c r="C653" s="379" t="s">
        <v>1327</v>
      </c>
      <c r="D653" s="1236" t="s">
        <v>1328</v>
      </c>
      <c r="E653" s="583">
        <v>9</v>
      </c>
      <c r="F653" s="584" t="s">
        <v>1329</v>
      </c>
      <c r="G653" s="432" t="s">
        <v>8</v>
      </c>
      <c r="H653" s="124"/>
      <c r="I653" s="409">
        <v>60.8</v>
      </c>
      <c r="J653" s="100">
        <f>1096.5-500-400-180+400</f>
        <v>416.5</v>
      </c>
      <c r="K653" s="581">
        <f>500-300</f>
        <v>200</v>
      </c>
      <c r="L653" s="585"/>
      <c r="M653" s="432" t="s">
        <v>627</v>
      </c>
      <c r="N653" s="1169" t="s">
        <v>1240</v>
      </c>
      <c r="O653" s="731" t="s">
        <v>1255</v>
      </c>
      <c r="P653" s="734">
        <v>50</v>
      </c>
      <c r="Q653" s="728" t="s">
        <v>720</v>
      </c>
    </row>
    <row r="654" spans="1:17" ht="12.75" customHeight="1" x14ac:dyDescent="0.2">
      <c r="A654" s="472">
        <v>6</v>
      </c>
      <c r="B654" s="582"/>
      <c r="C654" s="582"/>
      <c r="D654" s="1237"/>
      <c r="E654" s="583">
        <v>9</v>
      </c>
      <c r="F654" s="584" t="s">
        <v>1329</v>
      </c>
      <c r="G654" s="432" t="s">
        <v>245</v>
      </c>
      <c r="H654" s="124"/>
      <c r="I654" s="409"/>
      <c r="J654" s="100">
        <f>400+180-580</f>
        <v>0</v>
      </c>
      <c r="K654" s="581"/>
      <c r="L654" s="585"/>
      <c r="M654" s="432"/>
      <c r="N654" s="1169" t="s">
        <v>1240</v>
      </c>
      <c r="O654" s="731"/>
      <c r="P654" s="734"/>
      <c r="Q654" s="728" t="s">
        <v>720</v>
      </c>
    </row>
    <row r="655" spans="1:17" ht="12.75" customHeight="1" x14ac:dyDescent="0.2">
      <c r="A655" s="472">
        <v>6</v>
      </c>
      <c r="B655" s="269"/>
      <c r="C655" s="269"/>
      <c r="D655" s="1237"/>
      <c r="E655" s="472">
        <v>9</v>
      </c>
      <c r="F655" s="437" t="s">
        <v>1329</v>
      </c>
      <c r="G655" s="187" t="s">
        <v>11</v>
      </c>
      <c r="H655" s="375"/>
      <c r="I655" s="61">
        <f>500-I656</f>
        <v>133.89999999999998</v>
      </c>
      <c r="J655" s="100">
        <f>580-206.4+201.4</f>
        <v>575</v>
      </c>
      <c r="K655" s="23">
        <f>206.4+300+3.6</f>
        <v>510</v>
      </c>
      <c r="L655" s="510"/>
      <c r="M655" s="187" t="s">
        <v>627</v>
      </c>
      <c r="N655" s="718" t="s">
        <v>1240</v>
      </c>
      <c r="O655" s="708"/>
      <c r="P655" s="719"/>
      <c r="Q655" s="720" t="s">
        <v>720</v>
      </c>
    </row>
    <row r="656" spans="1:17" ht="12.75" customHeight="1" x14ac:dyDescent="0.2">
      <c r="A656" s="472">
        <v>6</v>
      </c>
      <c r="B656" s="269"/>
      <c r="C656" s="269"/>
      <c r="D656" s="1237"/>
      <c r="E656" s="472">
        <v>9</v>
      </c>
      <c r="F656" s="437" t="s">
        <v>1329</v>
      </c>
      <c r="G656" s="187" t="s">
        <v>202</v>
      </c>
      <c r="H656" s="7"/>
      <c r="I656" s="61">
        <f>866.1-500</f>
        <v>366.1</v>
      </c>
      <c r="J656" s="100">
        <f>81.6</f>
        <v>81.599999999999994</v>
      </c>
      <c r="K656" s="508"/>
      <c r="L656" s="510"/>
      <c r="M656" s="187" t="s">
        <v>627</v>
      </c>
      <c r="N656" s="718" t="s">
        <v>1240</v>
      </c>
      <c r="O656" s="1115"/>
      <c r="P656" s="719"/>
      <c r="Q656" s="736" t="s">
        <v>720</v>
      </c>
    </row>
    <row r="657" spans="1:17" ht="12.75" customHeight="1" x14ac:dyDescent="0.2">
      <c r="A657" s="472">
        <v>6</v>
      </c>
      <c r="B657" s="269"/>
      <c r="C657" s="1114"/>
      <c r="D657" s="1238"/>
      <c r="E657" s="472">
        <v>9</v>
      </c>
      <c r="F657" s="437" t="s">
        <v>1329</v>
      </c>
      <c r="G657" s="187" t="s">
        <v>219</v>
      </c>
      <c r="H657" s="7"/>
      <c r="I657" s="61"/>
      <c r="J657" s="100">
        <f>25</f>
        <v>25</v>
      </c>
      <c r="K657" s="508"/>
      <c r="L657" s="510"/>
      <c r="M657" s="187"/>
      <c r="N657" s="718" t="s">
        <v>1240</v>
      </c>
      <c r="O657" s="735"/>
      <c r="P657" s="719"/>
      <c r="Q657" s="736"/>
    </row>
    <row r="658" spans="1:17" ht="12.75" customHeight="1" x14ac:dyDescent="0.2">
      <c r="A658" s="472">
        <v>6</v>
      </c>
      <c r="B658" s="269"/>
      <c r="C658" s="379" t="s">
        <v>1330</v>
      </c>
      <c r="D658" s="1236" t="s">
        <v>1331</v>
      </c>
      <c r="E658" s="472" t="s">
        <v>534</v>
      </c>
      <c r="F658" s="382" t="s">
        <v>1332</v>
      </c>
      <c r="G658" s="135" t="s">
        <v>8</v>
      </c>
      <c r="H658" s="7"/>
      <c r="I658" s="61">
        <v>5</v>
      </c>
      <c r="J658" s="100">
        <v>30</v>
      </c>
      <c r="K658" s="559">
        <v>5</v>
      </c>
      <c r="L658" s="557"/>
      <c r="M658" s="187" t="s">
        <v>627</v>
      </c>
      <c r="N658" s="1207" t="s">
        <v>2062</v>
      </c>
      <c r="O658" s="735" t="s">
        <v>1333</v>
      </c>
      <c r="P658" s="1116">
        <v>1</v>
      </c>
      <c r="Q658" s="736" t="s">
        <v>700</v>
      </c>
    </row>
    <row r="659" spans="1:17" ht="42" customHeight="1" x14ac:dyDescent="0.2">
      <c r="A659" s="472">
        <v>6</v>
      </c>
      <c r="B659" s="269"/>
      <c r="C659" s="269"/>
      <c r="D659" s="1238"/>
      <c r="E659" s="472" t="s">
        <v>534</v>
      </c>
      <c r="F659" s="382" t="s">
        <v>1332</v>
      </c>
      <c r="G659" s="135" t="s">
        <v>245</v>
      </c>
      <c r="H659" s="7"/>
      <c r="I659" s="61"/>
      <c r="J659" s="100"/>
      <c r="K659" s="236"/>
      <c r="L659" s="557">
        <f>200+1000</f>
        <v>1200</v>
      </c>
      <c r="M659" s="187" t="s">
        <v>710</v>
      </c>
      <c r="N659" s="1207" t="s">
        <v>2062</v>
      </c>
      <c r="O659" s="735"/>
      <c r="P659" s="724"/>
      <c r="Q659" s="736" t="s">
        <v>700</v>
      </c>
    </row>
    <row r="660" spans="1:17" ht="42.6" customHeight="1" x14ac:dyDescent="0.2">
      <c r="A660" s="472">
        <v>6</v>
      </c>
      <c r="B660" s="269"/>
      <c r="C660" s="379" t="s">
        <v>1334</v>
      </c>
      <c r="D660" s="83" t="s">
        <v>2101</v>
      </c>
      <c r="E660" s="472">
        <v>9</v>
      </c>
      <c r="F660" s="382" t="s">
        <v>1335</v>
      </c>
      <c r="G660" s="135" t="s">
        <v>8</v>
      </c>
      <c r="H660" s="7"/>
      <c r="I660" s="61">
        <v>0</v>
      </c>
      <c r="J660" s="100">
        <v>27</v>
      </c>
      <c r="K660" s="236"/>
      <c r="L660" s="557"/>
      <c r="M660" s="187" t="s">
        <v>627</v>
      </c>
      <c r="N660" s="1170" t="s">
        <v>1240</v>
      </c>
      <c r="O660" s="737" t="s">
        <v>1333</v>
      </c>
      <c r="P660" s="982">
        <v>1</v>
      </c>
      <c r="Q660" s="738" t="s">
        <v>720</v>
      </c>
    </row>
    <row r="661" spans="1:17" ht="33.6" customHeight="1" x14ac:dyDescent="0.2">
      <c r="A661" s="472">
        <v>6</v>
      </c>
      <c r="B661" s="269"/>
      <c r="C661" s="379" t="s">
        <v>1336</v>
      </c>
      <c r="D661" s="588" t="s">
        <v>1337</v>
      </c>
      <c r="E661" s="472">
        <v>9</v>
      </c>
      <c r="F661" s="382" t="s">
        <v>256</v>
      </c>
      <c r="G661" s="135" t="s">
        <v>8</v>
      </c>
      <c r="H661" s="7"/>
      <c r="I661" s="61"/>
      <c r="J661" s="100">
        <f>100-50-10</f>
        <v>40</v>
      </c>
      <c r="K661" s="236">
        <v>100.1</v>
      </c>
      <c r="L661" s="557">
        <v>100.2</v>
      </c>
      <c r="M661" s="187" t="s">
        <v>637</v>
      </c>
      <c r="N661" s="718" t="s">
        <v>731</v>
      </c>
      <c r="O661" s="706" t="s">
        <v>1184</v>
      </c>
      <c r="P661" s="739">
        <v>100</v>
      </c>
      <c r="Q661" s="720"/>
    </row>
    <row r="662" spans="1:17" ht="22.15" customHeight="1" x14ac:dyDescent="0.2">
      <c r="A662" s="472">
        <v>6</v>
      </c>
      <c r="B662" s="114" t="s">
        <v>1338</v>
      </c>
      <c r="C662" s="114" t="s">
        <v>1339</v>
      </c>
      <c r="D662" s="480" t="s">
        <v>260</v>
      </c>
      <c r="E662" s="481"/>
      <c r="F662" s="481"/>
      <c r="G662" s="481"/>
      <c r="H662" s="481"/>
      <c r="I662" s="481"/>
      <c r="J662" s="482"/>
      <c r="K662" s="482"/>
      <c r="L662" s="483"/>
      <c r="M662" s="135"/>
      <c r="N662" s="718"/>
      <c r="O662" s="708"/>
      <c r="P662" s="709"/>
      <c r="Q662" s="708"/>
    </row>
    <row r="663" spans="1:17" x14ac:dyDescent="0.2">
      <c r="A663" s="472">
        <v>6</v>
      </c>
      <c r="B663" s="304"/>
      <c r="C663" s="304"/>
      <c r="D663" s="589"/>
      <c r="E663" s="574"/>
      <c r="F663" s="490"/>
      <c r="G663" s="258" t="s">
        <v>8</v>
      </c>
      <c r="H663" s="258" t="e">
        <f>SUM(H667,H669,H665,H664,H668,#REF!)</f>
        <v>#REF!</v>
      </c>
      <c r="I663" s="258">
        <f>SUM(I667,I669,I665,I664)</f>
        <v>48.599999999999994</v>
      </c>
      <c r="J663" s="414">
        <f>SUM(J667,J669,J665,J664)</f>
        <v>95</v>
      </c>
      <c r="K663" s="414">
        <f>SUM(K667,K669,K665,K664)</f>
        <v>65</v>
      </c>
      <c r="L663" s="421">
        <f>SUM(L667,L669,L665,L664)</f>
        <v>65</v>
      </c>
      <c r="M663" s="135"/>
      <c r="N663" s="718"/>
      <c r="O663" s="708"/>
      <c r="P663" s="709"/>
      <c r="Q663" s="708"/>
    </row>
    <row r="664" spans="1:17" ht="45" x14ac:dyDescent="0.2">
      <c r="A664" s="472">
        <v>6</v>
      </c>
      <c r="B664" s="269"/>
      <c r="C664" s="269" t="s">
        <v>1340</v>
      </c>
      <c r="D664" s="485" t="s">
        <v>261</v>
      </c>
      <c r="E664" s="472">
        <v>9</v>
      </c>
      <c r="F664" s="1079" t="s">
        <v>262</v>
      </c>
      <c r="G664" s="507" t="s">
        <v>8</v>
      </c>
      <c r="H664" s="487">
        <v>1</v>
      </c>
      <c r="I664" s="490">
        <v>9.1999999999999993</v>
      </c>
      <c r="J664" s="100">
        <v>10</v>
      </c>
      <c r="K664" s="590">
        <v>10</v>
      </c>
      <c r="L664" s="591">
        <v>10</v>
      </c>
      <c r="M664" s="135" t="s">
        <v>624</v>
      </c>
      <c r="N664" s="718" t="s">
        <v>731</v>
      </c>
      <c r="O664" s="706" t="s">
        <v>1341</v>
      </c>
      <c r="P664" s="721">
        <v>100</v>
      </c>
      <c r="Q664" s="708"/>
    </row>
    <row r="665" spans="1:17" ht="20.45" customHeight="1" x14ac:dyDescent="0.2">
      <c r="A665" s="472">
        <v>6</v>
      </c>
      <c r="B665" s="269"/>
      <c r="C665" s="269"/>
      <c r="D665" s="485"/>
      <c r="E665" s="472">
        <v>9</v>
      </c>
      <c r="F665" s="1079" t="s">
        <v>262</v>
      </c>
      <c r="G665" s="507" t="s">
        <v>8</v>
      </c>
      <c r="H665" s="487"/>
      <c r="I665" s="490"/>
      <c r="J665" s="100">
        <v>30</v>
      </c>
      <c r="K665" s="590"/>
      <c r="L665" s="591"/>
      <c r="M665" s="135" t="s">
        <v>710</v>
      </c>
      <c r="N665" s="718" t="s">
        <v>1263</v>
      </c>
      <c r="O665" s="706" t="s">
        <v>1342</v>
      </c>
      <c r="P665" s="721">
        <v>1</v>
      </c>
      <c r="Q665" s="708"/>
    </row>
    <row r="666" spans="1:17" ht="12.75" customHeight="1" x14ac:dyDescent="0.2">
      <c r="A666" s="472">
        <v>6</v>
      </c>
      <c r="B666" s="269"/>
      <c r="C666" s="269"/>
      <c r="D666" s="485"/>
      <c r="E666" s="472"/>
      <c r="F666" s="1079" t="s">
        <v>262</v>
      </c>
      <c r="G666" s="105" t="s">
        <v>495</v>
      </c>
      <c r="H666" s="561">
        <f>SUM(H664)</f>
        <v>1</v>
      </c>
      <c r="I666" s="107">
        <f>SUM(I664:I665)</f>
        <v>9.1999999999999993</v>
      </c>
      <c r="J666" s="493">
        <f t="shared" ref="J666:L666" si="105">SUM(J664:J665)</f>
        <v>40</v>
      </c>
      <c r="K666" s="493">
        <f t="shared" si="105"/>
        <v>10</v>
      </c>
      <c r="L666" s="494">
        <f t="shared" si="105"/>
        <v>10</v>
      </c>
      <c r="M666" s="135"/>
      <c r="N666" s="718"/>
      <c r="O666" s="708"/>
      <c r="P666" s="709"/>
      <c r="Q666" s="708"/>
    </row>
    <row r="667" spans="1:17" ht="12.75" customHeight="1" x14ac:dyDescent="0.2">
      <c r="A667" s="472">
        <v>6</v>
      </c>
      <c r="B667" s="269"/>
      <c r="C667" s="269" t="s">
        <v>1343</v>
      </c>
      <c r="D667" s="485" t="s">
        <v>263</v>
      </c>
      <c r="E667" s="472">
        <v>9</v>
      </c>
      <c r="F667" s="254" t="s">
        <v>264</v>
      </c>
      <c r="G667" s="254" t="s">
        <v>8</v>
      </c>
      <c r="H667" s="254">
        <v>14.3</v>
      </c>
      <c r="I667" s="15">
        <f>SUM(I668:I668)</f>
        <v>14.4</v>
      </c>
      <c r="J667" s="592">
        <f>SUM(J668:J668)</f>
        <v>15</v>
      </c>
      <c r="K667" s="592">
        <f>SUM(K668:K668)</f>
        <v>15</v>
      </c>
      <c r="L667" s="593">
        <f>SUM(L668:L668)</f>
        <v>15</v>
      </c>
      <c r="M667" s="135"/>
      <c r="N667" s="718" t="s">
        <v>1263</v>
      </c>
      <c r="O667" s="708" t="s">
        <v>1344</v>
      </c>
      <c r="P667" s="721">
        <v>3</v>
      </c>
      <c r="Q667" s="708" t="s">
        <v>640</v>
      </c>
    </row>
    <row r="668" spans="1:17" ht="12.75" customHeight="1" x14ac:dyDescent="0.2">
      <c r="A668" s="472">
        <v>6</v>
      </c>
      <c r="B668" s="269"/>
      <c r="C668" s="269"/>
      <c r="D668" s="594" t="s">
        <v>1345</v>
      </c>
      <c r="E668" s="472">
        <v>9</v>
      </c>
      <c r="F668" s="254" t="s">
        <v>264</v>
      </c>
      <c r="G668" s="75" t="s">
        <v>8</v>
      </c>
      <c r="H668" s="507"/>
      <c r="I668" s="490">
        <v>14.4</v>
      </c>
      <c r="J668" s="100">
        <v>15</v>
      </c>
      <c r="K668" s="508">
        <v>15</v>
      </c>
      <c r="L668" s="510">
        <v>15</v>
      </c>
      <c r="M668" s="135" t="s">
        <v>624</v>
      </c>
      <c r="N668" s="718" t="s">
        <v>1263</v>
      </c>
      <c r="O668" s="944" t="s">
        <v>1879</v>
      </c>
      <c r="P668" s="709">
        <v>1</v>
      </c>
      <c r="Q668" s="708" t="s">
        <v>640</v>
      </c>
    </row>
    <row r="669" spans="1:17" ht="27.6" customHeight="1" x14ac:dyDescent="0.2">
      <c r="A669" s="472">
        <v>6</v>
      </c>
      <c r="B669" s="269"/>
      <c r="C669" s="269" t="s">
        <v>1346</v>
      </c>
      <c r="D669" s="485" t="s">
        <v>265</v>
      </c>
      <c r="E669" s="472">
        <v>13</v>
      </c>
      <c r="F669" s="254" t="s">
        <v>266</v>
      </c>
      <c r="G669" s="254" t="s">
        <v>8</v>
      </c>
      <c r="H669" s="487">
        <v>21.8</v>
      </c>
      <c r="I669" s="490">
        <v>25</v>
      </c>
      <c r="J669" s="100">
        <v>40</v>
      </c>
      <c r="K669" s="590">
        <v>40</v>
      </c>
      <c r="L669" s="591">
        <v>40</v>
      </c>
      <c r="M669" s="135" t="s">
        <v>624</v>
      </c>
      <c r="N669" s="718" t="s">
        <v>1347</v>
      </c>
      <c r="O669" s="706" t="s">
        <v>1348</v>
      </c>
      <c r="P669" s="721">
        <v>100</v>
      </c>
      <c r="Q669" s="708"/>
    </row>
    <row r="670" spans="1:17" x14ac:dyDescent="0.2">
      <c r="A670" s="472">
        <v>6</v>
      </c>
      <c r="B670" s="269"/>
      <c r="C670" s="269"/>
      <c r="D670" s="485"/>
      <c r="E670" s="472"/>
      <c r="F670" s="254" t="s">
        <v>266</v>
      </c>
      <c r="G670" s="105" t="s">
        <v>495</v>
      </c>
      <c r="H670" s="561">
        <f>SUM(H669)</f>
        <v>21.8</v>
      </c>
      <c r="I670" s="107">
        <f>SUM(I669)</f>
        <v>25</v>
      </c>
      <c r="J670" s="493">
        <f>SUM(J669)</f>
        <v>40</v>
      </c>
      <c r="K670" s="493">
        <f>SUM(K669)</f>
        <v>40</v>
      </c>
      <c r="L670" s="494">
        <f>SUM(L669)</f>
        <v>40</v>
      </c>
      <c r="M670" s="135"/>
      <c r="N670" s="718"/>
      <c r="O670" s="708"/>
      <c r="P670" s="709"/>
      <c r="Q670" s="708"/>
    </row>
    <row r="671" spans="1:17" ht="33.6" customHeight="1" x14ac:dyDescent="0.2">
      <c r="A671" s="472">
        <v>6</v>
      </c>
      <c r="B671" s="473"/>
      <c r="C671" s="473"/>
      <c r="D671" s="266" t="s">
        <v>1349</v>
      </c>
      <c r="E671" s="1082"/>
      <c r="F671" s="500"/>
      <c r="G671" s="500"/>
      <c r="H671" s="501"/>
      <c r="I671" s="595"/>
      <c r="J671" s="502"/>
      <c r="K671" s="502"/>
      <c r="L671" s="503"/>
      <c r="M671" s="479"/>
      <c r="N671" s="1165"/>
      <c r="O671" s="260"/>
      <c r="P671" s="261"/>
      <c r="Q671" s="260"/>
    </row>
    <row r="672" spans="1:17" ht="37.15" customHeight="1" x14ac:dyDescent="0.2">
      <c r="A672" s="472">
        <v>6</v>
      </c>
      <c r="B672" s="114" t="s">
        <v>1350</v>
      </c>
      <c r="C672" s="114" t="s">
        <v>1350</v>
      </c>
      <c r="D672" s="480" t="s">
        <v>1857</v>
      </c>
      <c r="E672" s="481"/>
      <c r="F672" s="481"/>
      <c r="G672" s="596"/>
      <c r="H672" s="481">
        <v>100</v>
      </c>
      <c r="I672" s="596"/>
      <c r="J672" s="482"/>
      <c r="K672" s="482"/>
      <c r="L672" s="483"/>
      <c r="M672" s="187"/>
      <c r="N672" s="718"/>
      <c r="O672" s="706"/>
      <c r="P672" s="705"/>
      <c r="Q672" s="706"/>
    </row>
    <row r="673" spans="1:17" x14ac:dyDescent="0.2">
      <c r="A673" s="472">
        <v>6</v>
      </c>
      <c r="B673" s="304"/>
      <c r="C673" s="304"/>
      <c r="D673" s="589"/>
      <c r="E673" s="574"/>
      <c r="F673" s="490"/>
      <c r="G673" s="267" t="s">
        <v>8</v>
      </c>
      <c r="H673" s="270"/>
      <c r="I673" s="598">
        <f>SUM(I674:I674)</f>
        <v>240</v>
      </c>
      <c r="J673" s="599">
        <f>SUM(J674:J674)</f>
        <v>35</v>
      </c>
      <c r="K673" s="599">
        <f>SUM(K674:K674)</f>
        <v>0</v>
      </c>
      <c r="L673" s="600">
        <f>SUM(L674:L674)</f>
        <v>0</v>
      </c>
      <c r="M673" s="187"/>
      <c r="N673" s="718"/>
      <c r="O673" s="706"/>
      <c r="P673" s="705"/>
      <c r="Q673" s="706"/>
    </row>
    <row r="674" spans="1:17" ht="33" customHeight="1" x14ac:dyDescent="0.2">
      <c r="A674" s="472">
        <v>6</v>
      </c>
      <c r="B674" s="269"/>
      <c r="C674" s="269" t="s">
        <v>1351</v>
      </c>
      <c r="D674" s="268" t="s">
        <v>1352</v>
      </c>
      <c r="E674" s="472">
        <v>9</v>
      </c>
      <c r="F674" s="254" t="s">
        <v>257</v>
      </c>
      <c r="G674" s="254" t="s">
        <v>8</v>
      </c>
      <c r="H674" s="38"/>
      <c r="I674" s="61">
        <v>240</v>
      </c>
      <c r="J674" s="100">
        <v>35</v>
      </c>
      <c r="K674" s="508"/>
      <c r="L674" s="510"/>
      <c r="M674" s="135" t="s">
        <v>627</v>
      </c>
      <c r="N674" s="1042" t="s">
        <v>1195</v>
      </c>
      <c r="O674" s="945" t="s">
        <v>1880</v>
      </c>
      <c r="P674" s="721"/>
      <c r="Q674" s="708" t="s">
        <v>712</v>
      </c>
    </row>
    <row r="675" spans="1:17" ht="36" customHeight="1" x14ac:dyDescent="0.2">
      <c r="A675" s="472">
        <v>6</v>
      </c>
      <c r="B675" s="114" t="s">
        <v>1353</v>
      </c>
      <c r="C675" s="114" t="s">
        <v>1353</v>
      </c>
      <c r="D675" s="480" t="s">
        <v>1354</v>
      </c>
      <c r="E675" s="481">
        <v>9</v>
      </c>
      <c r="F675" s="481" t="s">
        <v>258</v>
      </c>
      <c r="G675" s="481" t="s">
        <v>8</v>
      </c>
      <c r="H675" s="481">
        <f>40-40</f>
        <v>0</v>
      </c>
      <c r="I675" s="481">
        <f>I680</f>
        <v>0</v>
      </c>
      <c r="J675" s="482">
        <v>90</v>
      </c>
      <c r="K675" s="482"/>
      <c r="L675" s="483"/>
      <c r="M675" s="187" t="s">
        <v>627</v>
      </c>
      <c r="N675" s="718"/>
      <c r="O675" s="740"/>
      <c r="P675" s="709"/>
      <c r="Q675" s="708"/>
    </row>
    <row r="676" spans="1:17" ht="12.75" customHeight="1" x14ac:dyDescent="0.2">
      <c r="A676" s="472">
        <v>6</v>
      </c>
      <c r="B676" s="304"/>
      <c r="C676" s="304"/>
      <c r="D676" s="589"/>
      <c r="E676" s="574"/>
      <c r="F676" s="490"/>
      <c r="G676" s="270" t="s">
        <v>11</v>
      </c>
      <c r="H676" s="267"/>
      <c r="I676" s="598">
        <v>3.5</v>
      </c>
      <c r="J676" s="1233">
        <f t="shared" ref="J676:L676" si="106">J679</f>
        <v>7.2</v>
      </c>
      <c r="K676" s="599">
        <f t="shared" si="106"/>
        <v>7.2</v>
      </c>
      <c r="L676" s="600">
        <f t="shared" si="106"/>
        <v>7.2</v>
      </c>
      <c r="M676" s="187"/>
      <c r="N676" s="718"/>
      <c r="O676" s="708"/>
      <c r="P676" s="709"/>
      <c r="Q676" s="708"/>
    </row>
    <row r="677" spans="1:17" ht="12.75" customHeight="1" x14ac:dyDescent="0.2">
      <c r="A677" s="472">
        <v>6</v>
      </c>
      <c r="B677" s="304"/>
      <c r="C677" s="304"/>
      <c r="D677" s="589"/>
      <c r="E677" s="574"/>
      <c r="F677" s="490"/>
      <c r="G677" s="270" t="s">
        <v>74</v>
      </c>
      <c r="H677" s="267"/>
      <c r="I677" s="598"/>
      <c r="J677" s="1233">
        <v>11.4</v>
      </c>
      <c r="K677" s="599"/>
      <c r="L677" s="600"/>
      <c r="M677" s="187"/>
      <c r="N677" s="718"/>
      <c r="O677" s="708"/>
      <c r="P677" s="709"/>
      <c r="Q677" s="708"/>
    </row>
    <row r="678" spans="1:17" ht="12.75" customHeight="1" x14ac:dyDescent="0.2">
      <c r="A678" s="472">
        <v>6</v>
      </c>
      <c r="B678" s="304"/>
      <c r="C678" s="304"/>
      <c r="D678" s="589"/>
      <c r="E678" s="574"/>
      <c r="F678" s="490"/>
      <c r="G678" s="105" t="s">
        <v>495</v>
      </c>
      <c r="H678" s="561">
        <f>SUM(H676)</f>
        <v>0</v>
      </c>
      <c r="I678" s="107">
        <f>SUM(I676,I675)</f>
        <v>3.5</v>
      </c>
      <c r="J678" s="493">
        <f>SUM(J676,J677,J675)</f>
        <v>108.6</v>
      </c>
      <c r="K678" s="493">
        <f>SUM(K676,K675)</f>
        <v>7.2</v>
      </c>
      <c r="L678" s="494">
        <f>SUM(L676,L675)</f>
        <v>7.2</v>
      </c>
      <c r="M678" s="187"/>
      <c r="N678" s="718"/>
      <c r="O678" s="708"/>
      <c r="P678" s="709"/>
      <c r="Q678" s="708"/>
    </row>
    <row r="679" spans="1:17" x14ac:dyDescent="0.2">
      <c r="A679" s="472">
        <v>6</v>
      </c>
      <c r="B679" s="269"/>
      <c r="C679" s="269" t="s">
        <v>1355</v>
      </c>
      <c r="D679" s="601" t="s">
        <v>1356</v>
      </c>
      <c r="E679" s="472">
        <v>9</v>
      </c>
      <c r="F679" s="254" t="s">
        <v>258</v>
      </c>
      <c r="G679" s="490" t="s">
        <v>11</v>
      </c>
      <c r="H679" s="602"/>
      <c r="I679" s="15">
        <v>3.5</v>
      </c>
      <c r="J679" s="100">
        <v>7.2</v>
      </c>
      <c r="K679" s="603">
        <v>7.2</v>
      </c>
      <c r="L679" s="604">
        <v>7.2</v>
      </c>
      <c r="M679" s="135"/>
      <c r="N679" s="718" t="s">
        <v>1357</v>
      </c>
      <c r="O679" s="708" t="s">
        <v>1358</v>
      </c>
      <c r="P679" s="721">
        <v>2</v>
      </c>
      <c r="Q679" s="708"/>
    </row>
    <row r="680" spans="1:17" ht="22.5" x14ac:dyDescent="0.2">
      <c r="A680" s="472">
        <v>6</v>
      </c>
      <c r="B680" s="269"/>
      <c r="C680" s="269" t="s">
        <v>1359</v>
      </c>
      <c r="D680" s="76" t="s">
        <v>1360</v>
      </c>
      <c r="E680" s="472">
        <v>9</v>
      </c>
      <c r="F680" s="254" t="s">
        <v>258</v>
      </c>
      <c r="G680" s="75" t="s">
        <v>8</v>
      </c>
      <c r="H680" s="38"/>
      <c r="I680" s="61">
        <v>0</v>
      </c>
      <c r="J680" s="100">
        <v>90</v>
      </c>
      <c r="K680" s="508"/>
      <c r="L680" s="510"/>
      <c r="M680" s="135" t="s">
        <v>627</v>
      </c>
      <c r="N680" s="718" t="s">
        <v>1357</v>
      </c>
      <c r="O680" s="706" t="s">
        <v>1361</v>
      </c>
      <c r="P680" s="721">
        <v>1</v>
      </c>
      <c r="Q680" s="708" t="s">
        <v>1206</v>
      </c>
    </row>
    <row r="681" spans="1:17" ht="40.15" customHeight="1" x14ac:dyDescent="0.2">
      <c r="A681" s="472">
        <v>6</v>
      </c>
      <c r="B681" s="473"/>
      <c r="C681" s="473"/>
      <c r="D681" s="266" t="s">
        <v>1362</v>
      </c>
      <c r="E681" s="1082" t="s">
        <v>1858</v>
      </c>
      <c r="F681" s="500"/>
      <c r="G681" s="500"/>
      <c r="H681" s="501"/>
      <c r="I681" s="595"/>
      <c r="J681" s="502"/>
      <c r="K681" s="502"/>
      <c r="L681" s="503"/>
      <c r="M681" s="479"/>
      <c r="N681" s="1165"/>
      <c r="O681" s="260"/>
      <c r="P681" s="261"/>
      <c r="Q681" s="260"/>
    </row>
    <row r="682" spans="1:17" ht="22.5" x14ac:dyDescent="0.2">
      <c r="A682" s="472">
        <v>6</v>
      </c>
      <c r="B682" s="114" t="s">
        <v>1363</v>
      </c>
      <c r="C682" s="114" t="s">
        <v>1363</v>
      </c>
      <c r="D682" s="480" t="s">
        <v>267</v>
      </c>
      <c r="E682" s="481"/>
      <c r="F682" s="481"/>
      <c r="G682" s="481"/>
      <c r="H682" s="481"/>
      <c r="I682" s="481"/>
      <c r="J682" s="482"/>
      <c r="K682" s="482"/>
      <c r="L682" s="483"/>
      <c r="M682" s="135"/>
      <c r="N682" s="718"/>
      <c r="O682" s="708"/>
      <c r="P682" s="709"/>
      <c r="Q682" s="708"/>
    </row>
    <row r="683" spans="1:17" x14ac:dyDescent="0.2">
      <c r="A683" s="472">
        <v>6</v>
      </c>
      <c r="B683" s="304"/>
      <c r="C683" s="304"/>
      <c r="D683" s="589"/>
      <c r="E683" s="574"/>
      <c r="F683" s="490"/>
      <c r="G683" s="267" t="s">
        <v>8</v>
      </c>
      <c r="H683" s="270"/>
      <c r="I683" s="598">
        <f>SUM(I685,I684)</f>
        <v>96.6</v>
      </c>
      <c r="J683" s="599">
        <f>SUM(J685,J684)</f>
        <v>243.4</v>
      </c>
      <c r="K683" s="599">
        <f>SUM(K685,K684)</f>
        <v>600</v>
      </c>
      <c r="L683" s="600">
        <f>SUM(L685,L684)</f>
        <v>1700</v>
      </c>
      <c r="M683" s="135"/>
      <c r="N683" s="718"/>
      <c r="O683" s="708"/>
      <c r="P683" s="709"/>
      <c r="Q683" s="708"/>
    </row>
    <row r="684" spans="1:17" ht="39.6" customHeight="1" x14ac:dyDescent="0.2">
      <c r="A684" s="472">
        <v>6</v>
      </c>
      <c r="B684" s="496"/>
      <c r="C684" s="496" t="s">
        <v>1364</v>
      </c>
      <c r="D684" s="485" t="s">
        <v>268</v>
      </c>
      <c r="E684" s="605">
        <v>9</v>
      </c>
      <c r="F684" s="254" t="s">
        <v>269</v>
      </c>
      <c r="G684" s="490" t="s">
        <v>8</v>
      </c>
      <c r="H684" s="487">
        <v>39.200000000000003</v>
      </c>
      <c r="I684" s="15">
        <v>36.6</v>
      </c>
      <c r="J684" s="100">
        <v>50</v>
      </c>
      <c r="K684" s="491">
        <v>50</v>
      </c>
      <c r="L684" s="492">
        <v>50</v>
      </c>
      <c r="M684" s="135" t="s">
        <v>624</v>
      </c>
      <c r="N684" s="718" t="s">
        <v>1357</v>
      </c>
      <c r="O684" s="706" t="s">
        <v>1365</v>
      </c>
      <c r="P684" s="707">
        <v>100</v>
      </c>
      <c r="Q684" s="706"/>
    </row>
    <row r="685" spans="1:17" ht="30.6" customHeight="1" x14ac:dyDescent="0.2">
      <c r="A685" s="472">
        <v>6</v>
      </c>
      <c r="B685" s="496"/>
      <c r="C685" s="496" t="s">
        <v>1366</v>
      </c>
      <c r="D685" s="485" t="s">
        <v>270</v>
      </c>
      <c r="E685" s="605">
        <v>9</v>
      </c>
      <c r="F685" s="254" t="s">
        <v>271</v>
      </c>
      <c r="G685" s="490" t="s">
        <v>8</v>
      </c>
      <c r="H685" s="487">
        <v>57.2</v>
      </c>
      <c r="I685" s="15">
        <v>60</v>
      </c>
      <c r="J685" s="100">
        <f>100-40+120+13.4</f>
        <v>193.4</v>
      </c>
      <c r="K685" s="606">
        <f>900-350</f>
        <v>550</v>
      </c>
      <c r="L685" s="607">
        <f>1300+350</f>
        <v>1650</v>
      </c>
      <c r="M685" s="135" t="s">
        <v>627</v>
      </c>
      <c r="N685" s="718" t="s">
        <v>1357</v>
      </c>
      <c r="O685" s="706" t="s">
        <v>1367</v>
      </c>
      <c r="P685" s="707">
        <v>100</v>
      </c>
      <c r="Q685" s="706"/>
    </row>
    <row r="686" spans="1:17" ht="22.5" x14ac:dyDescent="0.2">
      <c r="A686" s="472">
        <v>6</v>
      </c>
      <c r="B686" s="114" t="s">
        <v>1368</v>
      </c>
      <c r="C686" s="114" t="s">
        <v>1368</v>
      </c>
      <c r="D686" s="480" t="s">
        <v>272</v>
      </c>
      <c r="E686" s="481"/>
      <c r="F686" s="481"/>
      <c r="G686" s="481"/>
      <c r="H686" s="481"/>
      <c r="I686" s="481"/>
      <c r="J686" s="482"/>
      <c r="K686" s="482"/>
      <c r="L686" s="483"/>
      <c r="M686" s="135"/>
      <c r="N686" s="718"/>
      <c r="O686" s="708"/>
      <c r="P686" s="709"/>
      <c r="Q686" s="708"/>
    </row>
    <row r="687" spans="1:17" ht="12.75" customHeight="1" x14ac:dyDescent="0.2">
      <c r="A687" s="472">
        <v>6</v>
      </c>
      <c r="B687" s="304"/>
      <c r="C687" s="304"/>
      <c r="D687" s="589"/>
      <c r="E687" s="609"/>
      <c r="F687" s="609"/>
      <c r="G687" s="267" t="s">
        <v>8</v>
      </c>
      <c r="H687" s="267"/>
      <c r="I687" s="598">
        <f>SUM(I688,I689,I690,I691,I692,I693,I694,I695,I696,I697,I698)</f>
        <v>434.5</v>
      </c>
      <c r="J687" s="599">
        <f>SUM(J688,J689,J690,J691,J692,J693,J694,J695,J696,J697,J698)</f>
        <v>387.5</v>
      </c>
      <c r="K687" s="599">
        <f>SUM(K688,K689,K690,K691,K692,K693,K694,K695,K696,K697,K698)</f>
        <v>357.5</v>
      </c>
      <c r="L687" s="600">
        <f>SUM(L688,L689,L690,L691,L692,L693,L694,L695,L696,L697,L698)</f>
        <v>428.79999999999995</v>
      </c>
      <c r="M687" s="135"/>
      <c r="N687" s="718"/>
      <c r="O687" s="740"/>
      <c r="P687" s="709"/>
      <c r="Q687" s="708"/>
    </row>
    <row r="688" spans="1:17" ht="16.149999999999999" customHeight="1" x14ac:dyDescent="0.2">
      <c r="A688" s="472">
        <v>6</v>
      </c>
      <c r="B688" s="496"/>
      <c r="C688" s="496" t="s">
        <v>1369</v>
      </c>
      <c r="D688" s="485" t="s">
        <v>273</v>
      </c>
      <c r="E688" s="605">
        <v>19</v>
      </c>
      <c r="F688" s="507" t="s">
        <v>274</v>
      </c>
      <c r="G688" s="507" t="s">
        <v>8</v>
      </c>
      <c r="H688" s="487">
        <f>11.7-1.7-4</f>
        <v>6</v>
      </c>
      <c r="I688" s="15">
        <f>11.7-1.7-4</f>
        <v>6</v>
      </c>
      <c r="J688" s="100">
        <f>11.7-1.7-4</f>
        <v>6</v>
      </c>
      <c r="K688" s="416">
        <f>11.7-1.7-4</f>
        <v>6</v>
      </c>
      <c r="L688" s="492">
        <v>7.2</v>
      </c>
      <c r="M688" s="135" t="s">
        <v>624</v>
      </c>
      <c r="N688" s="718" t="s">
        <v>1370</v>
      </c>
      <c r="O688" s="706" t="s">
        <v>1371</v>
      </c>
      <c r="P688" s="707">
        <v>74</v>
      </c>
      <c r="Q688" s="706" t="s">
        <v>732</v>
      </c>
    </row>
    <row r="689" spans="1:17" ht="25.9" customHeight="1" x14ac:dyDescent="0.2">
      <c r="A689" s="472">
        <v>6</v>
      </c>
      <c r="B689" s="496"/>
      <c r="C689" s="496" t="s">
        <v>1372</v>
      </c>
      <c r="D689" s="485" t="s">
        <v>275</v>
      </c>
      <c r="E689" s="605">
        <v>20</v>
      </c>
      <c r="F689" s="507" t="s">
        <v>276</v>
      </c>
      <c r="G689" s="507" t="s">
        <v>8</v>
      </c>
      <c r="H689" s="487">
        <f>27.1-3.9-8</f>
        <v>15.200000000000003</v>
      </c>
      <c r="I689" s="15">
        <f>27.1-3.9-8+3</f>
        <v>18.200000000000003</v>
      </c>
      <c r="J689" s="100">
        <f>27.1-3.9-8</f>
        <v>15.200000000000003</v>
      </c>
      <c r="K689" s="416">
        <f>27.1-3.9-8</f>
        <v>15.200000000000003</v>
      </c>
      <c r="L689" s="492">
        <v>18.2</v>
      </c>
      <c r="M689" s="135" t="s">
        <v>624</v>
      </c>
      <c r="N689" s="718" t="s">
        <v>1172</v>
      </c>
      <c r="O689" s="706" t="s">
        <v>1371</v>
      </c>
      <c r="P689" s="707">
        <v>205</v>
      </c>
      <c r="Q689" s="706" t="s">
        <v>981</v>
      </c>
    </row>
    <row r="690" spans="1:17" ht="16.149999999999999" customHeight="1" x14ac:dyDescent="0.2">
      <c r="A690" s="472">
        <v>6</v>
      </c>
      <c r="B690" s="496"/>
      <c r="C690" s="496" t="s">
        <v>1373</v>
      </c>
      <c r="D690" s="485" t="s">
        <v>277</v>
      </c>
      <c r="E690" s="605">
        <v>21</v>
      </c>
      <c r="F690" s="507" t="s">
        <v>278</v>
      </c>
      <c r="G690" s="507" t="s">
        <v>8</v>
      </c>
      <c r="H690" s="487">
        <v>15.8</v>
      </c>
      <c r="I690" s="15">
        <f>54.6-8-25+23</f>
        <v>44.6</v>
      </c>
      <c r="J690" s="100">
        <f>54.6-8-25</f>
        <v>21.6</v>
      </c>
      <c r="K690" s="416">
        <f>54.6-8-25</f>
        <v>21.6</v>
      </c>
      <c r="L690" s="492">
        <v>25.9</v>
      </c>
      <c r="M690" s="135" t="s">
        <v>624</v>
      </c>
      <c r="N690" s="718" t="s">
        <v>1374</v>
      </c>
      <c r="O690" s="706" t="s">
        <v>1371</v>
      </c>
      <c r="P690" s="707">
        <v>455</v>
      </c>
      <c r="Q690" s="706" t="s">
        <v>716</v>
      </c>
    </row>
    <row r="691" spans="1:17" ht="16.149999999999999" customHeight="1" x14ac:dyDescent="0.2">
      <c r="A691" s="472">
        <v>6</v>
      </c>
      <c r="B691" s="496"/>
      <c r="C691" s="496" t="s">
        <v>1375</v>
      </c>
      <c r="D691" s="485" t="s">
        <v>279</v>
      </c>
      <c r="E691" s="605">
        <v>22</v>
      </c>
      <c r="F691" s="507" t="s">
        <v>280</v>
      </c>
      <c r="G691" s="507" t="s">
        <v>8</v>
      </c>
      <c r="H691" s="487">
        <v>13.8</v>
      </c>
      <c r="I691" s="15">
        <f>17.2-2.5</f>
        <v>14.7</v>
      </c>
      <c r="J691" s="100">
        <f>17.2-2.5</f>
        <v>14.7</v>
      </c>
      <c r="K691" s="416">
        <f>17.2-2.5</f>
        <v>14.7</v>
      </c>
      <c r="L691" s="492">
        <v>17.600000000000001</v>
      </c>
      <c r="M691" s="135" t="s">
        <v>624</v>
      </c>
      <c r="N691" s="718" t="s">
        <v>1376</v>
      </c>
      <c r="O691" s="706" t="s">
        <v>1371</v>
      </c>
      <c r="P691" s="707">
        <v>170</v>
      </c>
      <c r="Q691" s="706" t="s">
        <v>750</v>
      </c>
    </row>
    <row r="692" spans="1:17" ht="16.149999999999999" customHeight="1" x14ac:dyDescent="0.2">
      <c r="A692" s="472">
        <v>6</v>
      </c>
      <c r="B692" s="496"/>
      <c r="C692" s="496" t="s">
        <v>1377</v>
      </c>
      <c r="D692" s="485" t="s">
        <v>281</v>
      </c>
      <c r="E692" s="605">
        <v>23</v>
      </c>
      <c r="F692" s="507" t="s">
        <v>282</v>
      </c>
      <c r="G692" s="507" t="s">
        <v>8</v>
      </c>
      <c r="H692" s="487">
        <f>176.6-29.9-10</f>
        <v>136.69999999999999</v>
      </c>
      <c r="I692" s="15">
        <f>176.6-29.9-10+45</f>
        <v>181.7</v>
      </c>
      <c r="J692" s="100">
        <f>176.6-29.9-10</f>
        <v>136.69999999999999</v>
      </c>
      <c r="K692" s="416">
        <f>176.6-29.9-10</f>
        <v>136.69999999999999</v>
      </c>
      <c r="L692" s="492">
        <v>164</v>
      </c>
      <c r="M692" s="135" t="s">
        <v>624</v>
      </c>
      <c r="N692" s="718" t="s">
        <v>1176</v>
      </c>
      <c r="O692" s="706" t="s">
        <v>1371</v>
      </c>
      <c r="P692" s="707">
        <v>1171</v>
      </c>
      <c r="Q692" s="706" t="s">
        <v>640</v>
      </c>
    </row>
    <row r="693" spans="1:17" ht="16.149999999999999" customHeight="1" x14ac:dyDescent="0.2">
      <c r="A693" s="472">
        <v>6</v>
      </c>
      <c r="B693" s="496"/>
      <c r="C693" s="496" t="s">
        <v>1378</v>
      </c>
      <c r="D693" s="485" t="s">
        <v>283</v>
      </c>
      <c r="E693" s="605">
        <v>24</v>
      </c>
      <c r="F693" s="507" t="s">
        <v>284</v>
      </c>
      <c r="G693" s="507" t="s">
        <v>8</v>
      </c>
      <c r="H693" s="487">
        <f>15.5-2.3-6</f>
        <v>7.1999999999999993</v>
      </c>
      <c r="I693" s="15">
        <f>15.5-2.3-6</f>
        <v>7.1999999999999993</v>
      </c>
      <c r="J693" s="100">
        <f>15.5-2.3-6+5</f>
        <v>12.2</v>
      </c>
      <c r="K693" s="416">
        <f>15.5-2.3-6</f>
        <v>7.1999999999999993</v>
      </c>
      <c r="L693" s="492">
        <v>8.6</v>
      </c>
      <c r="M693" s="135" t="s">
        <v>624</v>
      </c>
      <c r="N693" s="718" t="s">
        <v>1379</v>
      </c>
      <c r="O693" s="706" t="s">
        <v>1371</v>
      </c>
      <c r="P693" s="707">
        <v>120</v>
      </c>
      <c r="Q693" s="706" t="s">
        <v>835</v>
      </c>
    </row>
    <row r="694" spans="1:17" ht="16.149999999999999" customHeight="1" x14ac:dyDescent="0.2">
      <c r="A694" s="472">
        <v>6</v>
      </c>
      <c r="B694" s="496"/>
      <c r="C694" s="496" t="s">
        <v>1380</v>
      </c>
      <c r="D694" s="485" t="s">
        <v>285</v>
      </c>
      <c r="E694" s="605">
        <v>25</v>
      </c>
      <c r="F694" s="507" t="s">
        <v>286</v>
      </c>
      <c r="G694" s="507" t="s">
        <v>8</v>
      </c>
      <c r="H694" s="487">
        <f>56.2-8.2-16</f>
        <v>32</v>
      </c>
      <c r="I694" s="15">
        <f>56.2-8.2-16+6</f>
        <v>38</v>
      </c>
      <c r="J694" s="100">
        <f>56.2-8.2-16</f>
        <v>32</v>
      </c>
      <c r="K694" s="416">
        <f>56.2-8.2-16</f>
        <v>32</v>
      </c>
      <c r="L694" s="492">
        <v>38.4</v>
      </c>
      <c r="M694" s="135" t="s">
        <v>624</v>
      </c>
      <c r="N694" s="718" t="s">
        <v>1381</v>
      </c>
      <c r="O694" s="706" t="s">
        <v>1371</v>
      </c>
      <c r="P694" s="707">
        <v>185</v>
      </c>
      <c r="Q694" s="706" t="s">
        <v>728</v>
      </c>
    </row>
    <row r="695" spans="1:17" ht="16.149999999999999" customHeight="1" x14ac:dyDescent="0.2">
      <c r="A695" s="472">
        <v>6</v>
      </c>
      <c r="B695" s="496"/>
      <c r="C695" s="496" t="s">
        <v>1382</v>
      </c>
      <c r="D695" s="485" t="s">
        <v>287</v>
      </c>
      <c r="E695" s="605">
        <v>26</v>
      </c>
      <c r="F695" s="507" t="s">
        <v>288</v>
      </c>
      <c r="G695" s="507" t="s">
        <v>8</v>
      </c>
      <c r="H695" s="487">
        <f>64.7-9.4-13</f>
        <v>42.300000000000004</v>
      </c>
      <c r="I695" s="15">
        <f>64.7-9.4-13</f>
        <v>42.300000000000004</v>
      </c>
      <c r="J695" s="100">
        <f>64.7-9.4-13+10</f>
        <v>52.300000000000004</v>
      </c>
      <c r="K695" s="416">
        <f>64.7-9.4-13</f>
        <v>42.300000000000004</v>
      </c>
      <c r="L695" s="492">
        <v>50.8</v>
      </c>
      <c r="M695" s="135" t="s">
        <v>624</v>
      </c>
      <c r="N695" s="718" t="s">
        <v>1383</v>
      </c>
      <c r="O695" s="706" t="s">
        <v>1371</v>
      </c>
      <c r="P695" s="707">
        <v>452</v>
      </c>
      <c r="Q695" s="706" t="s">
        <v>720</v>
      </c>
    </row>
    <row r="696" spans="1:17" ht="16.149999999999999" customHeight="1" x14ac:dyDescent="0.2">
      <c r="A696" s="472">
        <v>6</v>
      </c>
      <c r="B696" s="496"/>
      <c r="C696" s="496" t="s">
        <v>1384</v>
      </c>
      <c r="D696" s="485" t="s">
        <v>289</v>
      </c>
      <c r="E696" s="605">
        <v>27</v>
      </c>
      <c r="F696" s="507" t="s">
        <v>290</v>
      </c>
      <c r="G696" s="507" t="s">
        <v>8</v>
      </c>
      <c r="H696" s="487">
        <v>21.7</v>
      </c>
      <c r="I696" s="15">
        <f>42.2-6.1-10</f>
        <v>26.1</v>
      </c>
      <c r="J696" s="100">
        <f>42.2-6.1-10+15</f>
        <v>41.1</v>
      </c>
      <c r="K696" s="416">
        <f>42.2-6.1-10</f>
        <v>26.1</v>
      </c>
      <c r="L696" s="492">
        <v>31.3</v>
      </c>
      <c r="M696" s="135" t="s">
        <v>624</v>
      </c>
      <c r="N696" s="1041" t="s">
        <v>1862</v>
      </c>
      <c r="O696" s="706" t="s">
        <v>1371</v>
      </c>
      <c r="P696" s="707">
        <v>275</v>
      </c>
      <c r="Q696" s="706" t="s">
        <v>700</v>
      </c>
    </row>
    <row r="697" spans="1:17" ht="16.149999999999999" customHeight="1" x14ac:dyDescent="0.2">
      <c r="A697" s="472">
        <v>6</v>
      </c>
      <c r="B697" s="496"/>
      <c r="C697" s="496" t="s">
        <v>1385</v>
      </c>
      <c r="D697" s="485" t="s">
        <v>291</v>
      </c>
      <c r="E697" s="605">
        <v>28</v>
      </c>
      <c r="F697" s="507" t="s">
        <v>292</v>
      </c>
      <c r="G697" s="507" t="s">
        <v>8</v>
      </c>
      <c r="H697" s="487">
        <f>42.3-6.1-10</f>
        <v>26.199999999999996</v>
      </c>
      <c r="I697" s="15">
        <f>42.3-6.1-10</f>
        <v>26.199999999999996</v>
      </c>
      <c r="J697" s="100">
        <f>42.3-6.1-10</f>
        <v>26.199999999999996</v>
      </c>
      <c r="K697" s="416">
        <f>42.3-6.1-10</f>
        <v>26.199999999999996</v>
      </c>
      <c r="L697" s="492">
        <v>31.4</v>
      </c>
      <c r="M697" s="135" t="s">
        <v>624</v>
      </c>
      <c r="N697" s="718" t="s">
        <v>1386</v>
      </c>
      <c r="O697" s="706" t="s">
        <v>1371</v>
      </c>
      <c r="P697" s="707">
        <v>353</v>
      </c>
      <c r="Q697" s="706" t="s">
        <v>712</v>
      </c>
    </row>
    <row r="698" spans="1:17" ht="30" customHeight="1" x14ac:dyDescent="0.2">
      <c r="A698" s="472">
        <v>6</v>
      </c>
      <c r="B698" s="496"/>
      <c r="C698" s="496" t="s">
        <v>1387</v>
      </c>
      <c r="D698" s="485" t="s">
        <v>293</v>
      </c>
      <c r="E698" s="605">
        <v>29</v>
      </c>
      <c r="F698" s="507" t="s">
        <v>294</v>
      </c>
      <c r="G698" s="507" t="s">
        <v>8</v>
      </c>
      <c r="H698" s="487">
        <f>41.6-6.1-6</f>
        <v>29.5</v>
      </c>
      <c r="I698" s="15">
        <f>41.6-6.1-6</f>
        <v>29.5</v>
      </c>
      <c r="J698" s="100">
        <f>41.6-6.1-6</f>
        <v>29.5</v>
      </c>
      <c r="K698" s="416">
        <f>41.6-6.1-6</f>
        <v>29.5</v>
      </c>
      <c r="L698" s="492">
        <v>35.4</v>
      </c>
      <c r="M698" s="135" t="s">
        <v>624</v>
      </c>
      <c r="N698" s="718" t="s">
        <v>1388</v>
      </c>
      <c r="O698" s="706" t="s">
        <v>1371</v>
      </c>
      <c r="P698" s="707">
        <v>372</v>
      </c>
      <c r="Q698" s="706" t="s">
        <v>727</v>
      </c>
    </row>
    <row r="699" spans="1:17" ht="28.15" customHeight="1" x14ac:dyDescent="0.2">
      <c r="A699" s="472">
        <v>6</v>
      </c>
      <c r="B699" s="473"/>
      <c r="C699" s="473"/>
      <c r="D699" s="266" t="s">
        <v>1389</v>
      </c>
      <c r="E699" s="1082"/>
      <c r="F699" s="500"/>
      <c r="G699" s="500"/>
      <c r="H699" s="501"/>
      <c r="I699" s="595"/>
      <c r="J699" s="502"/>
      <c r="K699" s="502"/>
      <c r="L699" s="503"/>
      <c r="M699" s="479"/>
      <c r="N699" s="1165"/>
      <c r="O699" s="260"/>
      <c r="P699" s="261"/>
      <c r="Q699" s="260"/>
    </row>
    <row r="700" spans="1:17" ht="24.6" customHeight="1" x14ac:dyDescent="0.2">
      <c r="A700" s="472">
        <v>6</v>
      </c>
      <c r="B700" s="114" t="s">
        <v>1390</v>
      </c>
      <c r="C700" s="114" t="s">
        <v>1391</v>
      </c>
      <c r="D700" s="480" t="s">
        <v>295</v>
      </c>
      <c r="E700" s="481"/>
      <c r="F700" s="481"/>
      <c r="G700" s="481"/>
      <c r="H700" s="481"/>
      <c r="I700" s="481"/>
      <c r="J700" s="482"/>
      <c r="K700" s="482"/>
      <c r="L700" s="483"/>
      <c r="M700" s="135"/>
      <c r="N700" s="718"/>
      <c r="O700" s="708"/>
      <c r="P700" s="709"/>
      <c r="Q700" s="708"/>
    </row>
    <row r="701" spans="1:17" x14ac:dyDescent="0.2">
      <c r="A701" s="472">
        <v>6</v>
      </c>
      <c r="B701" s="304"/>
      <c r="C701" s="304"/>
      <c r="D701" s="589"/>
      <c r="E701" s="574"/>
      <c r="F701" s="490"/>
      <c r="G701" s="267" t="s">
        <v>8</v>
      </c>
      <c r="H701" s="270"/>
      <c r="I701" s="598">
        <f>I702</f>
        <v>100</v>
      </c>
      <c r="J701" s="599">
        <f t="shared" ref="J701:L701" si="107">J702</f>
        <v>120</v>
      </c>
      <c r="K701" s="599">
        <f t="shared" si="107"/>
        <v>120</v>
      </c>
      <c r="L701" s="600">
        <f t="shared" si="107"/>
        <v>120</v>
      </c>
      <c r="M701" s="135"/>
      <c r="N701" s="718"/>
      <c r="O701" s="708"/>
      <c r="P701" s="709"/>
      <c r="Q701" s="708"/>
    </row>
    <row r="702" spans="1:17" ht="28.15" customHeight="1" x14ac:dyDescent="0.2">
      <c r="A702" s="472">
        <v>6</v>
      </c>
      <c r="B702" s="496"/>
      <c r="C702" s="496" t="s">
        <v>1392</v>
      </c>
      <c r="D702" s="485" t="s">
        <v>296</v>
      </c>
      <c r="E702" s="608">
        <v>18</v>
      </c>
      <c r="F702" s="507" t="s">
        <v>297</v>
      </c>
      <c r="G702" s="609" t="s">
        <v>8</v>
      </c>
      <c r="H702" s="487">
        <v>100</v>
      </c>
      <c r="I702" s="190">
        <v>100</v>
      </c>
      <c r="J702" s="100">
        <v>120</v>
      </c>
      <c r="K702" s="417">
        <v>120</v>
      </c>
      <c r="L702" s="423">
        <v>120</v>
      </c>
      <c r="M702" s="135" t="s">
        <v>637</v>
      </c>
      <c r="N702" s="718" t="s">
        <v>1393</v>
      </c>
      <c r="O702" s="485" t="s">
        <v>1394</v>
      </c>
      <c r="P702" s="707">
        <v>25</v>
      </c>
      <c r="Q702" s="706"/>
    </row>
    <row r="703" spans="1:17" ht="21.6" customHeight="1" x14ac:dyDescent="0.2">
      <c r="A703" s="472">
        <v>6</v>
      </c>
      <c r="B703" s="114" t="s">
        <v>1390</v>
      </c>
      <c r="C703" s="114" t="s">
        <v>1390</v>
      </c>
      <c r="D703" s="480" t="s">
        <v>1395</v>
      </c>
      <c r="E703" s="481"/>
      <c r="F703" s="481"/>
      <c r="G703" s="481"/>
      <c r="H703" s="481"/>
      <c r="I703" s="481"/>
      <c r="J703" s="482"/>
      <c r="K703" s="482"/>
      <c r="L703" s="483"/>
      <c r="M703" s="135"/>
      <c r="N703" s="718"/>
      <c r="O703" s="708"/>
      <c r="P703" s="709"/>
      <c r="Q703" s="708"/>
    </row>
    <row r="704" spans="1:17" x14ac:dyDescent="0.2">
      <c r="A704" s="472">
        <v>6</v>
      </c>
      <c r="B704" s="610"/>
      <c r="C704" s="610"/>
      <c r="D704" s="601"/>
      <c r="E704" s="608"/>
      <c r="F704" s="609"/>
      <c r="G704" s="267" t="s">
        <v>8</v>
      </c>
      <c r="H704" s="270"/>
      <c r="I704" s="598">
        <f>I705+I706+I707</f>
        <v>602.9</v>
      </c>
      <c r="J704" s="599">
        <f>J705+J706+J707</f>
        <v>1826</v>
      </c>
      <c r="K704" s="599">
        <f>K705+K706+K707</f>
        <v>1566</v>
      </c>
      <c r="L704" s="600">
        <f>L705+L706+L707</f>
        <v>1566</v>
      </c>
      <c r="M704" s="135"/>
      <c r="N704" s="718"/>
      <c r="O704" s="708"/>
      <c r="P704" s="709"/>
      <c r="Q704" s="708"/>
    </row>
    <row r="705" spans="1:17" ht="22.15" customHeight="1" x14ac:dyDescent="0.2">
      <c r="A705" s="472">
        <v>6</v>
      </c>
      <c r="B705" s="496"/>
      <c r="C705" s="496" t="s">
        <v>1396</v>
      </c>
      <c r="D705" s="611" t="s">
        <v>298</v>
      </c>
      <c r="E705" s="605">
        <v>9</v>
      </c>
      <c r="F705" s="507" t="s">
        <v>299</v>
      </c>
      <c r="G705" s="609" t="s">
        <v>8</v>
      </c>
      <c r="H705" s="487">
        <f>150+75+65+5</f>
        <v>295</v>
      </c>
      <c r="I705" s="15">
        <v>598.9</v>
      </c>
      <c r="J705" s="100">
        <f>1200+200+350</f>
        <v>1750</v>
      </c>
      <c r="K705" s="416">
        <v>1500</v>
      </c>
      <c r="L705" s="560">
        <v>1500</v>
      </c>
      <c r="M705" s="135" t="s">
        <v>624</v>
      </c>
      <c r="N705" s="718" t="s">
        <v>644</v>
      </c>
      <c r="O705" s="706" t="s">
        <v>1397</v>
      </c>
      <c r="P705" s="707">
        <v>100</v>
      </c>
      <c r="Q705" s="706"/>
    </row>
    <row r="706" spans="1:17" ht="27.6" customHeight="1" x14ac:dyDescent="0.2">
      <c r="A706" s="472">
        <v>6</v>
      </c>
      <c r="B706" s="496"/>
      <c r="C706" s="496" t="s">
        <v>1398</v>
      </c>
      <c r="D706" s="611" t="s">
        <v>300</v>
      </c>
      <c r="E706" s="605">
        <v>9</v>
      </c>
      <c r="F706" s="507" t="s">
        <v>301</v>
      </c>
      <c r="G706" s="609" t="s">
        <v>8</v>
      </c>
      <c r="H706" s="487">
        <v>3.1</v>
      </c>
      <c r="I706" s="15">
        <v>4</v>
      </c>
      <c r="J706" s="100">
        <v>6</v>
      </c>
      <c r="K706" s="416">
        <v>6</v>
      </c>
      <c r="L706" s="560">
        <v>6</v>
      </c>
      <c r="M706" s="135" t="s">
        <v>624</v>
      </c>
      <c r="N706" s="718" t="s">
        <v>644</v>
      </c>
      <c r="O706" s="706" t="s">
        <v>1399</v>
      </c>
      <c r="P706" s="707">
        <v>15</v>
      </c>
      <c r="Q706" s="706"/>
    </row>
    <row r="707" spans="1:17" ht="29.45" customHeight="1" x14ac:dyDescent="0.2">
      <c r="A707" s="472">
        <v>6</v>
      </c>
      <c r="B707" s="496"/>
      <c r="C707" s="496" t="s">
        <v>1400</v>
      </c>
      <c r="D707" s="611" t="s">
        <v>302</v>
      </c>
      <c r="E707" s="605">
        <v>9</v>
      </c>
      <c r="F707" s="507" t="s">
        <v>303</v>
      </c>
      <c r="G707" s="609" t="s">
        <v>8</v>
      </c>
      <c r="H707" s="487">
        <v>134.4</v>
      </c>
      <c r="I707" s="15"/>
      <c r="J707" s="100">
        <v>70</v>
      </c>
      <c r="K707" s="416">
        <v>60</v>
      </c>
      <c r="L707" s="560">
        <v>60</v>
      </c>
      <c r="M707" s="135" t="s">
        <v>637</v>
      </c>
      <c r="N707" s="718" t="s">
        <v>703</v>
      </c>
      <c r="O707" s="706" t="s">
        <v>1401</v>
      </c>
      <c r="P707" s="707">
        <v>2</v>
      </c>
      <c r="Q707" s="706" t="s">
        <v>640</v>
      </c>
    </row>
    <row r="708" spans="1:17" ht="19.5" customHeight="1" x14ac:dyDescent="0.2">
      <c r="A708" s="472">
        <v>6</v>
      </c>
      <c r="B708" s="114" t="s">
        <v>1942</v>
      </c>
      <c r="C708" s="114" t="s">
        <v>1942</v>
      </c>
      <c r="D708" s="480" t="s">
        <v>1943</v>
      </c>
      <c r="E708" s="481"/>
      <c r="F708" s="481"/>
      <c r="G708" s="481"/>
      <c r="H708" s="1118"/>
      <c r="I708" s="14"/>
      <c r="J708" s="482"/>
      <c r="K708" s="1119"/>
      <c r="L708" s="1120"/>
      <c r="M708" s="135"/>
      <c r="N708" s="1137"/>
      <c r="O708" s="1132"/>
      <c r="P708" s="1129"/>
      <c r="Q708" s="1133"/>
    </row>
    <row r="709" spans="1:17" x14ac:dyDescent="0.2">
      <c r="A709" s="472">
        <v>6</v>
      </c>
      <c r="B709" s="935"/>
      <c r="C709" s="935"/>
      <c r="D709" s="1121"/>
      <c r="E709" s="303"/>
      <c r="F709" s="1122"/>
      <c r="G709" s="1123" t="s">
        <v>8</v>
      </c>
      <c r="H709" s="1118"/>
      <c r="I709" s="14"/>
      <c r="J709" s="1126">
        <f>SUM(J713,J716,J714,J719)</f>
        <v>428</v>
      </c>
      <c r="K709" s="1119"/>
      <c r="L709" s="1120"/>
      <c r="M709" s="135"/>
      <c r="N709" s="1137"/>
      <c r="O709" s="1132"/>
      <c r="P709" s="1129"/>
      <c r="Q709" s="1133"/>
    </row>
    <row r="710" spans="1:17" x14ac:dyDescent="0.2">
      <c r="A710" s="472">
        <v>6</v>
      </c>
      <c r="B710" s="935"/>
      <c r="C710" s="935"/>
      <c r="D710" s="1121"/>
      <c r="E710" s="303"/>
      <c r="F710" s="1122"/>
      <c r="G710" s="1124" t="s">
        <v>37</v>
      </c>
      <c r="H710" s="1118"/>
      <c r="I710" s="14"/>
      <c r="J710" s="1126">
        <f t="shared" ref="J710" si="108">SUM(J717)</f>
        <v>170.3</v>
      </c>
      <c r="K710" s="1119"/>
      <c r="L710" s="1120"/>
      <c r="M710" s="135"/>
      <c r="N710" s="1137"/>
      <c r="O710" s="1132"/>
      <c r="P710" s="1129"/>
      <c r="Q710" s="1133"/>
    </row>
    <row r="711" spans="1:17" x14ac:dyDescent="0.2">
      <c r="A711" s="472">
        <v>6</v>
      </c>
      <c r="B711" s="935"/>
      <c r="C711" s="935"/>
      <c r="D711" s="1121"/>
      <c r="E711" s="303"/>
      <c r="F711" s="1122"/>
      <c r="G711" s="1124" t="s">
        <v>74</v>
      </c>
      <c r="H711" s="1118"/>
      <c r="I711" s="14"/>
      <c r="J711" s="1126">
        <f>J721</f>
        <v>90</v>
      </c>
      <c r="K711" s="1119"/>
      <c r="L711" s="1120"/>
      <c r="M711" s="135"/>
      <c r="N711" s="1137"/>
      <c r="O711" s="1132"/>
      <c r="P711" s="1129"/>
      <c r="Q711" s="1133"/>
    </row>
    <row r="712" spans="1:17" x14ac:dyDescent="0.2">
      <c r="A712" s="472">
        <v>6</v>
      </c>
      <c r="B712" s="935"/>
      <c r="C712" s="935"/>
      <c r="D712" s="1121"/>
      <c r="E712" s="303"/>
      <c r="F712" s="1122"/>
      <c r="G712" s="271" t="s">
        <v>495</v>
      </c>
      <c r="H712" s="1118"/>
      <c r="I712" s="14"/>
      <c r="J712" s="482">
        <f>SUM(J715,J718,J722,J720)</f>
        <v>688.3</v>
      </c>
      <c r="K712" s="1119"/>
      <c r="L712" s="1120"/>
      <c r="M712" s="135"/>
      <c r="N712" s="1137"/>
      <c r="O712" s="1132"/>
      <c r="P712" s="1129"/>
      <c r="Q712" s="1133"/>
    </row>
    <row r="713" spans="1:17" ht="29.45" customHeight="1" x14ac:dyDescent="0.2">
      <c r="A713" s="472">
        <v>6</v>
      </c>
      <c r="B713" s="496"/>
      <c r="C713" s="496" t="s">
        <v>1944</v>
      </c>
      <c r="D713" s="1125" t="s">
        <v>1202</v>
      </c>
      <c r="E713" s="472">
        <v>9</v>
      </c>
      <c r="F713" s="505" t="s">
        <v>1203</v>
      </c>
      <c r="G713" s="7" t="s">
        <v>8</v>
      </c>
      <c r="H713" s="1118"/>
      <c r="I713" s="14"/>
      <c r="J713" s="506">
        <f>70-7.3</f>
        <v>62.7</v>
      </c>
      <c r="K713" s="1119"/>
      <c r="L713" s="1120"/>
      <c r="M713" s="135"/>
      <c r="N713" s="1134" t="s">
        <v>1204</v>
      </c>
      <c r="O713" s="1229" t="s">
        <v>1205</v>
      </c>
      <c r="P713" s="1230">
        <v>100</v>
      </c>
      <c r="Q713" s="1219" t="s">
        <v>1206</v>
      </c>
    </row>
    <row r="714" spans="1:17" ht="29.45" customHeight="1" x14ac:dyDescent="0.2">
      <c r="A714" s="472">
        <v>6</v>
      </c>
      <c r="B714" s="496"/>
      <c r="C714" s="496"/>
      <c r="D714" s="1125"/>
      <c r="E714" s="1220">
        <v>23</v>
      </c>
      <c r="F714" s="505" t="s">
        <v>2084</v>
      </c>
      <c r="G714" s="7" t="s">
        <v>8</v>
      </c>
      <c r="H714" s="1118"/>
      <c r="I714" s="14"/>
      <c r="J714" s="506">
        <v>7.3</v>
      </c>
      <c r="K714" s="1119"/>
      <c r="L714" s="1120"/>
      <c r="M714" s="135"/>
      <c r="N714" s="1218"/>
      <c r="O714" s="1231"/>
      <c r="P714" s="1232"/>
      <c r="Q714" s="1127"/>
    </row>
    <row r="715" spans="1:17" x14ac:dyDescent="0.2">
      <c r="A715" s="472">
        <v>6</v>
      </c>
      <c r="B715" s="496"/>
      <c r="C715" s="496"/>
      <c r="D715" s="485"/>
      <c r="E715" s="486"/>
      <c r="F715" s="597"/>
      <c r="G715" s="105" t="s">
        <v>495</v>
      </c>
      <c r="H715" s="1118"/>
      <c r="I715" s="14"/>
      <c r="J715" s="107">
        <f>SUM(J713:J714)</f>
        <v>70</v>
      </c>
      <c r="K715" s="1119"/>
      <c r="L715" s="1120"/>
      <c r="M715" s="135"/>
      <c r="N715" s="1137"/>
      <c r="O715" s="1135"/>
      <c r="P715" s="1129"/>
      <c r="Q715" s="1136"/>
    </row>
    <row r="716" spans="1:17" ht="29.45" customHeight="1" x14ac:dyDescent="0.2">
      <c r="A716" s="472">
        <v>6</v>
      </c>
      <c r="B716" s="496"/>
      <c r="C716" s="269" t="s">
        <v>1945</v>
      </c>
      <c r="D716" s="1271" t="s">
        <v>1946</v>
      </c>
      <c r="E716" s="472" t="s">
        <v>1947</v>
      </c>
      <c r="F716" s="490" t="s">
        <v>1948</v>
      </c>
      <c r="G716" s="254" t="s">
        <v>8</v>
      </c>
      <c r="H716" s="1118"/>
      <c r="I716" s="14"/>
      <c r="J716" s="1131">
        <f>353</f>
        <v>353</v>
      </c>
      <c r="K716" s="1119"/>
      <c r="L716" s="1120"/>
      <c r="M716" s="135"/>
      <c r="N716" s="1137" t="s">
        <v>1952</v>
      </c>
      <c r="O716" s="1127" t="s">
        <v>1953</v>
      </c>
      <c r="P716" s="1128">
        <v>2.6</v>
      </c>
      <c r="Q716" s="1136"/>
    </row>
    <row r="717" spans="1:17" ht="29.45" customHeight="1" x14ac:dyDescent="0.2">
      <c r="A717" s="472">
        <v>6</v>
      </c>
      <c r="B717" s="496"/>
      <c r="C717" s="269" t="s">
        <v>1945</v>
      </c>
      <c r="D717" s="1272"/>
      <c r="E717" s="472" t="s">
        <v>1947</v>
      </c>
      <c r="F717" s="490" t="s">
        <v>1948</v>
      </c>
      <c r="G717" s="490" t="s">
        <v>37</v>
      </c>
      <c r="H717" s="1118"/>
      <c r="I717" s="14"/>
      <c r="J717" s="1131">
        <f>170.3</f>
        <v>170.3</v>
      </c>
      <c r="K717" s="1119"/>
      <c r="L717" s="1120"/>
      <c r="M717" s="135"/>
      <c r="N717" s="1137" t="s">
        <v>1952</v>
      </c>
      <c r="O717" s="1127" t="s">
        <v>1954</v>
      </c>
      <c r="P717" s="1129">
        <v>0.8</v>
      </c>
      <c r="Q717" s="1136"/>
    </row>
    <row r="718" spans="1:17" ht="29.45" customHeight="1" x14ac:dyDescent="0.2">
      <c r="A718" s="472">
        <v>6</v>
      </c>
      <c r="B718" s="496"/>
      <c r="C718" s="269"/>
      <c r="D718" s="485"/>
      <c r="E718" s="486"/>
      <c r="F718" s="597"/>
      <c r="G718" s="105" t="s">
        <v>495</v>
      </c>
      <c r="H718" s="1118"/>
      <c r="I718" s="14"/>
      <c r="J718" s="107">
        <f>SUM(J716:J717)</f>
        <v>523.29999999999995</v>
      </c>
      <c r="K718" s="1119"/>
      <c r="L718" s="1120"/>
      <c r="M718" s="135"/>
      <c r="N718" s="1137" t="s">
        <v>1952</v>
      </c>
      <c r="O718" s="1127" t="s">
        <v>1955</v>
      </c>
      <c r="P718" s="1129">
        <v>1</v>
      </c>
      <c r="Q718" s="1136"/>
    </row>
    <row r="719" spans="1:17" ht="39" customHeight="1" x14ac:dyDescent="0.2">
      <c r="A719" s="472">
        <v>6</v>
      </c>
      <c r="B719" s="496"/>
      <c r="C719" s="1221" t="s">
        <v>2086</v>
      </c>
      <c r="D719" s="1222" t="s">
        <v>2087</v>
      </c>
      <c r="E719" s="1220">
        <v>9</v>
      </c>
      <c r="F719" s="1223" t="s">
        <v>2088</v>
      </c>
      <c r="G719" s="1223" t="s">
        <v>8</v>
      </c>
      <c r="H719" s="1118"/>
      <c r="I719" s="14"/>
      <c r="J719" s="1131">
        <v>5</v>
      </c>
      <c r="K719" s="1119"/>
      <c r="L719" s="1120"/>
      <c r="M719" s="135"/>
      <c r="N719" s="1226" t="s">
        <v>731</v>
      </c>
      <c r="O719" s="1227" t="s">
        <v>2089</v>
      </c>
      <c r="P719" s="1228">
        <v>1</v>
      </c>
      <c r="Q719" s="1136"/>
    </row>
    <row r="720" spans="1:17" x14ac:dyDescent="0.2">
      <c r="A720" s="472">
        <v>6</v>
      </c>
      <c r="B720" s="496"/>
      <c r="C720" s="1221"/>
      <c r="D720" s="1222"/>
      <c r="E720" s="1224"/>
      <c r="F720" s="1225"/>
      <c r="G720" s="105" t="s">
        <v>495</v>
      </c>
      <c r="H720" s="1118"/>
      <c r="I720" s="14"/>
      <c r="J720" s="107">
        <f>J719</f>
        <v>5</v>
      </c>
      <c r="K720" s="1119"/>
      <c r="L720" s="1120"/>
      <c r="M720" s="135"/>
      <c r="N720" s="1137"/>
      <c r="O720" s="1127"/>
      <c r="P720" s="1129"/>
      <c r="Q720" s="1136"/>
    </row>
    <row r="721" spans="1:17" ht="29.45" customHeight="1" x14ac:dyDescent="0.2">
      <c r="A721" s="472">
        <v>6</v>
      </c>
      <c r="B721" s="269"/>
      <c r="C721" s="269" t="s">
        <v>1949</v>
      </c>
      <c r="D721" s="485" t="s">
        <v>1950</v>
      </c>
      <c r="E721" s="486">
        <v>9</v>
      </c>
      <c r="F721" s="597" t="s">
        <v>1951</v>
      </c>
      <c r="G721" s="254" t="s">
        <v>74</v>
      </c>
      <c r="H721" s="1118"/>
      <c r="I721" s="14"/>
      <c r="J721" s="1131">
        <v>90</v>
      </c>
      <c r="K721" s="1119"/>
      <c r="L721" s="1120"/>
      <c r="M721" s="135"/>
      <c r="N721" s="1171" t="s">
        <v>731</v>
      </c>
      <c r="O721" s="1135" t="s">
        <v>1956</v>
      </c>
      <c r="P721" s="1129">
        <v>100</v>
      </c>
      <c r="Q721" s="1136" t="s">
        <v>728</v>
      </c>
    </row>
    <row r="722" spans="1:17" x14ac:dyDescent="0.2">
      <c r="A722" s="472">
        <v>6</v>
      </c>
      <c r="B722" s="573"/>
      <c r="C722" s="573"/>
      <c r="D722" s="601"/>
      <c r="E722" s="486"/>
      <c r="F722" s="597"/>
      <c r="G722" s="105" t="s">
        <v>495</v>
      </c>
      <c r="H722" s="1118"/>
      <c r="I722" s="14"/>
      <c r="J722" s="1130">
        <f t="shared" ref="J722" si="109">SUM(J721)</f>
        <v>90</v>
      </c>
      <c r="K722" s="1119"/>
      <c r="L722" s="1120"/>
      <c r="M722" s="135"/>
      <c r="N722" s="1137"/>
      <c r="O722" s="1135"/>
      <c r="P722" s="1129"/>
      <c r="Q722" s="1136"/>
    </row>
    <row r="723" spans="1:17" ht="36" customHeight="1" x14ac:dyDescent="0.2">
      <c r="A723" s="472">
        <v>6</v>
      </c>
      <c r="B723" s="473"/>
      <c r="C723" s="473"/>
      <c r="D723" s="612" t="s">
        <v>1402</v>
      </c>
      <c r="E723" s="1082"/>
      <c r="F723" s="500"/>
      <c r="G723" s="613"/>
      <c r="H723" s="614"/>
      <c r="I723" s="615"/>
      <c r="J723" s="616"/>
      <c r="K723" s="616"/>
      <c r="L723" s="617"/>
      <c r="M723" s="479"/>
      <c r="N723" s="1172"/>
      <c r="O723" s="260"/>
      <c r="P723" s="261"/>
      <c r="Q723" s="389"/>
    </row>
    <row r="724" spans="1:17" ht="30" customHeight="1" x14ac:dyDescent="0.2">
      <c r="A724" s="472">
        <v>6</v>
      </c>
      <c r="B724" s="114" t="s">
        <v>1403</v>
      </c>
      <c r="C724" s="114" t="s">
        <v>1403</v>
      </c>
      <c r="D724" s="480" t="s">
        <v>1404</v>
      </c>
      <c r="E724" s="481"/>
      <c r="F724" s="481"/>
      <c r="G724" s="481"/>
      <c r="H724" s="481"/>
      <c r="I724" s="481"/>
      <c r="J724" s="482"/>
      <c r="K724" s="482"/>
      <c r="L724" s="483"/>
      <c r="M724" s="193"/>
      <c r="N724" s="812"/>
      <c r="O724" s="805"/>
      <c r="P724" s="816"/>
      <c r="Q724" s="333"/>
    </row>
    <row r="725" spans="1:17" ht="12.75" customHeight="1" x14ac:dyDescent="0.2">
      <c r="A725" s="472">
        <v>6</v>
      </c>
      <c r="B725" s="618"/>
      <c r="C725" s="618"/>
      <c r="D725" s="385"/>
      <c r="E725" s="82"/>
      <c r="F725" s="184"/>
      <c r="G725" s="1070" t="s">
        <v>8</v>
      </c>
      <c r="H725" s="271"/>
      <c r="I725" s="272">
        <f>I738+I740+I741+I743+I744+I745+I746+I736</f>
        <v>0</v>
      </c>
      <c r="J725" s="418">
        <f>J738+J740+J741+J743+J744+J745+J746+J736</f>
        <v>34</v>
      </c>
      <c r="K725" s="418">
        <f t="shared" ref="K725:L725" si="110">K738+K740+K741+K743+K744+K745+K746+K736</f>
        <v>2003.4</v>
      </c>
      <c r="L725" s="424">
        <f t="shared" si="110"/>
        <v>1058</v>
      </c>
      <c r="M725" s="193"/>
      <c r="N725" s="812"/>
      <c r="O725" s="1004"/>
      <c r="P725" s="816"/>
      <c r="Q725" s="333"/>
    </row>
    <row r="726" spans="1:17" ht="12.75" customHeight="1" x14ac:dyDescent="0.2">
      <c r="A726" s="472">
        <v>6</v>
      </c>
      <c r="B726" s="619"/>
      <c r="C726" s="619"/>
      <c r="D726" s="385"/>
      <c r="E726" s="82"/>
      <c r="F726" s="184"/>
      <c r="G726" s="1071" t="s">
        <v>80</v>
      </c>
      <c r="H726" s="271"/>
      <c r="I726" s="272">
        <f>I731</f>
        <v>0</v>
      </c>
      <c r="J726" s="418">
        <f>J731</f>
        <v>390</v>
      </c>
      <c r="K726" s="418">
        <f t="shared" ref="K726:L726" si="111">K731</f>
        <v>0</v>
      </c>
      <c r="L726" s="424">
        <f t="shared" si="111"/>
        <v>0</v>
      </c>
      <c r="M726" s="193"/>
      <c r="N726" s="812"/>
      <c r="O726" s="805"/>
      <c r="P726" s="816"/>
      <c r="Q726" s="333"/>
    </row>
    <row r="727" spans="1:17" ht="12.75" customHeight="1" x14ac:dyDescent="0.2">
      <c r="A727" s="472">
        <v>6</v>
      </c>
      <c r="B727" s="619"/>
      <c r="C727" s="619"/>
      <c r="D727" s="385"/>
      <c r="E727" s="82"/>
      <c r="F727" s="184"/>
      <c r="G727" s="1071" t="s">
        <v>202</v>
      </c>
      <c r="H727" s="271"/>
      <c r="I727" s="272">
        <f>I734</f>
        <v>0</v>
      </c>
      <c r="J727" s="418">
        <f t="shared" ref="J727:L727" si="112">J734</f>
        <v>0</v>
      </c>
      <c r="K727" s="418">
        <f t="shared" si="112"/>
        <v>0</v>
      </c>
      <c r="L727" s="424">
        <f t="shared" si="112"/>
        <v>0</v>
      </c>
      <c r="M727" s="193"/>
      <c r="N727" s="812"/>
      <c r="O727" s="805"/>
      <c r="P727" s="816"/>
      <c r="Q727" s="333"/>
    </row>
    <row r="728" spans="1:17" ht="12.75" customHeight="1" x14ac:dyDescent="0.2">
      <c r="A728" s="472">
        <v>6</v>
      </c>
      <c r="B728" s="619"/>
      <c r="C728" s="619"/>
      <c r="D728" s="385"/>
      <c r="E728" s="82"/>
      <c r="F728" s="184"/>
      <c r="G728" s="1071" t="s">
        <v>11</v>
      </c>
      <c r="H728" s="271"/>
      <c r="I728" s="272"/>
      <c r="J728" s="418">
        <f>J735</f>
        <v>81.599999999999994</v>
      </c>
      <c r="K728" s="418"/>
      <c r="L728" s="424"/>
      <c r="M728" s="193"/>
      <c r="N728" s="812"/>
      <c r="O728" s="805"/>
      <c r="P728" s="816"/>
      <c r="Q728" s="333"/>
    </row>
    <row r="729" spans="1:17" ht="12.75" customHeight="1" x14ac:dyDescent="0.2">
      <c r="A729" s="472">
        <v>6</v>
      </c>
      <c r="B729" s="619"/>
      <c r="C729" s="619"/>
      <c r="D729" s="385"/>
      <c r="E729" s="82"/>
      <c r="F729" s="184"/>
      <c r="G729" s="1070" t="s">
        <v>74</v>
      </c>
      <c r="H729" s="271"/>
      <c r="I729" s="272">
        <f>I732+I733+I737+I739+I742+I747</f>
        <v>33</v>
      </c>
      <c r="J729" s="418">
        <f t="shared" ref="J729:L729" si="113">J732+J733+J737+J739+J742+J747</f>
        <v>1723</v>
      </c>
      <c r="K729" s="418">
        <f t="shared" si="113"/>
        <v>868.6</v>
      </c>
      <c r="L729" s="424">
        <f t="shared" si="113"/>
        <v>242</v>
      </c>
      <c r="M729" s="193"/>
      <c r="N729" s="812"/>
      <c r="O729" s="805"/>
      <c r="P729" s="816"/>
      <c r="Q729" s="333"/>
    </row>
    <row r="730" spans="1:17" ht="12.75" customHeight="1" x14ac:dyDescent="0.2">
      <c r="A730" s="472">
        <v>6</v>
      </c>
      <c r="B730" s="619"/>
      <c r="C730" s="619"/>
      <c r="D730" s="385"/>
      <c r="E730" s="82"/>
      <c r="F730" s="184"/>
      <c r="G730" s="1072" t="s">
        <v>495</v>
      </c>
      <c r="H730" s="271"/>
      <c r="I730" s="272">
        <f>SUM(I725:I729)</f>
        <v>33</v>
      </c>
      <c r="J730" s="418">
        <f>SUM(J725:J729)</f>
        <v>2228.6</v>
      </c>
      <c r="K730" s="418">
        <f t="shared" ref="K730:L730" si="114">SUM(K725:K729)</f>
        <v>2872</v>
      </c>
      <c r="L730" s="424">
        <f t="shared" si="114"/>
        <v>1300</v>
      </c>
      <c r="M730" s="193"/>
      <c r="N730" s="812"/>
      <c r="O730" s="805"/>
      <c r="P730" s="816"/>
      <c r="Q730" s="333"/>
    </row>
    <row r="731" spans="1:17" ht="20.45" customHeight="1" x14ac:dyDescent="0.2">
      <c r="A731" s="472">
        <v>6</v>
      </c>
      <c r="B731" s="620"/>
      <c r="C731" s="620" t="s">
        <v>1405</v>
      </c>
      <c r="D731" s="1252" t="s">
        <v>1406</v>
      </c>
      <c r="E731" s="140" t="s">
        <v>103</v>
      </c>
      <c r="F731" s="184" t="s">
        <v>1407</v>
      </c>
      <c r="G731" s="140" t="s">
        <v>80</v>
      </c>
      <c r="H731" s="193"/>
      <c r="I731" s="912">
        <v>0</v>
      </c>
      <c r="J731" s="100">
        <v>390</v>
      </c>
      <c r="K731" s="621">
        <v>0</v>
      </c>
      <c r="L731" s="622">
        <v>0</v>
      </c>
      <c r="M731" s="425"/>
      <c r="N731" s="812" t="s">
        <v>1408</v>
      </c>
      <c r="O731" s="738" t="s">
        <v>1196</v>
      </c>
      <c r="P731" s="432">
        <v>70</v>
      </c>
      <c r="Q731" s="742" t="s">
        <v>700</v>
      </c>
    </row>
    <row r="732" spans="1:17" ht="12.75" customHeight="1" x14ac:dyDescent="0.2">
      <c r="A732" s="472">
        <v>6</v>
      </c>
      <c r="B732" s="620"/>
      <c r="C732" s="620" t="s">
        <v>1405</v>
      </c>
      <c r="D732" s="1253"/>
      <c r="E732" s="140" t="s">
        <v>103</v>
      </c>
      <c r="F732" s="184" t="s">
        <v>1407</v>
      </c>
      <c r="G732" s="140" t="s">
        <v>74</v>
      </c>
      <c r="H732" s="193"/>
      <c r="I732" s="912">
        <v>0</v>
      </c>
      <c r="J732" s="100">
        <v>105</v>
      </c>
      <c r="K732" s="621">
        <v>300</v>
      </c>
      <c r="L732" s="623"/>
      <c r="M732" s="123"/>
      <c r="N732" s="812"/>
      <c r="O732" s="738"/>
      <c r="P732" s="432"/>
      <c r="Q732" s="741" t="s">
        <v>700</v>
      </c>
    </row>
    <row r="733" spans="1:17" ht="22.15" customHeight="1" x14ac:dyDescent="0.2">
      <c r="A733" s="472">
        <v>6</v>
      </c>
      <c r="B733" s="620"/>
      <c r="C733" s="620" t="s">
        <v>1409</v>
      </c>
      <c r="D733" s="1236" t="s">
        <v>1410</v>
      </c>
      <c r="E733" s="432" t="s">
        <v>103</v>
      </c>
      <c r="F733" s="184" t="s">
        <v>1407</v>
      </c>
      <c r="G733" s="164" t="s">
        <v>74</v>
      </c>
      <c r="H733" s="193"/>
      <c r="I733" s="912">
        <v>0</v>
      </c>
      <c r="J733" s="100">
        <v>1504</v>
      </c>
      <c r="K733" s="624">
        <v>0</v>
      </c>
      <c r="L733" s="625">
        <v>0</v>
      </c>
      <c r="M733" s="425"/>
      <c r="N733" s="1047" t="s">
        <v>1408</v>
      </c>
      <c r="O733" s="738" t="s">
        <v>1196</v>
      </c>
      <c r="P733" s="432">
        <v>50</v>
      </c>
      <c r="Q733" s="741" t="s">
        <v>1411</v>
      </c>
    </row>
    <row r="734" spans="1:17" ht="12.75" customHeight="1" x14ac:dyDescent="0.2">
      <c r="A734" s="472">
        <v>6</v>
      </c>
      <c r="B734" s="620"/>
      <c r="C734" s="620" t="s">
        <v>1409</v>
      </c>
      <c r="D734" s="1237"/>
      <c r="E734" s="504">
        <v>9</v>
      </c>
      <c r="F734" s="184" t="s">
        <v>1407</v>
      </c>
      <c r="G734" s="164" t="s">
        <v>202</v>
      </c>
      <c r="H734" s="193"/>
      <c r="I734" s="912">
        <v>0</v>
      </c>
      <c r="J734" s="100">
        <f>174.105-174.105+137.1-55.5-81.6</f>
        <v>0</v>
      </c>
      <c r="K734" s="621">
        <v>0</v>
      </c>
      <c r="L734" s="625">
        <v>0</v>
      </c>
      <c r="M734" s="425" t="s">
        <v>710</v>
      </c>
      <c r="N734" s="1047" t="s">
        <v>848</v>
      </c>
      <c r="O734" s="1005" t="s">
        <v>1412</v>
      </c>
      <c r="P734" s="432">
        <v>100</v>
      </c>
      <c r="Q734" s="741" t="s">
        <v>1411</v>
      </c>
    </row>
    <row r="735" spans="1:17" ht="12.75" customHeight="1" x14ac:dyDescent="0.2">
      <c r="A735" s="472">
        <v>6</v>
      </c>
      <c r="B735" s="626"/>
      <c r="C735" s="620" t="s">
        <v>1409</v>
      </c>
      <c r="D735" s="1237"/>
      <c r="E735" s="504">
        <v>9</v>
      </c>
      <c r="F735" s="184" t="s">
        <v>1407</v>
      </c>
      <c r="G735" s="323" t="s">
        <v>11</v>
      </c>
      <c r="H735" s="193"/>
      <c r="I735" s="912"/>
      <c r="J735" s="100">
        <f>81.6</f>
        <v>81.599999999999994</v>
      </c>
      <c r="K735" s="621"/>
      <c r="L735" s="627"/>
      <c r="M735" s="425"/>
      <c r="N735" s="1047" t="s">
        <v>848</v>
      </c>
      <c r="O735" s="1005" t="s">
        <v>1412</v>
      </c>
      <c r="P735" s="432">
        <v>100</v>
      </c>
      <c r="Q735" s="741" t="s">
        <v>1411</v>
      </c>
    </row>
    <row r="736" spans="1:17" ht="12.75" customHeight="1" x14ac:dyDescent="0.2">
      <c r="A736" s="472">
        <v>6</v>
      </c>
      <c r="B736" s="626"/>
      <c r="C736" s="620" t="s">
        <v>1409</v>
      </c>
      <c r="D736" s="1238"/>
      <c r="E736" s="1083">
        <v>9</v>
      </c>
      <c r="F736" s="184" t="s">
        <v>1407</v>
      </c>
      <c r="G736" s="164" t="s">
        <v>8</v>
      </c>
      <c r="H736" s="193"/>
      <c r="I736" s="912">
        <v>0</v>
      </c>
      <c r="J736" s="100"/>
      <c r="K736" s="621">
        <f>575.9+174.1-J734</f>
        <v>750</v>
      </c>
      <c r="L736" s="627"/>
      <c r="M736" s="425" t="s">
        <v>710</v>
      </c>
      <c r="N736" s="1048"/>
      <c r="O736" s="1006"/>
      <c r="P736" s="983"/>
      <c r="Q736" s="741" t="s">
        <v>1411</v>
      </c>
    </row>
    <row r="737" spans="1:17" ht="30" customHeight="1" x14ac:dyDescent="0.2">
      <c r="A737" s="472">
        <v>6</v>
      </c>
      <c r="B737" s="626"/>
      <c r="C737" s="626" t="s">
        <v>1413</v>
      </c>
      <c r="D737" s="1275" t="s">
        <v>1414</v>
      </c>
      <c r="E737" s="983" t="s">
        <v>103</v>
      </c>
      <c r="F737" s="184" t="s">
        <v>1407</v>
      </c>
      <c r="G737" s="1073" t="s">
        <v>74</v>
      </c>
      <c r="H737" s="628"/>
      <c r="I737" s="913">
        <v>33</v>
      </c>
      <c r="J737" s="100">
        <v>84</v>
      </c>
      <c r="K737" s="629">
        <v>105.6</v>
      </c>
      <c r="L737" s="627">
        <v>0</v>
      </c>
      <c r="M737" s="425"/>
      <c r="N737" s="1048" t="s">
        <v>1408</v>
      </c>
      <c r="O737" s="1006" t="s">
        <v>1196</v>
      </c>
      <c r="P737" s="983">
        <v>20</v>
      </c>
      <c r="Q737" s="743" t="s">
        <v>750</v>
      </c>
    </row>
    <row r="738" spans="1:17" ht="12.75" customHeight="1" x14ac:dyDescent="0.2">
      <c r="A738" s="472">
        <v>6</v>
      </c>
      <c r="B738" s="630"/>
      <c r="C738" s="626" t="s">
        <v>1413</v>
      </c>
      <c r="D738" s="1276"/>
      <c r="E738" s="1084">
        <v>9</v>
      </c>
      <c r="F738" s="184" t="s">
        <v>1407</v>
      </c>
      <c r="G738" s="156" t="s">
        <v>8</v>
      </c>
      <c r="H738" s="631"/>
      <c r="I738" s="914">
        <v>0</v>
      </c>
      <c r="J738" s="100">
        <f>216-150-66</f>
        <v>0</v>
      </c>
      <c r="K738" s="632">
        <f>271.4+150</f>
        <v>421.4</v>
      </c>
      <c r="L738" s="633">
        <v>0</v>
      </c>
      <c r="M738" s="425" t="s">
        <v>710</v>
      </c>
      <c r="N738" s="1047" t="s">
        <v>848</v>
      </c>
      <c r="O738" s="1005" t="s">
        <v>1412</v>
      </c>
      <c r="P738" s="982">
        <v>100</v>
      </c>
      <c r="Q738" s="744" t="s">
        <v>750</v>
      </c>
    </row>
    <row r="739" spans="1:17" ht="21.6" customHeight="1" x14ac:dyDescent="0.2">
      <c r="A739" s="472">
        <v>6</v>
      </c>
      <c r="B739" s="626"/>
      <c r="C739" s="626" t="s">
        <v>1415</v>
      </c>
      <c r="D739" s="1277" t="s">
        <v>1416</v>
      </c>
      <c r="E739" s="983" t="s">
        <v>103</v>
      </c>
      <c r="F739" s="184" t="s">
        <v>1407</v>
      </c>
      <c r="G739" s="1073" t="s">
        <v>74</v>
      </c>
      <c r="H739" s="628"/>
      <c r="I739" s="913">
        <v>0</v>
      </c>
      <c r="J739" s="100">
        <v>30</v>
      </c>
      <c r="K739" s="629">
        <v>50</v>
      </c>
      <c r="L739" s="627">
        <v>242</v>
      </c>
      <c r="M739" s="425"/>
      <c r="N739" s="1048" t="s">
        <v>1408</v>
      </c>
      <c r="O739" s="1007" t="s">
        <v>1417</v>
      </c>
      <c r="P739" s="983">
        <v>1</v>
      </c>
      <c r="Q739" s="743" t="s">
        <v>727</v>
      </c>
    </row>
    <row r="740" spans="1:17" ht="24" customHeight="1" x14ac:dyDescent="0.2">
      <c r="A740" s="472">
        <v>6</v>
      </c>
      <c r="B740" s="634"/>
      <c r="C740" s="626" t="s">
        <v>1415</v>
      </c>
      <c r="D740" s="1278"/>
      <c r="E740" s="1085">
        <v>9</v>
      </c>
      <c r="F740" s="184" t="s">
        <v>1407</v>
      </c>
      <c r="G740" s="1074" t="s">
        <v>8</v>
      </c>
      <c r="H740" s="635"/>
      <c r="I740" s="915">
        <v>0</v>
      </c>
      <c r="J740" s="100">
        <v>0</v>
      </c>
      <c r="K740" s="636">
        <v>0</v>
      </c>
      <c r="L740" s="637">
        <v>858</v>
      </c>
      <c r="M740" s="425" t="s">
        <v>710</v>
      </c>
      <c r="N740" s="1049"/>
      <c r="O740" s="1008"/>
      <c r="P740" s="984"/>
      <c r="Q740" s="745" t="s">
        <v>727</v>
      </c>
    </row>
    <row r="741" spans="1:17" ht="21.6" customHeight="1" x14ac:dyDescent="0.2">
      <c r="A741" s="472">
        <v>6</v>
      </c>
      <c r="B741" s="630"/>
      <c r="C741" s="630" t="s">
        <v>1418</v>
      </c>
      <c r="D741" s="1273" t="s">
        <v>1419</v>
      </c>
      <c r="E741" s="993">
        <v>9</v>
      </c>
      <c r="F741" s="184" t="s">
        <v>1407</v>
      </c>
      <c r="G741" s="156" t="s">
        <v>8</v>
      </c>
      <c r="H741" s="631"/>
      <c r="I741" s="914"/>
      <c r="J741" s="100">
        <f>300-274-20</f>
        <v>6</v>
      </c>
      <c r="K741" s="632">
        <v>762</v>
      </c>
      <c r="L741" s="633">
        <v>0</v>
      </c>
      <c r="M741" s="425" t="s">
        <v>627</v>
      </c>
      <c r="N741" s="812" t="s">
        <v>1420</v>
      </c>
      <c r="O741" s="158" t="s">
        <v>1421</v>
      </c>
      <c r="P741" s="982">
        <v>30</v>
      </c>
      <c r="Q741" s="59" t="s">
        <v>640</v>
      </c>
    </row>
    <row r="742" spans="1:17" ht="27" customHeight="1" x14ac:dyDescent="0.2">
      <c r="A742" s="472">
        <v>6</v>
      </c>
      <c r="B742" s="630"/>
      <c r="C742" s="630" t="s">
        <v>1418</v>
      </c>
      <c r="D742" s="1274"/>
      <c r="E742" s="984">
        <v>9</v>
      </c>
      <c r="F742" s="184" t="s">
        <v>1407</v>
      </c>
      <c r="G742" s="1074" t="s">
        <v>74</v>
      </c>
      <c r="H742" s="635"/>
      <c r="I742" s="915">
        <v>0</v>
      </c>
      <c r="J742" s="100">
        <v>0</v>
      </c>
      <c r="K742" s="636">
        <v>413</v>
      </c>
      <c r="L742" s="637">
        <v>0</v>
      </c>
      <c r="M742" s="425"/>
      <c r="N742" s="1049"/>
      <c r="O742" s="1009" t="s">
        <v>1229</v>
      </c>
      <c r="P742" s="984">
        <v>1</v>
      </c>
      <c r="Q742" s="746" t="s">
        <v>640</v>
      </c>
    </row>
    <row r="743" spans="1:17" ht="22.5" x14ac:dyDescent="0.2">
      <c r="A743" s="472">
        <v>6</v>
      </c>
      <c r="B743" s="638"/>
      <c r="C743" s="630" t="s">
        <v>1422</v>
      </c>
      <c r="D743" s="333" t="s">
        <v>1423</v>
      </c>
      <c r="E743" s="982">
        <v>9</v>
      </c>
      <c r="F743" s="184" t="s">
        <v>1407</v>
      </c>
      <c r="G743" s="156" t="s">
        <v>8</v>
      </c>
      <c r="H743" s="631"/>
      <c r="I743" s="914">
        <v>0</v>
      </c>
      <c r="J743" s="100">
        <f>70-70</f>
        <v>0</v>
      </c>
      <c r="K743" s="632">
        <v>30</v>
      </c>
      <c r="L743" s="633">
        <v>0</v>
      </c>
      <c r="M743" s="425" t="s">
        <v>627</v>
      </c>
      <c r="N743" s="812" t="s">
        <v>848</v>
      </c>
      <c r="O743" s="158" t="s">
        <v>1424</v>
      </c>
      <c r="P743" s="984">
        <v>1</v>
      </c>
      <c r="Q743" s="59" t="s">
        <v>1411</v>
      </c>
    </row>
    <row r="744" spans="1:17" ht="22.5" x14ac:dyDescent="0.2">
      <c r="A744" s="472">
        <v>6</v>
      </c>
      <c r="B744" s="638"/>
      <c r="C744" s="630" t="s">
        <v>1425</v>
      </c>
      <c r="D744" s="333" t="s">
        <v>1426</v>
      </c>
      <c r="E744" s="432">
        <v>28</v>
      </c>
      <c r="F744" s="184" t="s">
        <v>2097</v>
      </c>
      <c r="G744" s="432" t="s">
        <v>8</v>
      </c>
      <c r="H744" s="193"/>
      <c r="I744" s="912">
        <v>0</v>
      </c>
      <c r="J744" s="100">
        <v>10</v>
      </c>
      <c r="K744" s="621">
        <v>0</v>
      </c>
      <c r="L744" s="625">
        <v>0</v>
      </c>
      <c r="M744" s="425" t="s">
        <v>710</v>
      </c>
      <c r="N744" s="1010" t="s">
        <v>1427</v>
      </c>
      <c r="O744" s="139" t="s">
        <v>1333</v>
      </c>
      <c r="P744" s="432">
        <v>1</v>
      </c>
      <c r="Q744" s="741" t="s">
        <v>712</v>
      </c>
    </row>
    <row r="745" spans="1:17" ht="22.5" x14ac:dyDescent="0.2">
      <c r="A745" s="472">
        <v>6</v>
      </c>
      <c r="B745" s="639"/>
      <c r="C745" s="634" t="s">
        <v>1428</v>
      </c>
      <c r="D745" s="374" t="s">
        <v>1429</v>
      </c>
      <c r="E745" s="983">
        <v>28</v>
      </c>
      <c r="F745" s="184" t="s">
        <v>2097</v>
      </c>
      <c r="G745" s="983" t="s">
        <v>8</v>
      </c>
      <c r="H745" s="628"/>
      <c r="I745" s="913">
        <v>0</v>
      </c>
      <c r="J745" s="100">
        <f>23-5</f>
        <v>18</v>
      </c>
      <c r="K745" s="629">
        <v>0</v>
      </c>
      <c r="L745" s="627">
        <v>0</v>
      </c>
      <c r="M745" s="425" t="s">
        <v>710</v>
      </c>
      <c r="N745" s="812" t="s">
        <v>1427</v>
      </c>
      <c r="O745" s="1010" t="s">
        <v>1430</v>
      </c>
      <c r="P745" s="983">
        <v>100</v>
      </c>
      <c r="Q745" s="743" t="s">
        <v>712</v>
      </c>
    </row>
    <row r="746" spans="1:17" ht="20.25" customHeight="1" x14ac:dyDescent="0.2">
      <c r="A746" s="472">
        <v>6</v>
      </c>
      <c r="B746" s="640"/>
      <c r="C746" s="630" t="s">
        <v>1431</v>
      </c>
      <c r="D746" s="1273" t="s">
        <v>1432</v>
      </c>
      <c r="E746" s="157">
        <v>9</v>
      </c>
      <c r="F746" s="184" t="s">
        <v>1407</v>
      </c>
      <c r="G746" s="155" t="s">
        <v>8</v>
      </c>
      <c r="H746" s="196"/>
      <c r="I746" s="916">
        <v>0</v>
      </c>
      <c r="J746" s="100">
        <f>40-40</f>
        <v>0</v>
      </c>
      <c r="K746" s="641">
        <v>40</v>
      </c>
      <c r="L746" s="642">
        <v>200</v>
      </c>
      <c r="M746" s="123" t="s">
        <v>710</v>
      </c>
      <c r="N746" s="1173" t="s">
        <v>848</v>
      </c>
      <c r="O746" s="1011" t="s">
        <v>1433</v>
      </c>
      <c r="P746" s="982">
        <v>100</v>
      </c>
      <c r="Q746" s="727" t="s">
        <v>1411</v>
      </c>
    </row>
    <row r="747" spans="1:17" ht="36.6" customHeight="1" x14ac:dyDescent="0.2">
      <c r="A747" s="472">
        <v>6</v>
      </c>
      <c r="B747" s="634"/>
      <c r="C747" s="630" t="s">
        <v>1431</v>
      </c>
      <c r="D747" s="1274"/>
      <c r="E747" s="1086" t="s">
        <v>103</v>
      </c>
      <c r="F747" s="184" t="s">
        <v>1407</v>
      </c>
      <c r="G747" s="1075" t="s">
        <v>74</v>
      </c>
      <c r="H747" s="643"/>
      <c r="I747" s="917">
        <v>0</v>
      </c>
      <c r="J747" s="100">
        <v>0</v>
      </c>
      <c r="K747" s="644">
        <v>0</v>
      </c>
      <c r="L747" s="645">
        <v>0</v>
      </c>
      <c r="M747" s="123"/>
      <c r="N747" s="1050" t="s">
        <v>1408</v>
      </c>
      <c r="O747" s="1012"/>
      <c r="P747" s="962"/>
      <c r="Q747" s="865" t="s">
        <v>1411</v>
      </c>
    </row>
    <row r="748" spans="1:17" ht="27" customHeight="1" x14ac:dyDescent="0.2">
      <c r="A748" s="472">
        <v>6</v>
      </c>
      <c r="B748" s="646"/>
      <c r="C748" s="646" t="s">
        <v>1434</v>
      </c>
      <c r="D748" s="647" t="s">
        <v>1435</v>
      </c>
      <c r="E748" s="1076"/>
      <c r="F748" s="1076"/>
      <c r="G748" s="1076"/>
      <c r="H748" s="273"/>
      <c r="I748" s="648"/>
      <c r="J748" s="649"/>
      <c r="K748" s="649"/>
      <c r="L748" s="650"/>
      <c r="M748" s="123"/>
      <c r="N748" s="805"/>
      <c r="O748" s="1013"/>
      <c r="P748" s="985"/>
      <c r="Q748" s="741"/>
    </row>
    <row r="749" spans="1:17" ht="25.9" customHeight="1" x14ac:dyDescent="0.2">
      <c r="A749" s="472">
        <v>6</v>
      </c>
      <c r="B749" s="646"/>
      <c r="C749" s="646"/>
      <c r="D749" s="651"/>
      <c r="E749" s="1076"/>
      <c r="F749" s="1076"/>
      <c r="G749" s="1076" t="s">
        <v>8</v>
      </c>
      <c r="H749" s="273"/>
      <c r="I749" s="648">
        <f>I750+I751+I761+I762+I769</f>
        <v>445.3</v>
      </c>
      <c r="J749" s="649">
        <f>J750+J751+J761+J762</f>
        <v>904.6</v>
      </c>
      <c r="K749" s="649">
        <f>K750+K751+K761+K762+K769</f>
        <v>887.09999999999991</v>
      </c>
      <c r="L749" s="650">
        <f>L750+L751+L761+L762+L769</f>
        <v>1450.4</v>
      </c>
      <c r="M749" s="123"/>
      <c r="N749" s="805"/>
      <c r="O749" s="1004"/>
      <c r="P749" s="432"/>
      <c r="Q749" s="741"/>
    </row>
    <row r="750" spans="1:17" ht="22.5" x14ac:dyDescent="0.2">
      <c r="A750" s="472">
        <v>6</v>
      </c>
      <c r="B750" s="427"/>
      <c r="C750" s="427" t="s">
        <v>1436</v>
      </c>
      <c r="D750" s="209" t="s">
        <v>104</v>
      </c>
      <c r="E750" s="135">
        <v>2</v>
      </c>
      <c r="F750" s="135" t="s">
        <v>105</v>
      </c>
      <c r="G750" s="135" t="s">
        <v>8</v>
      </c>
      <c r="H750" s="652"/>
      <c r="I750" s="912">
        <v>10.199999999999999</v>
      </c>
      <c r="J750" s="100">
        <v>23.7</v>
      </c>
      <c r="K750" s="653">
        <v>0</v>
      </c>
      <c r="L750" s="654">
        <v>0</v>
      </c>
      <c r="M750" s="123" t="s">
        <v>627</v>
      </c>
      <c r="N750" s="805" t="s">
        <v>1437</v>
      </c>
      <c r="O750" s="139" t="s">
        <v>1438</v>
      </c>
      <c r="P750" s="432">
        <v>1</v>
      </c>
      <c r="Q750" s="741"/>
    </row>
    <row r="751" spans="1:17" ht="22.5" x14ac:dyDescent="0.2">
      <c r="A751" s="472">
        <v>6</v>
      </c>
      <c r="B751" s="655"/>
      <c r="C751" s="655" t="s">
        <v>1439</v>
      </c>
      <c r="D751" s="656" t="s">
        <v>1440</v>
      </c>
      <c r="E751" s="1077">
        <v>9</v>
      </c>
      <c r="F751" s="1077" t="s">
        <v>107</v>
      </c>
      <c r="G751" s="1077" t="s">
        <v>8</v>
      </c>
      <c r="H751" s="657" t="s">
        <v>1441</v>
      </c>
      <c r="I751" s="912">
        <f>SUM(I752:I760)</f>
        <v>78.5</v>
      </c>
      <c r="J751" s="100">
        <f>SUM(J752:J760)</f>
        <v>251</v>
      </c>
      <c r="K751" s="658">
        <v>200</v>
      </c>
      <c r="L751" s="659">
        <v>200</v>
      </c>
      <c r="M751" s="123"/>
      <c r="N751" s="805" t="s">
        <v>848</v>
      </c>
      <c r="O751" s="1004"/>
      <c r="P751" s="432"/>
      <c r="Q751" s="741"/>
    </row>
    <row r="752" spans="1:17" ht="22.5" x14ac:dyDescent="0.2">
      <c r="A752" s="472">
        <v>6</v>
      </c>
      <c r="B752" s="427"/>
      <c r="C752" s="427" t="s">
        <v>1436</v>
      </c>
      <c r="D752" s="203" t="s">
        <v>1442</v>
      </c>
      <c r="E752" s="135">
        <v>9</v>
      </c>
      <c r="F752" s="135" t="s">
        <v>107</v>
      </c>
      <c r="G752" s="135" t="s">
        <v>8</v>
      </c>
      <c r="H752" s="660"/>
      <c r="I752" s="912">
        <v>47</v>
      </c>
      <c r="J752" s="100">
        <v>48</v>
      </c>
      <c r="K752" s="661"/>
      <c r="L752" s="623"/>
      <c r="M752" s="123" t="s">
        <v>627</v>
      </c>
      <c r="N752" s="805" t="s">
        <v>848</v>
      </c>
      <c r="O752" s="139" t="s">
        <v>1443</v>
      </c>
      <c r="P752" s="432">
        <v>1</v>
      </c>
      <c r="Q752" s="117" t="s">
        <v>640</v>
      </c>
    </row>
    <row r="753" spans="1:17" ht="23.25" customHeight="1" x14ac:dyDescent="0.2">
      <c r="A753" s="472">
        <v>6</v>
      </c>
      <c r="B753" s="427"/>
      <c r="C753" s="427" t="s">
        <v>1439</v>
      </c>
      <c r="D753" s="203" t="s">
        <v>1444</v>
      </c>
      <c r="E753" s="135">
        <v>9</v>
      </c>
      <c r="F753" s="135" t="s">
        <v>107</v>
      </c>
      <c r="G753" s="135" t="s">
        <v>8</v>
      </c>
      <c r="H753" s="660"/>
      <c r="I753" s="912">
        <v>4.9000000000000004</v>
      </c>
      <c r="J753" s="100">
        <v>6</v>
      </c>
      <c r="K753" s="661"/>
      <c r="L753" s="623"/>
      <c r="M753" s="123" t="s">
        <v>627</v>
      </c>
      <c r="N753" s="805" t="s">
        <v>848</v>
      </c>
      <c r="O753" s="139" t="s">
        <v>1443</v>
      </c>
      <c r="P753" s="432">
        <v>1</v>
      </c>
      <c r="Q753" s="117" t="s">
        <v>640</v>
      </c>
    </row>
    <row r="754" spans="1:17" ht="25.5" customHeight="1" x14ac:dyDescent="0.2">
      <c r="A754" s="472">
        <v>6</v>
      </c>
      <c r="B754" s="427"/>
      <c r="C754" s="427" t="s">
        <v>1445</v>
      </c>
      <c r="D754" s="203" t="s">
        <v>1446</v>
      </c>
      <c r="E754" s="135">
        <v>9</v>
      </c>
      <c r="F754" s="135" t="s">
        <v>107</v>
      </c>
      <c r="G754" s="135" t="s">
        <v>8</v>
      </c>
      <c r="H754" s="660"/>
      <c r="I754" s="912"/>
      <c r="J754" s="100">
        <v>6</v>
      </c>
      <c r="K754" s="661"/>
      <c r="L754" s="623"/>
      <c r="M754" s="123" t="s">
        <v>627</v>
      </c>
      <c r="N754" s="805" t="s">
        <v>848</v>
      </c>
      <c r="O754" s="139" t="s">
        <v>1443</v>
      </c>
      <c r="P754" s="432">
        <v>1</v>
      </c>
      <c r="Q754" s="117" t="s">
        <v>640</v>
      </c>
    </row>
    <row r="755" spans="1:17" ht="36.75" customHeight="1" x14ac:dyDescent="0.2">
      <c r="A755" s="472">
        <v>6</v>
      </c>
      <c r="B755" s="427"/>
      <c r="C755" s="427" t="s">
        <v>1447</v>
      </c>
      <c r="D755" s="203" t="s">
        <v>1448</v>
      </c>
      <c r="E755" s="135">
        <v>9</v>
      </c>
      <c r="F755" s="135" t="s">
        <v>107</v>
      </c>
      <c r="G755" s="135" t="s">
        <v>8</v>
      </c>
      <c r="H755" s="660"/>
      <c r="I755" s="912">
        <v>2.5</v>
      </c>
      <c r="J755" s="100">
        <v>6</v>
      </c>
      <c r="K755" s="661"/>
      <c r="L755" s="623"/>
      <c r="M755" s="123" t="s">
        <v>627</v>
      </c>
      <c r="N755" s="805" t="s">
        <v>848</v>
      </c>
      <c r="O755" s="139" t="s">
        <v>1443</v>
      </c>
      <c r="P755" s="432">
        <v>1</v>
      </c>
      <c r="Q755" s="117" t="s">
        <v>640</v>
      </c>
    </row>
    <row r="756" spans="1:17" ht="30.75" customHeight="1" x14ac:dyDescent="0.2">
      <c r="A756" s="472">
        <v>6</v>
      </c>
      <c r="B756" s="427"/>
      <c r="C756" s="427" t="s">
        <v>1449</v>
      </c>
      <c r="D756" s="203" t="s">
        <v>1450</v>
      </c>
      <c r="E756" s="135">
        <v>9</v>
      </c>
      <c r="F756" s="135" t="s">
        <v>107</v>
      </c>
      <c r="G756" s="135" t="s">
        <v>8</v>
      </c>
      <c r="H756" s="660"/>
      <c r="I756" s="912">
        <v>24.1</v>
      </c>
      <c r="J756" s="100">
        <v>40</v>
      </c>
      <c r="K756" s="661"/>
      <c r="L756" s="623"/>
      <c r="M756" s="123" t="s">
        <v>627</v>
      </c>
      <c r="N756" s="805" t="s">
        <v>848</v>
      </c>
      <c r="O756" s="139" t="s">
        <v>1443</v>
      </c>
      <c r="P756" s="432">
        <v>1</v>
      </c>
      <c r="Q756" s="117" t="s">
        <v>640</v>
      </c>
    </row>
    <row r="757" spans="1:17" ht="23.25" customHeight="1" x14ac:dyDescent="0.2">
      <c r="A757" s="472">
        <v>6</v>
      </c>
      <c r="B757" s="427"/>
      <c r="C757" s="427" t="s">
        <v>1451</v>
      </c>
      <c r="D757" s="662" t="s">
        <v>1452</v>
      </c>
      <c r="E757" s="432">
        <v>9</v>
      </c>
      <c r="F757" s="432" t="s">
        <v>107</v>
      </c>
      <c r="G757" s="432" t="s">
        <v>8</v>
      </c>
      <c r="H757" s="663"/>
      <c r="I757" s="912"/>
      <c r="J757" s="100">
        <v>30</v>
      </c>
      <c r="K757" s="661">
        <v>20</v>
      </c>
      <c r="L757" s="623"/>
      <c r="M757" s="123" t="s">
        <v>710</v>
      </c>
      <c r="N757" s="805" t="s">
        <v>848</v>
      </c>
      <c r="O757" s="139" t="s">
        <v>1443</v>
      </c>
      <c r="P757" s="432">
        <v>1</v>
      </c>
      <c r="Q757" s="117" t="s">
        <v>700</v>
      </c>
    </row>
    <row r="758" spans="1:17" ht="25.5" customHeight="1" x14ac:dyDescent="0.2">
      <c r="A758" s="472">
        <v>6</v>
      </c>
      <c r="B758" s="427"/>
      <c r="C758" s="427" t="s">
        <v>1453</v>
      </c>
      <c r="D758" s="662" t="s">
        <v>1454</v>
      </c>
      <c r="E758" s="432">
        <v>9</v>
      </c>
      <c r="F758" s="432" t="s">
        <v>107</v>
      </c>
      <c r="G758" s="432" t="s">
        <v>8</v>
      </c>
      <c r="H758" s="663"/>
      <c r="I758" s="912"/>
      <c r="J758" s="100">
        <v>30</v>
      </c>
      <c r="K758" s="661">
        <v>20</v>
      </c>
      <c r="L758" s="623"/>
      <c r="M758" s="123" t="s">
        <v>710</v>
      </c>
      <c r="N758" s="805" t="s">
        <v>848</v>
      </c>
      <c r="O758" s="139" t="s">
        <v>1443</v>
      </c>
      <c r="P758" s="432">
        <v>1</v>
      </c>
      <c r="Q758" s="117" t="s">
        <v>727</v>
      </c>
    </row>
    <row r="759" spans="1:17" ht="32.25" customHeight="1" x14ac:dyDescent="0.2">
      <c r="A759" s="472">
        <v>6</v>
      </c>
      <c r="B759" s="427"/>
      <c r="C759" s="427" t="s">
        <v>1455</v>
      </c>
      <c r="D759" s="662" t="s">
        <v>1456</v>
      </c>
      <c r="E759" s="432">
        <v>9</v>
      </c>
      <c r="F759" s="432" t="s">
        <v>107</v>
      </c>
      <c r="G759" s="432" t="s">
        <v>8</v>
      </c>
      <c r="H759" s="663"/>
      <c r="I759" s="912"/>
      <c r="J759" s="100">
        <v>55</v>
      </c>
      <c r="K759" s="661">
        <v>30</v>
      </c>
      <c r="L759" s="623"/>
      <c r="M759" s="123" t="s">
        <v>710</v>
      </c>
      <c r="N759" s="805" t="s">
        <v>848</v>
      </c>
      <c r="O759" s="139" t="s">
        <v>1443</v>
      </c>
      <c r="P759" s="432">
        <v>1</v>
      </c>
      <c r="Q759" s="117" t="s">
        <v>700</v>
      </c>
    </row>
    <row r="760" spans="1:17" ht="40.5" customHeight="1" x14ac:dyDescent="0.2">
      <c r="A760" s="472">
        <v>6</v>
      </c>
      <c r="B760" s="427"/>
      <c r="C760" s="427" t="s">
        <v>1457</v>
      </c>
      <c r="D760" s="662" t="s">
        <v>2067</v>
      </c>
      <c r="E760" s="432">
        <v>9</v>
      </c>
      <c r="F760" s="432" t="s">
        <v>107</v>
      </c>
      <c r="G760" s="432" t="s">
        <v>8</v>
      </c>
      <c r="H760" s="663"/>
      <c r="I760" s="912"/>
      <c r="J760" s="100">
        <v>30</v>
      </c>
      <c r="K760" s="661">
        <v>20</v>
      </c>
      <c r="L760" s="623"/>
      <c r="M760" s="123" t="s">
        <v>710</v>
      </c>
      <c r="N760" s="805" t="s">
        <v>848</v>
      </c>
      <c r="O760" s="139" t="s">
        <v>1443</v>
      </c>
      <c r="P760" s="432">
        <v>1</v>
      </c>
      <c r="Q760" s="117" t="s">
        <v>732</v>
      </c>
    </row>
    <row r="761" spans="1:17" ht="24" customHeight="1" x14ac:dyDescent="0.2">
      <c r="A761" s="472">
        <v>6</v>
      </c>
      <c r="B761" s="427"/>
      <c r="C761" s="427" t="s">
        <v>1458</v>
      </c>
      <c r="D761" s="209" t="s">
        <v>108</v>
      </c>
      <c r="E761" s="187">
        <v>9</v>
      </c>
      <c r="F761" s="135" t="s">
        <v>109</v>
      </c>
      <c r="G761" s="135" t="s">
        <v>8</v>
      </c>
      <c r="H761" s="123" t="s">
        <v>1459</v>
      </c>
      <c r="I761" s="912">
        <v>115.1</v>
      </c>
      <c r="J761" s="100">
        <f>115.4+25</f>
        <v>140.4</v>
      </c>
      <c r="K761" s="661">
        <f t="shared" ref="K761:L761" si="115">115.4+25</f>
        <v>140.4</v>
      </c>
      <c r="L761" s="623">
        <f t="shared" si="115"/>
        <v>140.4</v>
      </c>
      <c r="M761" s="123" t="s">
        <v>624</v>
      </c>
      <c r="N761" s="805" t="s">
        <v>848</v>
      </c>
      <c r="O761" s="1014" t="s">
        <v>1460</v>
      </c>
      <c r="P761" s="432" t="s">
        <v>1461</v>
      </c>
      <c r="Q761" s="741"/>
    </row>
    <row r="762" spans="1:17" ht="35.25" customHeight="1" x14ac:dyDescent="0.2">
      <c r="A762" s="472">
        <v>6</v>
      </c>
      <c r="B762" s="655"/>
      <c r="C762" s="655" t="s">
        <v>1462</v>
      </c>
      <c r="D762" s="656" t="s">
        <v>1463</v>
      </c>
      <c r="E762" s="1077">
        <v>9</v>
      </c>
      <c r="F762" s="1077" t="s">
        <v>110</v>
      </c>
      <c r="G762" s="1077" t="s">
        <v>8</v>
      </c>
      <c r="H762" s="657" t="s">
        <v>1464</v>
      </c>
      <c r="I762" s="912">
        <f>SUM(I763:I768)</f>
        <v>241.5</v>
      </c>
      <c r="J762" s="1117">
        <f>SUM(J763:J771)</f>
        <v>489.5</v>
      </c>
      <c r="K762" s="658">
        <f>SUM(K763:K768)</f>
        <v>486.7</v>
      </c>
      <c r="L762" s="659">
        <f>SUM(L763:L768)</f>
        <v>1050</v>
      </c>
      <c r="M762" s="123"/>
      <c r="N762" s="805"/>
      <c r="O762" s="1004"/>
      <c r="P762" s="432"/>
      <c r="Q762" s="741"/>
    </row>
    <row r="763" spans="1:17" ht="35.25" customHeight="1" x14ac:dyDescent="0.2">
      <c r="A763" s="472">
        <v>6</v>
      </c>
      <c r="B763" s="427"/>
      <c r="C763" s="426" t="s">
        <v>1465</v>
      </c>
      <c r="D763" s="203" t="s">
        <v>1466</v>
      </c>
      <c r="E763" s="1087">
        <v>9</v>
      </c>
      <c r="F763" s="135" t="s">
        <v>110</v>
      </c>
      <c r="G763" s="135" t="s">
        <v>8</v>
      </c>
      <c r="H763" s="660"/>
      <c r="I763" s="912"/>
      <c r="J763" s="100">
        <v>35</v>
      </c>
      <c r="K763" s="661"/>
      <c r="L763" s="623"/>
      <c r="M763" s="123" t="s">
        <v>627</v>
      </c>
      <c r="N763" s="805" t="s">
        <v>848</v>
      </c>
      <c r="O763" s="1015" t="s">
        <v>1880</v>
      </c>
      <c r="P763" s="432"/>
      <c r="Q763" s="117" t="s">
        <v>700</v>
      </c>
    </row>
    <row r="764" spans="1:17" ht="43.5" customHeight="1" x14ac:dyDescent="0.2">
      <c r="A764" s="472">
        <v>6</v>
      </c>
      <c r="B764" s="427"/>
      <c r="C764" s="426" t="s">
        <v>1467</v>
      </c>
      <c r="D764" s="203" t="s">
        <v>1468</v>
      </c>
      <c r="E764" s="1087">
        <v>9</v>
      </c>
      <c r="F764" s="135" t="s">
        <v>110</v>
      </c>
      <c r="G764" s="135" t="s">
        <v>8</v>
      </c>
      <c r="H764" s="660"/>
      <c r="I764" s="912">
        <v>148.69999999999999</v>
      </c>
      <c r="J764" s="100">
        <v>389.5</v>
      </c>
      <c r="K764" s="661">
        <v>6.7</v>
      </c>
      <c r="L764" s="623"/>
      <c r="M764" s="123" t="s">
        <v>627</v>
      </c>
      <c r="N764" s="805" t="s">
        <v>848</v>
      </c>
      <c r="O764" s="1014" t="s">
        <v>1469</v>
      </c>
      <c r="P764" s="432">
        <v>100</v>
      </c>
      <c r="Q764" s="117" t="s">
        <v>716</v>
      </c>
    </row>
    <row r="765" spans="1:17" ht="33.75" customHeight="1" x14ac:dyDescent="0.2">
      <c r="A765" s="472">
        <v>6</v>
      </c>
      <c r="B765" s="427"/>
      <c r="C765" s="426" t="s">
        <v>1470</v>
      </c>
      <c r="D765" s="203" t="s">
        <v>1471</v>
      </c>
      <c r="E765" s="135">
        <v>26</v>
      </c>
      <c r="F765" s="135" t="s">
        <v>2098</v>
      </c>
      <c r="G765" s="135" t="s">
        <v>8</v>
      </c>
      <c r="H765" s="660"/>
      <c r="I765" s="383">
        <v>54.9</v>
      </c>
      <c r="J765" s="100">
        <v>2</v>
      </c>
      <c r="K765" s="661"/>
      <c r="L765" s="623"/>
      <c r="M765" s="123" t="s">
        <v>627</v>
      </c>
      <c r="N765" s="805" t="s">
        <v>586</v>
      </c>
      <c r="O765" s="1014" t="s">
        <v>1469</v>
      </c>
      <c r="P765" s="432">
        <v>100</v>
      </c>
      <c r="Q765" s="117" t="s">
        <v>720</v>
      </c>
    </row>
    <row r="766" spans="1:17" ht="34.5" customHeight="1" x14ac:dyDescent="0.2">
      <c r="A766" s="472">
        <v>6</v>
      </c>
      <c r="B766" s="427"/>
      <c r="C766" s="426" t="s">
        <v>1472</v>
      </c>
      <c r="D766" s="664" t="s">
        <v>1473</v>
      </c>
      <c r="E766" s="187" t="s">
        <v>534</v>
      </c>
      <c r="F766" s="135" t="s">
        <v>110</v>
      </c>
      <c r="G766" s="135" t="s">
        <v>8</v>
      </c>
      <c r="H766" s="660"/>
      <c r="I766" s="383">
        <v>37.9</v>
      </c>
      <c r="J766" s="100">
        <v>7</v>
      </c>
      <c r="K766" s="661"/>
      <c r="L766" s="623"/>
      <c r="M766" s="123" t="s">
        <v>627</v>
      </c>
      <c r="N766" s="805" t="s">
        <v>1474</v>
      </c>
      <c r="O766" s="1014" t="s">
        <v>1469</v>
      </c>
      <c r="P766" s="432">
        <v>100</v>
      </c>
      <c r="Q766" s="117" t="s">
        <v>640</v>
      </c>
    </row>
    <row r="767" spans="1:17" ht="37.9" customHeight="1" x14ac:dyDescent="0.2">
      <c r="A767" s="472">
        <v>6</v>
      </c>
      <c r="B767" s="427"/>
      <c r="C767" s="426" t="s">
        <v>1475</v>
      </c>
      <c r="D767" s="203" t="s">
        <v>1476</v>
      </c>
      <c r="E767" s="135">
        <v>9</v>
      </c>
      <c r="F767" s="135" t="s">
        <v>110</v>
      </c>
      <c r="G767" s="135" t="s">
        <v>8</v>
      </c>
      <c r="H767" s="660"/>
      <c r="I767" s="383"/>
      <c r="J767" s="100">
        <f>50-50</f>
        <v>0</v>
      </c>
      <c r="K767" s="621">
        <v>430</v>
      </c>
      <c r="L767" s="625">
        <v>1000</v>
      </c>
      <c r="M767" s="123" t="s">
        <v>710</v>
      </c>
      <c r="N767" s="805" t="s">
        <v>848</v>
      </c>
      <c r="O767" s="139" t="s">
        <v>1443</v>
      </c>
      <c r="P767" s="432">
        <v>1</v>
      </c>
      <c r="Q767" s="117" t="s">
        <v>640</v>
      </c>
    </row>
    <row r="768" spans="1:17" ht="35.450000000000003" customHeight="1" x14ac:dyDescent="0.2">
      <c r="A768" s="472">
        <v>6</v>
      </c>
      <c r="B768" s="665"/>
      <c r="C768" s="426" t="s">
        <v>1477</v>
      </c>
      <c r="D768" s="203" t="s">
        <v>240</v>
      </c>
      <c r="E768" s="75">
        <v>9</v>
      </c>
      <c r="F768" s="135" t="s">
        <v>110</v>
      </c>
      <c r="G768" s="75" t="s">
        <v>8</v>
      </c>
      <c r="H768" s="666" t="s">
        <v>1478</v>
      </c>
      <c r="I768" s="383"/>
      <c r="J768" s="100">
        <f>50-50</f>
        <v>0</v>
      </c>
      <c r="K768" s="661">
        <v>50</v>
      </c>
      <c r="L768" s="623">
        <v>50</v>
      </c>
      <c r="M768" s="123" t="s">
        <v>637</v>
      </c>
      <c r="N768" s="805" t="s">
        <v>848</v>
      </c>
      <c r="O768" s="139" t="s">
        <v>1184</v>
      </c>
      <c r="P768" s="140">
        <v>100</v>
      </c>
      <c r="Q768" s="747"/>
    </row>
    <row r="769" spans="1:19" ht="28.15" customHeight="1" x14ac:dyDescent="0.2">
      <c r="A769" s="472">
        <v>6</v>
      </c>
      <c r="B769" s="496"/>
      <c r="C769" s="427" t="s">
        <v>1479</v>
      </c>
      <c r="D769" s="1236" t="s">
        <v>1480</v>
      </c>
      <c r="E769" s="75" t="s">
        <v>2052</v>
      </c>
      <c r="F769" s="135" t="s">
        <v>110</v>
      </c>
      <c r="G769" s="490" t="s">
        <v>8</v>
      </c>
      <c r="H769" s="254"/>
      <c r="I769" s="383">
        <v>0</v>
      </c>
      <c r="J769" s="100">
        <f>60-9.8-1.2-4</f>
        <v>45</v>
      </c>
      <c r="K769" s="416">
        <v>60</v>
      </c>
      <c r="L769" s="560">
        <v>60</v>
      </c>
      <c r="M769" s="135" t="s">
        <v>637</v>
      </c>
      <c r="N769" s="1042" t="s">
        <v>1481</v>
      </c>
      <c r="O769" s="706" t="s">
        <v>1482</v>
      </c>
      <c r="P769" s="707">
        <v>20</v>
      </c>
      <c r="Q769" s="741"/>
    </row>
    <row r="770" spans="1:19" ht="28.15" customHeight="1" x14ac:dyDescent="0.2">
      <c r="A770" s="472">
        <v>6</v>
      </c>
      <c r="B770" s="496"/>
      <c r="C770" s="427" t="s">
        <v>1479</v>
      </c>
      <c r="D770" s="1237"/>
      <c r="E770" s="1200">
        <v>23</v>
      </c>
      <c r="F770" s="123" t="s">
        <v>2085</v>
      </c>
      <c r="G770" s="1184" t="s">
        <v>8</v>
      </c>
      <c r="H770" s="254"/>
      <c r="I770" s="383"/>
      <c r="J770" s="1186">
        <f>9.1+1.2</f>
        <v>10.299999999999999</v>
      </c>
      <c r="K770" s="416"/>
      <c r="L770" s="560"/>
      <c r="M770" s="135"/>
      <c r="N770" s="1187" t="s">
        <v>583</v>
      </c>
      <c r="O770" s="1188" t="s">
        <v>1918</v>
      </c>
      <c r="P770" s="1189">
        <v>1</v>
      </c>
      <c r="Q770" s="741" t="s">
        <v>640</v>
      </c>
    </row>
    <row r="771" spans="1:19" ht="28.15" customHeight="1" x14ac:dyDescent="0.2">
      <c r="A771" s="472">
        <v>6</v>
      </c>
      <c r="B771" s="496"/>
      <c r="C771" s="427" t="s">
        <v>1479</v>
      </c>
      <c r="D771" s="1238"/>
      <c r="E771" s="1200">
        <v>26</v>
      </c>
      <c r="F771" s="123" t="s">
        <v>2098</v>
      </c>
      <c r="G771" s="1185" t="s">
        <v>8</v>
      </c>
      <c r="H771" s="254"/>
      <c r="I771" s="383"/>
      <c r="J771" s="1186">
        <v>0.7</v>
      </c>
      <c r="K771" s="416"/>
      <c r="L771" s="560"/>
      <c r="M771" s="135"/>
      <c r="N771" s="1187" t="s">
        <v>586</v>
      </c>
      <c r="O771" s="1188" t="s">
        <v>1918</v>
      </c>
      <c r="P771" s="1189">
        <v>1</v>
      </c>
      <c r="Q771" s="741" t="s">
        <v>720</v>
      </c>
    </row>
    <row r="772" spans="1:19" ht="40.9" customHeight="1" x14ac:dyDescent="0.2">
      <c r="A772" s="472">
        <v>6</v>
      </c>
      <c r="B772" s="114" t="s">
        <v>1483</v>
      </c>
      <c r="C772" s="114" t="s">
        <v>1483</v>
      </c>
      <c r="D772" s="480" t="s">
        <v>1484</v>
      </c>
      <c r="E772" s="481"/>
      <c r="F772" s="481"/>
      <c r="G772" s="481"/>
      <c r="H772" s="481"/>
      <c r="I772" s="482">
        <f>SUM(I773,I774)</f>
        <v>50</v>
      </c>
      <c r="J772" s="482">
        <f>SUM(J773,J774)</f>
        <v>200</v>
      </c>
      <c r="K772" s="482">
        <f>SUM(K773,K774)</f>
        <v>200</v>
      </c>
      <c r="L772" s="483">
        <f>SUM(L773,L774)</f>
        <v>200</v>
      </c>
      <c r="M772" s="135"/>
      <c r="N772" s="718" t="s">
        <v>1474</v>
      </c>
      <c r="O772" s="706"/>
      <c r="P772" s="705"/>
      <c r="Q772" s="706"/>
      <c r="S772" s="60"/>
    </row>
    <row r="773" spans="1:19" ht="12.75" customHeight="1" x14ac:dyDescent="0.2">
      <c r="A773" s="472">
        <v>6</v>
      </c>
      <c r="B773" s="573"/>
      <c r="C773" s="573"/>
      <c r="D773" s="385" t="s">
        <v>1485</v>
      </c>
      <c r="E773" s="135" t="s">
        <v>534</v>
      </c>
      <c r="F773" s="667" t="s">
        <v>1486</v>
      </c>
      <c r="G773" s="490" t="s">
        <v>11</v>
      </c>
      <c r="H773" s="567"/>
      <c r="I773" s="383"/>
      <c r="J773" s="100">
        <v>144.5</v>
      </c>
      <c r="K773" s="668">
        <v>200</v>
      </c>
      <c r="L773" s="669">
        <v>200</v>
      </c>
      <c r="M773" s="135"/>
      <c r="N773" s="718" t="s">
        <v>1474</v>
      </c>
      <c r="O773" s="748" t="s">
        <v>1487</v>
      </c>
      <c r="P773" s="707">
        <v>50</v>
      </c>
      <c r="Q773" s="706"/>
    </row>
    <row r="774" spans="1:19" ht="12.75" customHeight="1" x14ac:dyDescent="0.2">
      <c r="A774" s="472">
        <v>6</v>
      </c>
      <c r="B774" s="573"/>
      <c r="C774" s="573"/>
      <c r="D774" s="385" t="s">
        <v>1488</v>
      </c>
      <c r="E774" s="135" t="s">
        <v>534</v>
      </c>
      <c r="F774" s="667" t="s">
        <v>1486</v>
      </c>
      <c r="G774" s="490" t="s">
        <v>202</v>
      </c>
      <c r="H774" s="567"/>
      <c r="I774" s="383">
        <v>50</v>
      </c>
      <c r="J774" s="100">
        <v>55.5</v>
      </c>
      <c r="K774" s="670"/>
      <c r="L774" s="671"/>
      <c r="M774" s="135"/>
      <c r="N774" s="718" t="s">
        <v>1474</v>
      </c>
      <c r="O774" s="748" t="s">
        <v>1487</v>
      </c>
      <c r="P774" s="707">
        <v>100</v>
      </c>
      <c r="Q774" s="706"/>
    </row>
    <row r="775" spans="1:19" ht="30.6" customHeight="1" x14ac:dyDescent="0.2">
      <c r="A775" s="472">
        <v>6</v>
      </c>
      <c r="B775" s="114" t="s">
        <v>1894</v>
      </c>
      <c r="C775" s="114" t="s">
        <v>1894</v>
      </c>
      <c r="D775" s="480" t="s">
        <v>1895</v>
      </c>
      <c r="E775" s="481">
        <v>9</v>
      </c>
      <c r="F775" s="481" t="s">
        <v>1896</v>
      </c>
      <c r="G775" s="481" t="s">
        <v>8</v>
      </c>
      <c r="H775" s="567"/>
      <c r="I775" s="383"/>
      <c r="J775" s="482">
        <v>23</v>
      </c>
      <c r="K775" s="956"/>
      <c r="L775" s="956"/>
      <c r="M775" s="135"/>
      <c r="N775" s="1051" t="s">
        <v>1897</v>
      </c>
      <c r="O775" s="957" t="s">
        <v>1487</v>
      </c>
      <c r="P775" s="1092">
        <v>100</v>
      </c>
      <c r="Q775" s="706"/>
    </row>
    <row r="776" spans="1:19" ht="12.75" hidden="1" customHeight="1" x14ac:dyDescent="0.2">
      <c r="A776" s="472">
        <v>6</v>
      </c>
      <c r="B776" s="113"/>
      <c r="C776" s="222"/>
      <c r="D776" s="76"/>
      <c r="E776" s="70"/>
      <c r="F776" s="67"/>
      <c r="G776" s="131" t="s">
        <v>495</v>
      </c>
      <c r="H776" s="122"/>
      <c r="I776" s="131" t="e">
        <f>SUM(I773:I774,I749,I725:I729,#REF!,I704:I704,I701,I687,I683,I678,I673,I663,I608:I614,I565:I572,I521:I522,#REF!)</f>
        <v>#REF!</v>
      </c>
      <c r="J776" s="672">
        <f>SUM(J773:J774,J749,J725:J729,J704:J704,J701,J687,J683,J678,J673,J663,J608:J614,J565:J572,J521:J522,J775,J712)</f>
        <v>21730</v>
      </c>
      <c r="K776" s="672" t="e">
        <f>SUM(K773:K774,K749,K725:K729,#REF!,K704:K704,K701,K687,K683,K678,K673,K663,K608:K614,K565:K572,K521:K522,#REF!)</f>
        <v>#REF!</v>
      </c>
      <c r="L776" s="673" t="e">
        <f>SUM(L773:L774,L749,L725:L729,#REF!,L704:L704,L701,L687,L683,L678,L673,L663,L608:L614,L565:L572,L521:L522,#REF!)</f>
        <v>#REF!</v>
      </c>
      <c r="M776" s="135"/>
      <c r="N776" s="1174"/>
      <c r="O776" s="749"/>
      <c r="P776" s="750"/>
      <c r="Q776" s="720"/>
      <c r="R776" s="60"/>
    </row>
    <row r="777" spans="1:19" ht="12.75" hidden="1" customHeight="1" x14ac:dyDescent="0.2">
      <c r="A777" s="472">
        <v>6</v>
      </c>
      <c r="B777" s="113"/>
      <c r="C777" s="222"/>
      <c r="D777" s="76"/>
      <c r="E777" s="70"/>
      <c r="F777" s="67"/>
      <c r="G777" s="75" t="s">
        <v>8</v>
      </c>
      <c r="H777" s="38"/>
      <c r="I777" s="38" t="e">
        <f>SUM(I749,I725,#REF!,I704,I701,I687,I683,I673,I663,I614,I565,I521,I680)</f>
        <v>#REF!</v>
      </c>
      <c r="J777" s="508">
        <f>SUM(J749,J725,J704,J701,J687,J683,J673,J663,J614,J565,J521,J680,J775,J709)</f>
        <v>10342.1</v>
      </c>
      <c r="K777" s="508" t="e">
        <f>SUM(K749,K725,#REF!,K704,K701,K687,K683,K673,K663,K614,K565,K521,K680)</f>
        <v>#REF!</v>
      </c>
      <c r="L777" s="510" t="e">
        <f>SUM(L749,L725,#REF!,L704,L701,L687,L683,L673,L663,L614,L565,L521,L680)</f>
        <v>#REF!</v>
      </c>
      <c r="M777" s="135"/>
      <c r="N777" s="1174"/>
      <c r="O777" s="749"/>
      <c r="P777" s="750"/>
      <c r="Q777" s="720"/>
    </row>
    <row r="778" spans="1:19" ht="12.75" hidden="1" customHeight="1" x14ac:dyDescent="0.2">
      <c r="A778" s="472">
        <v>6</v>
      </c>
      <c r="B778" s="113"/>
      <c r="C778" s="222"/>
      <c r="D778" s="76"/>
      <c r="E778" s="70"/>
      <c r="F778" s="67"/>
      <c r="G778" s="75" t="s">
        <v>245</v>
      </c>
      <c r="H778" s="38"/>
      <c r="I778" s="38" t="e">
        <f>SUM(I608)</f>
        <v>#REF!</v>
      </c>
      <c r="J778" s="508">
        <f>SUM(J608)</f>
        <v>3852.8999999999996</v>
      </c>
      <c r="K778" s="508" t="e">
        <f>SUM(K608)</f>
        <v>#REF!</v>
      </c>
      <c r="L778" s="510" t="e">
        <f>SUM(L608)</f>
        <v>#REF!</v>
      </c>
      <c r="M778" s="135"/>
      <c r="N778" s="1174"/>
      <c r="O778" s="749"/>
      <c r="P778" s="750"/>
      <c r="Q778" s="720"/>
    </row>
    <row r="779" spans="1:19" ht="12.75" hidden="1" customHeight="1" x14ac:dyDescent="0.2">
      <c r="A779" s="472">
        <v>6</v>
      </c>
      <c r="B779" s="113"/>
      <c r="C779" s="222"/>
      <c r="D779" s="76"/>
      <c r="E779" s="70"/>
      <c r="F779" s="67"/>
      <c r="G779" s="75" t="s">
        <v>219</v>
      </c>
      <c r="H779" s="38"/>
      <c r="I779" s="38" t="e">
        <f>SUM(#REF!,I609,I522)</f>
        <v>#REF!</v>
      </c>
      <c r="J779" s="508">
        <f>SUM(J609,J522)</f>
        <v>2161.6999999999998</v>
      </c>
      <c r="K779" s="508" t="e">
        <f>SUM(#REF!,K609,K522)</f>
        <v>#REF!</v>
      </c>
      <c r="L779" s="510" t="e">
        <f>SUM(#REF!,L609,L522)</f>
        <v>#REF!</v>
      </c>
      <c r="M779" s="135"/>
      <c r="N779" s="1174"/>
      <c r="O779" s="749"/>
      <c r="P779" s="750"/>
      <c r="Q779" s="720"/>
    </row>
    <row r="780" spans="1:19" ht="12.75" hidden="1" customHeight="1" x14ac:dyDescent="0.2">
      <c r="A780" s="472">
        <v>6</v>
      </c>
      <c r="B780" s="113"/>
      <c r="C780" s="222"/>
      <c r="D780" s="76"/>
      <c r="E780" s="70"/>
      <c r="F780" s="67"/>
      <c r="G780" s="75" t="s">
        <v>37</v>
      </c>
      <c r="H780" s="38"/>
      <c r="I780" s="38">
        <f>SUM(I570,I611)</f>
        <v>0</v>
      </c>
      <c r="J780" s="23">
        <f>SUM(J570,J611,J710)</f>
        <v>953.59999999999991</v>
      </c>
      <c r="K780" s="23">
        <f>SUM(K570,K611)</f>
        <v>1410.5</v>
      </c>
      <c r="L780" s="513">
        <f>SUM(L570,L611)</f>
        <v>371.7</v>
      </c>
      <c r="M780" s="135"/>
      <c r="N780" s="1174"/>
      <c r="O780" s="749"/>
      <c r="P780" s="750"/>
      <c r="Q780" s="720"/>
    </row>
    <row r="781" spans="1:19" ht="12.75" hidden="1" customHeight="1" x14ac:dyDescent="0.2">
      <c r="A781" s="472">
        <v>6</v>
      </c>
      <c r="B781" s="113"/>
      <c r="C781" s="222"/>
      <c r="D781" s="76"/>
      <c r="E781" s="70"/>
      <c r="F781" s="67"/>
      <c r="G781" s="531" t="s">
        <v>74</v>
      </c>
      <c r="H781" s="38"/>
      <c r="I781" s="38" t="e">
        <f>I747+I742+I739+I737+I733+I732+#REF!</f>
        <v>#REF!</v>
      </c>
      <c r="J781" s="508">
        <f>J747+J742+J739+J737+J733+J732+J721+J572+J677</f>
        <v>1850.2</v>
      </c>
      <c r="K781" s="508" t="e">
        <f>K747+K742+K739+K737+K733+K732+#REF!</f>
        <v>#REF!</v>
      </c>
      <c r="L781" s="510" t="e">
        <f>L747+L742+L739+L737+L733+L732+#REF!</f>
        <v>#REF!</v>
      </c>
      <c r="M781" s="135"/>
      <c r="N781" s="1174"/>
      <c r="O781" s="749"/>
      <c r="P781" s="750"/>
      <c r="Q781" s="720"/>
    </row>
    <row r="782" spans="1:19" ht="12.75" hidden="1" customHeight="1" x14ac:dyDescent="0.2">
      <c r="A782" s="472">
        <v>6</v>
      </c>
      <c r="B782" s="113"/>
      <c r="C782" s="222"/>
      <c r="D782" s="76"/>
      <c r="E782" s="70"/>
      <c r="F782" s="353"/>
      <c r="G782" s="155" t="s">
        <v>598</v>
      </c>
      <c r="H782" s="50"/>
      <c r="I782" s="38">
        <f>I624+I589</f>
        <v>0</v>
      </c>
      <c r="J782" s="508">
        <f>J624+J589</f>
        <v>85</v>
      </c>
      <c r="K782" s="508">
        <f>K624+K589</f>
        <v>176.29999999999998</v>
      </c>
      <c r="L782" s="510">
        <f>L624+L589</f>
        <v>70</v>
      </c>
      <c r="M782" s="135"/>
      <c r="N782" s="1174"/>
      <c r="O782" s="749"/>
      <c r="P782" s="750"/>
      <c r="Q782" s="720"/>
    </row>
    <row r="783" spans="1:19" ht="12.75" hidden="1" customHeight="1" x14ac:dyDescent="0.2">
      <c r="A783" s="472">
        <v>6</v>
      </c>
      <c r="B783" s="113"/>
      <c r="C783" s="222"/>
      <c r="D783" s="76"/>
      <c r="E783" s="70"/>
      <c r="F783" s="353"/>
      <c r="G783" s="157" t="s">
        <v>11</v>
      </c>
      <c r="H783" s="50"/>
      <c r="I783" s="38">
        <f>I773+I676+I655+I648+I588+I586+I577+I606</f>
        <v>2278.1999999999998</v>
      </c>
      <c r="J783" s="508">
        <f>J773+J676+J655+J648+J588+J586+J577+J606+J735</f>
        <v>857.2</v>
      </c>
      <c r="K783" s="508">
        <f>K773+K676+K655+K648+K588+K586+K577+K606</f>
        <v>817.2</v>
      </c>
      <c r="L783" s="513">
        <f>L773+L676+L655+L648+L588+L586+L577+L606</f>
        <v>817.2</v>
      </c>
      <c r="M783" s="135"/>
      <c r="N783" s="1174"/>
      <c r="O783" s="749"/>
      <c r="P783" s="750"/>
      <c r="Q783" s="720"/>
    </row>
    <row r="784" spans="1:19" ht="12.75" hidden="1" customHeight="1" x14ac:dyDescent="0.2">
      <c r="A784" s="472">
        <v>6</v>
      </c>
      <c r="B784" s="113"/>
      <c r="C784" s="222"/>
      <c r="D784" s="76"/>
      <c r="E784" s="70"/>
      <c r="F784" s="67"/>
      <c r="G784" s="78" t="s">
        <v>202</v>
      </c>
      <c r="H784" s="38"/>
      <c r="I784" s="38">
        <f>SUM(I567,I727,I774,I613)</f>
        <v>786.1</v>
      </c>
      <c r="J784" s="508">
        <f>SUM(J567,J727,J774,J613)</f>
        <v>137.1</v>
      </c>
      <c r="K784" s="508">
        <f>SUM(K567,K727,K774,K613)</f>
        <v>0</v>
      </c>
      <c r="L784" s="510">
        <f>SUM(L567,L727,L774,L613)</f>
        <v>0</v>
      </c>
      <c r="M784" s="135"/>
      <c r="N784" s="1174"/>
      <c r="O784" s="749"/>
      <c r="P784" s="750"/>
      <c r="Q784" s="720"/>
    </row>
    <row r="785" spans="1:17" ht="12.75" hidden="1" customHeight="1" x14ac:dyDescent="0.2">
      <c r="A785" s="472">
        <v>6</v>
      </c>
      <c r="B785" s="113"/>
      <c r="C785" s="222"/>
      <c r="D785" s="76"/>
      <c r="E785" s="70"/>
      <c r="F785" s="67"/>
      <c r="G785" s="75" t="s">
        <v>10</v>
      </c>
      <c r="H785" s="38"/>
      <c r="I785" s="38">
        <f>SUM(I568)</f>
        <v>152</v>
      </c>
      <c r="J785" s="508">
        <f>SUM(J568)</f>
        <v>1060</v>
      </c>
      <c r="K785" s="508">
        <f>SUM(K568)</f>
        <v>2160</v>
      </c>
      <c r="L785" s="510">
        <f>SUM(L568)</f>
        <v>1000</v>
      </c>
      <c r="M785" s="135"/>
      <c r="N785" s="1174"/>
      <c r="O785" s="749"/>
      <c r="P785" s="750"/>
      <c r="Q785" s="720"/>
    </row>
    <row r="786" spans="1:17" ht="12.75" hidden="1" customHeight="1" x14ac:dyDescent="0.2">
      <c r="A786" s="472">
        <v>6</v>
      </c>
      <c r="B786" s="113"/>
      <c r="C786" s="222"/>
      <c r="D786" s="76"/>
      <c r="E786" s="70"/>
      <c r="F786" s="67"/>
      <c r="G786" s="75" t="s">
        <v>947</v>
      </c>
      <c r="H786" s="38"/>
      <c r="I786" s="38">
        <f>I731</f>
        <v>0</v>
      </c>
      <c r="J786" s="508">
        <f>J731</f>
        <v>390</v>
      </c>
      <c r="K786" s="508">
        <f>K731</f>
        <v>0</v>
      </c>
      <c r="L786" s="510">
        <f>L731</f>
        <v>0</v>
      </c>
      <c r="M786" s="135"/>
      <c r="N786" s="1174"/>
      <c r="O786" s="749"/>
      <c r="P786" s="750"/>
      <c r="Q786" s="720"/>
    </row>
    <row r="787" spans="1:17" ht="12.75" hidden="1" customHeight="1" x14ac:dyDescent="0.2">
      <c r="A787" s="472">
        <v>6</v>
      </c>
      <c r="B787" s="113"/>
      <c r="C787" s="222"/>
      <c r="D787" s="76"/>
      <c r="E787" s="70"/>
      <c r="F787" s="67"/>
      <c r="G787" s="75" t="s">
        <v>603</v>
      </c>
      <c r="H787" s="38"/>
      <c r="I787" s="38">
        <f>I596</f>
        <v>93.100000000000009</v>
      </c>
      <c r="J787" s="508">
        <f>J596</f>
        <v>40.200000000000003</v>
      </c>
      <c r="K787" s="508">
        <f>K596</f>
        <v>0</v>
      </c>
      <c r="L787" s="510">
        <f>L596</f>
        <v>0</v>
      </c>
      <c r="M787" s="135"/>
      <c r="N787" s="1174"/>
      <c r="O787" s="749"/>
      <c r="P787" s="750"/>
      <c r="Q787" s="720"/>
    </row>
    <row r="788" spans="1:17" ht="12.75" hidden="1" customHeight="1" x14ac:dyDescent="0.2">
      <c r="A788" s="472">
        <v>6</v>
      </c>
      <c r="B788" s="113"/>
      <c r="C788" s="222"/>
      <c r="D788" s="76"/>
      <c r="E788" s="70"/>
      <c r="F788" s="67"/>
      <c r="G788" s="75" t="s">
        <v>602</v>
      </c>
      <c r="H788" s="38"/>
      <c r="I788" s="38" t="e">
        <f>#REF!</f>
        <v>#REF!</v>
      </c>
      <c r="J788" s="508"/>
      <c r="K788" s="508"/>
      <c r="L788" s="510"/>
      <c r="M788" s="135"/>
      <c r="N788" s="1174"/>
      <c r="O788" s="749"/>
      <c r="P788" s="750"/>
      <c r="Q788" s="720"/>
    </row>
    <row r="789" spans="1:17" ht="12.75" hidden="1" customHeight="1" x14ac:dyDescent="0.2">
      <c r="A789" s="472">
        <v>6</v>
      </c>
      <c r="B789" s="113"/>
      <c r="C789" s="222"/>
      <c r="D789" s="76"/>
      <c r="E789" s="70"/>
      <c r="F789" s="67"/>
      <c r="G789" s="131" t="s">
        <v>495</v>
      </c>
      <c r="H789" s="122"/>
      <c r="I789" s="131" t="e">
        <f>SUM(I777:I788)</f>
        <v>#REF!</v>
      </c>
      <c r="J789" s="672">
        <f>SUM(J777:J788)</f>
        <v>21730</v>
      </c>
      <c r="K789" s="672" t="e">
        <f>SUM(K777:K788)</f>
        <v>#REF!</v>
      </c>
      <c r="L789" s="673" t="e">
        <f t="shared" ref="L789" si="116">SUM(L777:L788)</f>
        <v>#REF!</v>
      </c>
      <c r="M789" s="135"/>
      <c r="N789" s="1174"/>
      <c r="O789" s="749"/>
      <c r="P789" s="750"/>
      <c r="Q789" s="720"/>
    </row>
    <row r="790" spans="1:17" ht="12.75" hidden="1" customHeight="1" x14ac:dyDescent="0.2">
      <c r="A790" s="472">
        <v>6</v>
      </c>
      <c r="B790" s="113"/>
      <c r="C790" s="222"/>
      <c r="D790" s="76"/>
      <c r="E790" s="70"/>
      <c r="F790" s="67"/>
      <c r="G790" s="21"/>
      <c r="H790" s="38"/>
      <c r="I790" s="21" t="e">
        <f>I776-I789</f>
        <v>#REF!</v>
      </c>
      <c r="J790" s="674">
        <f>J776-J789</f>
        <v>0</v>
      </c>
      <c r="K790" s="674" t="e">
        <f>K776-K789</f>
        <v>#REF!</v>
      </c>
      <c r="L790" s="675" t="e">
        <f>L776-L789</f>
        <v>#REF!</v>
      </c>
      <c r="M790" s="135"/>
      <c r="N790" s="1174"/>
      <c r="O790" s="749"/>
      <c r="P790" s="750"/>
      <c r="Q790" s="720"/>
    </row>
    <row r="791" spans="1:17" ht="12.6" customHeight="1" x14ac:dyDescent="0.2">
      <c r="A791" s="927"/>
      <c r="B791" s="927"/>
      <c r="C791" s="927"/>
      <c r="D791" s="927" t="s">
        <v>1854</v>
      </c>
      <c r="E791" s="930"/>
      <c r="F791" s="927"/>
      <c r="G791" s="927"/>
      <c r="H791" s="927"/>
      <c r="I791" s="927"/>
      <c r="J791" s="927"/>
      <c r="K791" s="927"/>
      <c r="L791" s="929"/>
      <c r="M791" s="940"/>
      <c r="N791" s="1028"/>
      <c r="O791" s="995"/>
      <c r="P791" s="941"/>
      <c r="Q791" s="941"/>
    </row>
    <row r="792" spans="1:17" ht="20.45" customHeight="1" x14ac:dyDescent="0.2">
      <c r="A792" s="53">
        <v>7</v>
      </c>
      <c r="B792" s="95"/>
      <c r="C792" s="95"/>
      <c r="D792" s="96" t="s">
        <v>1489</v>
      </c>
      <c r="E792" s="918"/>
      <c r="F792" s="95"/>
      <c r="G792" s="98"/>
      <c r="H792" s="97"/>
      <c r="I792" s="97"/>
      <c r="J792" s="97"/>
      <c r="K792" s="274"/>
      <c r="L792" s="866"/>
      <c r="M792" s="135"/>
      <c r="N792" s="758"/>
      <c r="O792" s="83"/>
      <c r="P792" s="75"/>
      <c r="Q792" s="75"/>
    </row>
    <row r="793" spans="1:17" ht="29.45" customHeight="1" x14ac:dyDescent="0.2">
      <c r="A793" s="53">
        <v>7</v>
      </c>
      <c r="B793" s="114" t="s">
        <v>1490</v>
      </c>
      <c r="C793" s="114" t="s">
        <v>1490</v>
      </c>
      <c r="D793" s="134" t="s">
        <v>316</v>
      </c>
      <c r="E793" s="94"/>
      <c r="F793" s="275"/>
      <c r="G793" s="275"/>
      <c r="H793" s="30"/>
      <c r="I793" s="115" t="e">
        <f>SUM(#REF!,#REF!,#REF!,#REF!,#REF!,#REF!,#REF!,#REF!,#REF!,I795)</f>
        <v>#REF!</v>
      </c>
      <c r="J793" s="115"/>
      <c r="K793" s="115"/>
      <c r="L793" s="115"/>
      <c r="M793" s="135"/>
      <c r="N793" s="758"/>
      <c r="O793" s="83"/>
      <c r="P793" s="75"/>
      <c r="Q793" s="75"/>
    </row>
    <row r="794" spans="1:17" ht="21.6" customHeight="1" x14ac:dyDescent="0.2">
      <c r="A794" s="53">
        <v>7</v>
      </c>
      <c r="B794" s="54"/>
      <c r="C794" s="54" t="s">
        <v>1491</v>
      </c>
      <c r="D794" s="276" t="s">
        <v>1492</v>
      </c>
      <c r="E794" s="54" t="s">
        <v>111</v>
      </c>
      <c r="F794" s="53" t="s">
        <v>324</v>
      </c>
      <c r="G794" s="53" t="s">
        <v>8</v>
      </c>
      <c r="H794" s="30">
        <f>150-11</f>
        <v>139</v>
      </c>
      <c r="I794" s="15">
        <v>152.69999999999999</v>
      </c>
      <c r="J794" s="100">
        <f>185+25</f>
        <v>210</v>
      </c>
      <c r="K794" s="30">
        <v>208.2</v>
      </c>
      <c r="L794" s="756">
        <v>211.8</v>
      </c>
      <c r="M794" s="135" t="s">
        <v>624</v>
      </c>
      <c r="N794" s="867" t="s">
        <v>647</v>
      </c>
      <c r="O794" s="73" t="s">
        <v>812</v>
      </c>
      <c r="P794" s="74">
        <v>100</v>
      </c>
      <c r="Q794" s="277"/>
    </row>
    <row r="795" spans="1:17" ht="12" customHeight="1" x14ac:dyDescent="0.2">
      <c r="A795" s="53">
        <v>7</v>
      </c>
      <c r="B795" s="54"/>
      <c r="C795" s="54"/>
      <c r="D795" s="276"/>
      <c r="E795" s="54"/>
      <c r="F795" s="53" t="s">
        <v>324</v>
      </c>
      <c r="G795" s="105" t="s">
        <v>495</v>
      </c>
      <c r="H795" s="107">
        <f>SUM(H794)</f>
        <v>139</v>
      </c>
      <c r="I795" s="107">
        <f>SUM(I794)</f>
        <v>152.69999999999999</v>
      </c>
      <c r="J795" s="107">
        <f>SUM(J794)</f>
        <v>210</v>
      </c>
      <c r="K795" s="107">
        <f>SUM(K794)</f>
        <v>208.2</v>
      </c>
      <c r="L795" s="765">
        <f>SUM(L794)</f>
        <v>211.8</v>
      </c>
      <c r="M795" s="135"/>
      <c r="N795" s="867"/>
      <c r="O795" s="73"/>
      <c r="P795" s="74"/>
      <c r="Q795" s="277"/>
    </row>
    <row r="796" spans="1:17" ht="22.5" x14ac:dyDescent="0.2">
      <c r="A796" s="53">
        <v>7</v>
      </c>
      <c r="B796" s="114" t="s">
        <v>1493</v>
      </c>
      <c r="C796" s="114" t="s">
        <v>1493</v>
      </c>
      <c r="D796" s="134" t="s">
        <v>328</v>
      </c>
      <c r="E796" s="54"/>
      <c r="F796" s="53"/>
      <c r="G796" s="75"/>
      <c r="H796" s="38"/>
      <c r="I796" s="190">
        <f>SUM(I798,I802)</f>
        <v>27.6</v>
      </c>
      <c r="J796" s="115"/>
      <c r="K796" s="21"/>
      <c r="L796" s="58"/>
      <c r="M796" s="135"/>
      <c r="N796" s="867"/>
      <c r="O796" s="73"/>
      <c r="P796" s="74"/>
      <c r="Q796" s="277"/>
    </row>
    <row r="797" spans="1:17" ht="49.15" customHeight="1" x14ac:dyDescent="0.2">
      <c r="A797" s="53">
        <v>7</v>
      </c>
      <c r="B797" s="54"/>
      <c r="C797" s="54"/>
      <c r="D797" s="36" t="s">
        <v>329</v>
      </c>
      <c r="E797" s="54" t="s">
        <v>1155</v>
      </c>
      <c r="F797" s="53" t="s">
        <v>330</v>
      </c>
      <c r="G797" s="53" t="s">
        <v>8</v>
      </c>
      <c r="H797" s="278">
        <v>25</v>
      </c>
      <c r="I797" s="15">
        <f>50-22.4</f>
        <v>27.6</v>
      </c>
      <c r="J797" s="100">
        <f>50+20+8.5-1.7</f>
        <v>76.8</v>
      </c>
      <c r="K797" s="278">
        <v>50</v>
      </c>
      <c r="L797" s="869">
        <v>50</v>
      </c>
      <c r="M797" s="135" t="s">
        <v>637</v>
      </c>
      <c r="N797" s="867" t="s">
        <v>1494</v>
      </c>
      <c r="O797" s="73" t="s">
        <v>1495</v>
      </c>
      <c r="P797" s="74">
        <v>2</v>
      </c>
      <c r="Q797" s="277"/>
    </row>
    <row r="798" spans="1:17" ht="22.5" customHeight="1" x14ac:dyDescent="0.2">
      <c r="A798" s="53">
        <v>7</v>
      </c>
      <c r="B798" s="54"/>
      <c r="C798" s="54"/>
      <c r="D798" s="276"/>
      <c r="E798" s="54" t="s">
        <v>1155</v>
      </c>
      <c r="F798" s="53" t="s">
        <v>330</v>
      </c>
      <c r="G798" s="105" t="s">
        <v>495</v>
      </c>
      <c r="H798" s="107">
        <f>SUM(H797)</f>
        <v>25</v>
      </c>
      <c r="I798" s="107">
        <f>SUM(I797)</f>
        <v>27.6</v>
      </c>
      <c r="J798" s="107">
        <f>SUM(J797)</f>
        <v>76.8</v>
      </c>
      <c r="K798" s="107">
        <f>SUM(K797)</f>
        <v>50</v>
      </c>
      <c r="L798" s="765">
        <f>SUM(L797)</f>
        <v>50</v>
      </c>
      <c r="M798" s="135"/>
      <c r="N798" s="867"/>
      <c r="O798" s="73" t="s">
        <v>1496</v>
      </c>
      <c r="P798" s="74">
        <v>5</v>
      </c>
      <c r="Q798" s="277"/>
    </row>
    <row r="799" spans="1:17" ht="27.6" customHeight="1" x14ac:dyDescent="0.2">
      <c r="A799" s="53">
        <v>7</v>
      </c>
      <c r="B799" s="54"/>
      <c r="C799" s="54"/>
      <c r="D799" s="36" t="s">
        <v>331</v>
      </c>
      <c r="E799" s="54" t="s">
        <v>1155</v>
      </c>
      <c r="F799" s="53" t="s">
        <v>332</v>
      </c>
      <c r="G799" s="53" t="s">
        <v>8</v>
      </c>
      <c r="H799" s="279">
        <v>100</v>
      </c>
      <c r="I799" s="15">
        <f>20-20</f>
        <v>0</v>
      </c>
      <c r="J799" s="100">
        <f>50-50</f>
        <v>0</v>
      </c>
      <c r="K799" s="280">
        <v>50</v>
      </c>
      <c r="L799" s="870">
        <v>50</v>
      </c>
      <c r="M799" s="135" t="s">
        <v>637</v>
      </c>
      <c r="N799" s="867" t="s">
        <v>1497</v>
      </c>
      <c r="O799" s="73" t="s">
        <v>1498</v>
      </c>
      <c r="P799" s="74">
        <v>1</v>
      </c>
      <c r="Q799" s="277"/>
    </row>
    <row r="800" spans="1:17" ht="27.6" customHeight="1" x14ac:dyDescent="0.2">
      <c r="A800" s="53">
        <v>7</v>
      </c>
      <c r="B800" s="54"/>
      <c r="C800" s="54"/>
      <c r="D800" s="36"/>
      <c r="E800" s="1199" t="s">
        <v>472</v>
      </c>
      <c r="F800" s="53" t="s">
        <v>332</v>
      </c>
      <c r="G800" s="53" t="s">
        <v>8</v>
      </c>
      <c r="H800" s="279"/>
      <c r="I800" s="15"/>
      <c r="J800" s="100">
        <f>28</f>
        <v>28</v>
      </c>
      <c r="K800" s="280"/>
      <c r="L800" s="870"/>
      <c r="M800" s="135"/>
      <c r="N800" s="73" t="s">
        <v>583</v>
      </c>
      <c r="O800" s="1198" t="s">
        <v>2058</v>
      </c>
      <c r="P800" s="74">
        <v>1</v>
      </c>
      <c r="Q800" s="277"/>
    </row>
    <row r="801" spans="1:17" ht="27.6" customHeight="1" x14ac:dyDescent="0.2">
      <c r="A801" s="53">
        <v>7</v>
      </c>
      <c r="B801" s="54"/>
      <c r="C801" s="54"/>
      <c r="D801" s="36"/>
      <c r="E801" s="54" t="s">
        <v>1000</v>
      </c>
      <c r="F801" s="53" t="s">
        <v>332</v>
      </c>
      <c r="G801" s="33" t="s">
        <v>8</v>
      </c>
      <c r="H801" s="279"/>
      <c r="I801" s="15"/>
      <c r="J801" s="100">
        <f>2.7</f>
        <v>2.7</v>
      </c>
      <c r="K801" s="280"/>
      <c r="L801" s="870"/>
      <c r="M801" s="135"/>
      <c r="N801" s="73" t="s">
        <v>1930</v>
      </c>
      <c r="O801" s="73" t="s">
        <v>1929</v>
      </c>
      <c r="P801" s="74">
        <v>1</v>
      </c>
      <c r="Q801" s="277"/>
    </row>
    <row r="802" spans="1:17" ht="18" customHeight="1" x14ac:dyDescent="0.2">
      <c r="A802" s="53">
        <v>7</v>
      </c>
      <c r="B802" s="54"/>
      <c r="C802" s="54"/>
      <c r="D802" s="276"/>
      <c r="E802" s="54"/>
      <c r="F802" s="53" t="s">
        <v>332</v>
      </c>
      <c r="G802" s="105" t="s">
        <v>495</v>
      </c>
      <c r="H802" s="107">
        <f>SUM(H799:H799)</f>
        <v>100</v>
      </c>
      <c r="I802" s="107">
        <f>SUM(I799:I799)</f>
        <v>0</v>
      </c>
      <c r="J802" s="107">
        <f>SUM(J799:J801)</f>
        <v>30.7</v>
      </c>
      <c r="K802" s="107">
        <f>SUM(K799:K799)</f>
        <v>50</v>
      </c>
      <c r="L802" s="765">
        <f>SUM(L799:L799)</f>
        <v>50</v>
      </c>
      <c r="M802" s="135"/>
      <c r="N802" s="867"/>
      <c r="O802" s="73"/>
      <c r="P802" s="74"/>
      <c r="Q802" s="277"/>
    </row>
    <row r="803" spans="1:17" ht="36" customHeight="1" x14ac:dyDescent="0.2">
      <c r="A803" s="53">
        <v>7</v>
      </c>
      <c r="B803" s="95"/>
      <c r="C803" s="95"/>
      <c r="D803" s="96" t="s">
        <v>1499</v>
      </c>
      <c r="E803" s="918"/>
      <c r="F803" s="95"/>
      <c r="G803" s="98"/>
      <c r="H803" s="97"/>
      <c r="I803" s="97"/>
      <c r="J803" s="97"/>
      <c r="K803" s="274"/>
      <c r="L803" s="866"/>
      <c r="M803" s="135"/>
      <c r="N803" s="867"/>
      <c r="O803" s="73"/>
      <c r="P803" s="74"/>
      <c r="Q803" s="277"/>
    </row>
    <row r="804" spans="1:17" ht="27.6" customHeight="1" x14ac:dyDescent="0.2">
      <c r="A804" s="53">
        <v>7</v>
      </c>
      <c r="B804" s="114" t="s">
        <v>1500</v>
      </c>
      <c r="C804" s="114" t="s">
        <v>1500</v>
      </c>
      <c r="D804" s="134" t="s">
        <v>1501</v>
      </c>
      <c r="E804" s="94"/>
      <c r="F804" s="275"/>
      <c r="G804" s="100"/>
      <c r="H804" s="30"/>
      <c r="I804" s="115" t="e">
        <f>I806+#REF!+I808+I811+I814+I816+#REF!+#REF!</f>
        <v>#REF!</v>
      </c>
      <c r="J804" s="115"/>
      <c r="K804" s="115"/>
      <c r="L804" s="823"/>
      <c r="M804" s="135"/>
      <c r="N804" s="871"/>
      <c r="O804" s="73"/>
      <c r="P804" s="74"/>
      <c r="Q804" s="283"/>
    </row>
    <row r="805" spans="1:17" ht="33" customHeight="1" x14ac:dyDescent="0.2">
      <c r="A805" s="53">
        <v>7</v>
      </c>
      <c r="B805" s="54"/>
      <c r="C805" s="362" t="s">
        <v>1502</v>
      </c>
      <c r="D805" s="36" t="s">
        <v>325</v>
      </c>
      <c r="E805" s="372">
        <v>8</v>
      </c>
      <c r="F805" s="53" t="s">
        <v>326</v>
      </c>
      <c r="G805" s="135" t="s">
        <v>8</v>
      </c>
      <c r="H805" s="7">
        <v>402</v>
      </c>
      <c r="I805" s="61">
        <v>6</v>
      </c>
      <c r="J805" s="100"/>
      <c r="K805" s="7">
        <v>300</v>
      </c>
      <c r="L805" s="801">
        <v>300</v>
      </c>
      <c r="M805" s="135"/>
      <c r="N805" s="867" t="s">
        <v>1497</v>
      </c>
      <c r="O805" s="73" t="s">
        <v>1876</v>
      </c>
      <c r="P805" s="74">
        <v>100</v>
      </c>
      <c r="Q805" s="277"/>
    </row>
    <row r="806" spans="1:17" x14ac:dyDescent="0.2">
      <c r="A806" s="53">
        <v>7</v>
      </c>
      <c r="B806" s="54"/>
      <c r="C806" s="362"/>
      <c r="D806" s="373"/>
      <c r="E806" s="372">
        <v>8</v>
      </c>
      <c r="F806" s="53" t="s">
        <v>326</v>
      </c>
      <c r="G806" s="105" t="s">
        <v>495</v>
      </c>
      <c r="H806" s="107"/>
      <c r="I806" s="107">
        <f>SUM(I805:I805)</f>
        <v>6</v>
      </c>
      <c r="J806" s="107">
        <f>SUM(J805:J805)</f>
        <v>0</v>
      </c>
      <c r="K806" s="107">
        <f>SUM(K805:K805)</f>
        <v>300</v>
      </c>
      <c r="L806" s="765">
        <f>SUM(L805:L805)</f>
        <v>300</v>
      </c>
      <c r="M806" s="135" t="s">
        <v>637</v>
      </c>
      <c r="N806" s="867" t="s">
        <v>1497</v>
      </c>
      <c r="O806" s="73"/>
      <c r="P806" s="74"/>
      <c r="Q806" s="277"/>
    </row>
    <row r="807" spans="1:17" ht="27.6" customHeight="1" x14ac:dyDescent="0.2">
      <c r="A807" s="53">
        <v>7</v>
      </c>
      <c r="B807" s="54"/>
      <c r="C807" s="54" t="s">
        <v>1503</v>
      </c>
      <c r="D807" s="36" t="s">
        <v>333</v>
      </c>
      <c r="E807" s="135">
        <v>9</v>
      </c>
      <c r="F807" s="135" t="s">
        <v>334</v>
      </c>
      <c r="G807" s="135" t="s">
        <v>8</v>
      </c>
      <c r="H807" s="7">
        <v>278.39999999999998</v>
      </c>
      <c r="I807" s="15">
        <f>902.3+160</f>
        <v>1062.3</v>
      </c>
      <c r="J807" s="100">
        <f>2000+320.9+200-40</f>
        <v>2480.9</v>
      </c>
      <c r="K807" s="7"/>
      <c r="L807" s="801"/>
      <c r="M807" s="135" t="s">
        <v>697</v>
      </c>
      <c r="N807" s="867" t="s">
        <v>707</v>
      </c>
      <c r="O807" s="73" t="s">
        <v>1504</v>
      </c>
      <c r="P807" s="74">
        <v>1</v>
      </c>
      <c r="Q807" s="277" t="s">
        <v>640</v>
      </c>
    </row>
    <row r="808" spans="1:17" x14ac:dyDescent="0.2">
      <c r="A808" s="53">
        <v>7</v>
      </c>
      <c r="B808" s="54"/>
      <c r="C808" s="54"/>
      <c r="D808" s="76"/>
      <c r="E808" s="135"/>
      <c r="F808" s="135" t="s">
        <v>334</v>
      </c>
      <c r="G808" s="105" t="s">
        <v>495</v>
      </c>
      <c r="H808" s="107"/>
      <c r="I808" s="107">
        <f>SUM(I807:I807)</f>
        <v>1062.3</v>
      </c>
      <c r="J808" s="107">
        <f>SUM(J807:J807)</f>
        <v>2480.9</v>
      </c>
      <c r="K808" s="107">
        <f>SUM(K807:K807)</f>
        <v>0</v>
      </c>
      <c r="L808" s="765">
        <f>SUM(L807:L807)</f>
        <v>0</v>
      </c>
      <c r="M808" s="135" t="s">
        <v>697</v>
      </c>
      <c r="N808" s="867"/>
      <c r="O808" s="73"/>
      <c r="P808" s="74"/>
      <c r="Q808" s="277"/>
    </row>
    <row r="809" spans="1:17" ht="22.15" customHeight="1" x14ac:dyDescent="0.2">
      <c r="A809" s="53">
        <v>7</v>
      </c>
      <c r="B809" s="54"/>
      <c r="C809" s="54" t="s">
        <v>1505</v>
      </c>
      <c r="D809" s="36" t="s">
        <v>335</v>
      </c>
      <c r="E809" s="187">
        <v>9</v>
      </c>
      <c r="F809" s="53" t="s">
        <v>336</v>
      </c>
      <c r="G809" s="135" t="s">
        <v>8</v>
      </c>
      <c r="H809" s="7">
        <v>19.2</v>
      </c>
      <c r="I809" s="61">
        <v>46.8</v>
      </c>
      <c r="J809" s="126">
        <f>1000-500-200-50</f>
        <v>250</v>
      </c>
      <c r="K809" s="61">
        <f>1500+600+200-1000</f>
        <v>1300</v>
      </c>
      <c r="L809" s="801"/>
      <c r="M809" s="135" t="s">
        <v>697</v>
      </c>
      <c r="N809" s="867" t="s">
        <v>698</v>
      </c>
      <c r="O809" s="73" t="s">
        <v>1506</v>
      </c>
      <c r="P809" s="74">
        <v>1</v>
      </c>
      <c r="Q809" s="277" t="s">
        <v>712</v>
      </c>
    </row>
    <row r="810" spans="1:17" ht="12.75" customHeight="1" x14ac:dyDescent="0.2">
      <c r="A810" s="53">
        <v>7</v>
      </c>
      <c r="B810" s="54"/>
      <c r="C810" s="54"/>
      <c r="D810" s="36"/>
      <c r="E810" s="187">
        <v>9</v>
      </c>
      <c r="F810" s="53" t="s">
        <v>336</v>
      </c>
      <c r="G810" s="135" t="s">
        <v>40</v>
      </c>
      <c r="H810" s="7"/>
      <c r="I810" s="61"/>
      <c r="J810" s="126"/>
      <c r="K810" s="61">
        <v>1000</v>
      </c>
      <c r="L810" s="801"/>
      <c r="M810" s="135" t="s">
        <v>697</v>
      </c>
      <c r="N810" s="867" t="s">
        <v>698</v>
      </c>
      <c r="O810" s="73"/>
      <c r="P810" s="74"/>
      <c r="Q810" s="277" t="s">
        <v>712</v>
      </c>
    </row>
    <row r="811" spans="1:17" x14ac:dyDescent="0.2">
      <c r="A811" s="53">
        <v>7</v>
      </c>
      <c r="B811" s="54"/>
      <c r="C811" s="54"/>
      <c r="D811" s="76"/>
      <c r="E811" s="135"/>
      <c r="F811" s="53" t="s">
        <v>336</v>
      </c>
      <c r="G811" s="105" t="s">
        <v>495</v>
      </c>
      <c r="H811" s="107"/>
      <c r="I811" s="107">
        <f>SUM(I809:I810)</f>
        <v>46.8</v>
      </c>
      <c r="J811" s="107">
        <f t="shared" ref="J811:L811" si="117">SUM(J809:J810)</f>
        <v>250</v>
      </c>
      <c r="K811" s="107">
        <f t="shared" si="117"/>
        <v>2300</v>
      </c>
      <c r="L811" s="765">
        <f t="shared" si="117"/>
        <v>0</v>
      </c>
      <c r="M811" s="135" t="s">
        <v>697</v>
      </c>
      <c r="N811" s="867"/>
      <c r="O811" s="2"/>
      <c r="P811" s="74">
        <v>1</v>
      </c>
      <c r="Q811" s="277"/>
    </row>
    <row r="812" spans="1:17" ht="28.15" customHeight="1" x14ac:dyDescent="0.2">
      <c r="A812" s="53">
        <v>7</v>
      </c>
      <c r="B812" s="54"/>
      <c r="C812" s="54" t="s">
        <v>1507</v>
      </c>
      <c r="D812" s="36" t="s">
        <v>1508</v>
      </c>
      <c r="E812" s="135">
        <v>9</v>
      </c>
      <c r="F812" s="53" t="s">
        <v>1509</v>
      </c>
      <c r="G812" s="135" t="s">
        <v>8</v>
      </c>
      <c r="H812" s="7"/>
      <c r="I812" s="61">
        <f>18-18</f>
        <v>0</v>
      </c>
      <c r="J812" s="126">
        <f>150-100-40</f>
        <v>10</v>
      </c>
      <c r="K812" s="7">
        <f>300+100</f>
        <v>400</v>
      </c>
      <c r="L812" s="874"/>
      <c r="M812" s="135" t="s">
        <v>710</v>
      </c>
      <c r="N812" s="1198" t="s">
        <v>707</v>
      </c>
      <c r="O812" s="73" t="s">
        <v>1510</v>
      </c>
      <c r="P812" s="74">
        <v>1</v>
      </c>
      <c r="Q812" s="277" t="s">
        <v>640</v>
      </c>
    </row>
    <row r="813" spans="1:17" ht="12.75" customHeight="1" x14ac:dyDescent="0.2">
      <c r="A813" s="53">
        <v>7</v>
      </c>
      <c r="B813" s="54"/>
      <c r="C813" s="54"/>
      <c r="D813" s="36"/>
      <c r="E813" s="135">
        <v>9</v>
      </c>
      <c r="F813" s="53" t="s">
        <v>1509</v>
      </c>
      <c r="G813" s="135" t="s">
        <v>40</v>
      </c>
      <c r="H813" s="7"/>
      <c r="I813" s="61"/>
      <c r="J813" s="126"/>
      <c r="K813" s="7"/>
      <c r="L813" s="874">
        <v>1000</v>
      </c>
      <c r="M813" s="135"/>
      <c r="N813" s="867"/>
      <c r="O813" s="73"/>
      <c r="P813" s="74"/>
      <c r="Q813" s="277" t="s">
        <v>640</v>
      </c>
    </row>
    <row r="814" spans="1:17" x14ac:dyDescent="0.2">
      <c r="A814" s="53">
        <v>7</v>
      </c>
      <c r="B814" s="54"/>
      <c r="C814" s="54"/>
      <c r="D814" s="237"/>
      <c r="E814" s="284"/>
      <c r="F814" s="53" t="s">
        <v>1509</v>
      </c>
      <c r="G814" s="105" t="s">
        <v>495</v>
      </c>
      <c r="H814" s="107"/>
      <c r="I814" s="107">
        <f>SUM(I812:I813)</f>
        <v>0</v>
      </c>
      <c r="J814" s="107">
        <f t="shared" ref="J814:L814" si="118">SUM(J812:J813)</f>
        <v>10</v>
      </c>
      <c r="K814" s="107">
        <f t="shared" si="118"/>
        <v>400</v>
      </c>
      <c r="L814" s="765">
        <f t="shared" si="118"/>
        <v>1000</v>
      </c>
      <c r="M814" s="135"/>
      <c r="N814" s="867"/>
      <c r="O814" s="73"/>
      <c r="P814" s="74"/>
      <c r="Q814" s="277"/>
    </row>
    <row r="815" spans="1:17" ht="20.45" customHeight="1" x14ac:dyDescent="0.2">
      <c r="A815" s="53">
        <v>7</v>
      </c>
      <c r="B815" s="54"/>
      <c r="C815" s="54" t="s">
        <v>1511</v>
      </c>
      <c r="D815" s="36" t="s">
        <v>1847</v>
      </c>
      <c r="E815" s="135">
        <v>9</v>
      </c>
      <c r="F815" s="53" t="s">
        <v>1512</v>
      </c>
      <c r="G815" s="135" t="s">
        <v>8</v>
      </c>
      <c r="H815" s="7"/>
      <c r="I815" s="61"/>
      <c r="J815" s="126">
        <f>145-130</f>
        <v>15</v>
      </c>
      <c r="K815" s="7"/>
      <c r="L815" s="801"/>
      <c r="M815" s="135" t="s">
        <v>710</v>
      </c>
      <c r="N815" s="873" t="s">
        <v>731</v>
      </c>
      <c r="O815" s="73" t="s">
        <v>1506</v>
      </c>
      <c r="P815" s="74">
        <v>1</v>
      </c>
      <c r="Q815" s="277" t="s">
        <v>728</v>
      </c>
    </row>
    <row r="816" spans="1:17" ht="12.75" customHeight="1" x14ac:dyDescent="0.2">
      <c r="A816" s="53">
        <v>7</v>
      </c>
      <c r="B816" s="54"/>
      <c r="C816" s="54"/>
      <c r="D816" s="237"/>
      <c r="E816" s="281"/>
      <c r="F816" s="53"/>
      <c r="G816" s="105" t="s">
        <v>495</v>
      </c>
      <c r="H816" s="107"/>
      <c r="I816" s="107">
        <f>SUM(I815)</f>
        <v>0</v>
      </c>
      <c r="J816" s="107">
        <f>SUM(J815)</f>
        <v>15</v>
      </c>
      <c r="K816" s="107">
        <f>SUM(K815)</f>
        <v>0</v>
      </c>
      <c r="L816" s="765">
        <f>SUM(L815)</f>
        <v>0</v>
      </c>
      <c r="M816" s="135"/>
      <c r="N816" s="867"/>
      <c r="O816" s="73"/>
      <c r="P816" s="74"/>
      <c r="Q816" s="277"/>
    </row>
    <row r="817" spans="1:17" ht="38.450000000000003" customHeight="1" x14ac:dyDescent="0.2">
      <c r="A817" s="53">
        <v>7</v>
      </c>
      <c r="B817" s="95"/>
      <c r="C817" s="95"/>
      <c r="D817" s="96" t="s">
        <v>1513</v>
      </c>
      <c r="E817" s="918"/>
      <c r="F817" s="95"/>
      <c r="G817" s="98"/>
      <c r="H817" s="97"/>
      <c r="I817" s="97"/>
      <c r="J817" s="97"/>
      <c r="K817" s="274"/>
      <c r="L817" s="866"/>
      <c r="M817" s="135"/>
      <c r="N817" s="867"/>
      <c r="O817" s="73"/>
      <c r="P817" s="74"/>
      <c r="Q817" s="277"/>
    </row>
    <row r="818" spans="1:17" ht="26.45" customHeight="1" x14ac:dyDescent="0.2">
      <c r="A818" s="53">
        <v>7</v>
      </c>
      <c r="B818" s="114" t="s">
        <v>1514</v>
      </c>
      <c r="C818" s="114" t="s">
        <v>1514</v>
      </c>
      <c r="D818" s="134" t="s">
        <v>337</v>
      </c>
      <c r="E818" s="53">
        <v>8</v>
      </c>
      <c r="F818" s="53" t="s">
        <v>338</v>
      </c>
      <c r="G818" s="53" t="s">
        <v>8</v>
      </c>
      <c r="H818" s="30">
        <v>42</v>
      </c>
      <c r="I818" s="15">
        <v>56.5</v>
      </c>
      <c r="J818" s="100">
        <f>67+1.7</f>
        <v>68.7</v>
      </c>
      <c r="K818" s="30">
        <v>65</v>
      </c>
      <c r="L818" s="756">
        <v>76</v>
      </c>
      <c r="M818" s="135" t="s">
        <v>637</v>
      </c>
      <c r="N818" s="867" t="s">
        <v>1515</v>
      </c>
      <c r="O818" s="73" t="s">
        <v>1516</v>
      </c>
      <c r="P818" s="74">
        <v>17</v>
      </c>
      <c r="Q818" s="277"/>
    </row>
    <row r="819" spans="1:17" x14ac:dyDescent="0.2">
      <c r="A819" s="53">
        <v>7</v>
      </c>
      <c r="B819" s="54"/>
      <c r="C819" s="54"/>
      <c r="D819" s="276"/>
      <c r="E819" s="53">
        <v>8</v>
      </c>
      <c r="F819" s="53" t="s">
        <v>338</v>
      </c>
      <c r="G819" s="105" t="s">
        <v>495</v>
      </c>
      <c r="H819" s="107">
        <f>SUM(H818)</f>
        <v>42</v>
      </c>
      <c r="I819" s="107">
        <f>SUM(I818)</f>
        <v>56.5</v>
      </c>
      <c r="J819" s="107">
        <f>SUM(J818)</f>
        <v>68.7</v>
      </c>
      <c r="K819" s="107">
        <f>SUM(K818)</f>
        <v>65</v>
      </c>
      <c r="L819" s="765">
        <f>SUM(L818)</f>
        <v>76</v>
      </c>
      <c r="M819" s="135"/>
      <c r="N819" s="867"/>
      <c r="O819" s="73"/>
      <c r="P819" s="74"/>
      <c r="Q819" s="277"/>
    </row>
    <row r="820" spans="1:17" ht="28.15" customHeight="1" x14ac:dyDescent="0.2">
      <c r="A820" s="53">
        <v>7</v>
      </c>
      <c r="B820" s="114" t="s">
        <v>1517</v>
      </c>
      <c r="C820" s="114" t="s">
        <v>1517</v>
      </c>
      <c r="D820" s="134" t="s">
        <v>339</v>
      </c>
      <c r="E820" s="53">
        <v>8</v>
      </c>
      <c r="F820" s="53" t="s">
        <v>340</v>
      </c>
      <c r="G820" s="53" t="s">
        <v>8</v>
      </c>
      <c r="H820" s="30">
        <v>4.5</v>
      </c>
      <c r="I820" s="15">
        <v>4.5</v>
      </c>
      <c r="J820" s="100">
        <v>4.5</v>
      </c>
      <c r="K820" s="30">
        <v>4.5</v>
      </c>
      <c r="L820" s="756">
        <v>4.5</v>
      </c>
      <c r="M820" s="135" t="s">
        <v>637</v>
      </c>
      <c r="N820" s="867" t="s">
        <v>1518</v>
      </c>
      <c r="O820" s="73" t="s">
        <v>1519</v>
      </c>
      <c r="P820" s="74">
        <v>5</v>
      </c>
      <c r="Q820" s="277"/>
    </row>
    <row r="821" spans="1:17" x14ac:dyDescent="0.2">
      <c r="A821" s="53">
        <v>7</v>
      </c>
      <c r="B821" s="121"/>
      <c r="C821" s="121"/>
      <c r="D821" s="83"/>
      <c r="E821" s="53">
        <v>8</v>
      </c>
      <c r="F821" s="53" t="s">
        <v>340</v>
      </c>
      <c r="G821" s="105" t="s">
        <v>495</v>
      </c>
      <c r="H821" s="107"/>
      <c r="I821" s="107">
        <f>I820</f>
        <v>4.5</v>
      </c>
      <c r="J821" s="107">
        <f>J820</f>
        <v>4.5</v>
      </c>
      <c r="K821" s="107">
        <f>K820</f>
        <v>4.5</v>
      </c>
      <c r="L821" s="765">
        <f>L820</f>
        <v>4.5</v>
      </c>
      <c r="M821" s="135"/>
      <c r="N821" s="867"/>
      <c r="O821" s="73"/>
      <c r="P821" s="74"/>
      <c r="Q821" s="277"/>
    </row>
    <row r="822" spans="1:17" ht="30" customHeight="1" x14ac:dyDescent="0.2">
      <c r="A822" s="53">
        <v>7</v>
      </c>
      <c r="B822" s="95"/>
      <c r="C822" s="95"/>
      <c r="D822" s="96" t="s">
        <v>1520</v>
      </c>
      <c r="E822" s="918"/>
      <c r="F822" s="95"/>
      <c r="G822" s="98"/>
      <c r="H822" s="97"/>
      <c r="I822" s="97"/>
      <c r="J822" s="97"/>
      <c r="K822" s="274"/>
      <c r="L822" s="866"/>
      <c r="M822" s="135"/>
      <c r="N822" s="867"/>
      <c r="O822" s="73"/>
      <c r="P822" s="74"/>
      <c r="Q822" s="366"/>
    </row>
    <row r="823" spans="1:17" ht="34.9" customHeight="1" x14ac:dyDescent="0.2">
      <c r="A823" s="53">
        <v>7</v>
      </c>
      <c r="B823" s="114" t="s">
        <v>1521</v>
      </c>
      <c r="C823" s="114" t="s">
        <v>1521</v>
      </c>
      <c r="D823" s="285" t="s">
        <v>341</v>
      </c>
      <c r="E823" s="53"/>
      <c r="F823" s="53"/>
      <c r="G823" s="75"/>
      <c r="H823" s="38"/>
      <c r="I823" s="115" t="e">
        <f>SUM(I827,I834,I836,#REF!,I838,I843,I849)</f>
        <v>#REF!</v>
      </c>
      <c r="J823" s="115"/>
      <c r="K823" s="115"/>
      <c r="L823" s="823"/>
      <c r="M823" s="135"/>
      <c r="N823" s="875"/>
      <c r="O823" s="876"/>
      <c r="P823" s="365"/>
      <c r="Q823" s="363"/>
    </row>
    <row r="824" spans="1:17" ht="21" customHeight="1" x14ac:dyDescent="0.2">
      <c r="A824" s="53">
        <v>7</v>
      </c>
      <c r="B824" s="54"/>
      <c r="C824" s="54" t="s">
        <v>1522</v>
      </c>
      <c r="D824" s="868" t="s">
        <v>342</v>
      </c>
      <c r="E824" s="53">
        <v>2</v>
      </c>
      <c r="F824" s="53" t="s">
        <v>343</v>
      </c>
      <c r="G824" s="33"/>
      <c r="H824" s="31"/>
      <c r="I824" s="15"/>
      <c r="J824" s="100"/>
      <c r="K824" s="31"/>
      <c r="L824" s="877"/>
      <c r="M824" s="878" t="s">
        <v>637</v>
      </c>
      <c r="N824" s="159"/>
      <c r="O824" s="997"/>
      <c r="P824" s="986"/>
      <c r="Q824" s="356"/>
    </row>
    <row r="825" spans="1:17" ht="18.75" customHeight="1" x14ac:dyDescent="0.25">
      <c r="A825" s="53">
        <v>7</v>
      </c>
      <c r="B825" s="54"/>
      <c r="C825" s="287" t="s">
        <v>1523</v>
      </c>
      <c r="D825" s="288" t="s">
        <v>1524</v>
      </c>
      <c r="E825" s="53">
        <v>2</v>
      </c>
      <c r="F825" s="53" t="s">
        <v>343</v>
      </c>
      <c r="G825" s="53" t="s">
        <v>8</v>
      </c>
      <c r="H825" s="30"/>
      <c r="I825" s="15">
        <v>48.3</v>
      </c>
      <c r="J825" s="100">
        <v>50</v>
      </c>
      <c r="K825" s="289">
        <v>57</v>
      </c>
      <c r="L825" s="879">
        <v>57</v>
      </c>
      <c r="M825" s="135"/>
      <c r="N825" s="880" t="s">
        <v>1525</v>
      </c>
      <c r="O825" s="755" t="s">
        <v>1526</v>
      </c>
      <c r="P825" s="365">
        <v>14</v>
      </c>
      <c r="Q825" s="364"/>
    </row>
    <row r="826" spans="1:17" ht="26.25" customHeight="1" x14ac:dyDescent="0.25">
      <c r="A826" s="53">
        <v>7</v>
      </c>
      <c r="B826" s="54"/>
      <c r="C826" s="287" t="s">
        <v>1527</v>
      </c>
      <c r="D826" s="288" t="s">
        <v>1528</v>
      </c>
      <c r="E826" s="53">
        <v>2</v>
      </c>
      <c r="F826" s="53" t="s">
        <v>343</v>
      </c>
      <c r="G826" s="53" t="s">
        <v>497</v>
      </c>
      <c r="H826" s="30"/>
      <c r="I826" s="15">
        <v>18.399999999999999</v>
      </c>
      <c r="J826" s="100">
        <v>17.100000000000001</v>
      </c>
      <c r="K826" s="289">
        <v>5</v>
      </c>
      <c r="L826" s="879">
        <v>5</v>
      </c>
      <c r="M826" s="135"/>
      <c r="N826" s="881" t="s">
        <v>1525</v>
      </c>
      <c r="O826" s="286" t="s">
        <v>1529</v>
      </c>
      <c r="P826" s="365">
        <v>38</v>
      </c>
      <c r="Q826" s="364"/>
    </row>
    <row r="827" spans="1:17" ht="15" x14ac:dyDescent="0.25">
      <c r="A827" s="53">
        <v>7</v>
      </c>
      <c r="B827" s="54"/>
      <c r="C827" s="54"/>
      <c r="D827" s="291"/>
      <c r="E827" s="53"/>
      <c r="F827" s="53" t="s">
        <v>343</v>
      </c>
      <c r="G827" s="105" t="s">
        <v>495</v>
      </c>
      <c r="H827" s="107">
        <f>SUM(H824)</f>
        <v>0</v>
      </c>
      <c r="I827" s="107">
        <f>SUM(I825,I826)</f>
        <v>66.699999999999989</v>
      </c>
      <c r="J827" s="107">
        <f t="shared" ref="J827:L827" si="119">SUM(J825,J826)</f>
        <v>67.099999999999994</v>
      </c>
      <c r="K827" s="107">
        <f t="shared" si="119"/>
        <v>62</v>
      </c>
      <c r="L827" s="765">
        <f t="shared" si="119"/>
        <v>62</v>
      </c>
      <c r="M827" s="135"/>
      <c r="N827" s="89"/>
      <c r="O827" s="286"/>
      <c r="P827" s="365"/>
      <c r="Q827" s="364"/>
    </row>
    <row r="828" spans="1:17" ht="27.6" customHeight="1" x14ac:dyDescent="0.25">
      <c r="A828" s="53">
        <v>7</v>
      </c>
      <c r="B828" s="54"/>
      <c r="C828" s="54" t="s">
        <v>1530</v>
      </c>
      <c r="D828" s="868" t="s">
        <v>344</v>
      </c>
      <c r="E828" s="53" t="s">
        <v>1877</v>
      </c>
      <c r="F828" s="53" t="s">
        <v>345</v>
      </c>
      <c r="G828" s="282" t="s">
        <v>8</v>
      </c>
      <c r="H828" s="31">
        <v>78.7</v>
      </c>
      <c r="I828" s="282" t="e">
        <f>SUM(#REF!,I830,I829,I831,I832,#REF!,I833)</f>
        <v>#REF!</v>
      </c>
      <c r="J828" s="282">
        <f>SUM(J830,J829,J831,J832,J833)</f>
        <v>15.6</v>
      </c>
      <c r="K828" s="282" t="e">
        <f>SUM(#REF!,K830,K829,K831,K832,#REF!,K833)</f>
        <v>#REF!</v>
      </c>
      <c r="L828" s="872" t="e">
        <f>SUM(#REF!,L830,L829,L831,L832,#REF!,L833)</f>
        <v>#REF!</v>
      </c>
      <c r="M828" s="135"/>
      <c r="N828" s="881"/>
      <c r="O828" s="286"/>
      <c r="P828" s="292"/>
      <c r="Q828" s="367"/>
    </row>
    <row r="829" spans="1:17" ht="33.6" customHeight="1" x14ac:dyDescent="0.2">
      <c r="A829" s="53">
        <v>7</v>
      </c>
      <c r="B829" s="54"/>
      <c r="C829" s="54" t="s">
        <v>1531</v>
      </c>
      <c r="D829" s="141" t="s">
        <v>1532</v>
      </c>
      <c r="E829" s="53">
        <v>2</v>
      </c>
      <c r="F829" s="53" t="s">
        <v>345</v>
      </c>
      <c r="G829" s="75" t="s">
        <v>8</v>
      </c>
      <c r="H829" s="38"/>
      <c r="I829" s="15">
        <v>140.1</v>
      </c>
      <c r="J829" s="100">
        <f>100-99.5</f>
        <v>0.5</v>
      </c>
      <c r="K829" s="38">
        <v>0</v>
      </c>
      <c r="L829" s="49">
        <v>0</v>
      </c>
      <c r="M829" s="135" t="s">
        <v>627</v>
      </c>
      <c r="N829" s="881" t="s">
        <v>1525</v>
      </c>
      <c r="O829" s="286" t="s">
        <v>1533</v>
      </c>
      <c r="P829" s="292">
        <v>1</v>
      </c>
      <c r="Q829" s="293" t="s">
        <v>727</v>
      </c>
    </row>
    <row r="830" spans="1:17" ht="30" customHeight="1" x14ac:dyDescent="0.2">
      <c r="A830" s="53">
        <v>7</v>
      </c>
      <c r="B830" s="54"/>
      <c r="C830" s="54" t="s">
        <v>1534</v>
      </c>
      <c r="D830" s="209" t="s">
        <v>1535</v>
      </c>
      <c r="E830" s="53">
        <v>29</v>
      </c>
      <c r="F830" s="53" t="s">
        <v>1536</v>
      </c>
      <c r="G830" s="53" t="s">
        <v>8</v>
      </c>
      <c r="H830" s="30"/>
      <c r="I830" s="31"/>
      <c r="J830" s="282">
        <v>12</v>
      </c>
      <c r="K830" s="30">
        <v>0</v>
      </c>
      <c r="L830" s="756">
        <v>0</v>
      </c>
      <c r="M830" s="135" t="s">
        <v>627</v>
      </c>
      <c r="N830" s="881" t="s">
        <v>1537</v>
      </c>
      <c r="O830" s="286" t="s">
        <v>1229</v>
      </c>
      <c r="P830" s="292">
        <v>1</v>
      </c>
      <c r="Q830" s="293" t="s">
        <v>727</v>
      </c>
    </row>
    <row r="831" spans="1:17" ht="25.15" customHeight="1" x14ac:dyDescent="0.2">
      <c r="A831" s="53">
        <v>7</v>
      </c>
      <c r="B831" s="54"/>
      <c r="C831" s="54" t="s">
        <v>1538</v>
      </c>
      <c r="D831" s="209" t="s">
        <v>1539</v>
      </c>
      <c r="E831" s="53">
        <v>26</v>
      </c>
      <c r="F831" s="53" t="s">
        <v>346</v>
      </c>
      <c r="G831" s="75" t="s">
        <v>8</v>
      </c>
      <c r="H831" s="38"/>
      <c r="I831" s="15"/>
      <c r="J831" s="100">
        <f>30-30</f>
        <v>0</v>
      </c>
      <c r="K831" s="38"/>
      <c r="L831" s="49"/>
      <c r="M831" s="135" t="s">
        <v>710</v>
      </c>
      <c r="N831" s="881" t="s">
        <v>1260</v>
      </c>
      <c r="O831" s="286" t="s">
        <v>1540</v>
      </c>
      <c r="P831" s="294">
        <v>1</v>
      </c>
      <c r="Q831" s="293" t="s">
        <v>720</v>
      </c>
    </row>
    <row r="832" spans="1:17" ht="27" customHeight="1" x14ac:dyDescent="0.2">
      <c r="A832" s="53">
        <v>7</v>
      </c>
      <c r="B832" s="54"/>
      <c r="C832" s="54" t="s">
        <v>1541</v>
      </c>
      <c r="D832" s="83" t="s">
        <v>1542</v>
      </c>
      <c r="E832" s="53">
        <v>2</v>
      </c>
      <c r="F832" s="53" t="s">
        <v>345</v>
      </c>
      <c r="G832" s="75" t="s">
        <v>8</v>
      </c>
      <c r="H832" s="38"/>
      <c r="I832" s="15"/>
      <c r="J832" s="100">
        <f>5-3.3</f>
        <v>1.7000000000000002</v>
      </c>
      <c r="K832" s="185">
        <v>20</v>
      </c>
      <c r="L832" s="34"/>
      <c r="M832" s="135" t="s">
        <v>710</v>
      </c>
      <c r="N832" s="881" t="s">
        <v>1525</v>
      </c>
      <c r="O832" s="286" t="s">
        <v>1543</v>
      </c>
      <c r="P832" s="292">
        <v>1</v>
      </c>
      <c r="Q832" s="293" t="s">
        <v>640</v>
      </c>
    </row>
    <row r="833" spans="1:17" ht="12.75" customHeight="1" x14ac:dyDescent="0.2">
      <c r="A833" s="53">
        <v>7</v>
      </c>
      <c r="B833" s="287"/>
      <c r="C833" s="140" t="s">
        <v>1544</v>
      </c>
      <c r="D833" s="676" t="s">
        <v>1545</v>
      </c>
      <c r="E833" s="53">
        <v>2</v>
      </c>
      <c r="G833" s="75" t="s">
        <v>8</v>
      </c>
      <c r="H833" s="38"/>
      <c r="I833" s="15"/>
      <c r="J833" s="100">
        <f>5-3.6</f>
        <v>1.4</v>
      </c>
      <c r="K833" s="279">
        <v>10</v>
      </c>
      <c r="L833" s="882">
        <v>10</v>
      </c>
      <c r="M833" s="135"/>
      <c r="N833" s="805" t="s">
        <v>1525</v>
      </c>
      <c r="O833" s="701" t="s">
        <v>1546</v>
      </c>
      <c r="P833" s="292">
        <v>1</v>
      </c>
      <c r="Q833" s="295" t="s">
        <v>716</v>
      </c>
    </row>
    <row r="834" spans="1:17" ht="15" x14ac:dyDescent="0.25">
      <c r="A834" s="53">
        <v>7</v>
      </c>
      <c r="B834" s="54"/>
      <c r="C834" s="54"/>
      <c r="D834" s="209"/>
      <c r="E834" s="53"/>
      <c r="F834" s="53" t="s">
        <v>345</v>
      </c>
      <c r="G834" s="105" t="s">
        <v>495</v>
      </c>
      <c r="H834" s="107" t="e">
        <f>SUM(#REF!)</f>
        <v>#REF!</v>
      </c>
      <c r="I834" s="107">
        <f>SUM(I829:I833)</f>
        <v>140.1</v>
      </c>
      <c r="J834" s="107">
        <f>SUM(J829:J833)</f>
        <v>15.6</v>
      </c>
      <c r="K834" s="107">
        <f>SUM(K829:K833)</f>
        <v>30</v>
      </c>
      <c r="L834" s="765">
        <f>SUM(L829:L833)</f>
        <v>10</v>
      </c>
      <c r="M834" s="135"/>
      <c r="N834" s="881"/>
      <c r="O834" s="286"/>
      <c r="P834" s="292"/>
      <c r="Q834" s="290"/>
    </row>
    <row r="835" spans="1:17" ht="28.15" customHeight="1" x14ac:dyDescent="0.2">
      <c r="A835" s="53">
        <v>7</v>
      </c>
      <c r="B835" s="54"/>
      <c r="C835" s="54" t="s">
        <v>1547</v>
      </c>
      <c r="D835" s="868" t="s">
        <v>347</v>
      </c>
      <c r="E835" s="53">
        <v>2</v>
      </c>
      <c r="F835" s="296" t="s">
        <v>348</v>
      </c>
      <c r="G835" s="53" t="s">
        <v>8</v>
      </c>
      <c r="H835" s="30">
        <f>40-40</f>
        <v>0</v>
      </c>
      <c r="I835" s="15">
        <v>0</v>
      </c>
      <c r="J835" s="100">
        <f>45-8.5</f>
        <v>36.5</v>
      </c>
      <c r="K835" s="30">
        <v>0</v>
      </c>
      <c r="L835" s="756">
        <v>0</v>
      </c>
      <c r="M835" s="135" t="s">
        <v>637</v>
      </c>
      <c r="N835" s="881" t="s">
        <v>1525</v>
      </c>
      <c r="O835" s="139" t="s">
        <v>1548</v>
      </c>
      <c r="P835" s="292">
        <v>1</v>
      </c>
      <c r="Q835" s="883" t="s">
        <v>712</v>
      </c>
    </row>
    <row r="836" spans="1:17" ht="15" x14ac:dyDescent="0.25">
      <c r="A836" s="53">
        <v>7</v>
      </c>
      <c r="B836" s="54"/>
      <c r="C836" s="54"/>
      <c r="D836" s="237"/>
      <c r="E836" s="296"/>
      <c r="F836" s="296" t="s">
        <v>348</v>
      </c>
      <c r="G836" s="105" t="s">
        <v>495</v>
      </c>
      <c r="H836" s="107">
        <f>SUM(H835)</f>
        <v>0</v>
      </c>
      <c r="I836" s="107">
        <f>SUM(I835)</f>
        <v>0</v>
      </c>
      <c r="J836" s="107">
        <f>SUM(J835)</f>
        <v>36.5</v>
      </c>
      <c r="K836" s="107">
        <f>SUM(K835)</f>
        <v>0</v>
      </c>
      <c r="L836" s="765">
        <f>SUM(L835)</f>
        <v>0</v>
      </c>
      <c r="M836" s="135"/>
      <c r="N836" s="881"/>
      <c r="O836" s="286"/>
      <c r="P836" s="292"/>
      <c r="Q836" s="290"/>
    </row>
    <row r="837" spans="1:17" ht="46.9" customHeight="1" x14ac:dyDescent="0.2">
      <c r="A837" s="53">
        <v>7</v>
      </c>
      <c r="B837" s="54"/>
      <c r="C837" s="54" t="s">
        <v>1549</v>
      </c>
      <c r="D837" s="868" t="s">
        <v>1928</v>
      </c>
      <c r="E837" s="32">
        <v>2</v>
      </c>
      <c r="F837" s="53" t="s">
        <v>349</v>
      </c>
      <c r="G837" s="53" t="s">
        <v>8</v>
      </c>
      <c r="H837" s="30">
        <f>100+19</f>
        <v>119</v>
      </c>
      <c r="I837" s="15">
        <v>106.8</v>
      </c>
      <c r="J837" s="100">
        <v>150</v>
      </c>
      <c r="K837" s="30">
        <v>150</v>
      </c>
      <c r="L837" s="756">
        <v>150</v>
      </c>
      <c r="M837" s="135" t="s">
        <v>637</v>
      </c>
      <c r="N837" s="867" t="s">
        <v>1550</v>
      </c>
      <c r="O837" s="73" t="s">
        <v>1551</v>
      </c>
      <c r="P837" s="74">
        <v>6</v>
      </c>
      <c r="Q837" s="277"/>
    </row>
    <row r="838" spans="1:17" x14ac:dyDescent="0.2">
      <c r="A838" s="53">
        <v>7</v>
      </c>
      <c r="B838" s="54"/>
      <c r="C838" s="54"/>
      <c r="D838" s="276"/>
      <c r="E838" s="53"/>
      <c r="F838" s="53" t="s">
        <v>349</v>
      </c>
      <c r="G838" s="105" t="s">
        <v>495</v>
      </c>
      <c r="H838" s="107">
        <f>SUM(H837)</f>
        <v>119</v>
      </c>
      <c r="I838" s="107">
        <f>SUM(I837)</f>
        <v>106.8</v>
      </c>
      <c r="J838" s="107">
        <f>SUM(J837)</f>
        <v>150</v>
      </c>
      <c r="K838" s="107">
        <f>SUM(K837)</f>
        <v>150</v>
      </c>
      <c r="L838" s="765">
        <f>SUM(L837)</f>
        <v>150</v>
      </c>
      <c r="M838" s="135"/>
      <c r="N838" s="875"/>
      <c r="O838" s="932"/>
      <c r="P838" s="371"/>
      <c r="Q838" s="366"/>
    </row>
    <row r="839" spans="1:17" ht="21" customHeight="1" x14ac:dyDescent="0.2">
      <c r="A839" s="53">
        <v>7</v>
      </c>
      <c r="B839" s="54"/>
      <c r="C839" s="54" t="s">
        <v>1552</v>
      </c>
      <c r="D839" s="868" t="s">
        <v>350</v>
      </c>
      <c r="E839" s="32" t="s">
        <v>98</v>
      </c>
      <c r="F839" s="53" t="s">
        <v>351</v>
      </c>
      <c r="G839" s="33"/>
      <c r="H839" s="31"/>
      <c r="I839" s="15"/>
      <c r="J839" s="322"/>
      <c r="K839" s="289"/>
      <c r="L839" s="879"/>
      <c r="M839" s="135"/>
      <c r="N839" s="441"/>
      <c r="O839" s="1016"/>
      <c r="P839" s="74"/>
      <c r="Q839" s="237"/>
    </row>
    <row r="840" spans="1:17" ht="19.149999999999999" customHeight="1" x14ac:dyDescent="0.2">
      <c r="A840" s="53">
        <v>7</v>
      </c>
      <c r="B840" s="54"/>
      <c r="C840" s="287" t="s">
        <v>1554</v>
      </c>
      <c r="D840" s="288" t="s">
        <v>1555</v>
      </c>
      <c r="E840" s="297">
        <v>2</v>
      </c>
      <c r="F840" s="298" t="s">
        <v>351</v>
      </c>
      <c r="G840" s="298" t="s">
        <v>8</v>
      </c>
      <c r="H840" s="289"/>
      <c r="I840" s="125"/>
      <c r="J840" s="111">
        <f>63-5.4</f>
        <v>57.6</v>
      </c>
      <c r="K840" s="289">
        <v>160</v>
      </c>
      <c r="L840" s="879">
        <v>58</v>
      </c>
      <c r="M840" s="135" t="s">
        <v>710</v>
      </c>
      <c r="N840" s="880" t="s">
        <v>1553</v>
      </c>
      <c r="O840" s="942" t="s">
        <v>1556</v>
      </c>
      <c r="P840" s="987">
        <v>30</v>
      </c>
      <c r="Q840" s="943" t="s">
        <v>712</v>
      </c>
    </row>
    <row r="841" spans="1:17" ht="32.450000000000003" customHeight="1" x14ac:dyDescent="0.2">
      <c r="A841" s="53">
        <v>7</v>
      </c>
      <c r="B841" s="54"/>
      <c r="C841" s="287" t="s">
        <v>1554</v>
      </c>
      <c r="D841" s="288" t="s">
        <v>1555</v>
      </c>
      <c r="E841" s="297">
        <v>28</v>
      </c>
      <c r="F841" s="298" t="s">
        <v>2099</v>
      </c>
      <c r="G841" s="298" t="s">
        <v>8</v>
      </c>
      <c r="H841" s="289"/>
      <c r="I841" s="125"/>
      <c r="J841" s="111">
        <f>5.4-5.4</f>
        <v>0</v>
      </c>
      <c r="K841" s="289"/>
      <c r="L841" s="879"/>
      <c r="M841" s="135"/>
      <c r="N841" s="881" t="s">
        <v>1427</v>
      </c>
      <c r="O841" s="921" t="s">
        <v>1859</v>
      </c>
      <c r="P841" s="365">
        <v>1</v>
      </c>
      <c r="Q841" s="883" t="s">
        <v>712</v>
      </c>
    </row>
    <row r="842" spans="1:17" ht="28.15" customHeight="1" x14ac:dyDescent="0.2">
      <c r="A842" s="53">
        <v>7</v>
      </c>
      <c r="B842" s="54"/>
      <c r="C842" s="287" t="s">
        <v>1557</v>
      </c>
      <c r="D842" s="288" t="s">
        <v>1558</v>
      </c>
      <c r="E842" s="297">
        <v>2</v>
      </c>
      <c r="F842" s="298" t="s">
        <v>351</v>
      </c>
      <c r="G842" s="298" t="s">
        <v>8</v>
      </c>
      <c r="H842" s="289"/>
      <c r="I842" s="125"/>
      <c r="J842" s="111">
        <v>15</v>
      </c>
      <c r="K842" s="289">
        <v>150</v>
      </c>
      <c r="L842" s="879">
        <v>150</v>
      </c>
      <c r="M842" s="135" t="s">
        <v>710</v>
      </c>
      <c r="N842" s="881" t="s">
        <v>1525</v>
      </c>
      <c r="O842" s="73" t="s">
        <v>1559</v>
      </c>
      <c r="P842" s="365">
        <v>1</v>
      </c>
      <c r="Q842" s="363" t="s">
        <v>700</v>
      </c>
    </row>
    <row r="843" spans="1:17" x14ac:dyDescent="0.2">
      <c r="A843" s="53">
        <v>7</v>
      </c>
      <c r="B843" s="54"/>
      <c r="C843" s="54"/>
      <c r="D843" s="237"/>
      <c r="E843" s="32"/>
      <c r="F843" s="53" t="s">
        <v>351</v>
      </c>
      <c r="G843" s="105" t="s">
        <v>495</v>
      </c>
      <c r="H843" s="107">
        <f>SUM(H839)</f>
        <v>0</v>
      </c>
      <c r="I843" s="107">
        <f>SUM(I840,I842)</f>
        <v>0</v>
      </c>
      <c r="J843" s="107">
        <f>SUM(J840:J841,J842)</f>
        <v>72.599999999999994</v>
      </c>
      <c r="K843" s="107">
        <f t="shared" ref="K843:L843" si="120">SUM(K840:K841,K842)</f>
        <v>310</v>
      </c>
      <c r="L843" s="765">
        <f t="shared" si="120"/>
        <v>208</v>
      </c>
      <c r="M843" s="135"/>
      <c r="N843" s="867"/>
      <c r="O843" s="2"/>
      <c r="P843" s="369"/>
      <c r="Q843" s="884"/>
    </row>
    <row r="844" spans="1:17" ht="34.15" customHeight="1" x14ac:dyDescent="0.25">
      <c r="A844" s="53">
        <v>7</v>
      </c>
      <c r="B844" s="300"/>
      <c r="C844" s="300" t="s">
        <v>1560</v>
      </c>
      <c r="D844" s="868" t="s">
        <v>352</v>
      </c>
      <c r="E844" s="74">
        <v>2</v>
      </c>
      <c r="F844" s="74" t="s">
        <v>353</v>
      </c>
      <c r="G844" s="74" t="s">
        <v>8</v>
      </c>
      <c r="H844" s="31"/>
      <c r="I844" s="15"/>
      <c r="J844" s="322"/>
      <c r="K844" s="31"/>
      <c r="L844" s="877"/>
      <c r="M844" s="135"/>
      <c r="N844" s="881"/>
      <c r="O844" s="286"/>
      <c r="P844" s="370"/>
      <c r="Q844" s="364"/>
    </row>
    <row r="845" spans="1:17" ht="39.6" customHeight="1" x14ac:dyDescent="0.25">
      <c r="A845" s="53">
        <v>7</v>
      </c>
      <c r="B845" s="300"/>
      <c r="C845" s="300" t="s">
        <v>1561</v>
      </c>
      <c r="D845" s="288" t="s">
        <v>1562</v>
      </c>
      <c r="E845" s="74">
        <v>2</v>
      </c>
      <c r="F845" s="74" t="s">
        <v>353</v>
      </c>
      <c r="G845" s="74" t="s">
        <v>8</v>
      </c>
      <c r="H845" s="30">
        <v>14.299999999999999</v>
      </c>
      <c r="I845" s="15">
        <v>9.8000000000000007</v>
      </c>
      <c r="J845" s="100">
        <v>10</v>
      </c>
      <c r="K845" s="30">
        <v>10</v>
      </c>
      <c r="L845" s="756">
        <v>10</v>
      </c>
      <c r="M845" s="135" t="s">
        <v>624</v>
      </c>
      <c r="N845" s="881" t="s">
        <v>1525</v>
      </c>
      <c r="O845" s="286" t="s">
        <v>1563</v>
      </c>
      <c r="P845" s="370">
        <v>10</v>
      </c>
      <c r="Q845" s="368"/>
    </row>
    <row r="846" spans="1:17" ht="25.9" customHeight="1" x14ac:dyDescent="0.25">
      <c r="A846" s="53">
        <v>7</v>
      </c>
      <c r="B846" s="300"/>
      <c r="C846" s="300" t="s">
        <v>1564</v>
      </c>
      <c r="D846" s="288" t="s">
        <v>1565</v>
      </c>
      <c r="E846" s="74">
        <v>2</v>
      </c>
      <c r="F846" s="74" t="s">
        <v>353</v>
      </c>
      <c r="G846" s="74" t="s">
        <v>8</v>
      </c>
      <c r="H846" s="30"/>
      <c r="I846" s="15">
        <v>2.2000000000000002</v>
      </c>
      <c r="J846" s="100">
        <v>4.7</v>
      </c>
      <c r="K846" s="30">
        <v>4.7</v>
      </c>
      <c r="L846" s="756">
        <v>4.7</v>
      </c>
      <c r="M846" s="135" t="s">
        <v>624</v>
      </c>
      <c r="N846" s="881" t="s">
        <v>1525</v>
      </c>
      <c r="O846" s="286" t="s">
        <v>1566</v>
      </c>
      <c r="P846" s="370">
        <v>6</v>
      </c>
      <c r="Q846" s="368"/>
    </row>
    <row r="847" spans="1:17" ht="39" customHeight="1" x14ac:dyDescent="0.25">
      <c r="A847" s="53">
        <v>7</v>
      </c>
      <c r="B847" s="300"/>
      <c r="C847" s="300" t="s">
        <v>1567</v>
      </c>
      <c r="D847" s="288" t="s">
        <v>1568</v>
      </c>
      <c r="E847" s="74">
        <v>2</v>
      </c>
      <c r="F847" s="74" t="s">
        <v>353</v>
      </c>
      <c r="G847" s="74" t="s">
        <v>8</v>
      </c>
      <c r="H847" s="30"/>
      <c r="I847" s="15">
        <v>3</v>
      </c>
      <c r="J847" s="100">
        <v>3</v>
      </c>
      <c r="K847" s="30">
        <v>3</v>
      </c>
      <c r="L847" s="756">
        <v>3</v>
      </c>
      <c r="M847" s="135" t="s">
        <v>624</v>
      </c>
      <c r="N847" s="881" t="s">
        <v>1525</v>
      </c>
      <c r="O847" s="299" t="s">
        <v>1569</v>
      </c>
      <c r="P847" s="370">
        <v>2</v>
      </c>
      <c r="Q847" s="368"/>
    </row>
    <row r="848" spans="1:17" ht="21.6" customHeight="1" x14ac:dyDescent="0.25">
      <c r="A848" s="53">
        <v>7</v>
      </c>
      <c r="B848" s="300"/>
      <c r="C848" s="300" t="s">
        <v>1570</v>
      </c>
      <c r="D848" s="139" t="s">
        <v>1571</v>
      </c>
      <c r="E848" s="74">
        <v>2</v>
      </c>
      <c r="F848" s="74" t="s">
        <v>353</v>
      </c>
      <c r="G848" s="74" t="s">
        <v>8</v>
      </c>
      <c r="H848" s="30"/>
      <c r="I848" s="15">
        <v>0</v>
      </c>
      <c r="J848" s="100">
        <v>5.3</v>
      </c>
      <c r="K848" s="30">
        <v>5.3</v>
      </c>
      <c r="L848" s="756">
        <v>5.3</v>
      </c>
      <c r="M848" s="135" t="s">
        <v>624</v>
      </c>
      <c r="N848" s="881" t="s">
        <v>1525</v>
      </c>
      <c r="O848" s="286"/>
      <c r="P848" s="370"/>
      <c r="Q848" s="368"/>
    </row>
    <row r="849" spans="1:17" ht="15" x14ac:dyDescent="0.25">
      <c r="A849" s="53">
        <v>7</v>
      </c>
      <c r="B849" s="300"/>
      <c r="C849" s="300"/>
      <c r="D849" s="237"/>
      <c r="E849" s="74"/>
      <c r="F849" s="74" t="s">
        <v>353</v>
      </c>
      <c r="G849" s="105" t="s">
        <v>495</v>
      </c>
      <c r="H849" s="107">
        <f>SUM(H844)</f>
        <v>0</v>
      </c>
      <c r="I849" s="107" t="e">
        <f>I845+I846+I847+#REF!+#REF!+#REF!+I848</f>
        <v>#REF!</v>
      </c>
      <c r="J849" s="107">
        <f>J845+J846+J847+J848</f>
        <v>23</v>
      </c>
      <c r="K849" s="107" t="e">
        <f>K845+K846+K847+#REF!+#REF!+#REF!+K848</f>
        <v>#REF!</v>
      </c>
      <c r="L849" s="765" t="e">
        <f>L845+L846+L847+#REF!+#REF!+#REF!+L848</f>
        <v>#REF!</v>
      </c>
      <c r="M849" s="135"/>
      <c r="N849" s="881" t="s">
        <v>1525</v>
      </c>
      <c r="O849" s="2"/>
      <c r="P849" s="292"/>
      <c r="Q849" s="367"/>
    </row>
    <row r="850" spans="1:17" ht="22.5" x14ac:dyDescent="0.25">
      <c r="A850" s="53">
        <v>7</v>
      </c>
      <c r="B850" s="114" t="s">
        <v>1572</v>
      </c>
      <c r="C850" s="114" t="s">
        <v>1572</v>
      </c>
      <c r="D850" s="134" t="s">
        <v>354</v>
      </c>
      <c r="E850" s="74"/>
      <c r="F850" s="53"/>
      <c r="G850" s="75"/>
      <c r="H850" s="38"/>
      <c r="I850" s="190">
        <f>I855</f>
        <v>6.8</v>
      </c>
      <c r="J850" s="115"/>
      <c r="K850" s="21"/>
      <c r="L850" s="58"/>
      <c r="M850" s="135"/>
      <c r="N850" s="881"/>
      <c r="O850" s="286"/>
      <c r="P850" s="292"/>
      <c r="Q850" s="290"/>
    </row>
    <row r="851" spans="1:17" ht="36" customHeight="1" x14ac:dyDescent="0.25">
      <c r="A851" s="53">
        <v>7</v>
      </c>
      <c r="B851" s="54"/>
      <c r="C851" s="54" t="s">
        <v>1573</v>
      </c>
      <c r="D851" s="868" t="s">
        <v>355</v>
      </c>
      <c r="E851" s="33">
        <v>2</v>
      </c>
      <c r="F851" s="53" t="s">
        <v>356</v>
      </c>
      <c r="G851" s="15"/>
      <c r="H851" s="301"/>
      <c r="I851" s="15"/>
      <c r="J851" s="100"/>
      <c r="K851" s="15"/>
      <c r="L851" s="34"/>
      <c r="M851" s="135"/>
      <c r="N851" s="881"/>
      <c r="O851" s="286"/>
      <c r="P851" s="292"/>
      <c r="Q851" s="290"/>
    </row>
    <row r="852" spans="1:17" ht="24.6" customHeight="1" x14ac:dyDescent="0.2">
      <c r="A852" s="53">
        <v>7</v>
      </c>
      <c r="B852" s="54"/>
      <c r="C852" s="54" t="s">
        <v>1574</v>
      </c>
      <c r="D852" s="83" t="s">
        <v>1575</v>
      </c>
      <c r="E852" s="33">
        <v>2</v>
      </c>
      <c r="F852" s="53" t="s">
        <v>356</v>
      </c>
      <c r="G852" s="33" t="s">
        <v>8</v>
      </c>
      <c r="H852" s="31"/>
      <c r="I852" s="15"/>
      <c r="J852" s="100">
        <v>30</v>
      </c>
      <c r="K852" s="31"/>
      <c r="L852" s="877"/>
      <c r="M852" s="135" t="s">
        <v>710</v>
      </c>
      <c r="N852" s="881" t="s">
        <v>1525</v>
      </c>
      <c r="O852" s="717" t="s">
        <v>1556</v>
      </c>
      <c r="P852" s="292">
        <v>100</v>
      </c>
      <c r="Q852" s="277" t="s">
        <v>712</v>
      </c>
    </row>
    <row r="853" spans="1:17" ht="12.75" customHeight="1" x14ac:dyDescent="0.2">
      <c r="A853" s="53">
        <v>7</v>
      </c>
      <c r="B853" s="54"/>
      <c r="C853" s="54" t="s">
        <v>1576</v>
      </c>
      <c r="D853" s="83" t="s">
        <v>1577</v>
      </c>
      <c r="E853" s="33">
        <v>2</v>
      </c>
      <c r="F853" s="53" t="s">
        <v>356</v>
      </c>
      <c r="G853" s="33" t="s">
        <v>8</v>
      </c>
      <c r="H853" s="31"/>
      <c r="I853" s="15">
        <v>0.8</v>
      </c>
      <c r="J853" s="100">
        <v>5</v>
      </c>
      <c r="K853" s="31">
        <v>5</v>
      </c>
      <c r="L853" s="877">
        <v>5</v>
      </c>
      <c r="M853" s="135" t="s">
        <v>627</v>
      </c>
      <c r="N853" s="881" t="s">
        <v>1525</v>
      </c>
      <c r="O853" s="286" t="s">
        <v>1578</v>
      </c>
      <c r="P853" s="292">
        <v>2</v>
      </c>
      <c r="Q853" s="277"/>
    </row>
    <row r="854" spans="1:17" ht="12.75" customHeight="1" x14ac:dyDescent="0.2">
      <c r="A854" s="53">
        <v>7</v>
      </c>
      <c r="B854" s="54"/>
      <c r="C854" s="54" t="s">
        <v>1579</v>
      </c>
      <c r="D854" s="83" t="s">
        <v>1571</v>
      </c>
      <c r="E854" s="33">
        <v>2</v>
      </c>
      <c r="F854" s="53" t="s">
        <v>356</v>
      </c>
      <c r="G854" s="33" t="s">
        <v>8</v>
      </c>
      <c r="H854" s="31"/>
      <c r="I854" s="15">
        <v>6</v>
      </c>
      <c r="J854" s="100">
        <v>5</v>
      </c>
      <c r="K854" s="31">
        <v>5</v>
      </c>
      <c r="L854" s="877">
        <v>5</v>
      </c>
      <c r="M854" s="135" t="s">
        <v>637</v>
      </c>
      <c r="N854" s="881" t="s">
        <v>1525</v>
      </c>
      <c r="O854" s="286"/>
      <c r="P854" s="292"/>
      <c r="Q854" s="277"/>
    </row>
    <row r="855" spans="1:17" ht="12.75" customHeight="1" x14ac:dyDescent="0.2">
      <c r="A855" s="53">
        <v>7</v>
      </c>
      <c r="B855" s="54"/>
      <c r="C855" s="54"/>
      <c r="D855" s="83"/>
      <c r="E855" s="33"/>
      <c r="F855" s="53"/>
      <c r="G855" s="105" t="s">
        <v>495</v>
      </c>
      <c r="H855" s="107">
        <f>SUM(H851:H851)</f>
        <v>0</v>
      </c>
      <c r="I855" s="107">
        <f>SUM(I852:I854)</f>
        <v>6.8</v>
      </c>
      <c r="J855" s="107">
        <f>SUM(J852:J854)</f>
        <v>40</v>
      </c>
      <c r="K855" s="107">
        <f>SUM(K852:K854)</f>
        <v>10</v>
      </c>
      <c r="L855" s="765">
        <f>SUM(L852:L854)</f>
        <v>10</v>
      </c>
      <c r="M855" s="135"/>
      <c r="N855" s="881"/>
      <c r="O855" s="286"/>
      <c r="P855" s="292"/>
      <c r="Q855" s="277"/>
    </row>
    <row r="856" spans="1:17" ht="12.75" hidden="1" customHeight="1" x14ac:dyDescent="0.25">
      <c r="A856" s="53">
        <v>7</v>
      </c>
      <c r="B856" s="54"/>
      <c r="C856" s="54"/>
      <c r="D856" s="83"/>
      <c r="E856" s="33"/>
      <c r="F856" s="53"/>
      <c r="G856" s="131" t="s">
        <v>495</v>
      </c>
      <c r="H856" s="122"/>
      <c r="I856" s="131" t="e">
        <f>SUM(#REF!,#REF!,#REF!,#REF!,#REF!,#REF!,#REF!,#REF!,#REF!,I795,I798,I802,I806,#REF!,I808,I811,I814,I819,I821,I827,I834,I836,#REF!,I838,I843,I849,I855,#REF!,I816,#REF!)</f>
        <v>#REF!</v>
      </c>
      <c r="J856" s="131">
        <f>SUM(J795,J798,J802,J806,J808,J811,J814,J819,J821,J827,J834,J836,J838,J843,J849,J855,J816)</f>
        <v>3551.3999999999996</v>
      </c>
      <c r="K856" s="131" t="e">
        <f>SUM(#REF!,#REF!,#REF!,#REF!,#REF!,#REF!,#REF!,#REF!,#REF!,K795,K798,K802,K806,#REF!,K808,K811,K814,K819,K821,K827,K834,K836,#REF!,K838,K843,K849,K855,#REF!,K816,#REF!)</f>
        <v>#REF!</v>
      </c>
      <c r="L856" s="798" t="e">
        <f>SUM(#REF!,#REF!,#REF!,#REF!,#REF!,#REF!,#REF!,#REF!,#REF!,L795,L798,L802,L806,#REF!,L808,L811,L814,L819,L821,L827,L834,L836,#REF!,L838,L843,L849,L855,#REF!,L816,#REF!)</f>
        <v>#REF!</v>
      </c>
      <c r="M856" s="135"/>
      <c r="N856" s="881"/>
      <c r="O856" s="286"/>
      <c r="P856" s="292"/>
      <c r="Q856" s="290"/>
    </row>
    <row r="857" spans="1:17" ht="12.75" hidden="1" customHeight="1" x14ac:dyDescent="0.25">
      <c r="A857" s="53">
        <v>7</v>
      </c>
      <c r="B857" s="54"/>
      <c r="C857" s="54"/>
      <c r="D857" s="83"/>
      <c r="E857" s="33"/>
      <c r="F857" s="53"/>
      <c r="G857" s="75" t="s">
        <v>8</v>
      </c>
      <c r="H857" s="38"/>
      <c r="I857" s="38" t="e">
        <f>SUM(#REF!,#REF!,#REF!,#REF!,#REF!,#REF!,#REF!,#REF!,#REF!,I794,I797,I799,#REF!,I805,#REF!,#REF!,#REF!,#REF!,#REF!,#REF!,#REF!,#REF!,#REF!,I807,#REF!,I809,I812,I818,I820,I825:I826,#REF!,I829,I830,I831,I832,I835,#REF!,I837,I840:I842,I845:I848,I852:I854,#REF!,#REF!,I833,I815,#REF!,#REF!)</f>
        <v>#REF!</v>
      </c>
      <c r="J857" s="38">
        <f>SUM(J794,J797,J799,J805,J807,J809,J812,J818,J820,J825:J826,J829,J830,J831,J832,J835,J837,J840:J842,J845:J848,J852:J854,J833,J815,J801,J800)</f>
        <v>3551.3999999999996</v>
      </c>
      <c r="K857" s="38" t="e">
        <f>SUM(#REF!,#REF!,#REF!,#REF!,#REF!,#REF!,#REF!,#REF!,#REF!,K794,K797,K799,#REF!,K805,#REF!,#REF!,#REF!,#REF!,#REF!,#REF!,#REF!,#REF!,#REF!,K807,#REF!,K809,K812,K818,K820,K825:K826,#REF!,K829,K830,K831,K832,K835,#REF!,K837,K840:K842,K845:K848,K852:K854,#REF!,#REF!,K833,K815,#REF!,#REF!)</f>
        <v>#REF!</v>
      </c>
      <c r="L857" s="49" t="e">
        <f>SUM(#REF!,#REF!,#REF!,#REF!,#REF!,#REF!,#REF!,#REF!,#REF!,L794,L797,L799,#REF!,L805,#REF!,#REF!,#REF!,#REF!,#REF!,#REF!,#REF!,#REF!,#REF!,L807,#REF!,L809,L812,L818,L820,L825:L826,#REF!,L829,L830,L831,L832,L835,#REF!,L837,L840:L842,L845:L848,L852:L854,#REF!,#REF!,L833,L815,#REF!,#REF!)</f>
        <v>#REF!</v>
      </c>
      <c r="M857" s="135"/>
      <c r="N857" s="881"/>
      <c r="O857" s="286"/>
      <c r="P857" s="292"/>
      <c r="Q857" s="290"/>
    </row>
    <row r="858" spans="1:17" ht="12.75" hidden="1" customHeight="1" x14ac:dyDescent="0.25">
      <c r="A858" s="53">
        <v>7</v>
      </c>
      <c r="B858" s="54"/>
      <c r="C858" s="54"/>
      <c r="D858" s="83"/>
      <c r="E858" s="33"/>
      <c r="F858" s="53"/>
      <c r="G858" s="75" t="s">
        <v>11</v>
      </c>
      <c r="H858" s="38"/>
      <c r="I858" s="38" t="e">
        <f>SUM(#REF!,#REF!,#REF!,#REF!,#REF!,#REF!,#REF!,#REF!,#REF!)</f>
        <v>#REF!</v>
      </c>
      <c r="J858" s="38"/>
      <c r="K858" s="38" t="e">
        <f>SUM(#REF!,#REF!,#REF!,#REF!,#REF!,#REF!,#REF!,#REF!,#REF!)</f>
        <v>#REF!</v>
      </c>
      <c r="L858" s="49" t="e">
        <f>SUM(#REF!,#REF!,#REF!,#REF!,#REF!,#REF!,#REF!,#REF!,#REF!)</f>
        <v>#REF!</v>
      </c>
      <c r="M858" s="135"/>
      <c r="N858" s="881"/>
      <c r="O858" s="286"/>
      <c r="P858" s="292"/>
      <c r="Q858" s="290"/>
    </row>
    <row r="859" spans="1:17" ht="12.75" hidden="1" customHeight="1" x14ac:dyDescent="0.25">
      <c r="A859" s="53">
        <v>7</v>
      </c>
      <c r="B859" s="54"/>
      <c r="C859" s="54"/>
      <c r="D859" s="83"/>
      <c r="E859" s="33"/>
      <c r="F859" s="53"/>
      <c r="G859" s="75" t="s">
        <v>37</v>
      </c>
      <c r="H859" s="38"/>
      <c r="I859" s="38" t="e">
        <f>SUM(#REF!,#REF!,)</f>
        <v>#REF!</v>
      </c>
      <c r="J859" s="38"/>
      <c r="K859" s="38" t="e">
        <f>SUM(#REF!,#REF!,)</f>
        <v>#REF!</v>
      </c>
      <c r="L859" s="49" t="e">
        <f>SUM(#REF!,#REF!,)</f>
        <v>#REF!</v>
      </c>
      <c r="M859" s="135"/>
      <c r="N859" s="881"/>
      <c r="O859" s="286"/>
      <c r="P859" s="292"/>
      <c r="Q859" s="290"/>
    </row>
    <row r="860" spans="1:17" ht="12.75" hidden="1" customHeight="1" x14ac:dyDescent="0.25">
      <c r="A860" s="53">
        <v>7</v>
      </c>
      <c r="B860" s="54"/>
      <c r="C860" s="54"/>
      <c r="D860" s="83"/>
      <c r="E860" s="33"/>
      <c r="F860" s="53"/>
      <c r="G860" s="75" t="s">
        <v>40</v>
      </c>
      <c r="H860" s="38"/>
      <c r="I860" s="38">
        <f>I810+I813</f>
        <v>0</v>
      </c>
      <c r="J860" s="38">
        <f>J810+J813</f>
        <v>0</v>
      </c>
      <c r="K860" s="38">
        <f>K810+K813</f>
        <v>1000</v>
      </c>
      <c r="L860" s="49">
        <f>L810+L813</f>
        <v>1000</v>
      </c>
      <c r="M860" s="135"/>
      <c r="N860" s="881"/>
      <c r="O860" s="286"/>
      <c r="P860" s="292"/>
      <c r="Q860" s="290"/>
    </row>
    <row r="861" spans="1:17" ht="12.75" hidden="1" customHeight="1" x14ac:dyDescent="0.25">
      <c r="A861" s="53">
        <v>7</v>
      </c>
      <c r="B861" s="54"/>
      <c r="C861" s="54"/>
      <c r="D861" s="83"/>
      <c r="E861" s="33"/>
      <c r="F861" s="53"/>
      <c r="G861" s="75" t="s">
        <v>38</v>
      </c>
      <c r="H861" s="38"/>
      <c r="I861" s="38" t="e">
        <f>SUM(#REF!)</f>
        <v>#REF!</v>
      </c>
      <c r="J861" s="38"/>
      <c r="K861" s="38" t="e">
        <f>SUM(#REF!)</f>
        <v>#REF!</v>
      </c>
      <c r="L861" s="49" t="e">
        <f>SUM(#REF!)</f>
        <v>#REF!</v>
      </c>
      <c r="M861" s="135"/>
      <c r="N861" s="881"/>
      <c r="O861" s="286"/>
      <c r="P861" s="292"/>
      <c r="Q861" s="290"/>
    </row>
    <row r="862" spans="1:17" ht="12.75" hidden="1" customHeight="1" x14ac:dyDescent="0.25">
      <c r="A862" s="53">
        <v>7</v>
      </c>
      <c r="B862" s="54"/>
      <c r="C862" s="54"/>
      <c r="D862" s="83"/>
      <c r="E862" s="33"/>
      <c r="F862" s="53"/>
      <c r="G862" s="75" t="s">
        <v>10</v>
      </c>
      <c r="H862" s="38"/>
      <c r="I862" s="38" t="e">
        <f>SUM(#REF!,)</f>
        <v>#REF!</v>
      </c>
      <c r="J862" s="38"/>
      <c r="K862" s="38" t="e">
        <f>SUM(#REF!,)</f>
        <v>#REF!</v>
      </c>
      <c r="L862" s="49" t="e">
        <f>SUM(#REF!,)</f>
        <v>#REF!</v>
      </c>
      <c r="M862" s="135"/>
      <c r="N862" s="881"/>
      <c r="O862" s="286"/>
      <c r="P862" s="292"/>
      <c r="Q862" s="290"/>
    </row>
    <row r="863" spans="1:17" ht="12.75" hidden="1" customHeight="1" x14ac:dyDescent="0.25">
      <c r="A863" s="53">
        <v>7</v>
      </c>
      <c r="B863" s="54"/>
      <c r="C863" s="54"/>
      <c r="D863" s="83"/>
      <c r="E863" s="33"/>
      <c r="F863" s="53"/>
      <c r="G863" s="75" t="s">
        <v>1580</v>
      </c>
      <c r="H863" s="38"/>
      <c r="I863" s="38" t="e">
        <f>SUM(#REF!)</f>
        <v>#REF!</v>
      </c>
      <c r="J863" s="38"/>
      <c r="K863" s="38" t="e">
        <f>SUM(#REF!)</f>
        <v>#REF!</v>
      </c>
      <c r="L863" s="49" t="e">
        <f>SUM(#REF!)</f>
        <v>#REF!</v>
      </c>
      <c r="M863" s="135"/>
      <c r="N863" s="881"/>
      <c r="O863" s="286"/>
      <c r="P863" s="292"/>
      <c r="Q863" s="290"/>
    </row>
    <row r="864" spans="1:17" ht="12.75" hidden="1" customHeight="1" x14ac:dyDescent="0.25">
      <c r="A864" s="53">
        <v>7</v>
      </c>
      <c r="B864" s="54"/>
      <c r="C864" s="54"/>
      <c r="D864" s="83"/>
      <c r="E864" s="33"/>
      <c r="F864" s="53"/>
      <c r="G864" s="75" t="s">
        <v>600</v>
      </c>
      <c r="H864" s="38"/>
      <c r="I864" s="38"/>
      <c r="J864" s="38"/>
      <c r="K864" s="38"/>
      <c r="L864" s="49"/>
      <c r="M864" s="135"/>
      <c r="N864" s="881"/>
      <c r="O864" s="286"/>
      <c r="P864" s="292"/>
      <c r="Q864" s="290"/>
    </row>
    <row r="865" spans="1:17" ht="12.75" hidden="1" customHeight="1" x14ac:dyDescent="0.25">
      <c r="A865" s="53">
        <v>7</v>
      </c>
      <c r="B865" s="54"/>
      <c r="C865" s="54"/>
      <c r="D865" s="83"/>
      <c r="E865" s="33"/>
      <c r="F865" s="53"/>
      <c r="G865" s="75" t="s">
        <v>9</v>
      </c>
      <c r="H865" s="38"/>
      <c r="I865" s="38" t="e">
        <f>SUM(#REF!,#REF!)</f>
        <v>#REF!</v>
      </c>
      <c r="J865" s="38"/>
      <c r="K865" s="38" t="e">
        <f>SUM(#REF!,#REF!)</f>
        <v>#REF!</v>
      </c>
      <c r="L865" s="49" t="e">
        <f>SUM(#REF!,#REF!)</f>
        <v>#REF!</v>
      </c>
      <c r="M865" s="135"/>
      <c r="N865" s="881"/>
      <c r="O865" s="286"/>
      <c r="P865" s="292"/>
      <c r="Q865" s="290"/>
    </row>
    <row r="866" spans="1:17" ht="12.75" hidden="1" customHeight="1" x14ac:dyDescent="0.25">
      <c r="A866" s="53">
        <v>7</v>
      </c>
      <c r="B866" s="54"/>
      <c r="C866" s="54"/>
      <c r="D866" s="83"/>
      <c r="E866" s="33"/>
      <c r="F866" s="53"/>
      <c r="G866" s="75" t="s">
        <v>603</v>
      </c>
      <c r="H866" s="38"/>
      <c r="I866" s="38" t="e">
        <f>SUM(#REF!)</f>
        <v>#REF!</v>
      </c>
      <c r="J866" s="38"/>
      <c r="K866" s="38" t="e">
        <f>SUM(#REF!)</f>
        <v>#REF!</v>
      </c>
      <c r="L866" s="49" t="e">
        <f>SUM(#REF!)</f>
        <v>#REF!</v>
      </c>
      <c r="M866" s="135"/>
      <c r="N866" s="881"/>
      <c r="O866" s="286"/>
      <c r="P866" s="292"/>
      <c r="Q866" s="290"/>
    </row>
    <row r="867" spans="1:17" ht="12.75" hidden="1" customHeight="1" x14ac:dyDescent="0.25">
      <c r="A867" s="53">
        <v>7</v>
      </c>
      <c r="B867" s="54"/>
      <c r="C867" s="54"/>
      <c r="D867" s="83"/>
      <c r="E867" s="33"/>
      <c r="F867" s="53"/>
      <c r="G867" s="131" t="s">
        <v>495</v>
      </c>
      <c r="H867" s="122"/>
      <c r="I867" s="131" t="e">
        <f>SUM(I857:I866)</f>
        <v>#REF!</v>
      </c>
      <c r="J867" s="131">
        <f>SUM(J857:J866)</f>
        <v>3551.3999999999996</v>
      </c>
      <c r="K867" s="131" t="e">
        <f>SUM(K857:K866)</f>
        <v>#REF!</v>
      </c>
      <c r="L867" s="798" t="e">
        <f>SUM(L857:L866)</f>
        <v>#REF!</v>
      </c>
      <c r="M867" s="135"/>
      <c r="N867" s="881"/>
      <c r="O867" s="286"/>
      <c r="P867" s="292"/>
      <c r="Q867" s="290"/>
    </row>
    <row r="868" spans="1:17" ht="12.75" hidden="1" customHeight="1" x14ac:dyDescent="0.25">
      <c r="A868" s="53">
        <v>7</v>
      </c>
      <c r="B868" s="54"/>
      <c r="C868" s="54"/>
      <c r="D868" s="83"/>
      <c r="E868" s="33"/>
      <c r="F868" s="53"/>
      <c r="G868" s="33"/>
      <c r="H868" s="31"/>
      <c r="I868" s="38" t="e">
        <f>I856-I867</f>
        <v>#REF!</v>
      </c>
      <c r="J868" s="38">
        <f t="shared" ref="J868:L868" si="121">J856-J867</f>
        <v>0</v>
      </c>
      <c r="K868" s="38" t="e">
        <f t="shared" si="121"/>
        <v>#REF!</v>
      </c>
      <c r="L868" s="49" t="e">
        <f t="shared" si="121"/>
        <v>#REF!</v>
      </c>
      <c r="M868" s="135"/>
      <c r="N868" s="881"/>
      <c r="O868" s="286"/>
      <c r="P868" s="292"/>
      <c r="Q868" s="290"/>
    </row>
    <row r="869" spans="1:17" ht="14.45" customHeight="1" x14ac:dyDescent="0.2">
      <c r="A869" s="927"/>
      <c r="B869" s="927"/>
      <c r="C869" s="927"/>
      <c r="D869" s="927" t="s">
        <v>1855</v>
      </c>
      <c r="E869" s="930"/>
      <c r="F869" s="927"/>
      <c r="G869" s="927"/>
      <c r="H869" s="927"/>
      <c r="I869" s="927"/>
      <c r="J869" s="927"/>
      <c r="K869" s="927"/>
      <c r="L869" s="929"/>
      <c r="M869" s="940"/>
      <c r="N869" s="1028"/>
      <c r="O869" s="995"/>
      <c r="P869" s="941"/>
      <c r="Q869" s="941"/>
    </row>
    <row r="870" spans="1:17" ht="25.15" customHeight="1" x14ac:dyDescent="0.2">
      <c r="A870" s="302">
        <v>8</v>
      </c>
      <c r="B870" s="95"/>
      <c r="C870" s="95"/>
      <c r="D870" s="96" t="s">
        <v>1581</v>
      </c>
      <c r="E870" s="918"/>
      <c r="F870" s="95"/>
      <c r="G870" s="98"/>
      <c r="H870" s="97"/>
      <c r="I870" s="97"/>
      <c r="J870" s="97"/>
      <c r="K870" s="274"/>
      <c r="L870" s="866"/>
      <c r="M870" s="135"/>
      <c r="N870" s="758"/>
      <c r="O870" s="83"/>
      <c r="P870" s="79"/>
      <c r="Q870" s="75"/>
    </row>
    <row r="871" spans="1:17" ht="40.15" customHeight="1" x14ac:dyDescent="0.2">
      <c r="A871" s="302">
        <v>8</v>
      </c>
      <c r="B871" s="114" t="s">
        <v>1582</v>
      </c>
      <c r="C871" s="114" t="s">
        <v>1582</v>
      </c>
      <c r="D871" s="134" t="s">
        <v>357</v>
      </c>
      <c r="E871" s="99" t="s">
        <v>35</v>
      </c>
      <c r="F871" s="135" t="s">
        <v>358</v>
      </c>
      <c r="G871" s="135" t="s">
        <v>8</v>
      </c>
      <c r="H871" s="7">
        <v>825</v>
      </c>
      <c r="I871" s="38">
        <v>542.9</v>
      </c>
      <c r="J871" s="100">
        <f>700-100+80</f>
        <v>680</v>
      </c>
      <c r="K871" s="7">
        <v>700</v>
      </c>
      <c r="L871" s="801">
        <v>700</v>
      </c>
      <c r="M871" s="135" t="s">
        <v>624</v>
      </c>
      <c r="N871" s="769" t="s">
        <v>1583</v>
      </c>
      <c r="O871" s="102" t="s">
        <v>1584</v>
      </c>
      <c r="P871" s="303" t="s">
        <v>1585</v>
      </c>
      <c r="Q871" s="104"/>
    </row>
    <row r="872" spans="1:17" ht="18" customHeight="1" x14ac:dyDescent="0.2">
      <c r="A872" s="75">
        <v>8</v>
      </c>
      <c r="B872" s="304"/>
      <c r="C872" s="304"/>
      <c r="D872" s="76"/>
      <c r="E872" s="99" t="s">
        <v>35</v>
      </c>
      <c r="F872" s="135" t="s">
        <v>358</v>
      </c>
      <c r="G872" s="75" t="s">
        <v>74</v>
      </c>
      <c r="H872" s="4">
        <v>323.39999999999998</v>
      </c>
      <c r="I872" s="38">
        <v>519.70000000000005</v>
      </c>
      <c r="J872" s="100">
        <v>530</v>
      </c>
      <c r="K872" s="4">
        <v>560</v>
      </c>
      <c r="L872" s="832">
        <v>560</v>
      </c>
      <c r="M872" s="135"/>
      <c r="N872" s="769" t="s">
        <v>1583</v>
      </c>
      <c r="O872" s="102"/>
      <c r="P872" s="303"/>
      <c r="Q872" s="104"/>
    </row>
    <row r="873" spans="1:17" x14ac:dyDescent="0.2">
      <c r="A873" s="77">
        <v>8</v>
      </c>
      <c r="B873" s="304"/>
      <c r="C873" s="304"/>
      <c r="D873" s="76"/>
      <c r="E873" s="99" t="s">
        <v>35</v>
      </c>
      <c r="F873" s="135" t="s">
        <v>358</v>
      </c>
      <c r="G873" s="105" t="s">
        <v>495</v>
      </c>
      <c r="H873" s="107">
        <f>SUM(H871:H872)</f>
        <v>1148.4000000000001</v>
      </c>
      <c r="I873" s="107">
        <f>SUM(I871:I872)</f>
        <v>1062.5999999999999</v>
      </c>
      <c r="J873" s="107">
        <f>SUM(J871:J872)</f>
        <v>1210</v>
      </c>
      <c r="K873" s="107">
        <f>SUM(K871:K872)</f>
        <v>1260</v>
      </c>
      <c r="L873" s="765">
        <f>SUM(L871:L872)</f>
        <v>1260</v>
      </c>
      <c r="M873" s="135"/>
      <c r="N873" s="769" t="s">
        <v>1583</v>
      </c>
      <c r="O873" s="102"/>
      <c r="P873" s="303"/>
      <c r="Q873" s="104"/>
    </row>
    <row r="874" spans="1:17" ht="21.6" customHeight="1" x14ac:dyDescent="0.2">
      <c r="A874" s="302">
        <v>8</v>
      </c>
      <c r="B874" s="114" t="s">
        <v>1586</v>
      </c>
      <c r="C874" s="114" t="s">
        <v>1586</v>
      </c>
      <c r="D874" s="134" t="s">
        <v>1587</v>
      </c>
      <c r="E874" s="305">
        <v>11</v>
      </c>
      <c r="F874" s="75" t="s">
        <v>1588</v>
      </c>
      <c r="G874" s="75" t="s">
        <v>8</v>
      </c>
      <c r="H874" s="4"/>
      <c r="I874" s="38"/>
      <c r="J874" s="100">
        <f>20</f>
        <v>20</v>
      </c>
      <c r="K874" s="4">
        <v>20</v>
      </c>
      <c r="L874" s="832">
        <v>20</v>
      </c>
      <c r="M874" s="135" t="s">
        <v>637</v>
      </c>
      <c r="N874" s="769" t="s">
        <v>1583</v>
      </c>
      <c r="O874" s="102" t="s">
        <v>1908</v>
      </c>
      <c r="P874" s="958" t="s">
        <v>401</v>
      </c>
      <c r="Q874" s="104"/>
    </row>
    <row r="875" spans="1:17" ht="22.9" customHeight="1" x14ac:dyDescent="0.2">
      <c r="A875" s="75">
        <v>8</v>
      </c>
      <c r="B875" s="121" t="s">
        <v>1586</v>
      </c>
      <c r="C875" s="121" t="s">
        <v>1586</v>
      </c>
      <c r="D875" s="677"/>
      <c r="E875" s="305">
        <v>11</v>
      </c>
      <c r="F875" s="75" t="s">
        <v>1588</v>
      </c>
      <c r="G875" s="105" t="s">
        <v>495</v>
      </c>
      <c r="H875" s="107">
        <f>SUM(H874)</f>
        <v>0</v>
      </c>
      <c r="I875" s="107">
        <f>SUM(I874)</f>
        <v>0</v>
      </c>
      <c r="J875" s="107">
        <f>SUM(J874)</f>
        <v>20</v>
      </c>
      <c r="K875" s="107">
        <f>SUM(K874)</f>
        <v>20</v>
      </c>
      <c r="L875" s="765">
        <f>SUM(L874)</f>
        <v>20</v>
      </c>
      <c r="M875" s="135"/>
      <c r="N875" s="769" t="s">
        <v>1583</v>
      </c>
      <c r="O875" s="102"/>
      <c r="P875" s="303"/>
      <c r="Q875" s="104"/>
    </row>
    <row r="876" spans="1:17" ht="43.9" customHeight="1" x14ac:dyDescent="0.2">
      <c r="A876" s="302">
        <v>8</v>
      </c>
      <c r="B876" s="114" t="s">
        <v>2079</v>
      </c>
      <c r="C876" s="114" t="s">
        <v>2079</v>
      </c>
      <c r="D876" s="134" t="s">
        <v>2080</v>
      </c>
      <c r="E876" s="305">
        <v>11</v>
      </c>
      <c r="F876" s="75" t="s">
        <v>2081</v>
      </c>
      <c r="G876" s="75" t="s">
        <v>8</v>
      </c>
      <c r="H876" s="4"/>
      <c r="I876" s="38"/>
      <c r="J876" s="100">
        <v>250</v>
      </c>
      <c r="K876" s="107"/>
      <c r="L876" s="765"/>
      <c r="M876" s="135"/>
      <c r="N876" s="102" t="s">
        <v>2082</v>
      </c>
      <c r="O876" s="102" t="s">
        <v>2083</v>
      </c>
      <c r="P876" s="303" t="s">
        <v>244</v>
      </c>
      <c r="Q876" s="104"/>
    </row>
    <row r="877" spans="1:17" ht="22.9" customHeight="1" x14ac:dyDescent="0.2">
      <c r="A877" s="75">
        <v>8</v>
      </c>
      <c r="B877" s="121"/>
      <c r="C877" s="121"/>
      <c r="D877" s="677"/>
      <c r="E877" s="305"/>
      <c r="F877" s="75"/>
      <c r="G877" s="105" t="s">
        <v>495</v>
      </c>
      <c r="H877" s="107"/>
      <c r="I877" s="107"/>
      <c r="J877" s="107">
        <f>SUM(J876)</f>
        <v>250</v>
      </c>
      <c r="K877" s="107"/>
      <c r="L877" s="765"/>
      <c r="M877" s="135"/>
      <c r="N877" s="769"/>
      <c r="O877" s="102"/>
      <c r="P877" s="303"/>
      <c r="Q877" s="104"/>
    </row>
    <row r="878" spans="1:17" ht="28.15" customHeight="1" x14ac:dyDescent="0.2">
      <c r="A878" s="75">
        <v>8</v>
      </c>
      <c r="B878" s="95"/>
      <c r="C878" s="95"/>
      <c r="D878" s="96" t="s">
        <v>1589</v>
      </c>
      <c r="E878" s="918"/>
      <c r="F878" s="95"/>
      <c r="G878" s="98"/>
      <c r="H878" s="97"/>
      <c r="I878" s="97"/>
      <c r="J878" s="97"/>
      <c r="K878" s="274"/>
      <c r="L878" s="866"/>
      <c r="M878" s="135"/>
      <c r="N878" s="769"/>
      <c r="O878" s="102"/>
      <c r="P878" s="303"/>
      <c r="Q878" s="104"/>
    </row>
    <row r="879" spans="1:17" ht="36.75" customHeight="1" x14ac:dyDescent="0.2">
      <c r="A879" s="302">
        <v>8</v>
      </c>
      <c r="B879" s="114" t="s">
        <v>1590</v>
      </c>
      <c r="C879" s="114" t="s">
        <v>1590</v>
      </c>
      <c r="D879" s="134" t="s">
        <v>1591</v>
      </c>
      <c r="E879" s="99"/>
      <c r="F879" s="75"/>
      <c r="G879" s="121"/>
      <c r="H879" s="121"/>
      <c r="I879" s="408" t="e">
        <f>#REF!+I881</f>
        <v>#REF!</v>
      </c>
      <c r="J879" s="115"/>
      <c r="K879" s="408"/>
      <c r="L879" s="885"/>
      <c r="M879" s="135"/>
      <c r="N879" s="769"/>
      <c r="O879" s="1016"/>
      <c r="P879" s="988"/>
      <c r="Q879" s="104"/>
    </row>
    <row r="880" spans="1:17" ht="49.15" customHeight="1" x14ac:dyDescent="0.2">
      <c r="A880" s="75">
        <v>8</v>
      </c>
      <c r="B880" s="121" t="s">
        <v>1590</v>
      </c>
      <c r="C880" s="121" t="s">
        <v>1592</v>
      </c>
      <c r="D880" s="451" t="s">
        <v>359</v>
      </c>
      <c r="E880" s="305">
        <v>9</v>
      </c>
      <c r="F880" s="135" t="s">
        <v>360</v>
      </c>
      <c r="G880" s="135" t="s">
        <v>8</v>
      </c>
      <c r="H880" s="7"/>
      <c r="I880" s="15"/>
      <c r="J880" s="100">
        <f>242-70-172</f>
        <v>0</v>
      </c>
      <c r="K880" s="7">
        <f>70</f>
        <v>70</v>
      </c>
      <c r="L880" s="801"/>
      <c r="M880" s="135" t="s">
        <v>710</v>
      </c>
      <c r="N880" s="1037" t="s">
        <v>1263</v>
      </c>
      <c r="O880" s="116" t="s">
        <v>1863</v>
      </c>
      <c r="P880" s="79" t="s">
        <v>244</v>
      </c>
      <c r="Q880" s="104" t="s">
        <v>716</v>
      </c>
    </row>
    <row r="881" spans="1:17" ht="15" customHeight="1" x14ac:dyDescent="0.2">
      <c r="A881" s="77">
        <v>8</v>
      </c>
      <c r="B881" s="121"/>
      <c r="C881" s="121"/>
      <c r="D881" s="307"/>
      <c r="E881" s="886"/>
      <c r="F881" s="135" t="s">
        <v>360</v>
      </c>
      <c r="G881" s="105" t="s">
        <v>495</v>
      </c>
      <c r="H881" s="107"/>
      <c r="I881" s="107">
        <f>SUM(I880)</f>
        <v>0</v>
      </c>
      <c r="J881" s="107">
        <f>SUM(J880:J880)</f>
        <v>0</v>
      </c>
      <c r="K881" s="107">
        <f>SUM(K880:K880)</f>
        <v>70</v>
      </c>
      <c r="L881" s="765">
        <f>SUM(L880:L880)</f>
        <v>0</v>
      </c>
      <c r="M881" s="135"/>
      <c r="N881" s="769"/>
      <c r="O881" s="102"/>
      <c r="P881" s="303"/>
      <c r="Q881" s="104"/>
    </row>
    <row r="882" spans="1:17" ht="24.6" customHeight="1" x14ac:dyDescent="0.2">
      <c r="A882" s="302">
        <v>8</v>
      </c>
      <c r="B882" s="114" t="s">
        <v>1593</v>
      </c>
      <c r="C882" s="114" t="s">
        <v>1593</v>
      </c>
      <c r="D882" s="134" t="s">
        <v>1594</v>
      </c>
      <c r="E882" s="99" t="s">
        <v>39</v>
      </c>
      <c r="F882" s="306" t="s">
        <v>361</v>
      </c>
      <c r="G882" s="135" t="s">
        <v>8</v>
      </c>
      <c r="H882" s="4">
        <v>5076.1000000000004</v>
      </c>
      <c r="I882" s="38">
        <v>4732.8</v>
      </c>
      <c r="J882" s="100">
        <f>1900-569+203.6+840+300+557.4</f>
        <v>3232</v>
      </c>
      <c r="K882" s="189">
        <f>5100-100-400-2000-1500-1000</f>
        <v>100</v>
      </c>
      <c r="L882" s="832"/>
      <c r="M882" s="135" t="s">
        <v>697</v>
      </c>
      <c r="N882" s="769" t="s">
        <v>707</v>
      </c>
      <c r="O882" s="116" t="s">
        <v>1595</v>
      </c>
      <c r="P882" s="79" t="s">
        <v>1596</v>
      </c>
      <c r="Q882" s="135" t="s">
        <v>640</v>
      </c>
    </row>
    <row r="883" spans="1:17" ht="12.75" customHeight="1" x14ac:dyDescent="0.2">
      <c r="A883" s="302">
        <v>8</v>
      </c>
      <c r="B883" s="121"/>
      <c r="C883" s="121"/>
      <c r="D883" s="308"/>
      <c r="E883" s="99" t="s">
        <v>39</v>
      </c>
      <c r="F883" s="306" t="s">
        <v>361</v>
      </c>
      <c r="G883" s="135" t="s">
        <v>9</v>
      </c>
      <c r="H883" s="4">
        <v>53.7</v>
      </c>
      <c r="I883" s="38">
        <f>1500+111</f>
        <v>1611</v>
      </c>
      <c r="J883" s="100">
        <v>2069</v>
      </c>
      <c r="K883" s="189">
        <f>1500</f>
        <v>1500</v>
      </c>
      <c r="L883" s="832"/>
      <c r="M883" s="135" t="s">
        <v>697</v>
      </c>
      <c r="N883" s="769"/>
      <c r="O883" s="102"/>
      <c r="P883" s="303"/>
      <c r="Q883" s="135" t="s">
        <v>640</v>
      </c>
    </row>
    <row r="884" spans="1:17" ht="12.75" customHeight="1" x14ac:dyDescent="0.2">
      <c r="A884" s="75">
        <v>8</v>
      </c>
      <c r="B884" s="121"/>
      <c r="C884" s="121"/>
      <c r="D884" s="308"/>
      <c r="E884" s="99" t="s">
        <v>39</v>
      </c>
      <c r="F884" s="306" t="s">
        <v>361</v>
      </c>
      <c r="G884" s="75" t="s">
        <v>40</v>
      </c>
      <c r="H884" s="4">
        <v>1419.3</v>
      </c>
      <c r="I884" s="38">
        <f>3100-159+159</f>
        <v>3100</v>
      </c>
      <c r="J884" s="100">
        <f>2100+1900</f>
        <v>4000</v>
      </c>
      <c r="K884" s="189">
        <f>2000+1000</f>
        <v>3000</v>
      </c>
      <c r="L884" s="832"/>
      <c r="M884" s="135" t="s">
        <v>697</v>
      </c>
      <c r="N884" s="769"/>
      <c r="O884" s="102"/>
      <c r="P884" s="303"/>
      <c r="Q884" s="135" t="s">
        <v>640</v>
      </c>
    </row>
    <row r="885" spans="1:17" ht="12.75" customHeight="1" x14ac:dyDescent="0.2">
      <c r="A885" s="75">
        <v>8</v>
      </c>
      <c r="B885" s="121"/>
      <c r="C885" s="121"/>
      <c r="D885" s="308"/>
      <c r="E885" s="99" t="s">
        <v>39</v>
      </c>
      <c r="F885" s="306" t="s">
        <v>361</v>
      </c>
      <c r="G885" s="75" t="s">
        <v>253</v>
      </c>
      <c r="H885" s="4"/>
      <c r="I885" s="38"/>
      <c r="J885" s="100">
        <f>160+132.6</f>
        <v>292.60000000000002</v>
      </c>
      <c r="K885" s="189"/>
      <c r="L885" s="832"/>
      <c r="M885" s="135"/>
      <c r="N885" s="1234"/>
      <c r="O885" s="102"/>
      <c r="P885" s="303"/>
      <c r="Q885" s="135"/>
    </row>
    <row r="886" spans="1:17" ht="12.75" customHeight="1" x14ac:dyDescent="0.2">
      <c r="A886" s="302">
        <v>8</v>
      </c>
      <c r="B886" s="121"/>
      <c r="C886" s="121"/>
      <c r="D886" s="308"/>
      <c r="E886" s="99" t="s">
        <v>39</v>
      </c>
      <c r="F886" s="306" t="s">
        <v>361</v>
      </c>
      <c r="G886" s="105" t="s">
        <v>495</v>
      </c>
      <c r="H886" s="107">
        <f>SUM(H882:H884)</f>
        <v>6549.1</v>
      </c>
      <c r="I886" s="107">
        <f>SUM(I882:I884)</f>
        <v>9443.7999999999993</v>
      </c>
      <c r="J886" s="107">
        <f>SUM(J882:J885)</f>
        <v>9593.6</v>
      </c>
      <c r="K886" s="107">
        <f>SUM(K882:K884)</f>
        <v>4600</v>
      </c>
      <c r="L886" s="765">
        <f>SUM(L882:L884)</f>
        <v>0</v>
      </c>
      <c r="M886" s="135" t="s">
        <v>697</v>
      </c>
      <c r="N886" s="1052"/>
      <c r="O886" s="309"/>
      <c r="P886" s="303"/>
      <c r="Q886" s="135"/>
    </row>
    <row r="887" spans="1:17" ht="12.75" hidden="1" customHeight="1" x14ac:dyDescent="0.2">
      <c r="A887" s="302">
        <v>8</v>
      </c>
      <c r="B887" s="121"/>
      <c r="C887" s="121"/>
      <c r="D887" s="308"/>
      <c r="E887" s="99"/>
      <c r="F887" s="306"/>
      <c r="G887" s="131" t="s">
        <v>495</v>
      </c>
      <c r="H887" s="122"/>
      <c r="I887" s="131" t="e">
        <f>SUM(#REF!,I873,#REF!,#REF!,#REF!,I875,#REF!,I881,I886)</f>
        <v>#REF!</v>
      </c>
      <c r="J887" s="131">
        <f>SUM(J873,J875,J881,J886,J877)</f>
        <v>11073.6</v>
      </c>
      <c r="K887" s="131" t="e">
        <f>SUM(#REF!,K873,#REF!,#REF!,#REF!,K875,#REF!,K881,K886)</f>
        <v>#REF!</v>
      </c>
      <c r="L887" s="798" t="e">
        <f>SUM(#REF!,L873,#REF!,#REF!,#REF!,L875,#REF!,L881,L886)</f>
        <v>#REF!</v>
      </c>
      <c r="M887" s="135"/>
      <c r="N887" s="769"/>
      <c r="O887" s="1017"/>
      <c r="P887" s="303"/>
      <c r="Q887" s="135"/>
    </row>
    <row r="888" spans="1:17" ht="12.75" hidden="1" customHeight="1" x14ac:dyDescent="0.2">
      <c r="A888" s="75">
        <v>8</v>
      </c>
      <c r="B888" s="121"/>
      <c r="C888" s="121"/>
      <c r="D888" s="308"/>
      <c r="E888" s="99"/>
      <c r="F888" s="306"/>
      <c r="G888" s="75" t="s">
        <v>8</v>
      </c>
      <c r="H888" s="38"/>
      <c r="I888" s="38" t="e">
        <f>SUM(#REF!,I871,#REF!,#REF!,#REF!,I874,#REF!,#REF!,I880,I882,#REF!,#REF!,#REF!,#REF!)</f>
        <v>#REF!</v>
      </c>
      <c r="J888" s="38">
        <f>SUM(J871,J874,J880,J882,J876)</f>
        <v>4182</v>
      </c>
      <c r="K888" s="38" t="e">
        <f>SUM(#REF!,K871,#REF!,#REF!,#REF!,K874,#REF!,#REF!,K880,K882,#REF!,#REF!,#REF!,#REF!)</f>
        <v>#REF!</v>
      </c>
      <c r="L888" s="49" t="e">
        <f>SUM(#REF!,L871,#REF!,#REF!,#REF!,L874,#REF!,#REF!,L880,L882,#REF!,#REF!,#REF!,#REF!)</f>
        <v>#REF!</v>
      </c>
      <c r="M888" s="135"/>
      <c r="N888" s="769"/>
      <c r="O888" s="102"/>
      <c r="P888" s="303"/>
      <c r="Q888" s="135"/>
    </row>
    <row r="889" spans="1:17" ht="12.75" hidden="1" customHeight="1" x14ac:dyDescent="0.2">
      <c r="A889" s="75">
        <v>8</v>
      </c>
      <c r="B889" s="121"/>
      <c r="C889" s="121"/>
      <c r="D889" s="308"/>
      <c r="E889" s="99"/>
      <c r="F889" s="306"/>
      <c r="G889" s="75" t="s">
        <v>11</v>
      </c>
      <c r="H889" s="38"/>
      <c r="I889" s="38" t="e">
        <f>SUM(#REF!)</f>
        <v>#REF!</v>
      </c>
      <c r="J889" s="38"/>
      <c r="K889" s="38" t="e">
        <f>SUM(#REF!)</f>
        <v>#REF!</v>
      </c>
      <c r="L889" s="49" t="e">
        <f>SUM(#REF!)</f>
        <v>#REF!</v>
      </c>
      <c r="M889" s="135"/>
      <c r="N889" s="769"/>
      <c r="O889" s="102"/>
      <c r="P889" s="303"/>
      <c r="Q889" s="135"/>
    </row>
    <row r="890" spans="1:17" ht="12.75" hidden="1" customHeight="1" x14ac:dyDescent="0.2">
      <c r="A890" s="302">
        <v>8</v>
      </c>
      <c r="B890" s="121"/>
      <c r="C890" s="121"/>
      <c r="D890" s="308"/>
      <c r="E890" s="99"/>
      <c r="F890" s="306"/>
      <c r="G890" s="75" t="s">
        <v>74</v>
      </c>
      <c r="H890" s="38"/>
      <c r="I890" s="38" t="e">
        <f>SUM(I872,#REF!,#REF!)</f>
        <v>#REF!</v>
      </c>
      <c r="J890" s="38">
        <f>SUM(J872)</f>
        <v>530</v>
      </c>
      <c r="K890" s="38" t="e">
        <f>SUM(K872,#REF!,#REF!)</f>
        <v>#REF!</v>
      </c>
      <c r="L890" s="49" t="e">
        <f>SUM(L872,#REF!,#REF!)</f>
        <v>#REF!</v>
      </c>
      <c r="M890" s="135"/>
      <c r="N890" s="769"/>
      <c r="O890" s="102"/>
      <c r="P890" s="303"/>
      <c r="Q890" s="135"/>
    </row>
    <row r="891" spans="1:17" ht="12.75" hidden="1" customHeight="1" x14ac:dyDescent="0.2">
      <c r="A891" s="75">
        <v>8</v>
      </c>
      <c r="B891" s="121"/>
      <c r="C891" s="121"/>
      <c r="D891" s="308"/>
      <c r="E891" s="99"/>
      <c r="F891" s="306"/>
      <c r="G891" s="6" t="s">
        <v>37</v>
      </c>
      <c r="H891" s="38"/>
      <c r="I891" s="38"/>
      <c r="J891" s="38"/>
      <c r="K891" s="38"/>
      <c r="L891" s="49"/>
      <c r="M891" s="135"/>
      <c r="N891" s="769"/>
      <c r="O891" s="102"/>
      <c r="P891" s="303"/>
      <c r="Q891" s="135"/>
    </row>
    <row r="892" spans="1:17" ht="12.75" hidden="1" customHeight="1" x14ac:dyDescent="0.2">
      <c r="A892" s="77">
        <v>8</v>
      </c>
      <c r="B892" s="121"/>
      <c r="C892" s="121"/>
      <c r="D892" s="308"/>
      <c r="E892" s="99"/>
      <c r="F892" s="306"/>
      <c r="G892" s="6" t="s">
        <v>38</v>
      </c>
      <c r="H892" s="38"/>
      <c r="I892" s="38"/>
      <c r="J892" s="38"/>
      <c r="K892" s="38"/>
      <c r="L892" s="49"/>
      <c r="M892" s="135"/>
      <c r="N892" s="769"/>
      <c r="O892" s="102"/>
      <c r="P892" s="303"/>
      <c r="Q892" s="135"/>
    </row>
    <row r="893" spans="1:17" ht="12.75" hidden="1" customHeight="1" x14ac:dyDescent="0.2">
      <c r="A893" s="302">
        <v>8</v>
      </c>
      <c r="B893" s="121"/>
      <c r="C893" s="121"/>
      <c r="D893" s="308"/>
      <c r="E893" s="99"/>
      <c r="F893" s="306"/>
      <c r="G893" s="6" t="s">
        <v>72</v>
      </c>
      <c r="H893" s="38"/>
      <c r="I893" s="38"/>
      <c r="J893" s="38"/>
      <c r="K893" s="38"/>
      <c r="L893" s="49"/>
      <c r="M893" s="135"/>
      <c r="N893" s="769"/>
      <c r="O893" s="102"/>
      <c r="P893" s="303"/>
      <c r="Q893" s="135"/>
    </row>
    <row r="894" spans="1:17" ht="12.75" hidden="1" customHeight="1" x14ac:dyDescent="0.2">
      <c r="A894" s="302">
        <v>8</v>
      </c>
      <c r="B894" s="121"/>
      <c r="C894" s="121"/>
      <c r="D894" s="308"/>
      <c r="E894" s="99"/>
      <c r="F894" s="306"/>
      <c r="G894" s="75" t="s">
        <v>10</v>
      </c>
      <c r="H894" s="38"/>
      <c r="I894" s="38" t="e">
        <f>SUM(#REF!)</f>
        <v>#REF!</v>
      </c>
      <c r="J894" s="38"/>
      <c r="K894" s="38" t="e">
        <f>SUM(#REF!)</f>
        <v>#REF!</v>
      </c>
      <c r="L894" s="49" t="e">
        <f>SUM(#REF!)</f>
        <v>#REF!</v>
      </c>
      <c r="M894" s="135"/>
      <c r="N894" s="769"/>
      <c r="O894" s="102"/>
      <c r="P894" s="303"/>
      <c r="Q894" s="135"/>
    </row>
    <row r="895" spans="1:17" ht="12.75" hidden="1" customHeight="1" x14ac:dyDescent="0.2">
      <c r="A895" s="75">
        <v>8</v>
      </c>
      <c r="B895" s="121"/>
      <c r="C895" s="121"/>
      <c r="D895" s="308"/>
      <c r="E895" s="99"/>
      <c r="F895" s="306"/>
      <c r="G895" s="75" t="s">
        <v>219</v>
      </c>
      <c r="H895" s="38"/>
      <c r="I895" s="38" t="e">
        <f>SUM(#REF!)</f>
        <v>#REF!</v>
      </c>
      <c r="J895" s="38"/>
      <c r="K895" s="38" t="e">
        <f>SUM(#REF!)</f>
        <v>#REF!</v>
      </c>
      <c r="L895" s="49" t="e">
        <f>SUM(#REF!)</f>
        <v>#REF!</v>
      </c>
      <c r="M895" s="135"/>
      <c r="N895" s="769"/>
      <c r="O895" s="102"/>
      <c r="P895" s="303"/>
      <c r="Q895" s="135"/>
    </row>
    <row r="896" spans="1:17" ht="12.75" hidden="1" customHeight="1" x14ac:dyDescent="0.2">
      <c r="A896" s="75">
        <v>8</v>
      </c>
      <c r="B896" s="121"/>
      <c r="C896" s="121"/>
      <c r="D896" s="308"/>
      <c r="E896" s="99"/>
      <c r="F896" s="306"/>
      <c r="G896" s="75" t="s">
        <v>253</v>
      </c>
      <c r="H896" s="38"/>
      <c r="I896" s="38" t="e">
        <f>#REF!</f>
        <v>#REF!</v>
      </c>
      <c r="J896" s="38">
        <f>J885</f>
        <v>292.60000000000002</v>
      </c>
      <c r="K896" s="38"/>
      <c r="L896" s="49"/>
      <c r="M896" s="135"/>
      <c r="N896" s="769"/>
      <c r="O896" s="102"/>
      <c r="P896" s="303"/>
      <c r="Q896" s="135"/>
    </row>
    <row r="897" spans="1:17" ht="12.75" hidden="1" customHeight="1" x14ac:dyDescent="0.2">
      <c r="A897" s="302">
        <v>8</v>
      </c>
      <c r="B897" s="121"/>
      <c r="C897" s="121"/>
      <c r="D897" s="308"/>
      <c r="E897" s="99"/>
      <c r="F897" s="306"/>
      <c r="G897" s="75" t="s">
        <v>9</v>
      </c>
      <c r="H897" s="38"/>
      <c r="I897" s="38">
        <f>I883</f>
        <v>1611</v>
      </c>
      <c r="J897" s="38">
        <f>J883</f>
        <v>2069</v>
      </c>
      <c r="K897" s="38">
        <f>K883</f>
        <v>1500</v>
      </c>
      <c r="L897" s="49">
        <f>L883</f>
        <v>0</v>
      </c>
      <c r="M897" s="135"/>
      <c r="N897" s="769"/>
      <c r="O897" s="102"/>
      <c r="P897" s="303"/>
      <c r="Q897" s="135"/>
    </row>
    <row r="898" spans="1:17" ht="12.75" hidden="1" customHeight="1" x14ac:dyDescent="0.2">
      <c r="A898" s="75">
        <v>8</v>
      </c>
      <c r="B898" s="121"/>
      <c r="C898" s="121"/>
      <c r="D898" s="308"/>
      <c r="E898" s="99"/>
      <c r="F898" s="306"/>
      <c r="G898" s="75" t="s">
        <v>40</v>
      </c>
      <c r="H898" s="38"/>
      <c r="I898" s="38">
        <f>SUM(I884)</f>
        <v>3100</v>
      </c>
      <c r="J898" s="38">
        <f>SUM(J884)</f>
        <v>4000</v>
      </c>
      <c r="K898" s="38">
        <f>SUM(K884)</f>
        <v>3000</v>
      </c>
      <c r="L898" s="49">
        <f>SUM(L884)</f>
        <v>0</v>
      </c>
      <c r="M898" s="135"/>
      <c r="N898" s="769"/>
      <c r="O898" s="102"/>
      <c r="P898" s="303"/>
      <c r="Q898" s="135"/>
    </row>
    <row r="899" spans="1:17" ht="12.75" hidden="1" customHeight="1" x14ac:dyDescent="0.2">
      <c r="A899" s="77">
        <v>8</v>
      </c>
      <c r="B899" s="121"/>
      <c r="C899" s="121"/>
      <c r="D899" s="308"/>
      <c r="E899" s="99"/>
      <c r="F899" s="306"/>
      <c r="G899" s="131" t="s">
        <v>495</v>
      </c>
      <c r="H899" s="122"/>
      <c r="I899" s="131" t="e">
        <f>SUM(I888:I898)</f>
        <v>#REF!</v>
      </c>
      <c r="J899" s="131">
        <f>SUM(J888:J898)</f>
        <v>11073.6</v>
      </c>
      <c r="K899" s="131" t="e">
        <f>SUM(K888:K898)</f>
        <v>#REF!</v>
      </c>
      <c r="L899" s="798" t="e">
        <f>SUM(L888:L898)</f>
        <v>#REF!</v>
      </c>
      <c r="M899" s="135"/>
      <c r="N899" s="769"/>
      <c r="O899" s="102"/>
      <c r="P899" s="303"/>
      <c r="Q899" s="135"/>
    </row>
    <row r="900" spans="1:17" ht="12.75" hidden="1" customHeight="1" x14ac:dyDescent="0.2">
      <c r="A900" s="302">
        <v>8</v>
      </c>
      <c r="B900" s="121"/>
      <c r="C900" s="121"/>
      <c r="D900" s="308"/>
      <c r="E900" s="99"/>
      <c r="F900" s="306"/>
      <c r="G900" s="75"/>
      <c r="H900" s="38"/>
      <c r="I900" s="38" t="e">
        <f>I887-I899</f>
        <v>#REF!</v>
      </c>
      <c r="J900" s="38">
        <f>J887-J899</f>
        <v>0</v>
      </c>
      <c r="K900" s="38" t="e">
        <f>K887-K899</f>
        <v>#REF!</v>
      </c>
      <c r="L900" s="49" t="e">
        <f>L887-L899</f>
        <v>#REF!</v>
      </c>
      <c r="M900" s="135"/>
      <c r="N900" s="769"/>
      <c r="O900" s="102"/>
      <c r="P900" s="303"/>
      <c r="Q900" s="135"/>
    </row>
    <row r="901" spans="1:17" ht="15" customHeight="1" x14ac:dyDescent="0.2">
      <c r="A901" s="927"/>
      <c r="B901" s="927"/>
      <c r="C901" s="927"/>
      <c r="D901" s="927" t="s">
        <v>1856</v>
      </c>
      <c r="E901" s="930"/>
      <c r="F901" s="927"/>
      <c r="G901" s="927"/>
      <c r="H901" s="927"/>
      <c r="I901" s="927"/>
      <c r="J901" s="927"/>
      <c r="K901" s="927"/>
      <c r="L901" s="929"/>
      <c r="M901" s="940"/>
      <c r="N901" s="1028"/>
      <c r="O901" s="995"/>
      <c r="P901" s="941"/>
      <c r="Q901" s="941"/>
    </row>
    <row r="902" spans="1:17" ht="28.15" customHeight="1" x14ac:dyDescent="0.2">
      <c r="A902" s="678">
        <v>9</v>
      </c>
      <c r="B902" s="95"/>
      <c r="C902" s="95"/>
      <c r="D902" s="96" t="s">
        <v>1597</v>
      </c>
      <c r="E902" s="918"/>
      <c r="F902" s="97"/>
      <c r="G902" s="95"/>
      <c r="H902" s="98"/>
      <c r="I902" s="97"/>
      <c r="J902" s="97"/>
      <c r="K902" s="97"/>
      <c r="L902" s="431"/>
      <c r="M902" s="94"/>
      <c r="N902" s="758"/>
      <c r="O902" s="83"/>
      <c r="P902" s="79"/>
      <c r="Q902" s="75"/>
    </row>
    <row r="903" spans="1:17" ht="40.15" customHeight="1" x14ac:dyDescent="0.2">
      <c r="A903" s="678">
        <v>9</v>
      </c>
      <c r="B903" s="114" t="s">
        <v>1598</v>
      </c>
      <c r="C903" s="114" t="s">
        <v>1598</v>
      </c>
      <c r="D903" s="134" t="s">
        <v>1599</v>
      </c>
      <c r="E903" s="94">
        <v>6</v>
      </c>
      <c r="F903" s="678" t="s">
        <v>362</v>
      </c>
      <c r="G903" s="115" t="s">
        <v>1600</v>
      </c>
      <c r="H903" s="312">
        <f>SUM(H906:H909)</f>
        <v>629.6</v>
      </c>
      <c r="I903" s="115">
        <f>SUM(I906:I909)</f>
        <v>799.59999999999991</v>
      </c>
      <c r="J903" s="115">
        <f>SUM(J906:J909)</f>
        <v>924.2</v>
      </c>
      <c r="K903" s="115">
        <f>SUM(K906:K909)</f>
        <v>937.5</v>
      </c>
      <c r="L903" s="823">
        <f>SUM(L906:L909)</f>
        <v>944.59999999999991</v>
      </c>
      <c r="M903" s="135" t="s">
        <v>620</v>
      </c>
      <c r="N903" s="1053"/>
      <c r="O903" s="1018"/>
      <c r="P903" s="678">
        <v>100</v>
      </c>
      <c r="Q903" s="678"/>
    </row>
    <row r="904" spans="1:17" ht="21" customHeight="1" x14ac:dyDescent="0.2">
      <c r="A904" s="678">
        <v>9</v>
      </c>
      <c r="B904" s="922"/>
      <c r="C904" s="925"/>
      <c r="D904" s="924"/>
      <c r="E904" s="678">
        <v>6</v>
      </c>
      <c r="F904" s="678" t="s">
        <v>362</v>
      </c>
      <c r="G904" s="115" t="s">
        <v>1601</v>
      </c>
      <c r="H904" s="312">
        <f>H910</f>
        <v>12.7</v>
      </c>
      <c r="I904" s="115">
        <f>I910</f>
        <v>0</v>
      </c>
      <c r="J904" s="115">
        <f>J910</f>
        <v>0</v>
      </c>
      <c r="K904" s="115">
        <f>K910</f>
        <v>0</v>
      </c>
      <c r="L904" s="823">
        <f>L910</f>
        <v>0</v>
      </c>
      <c r="M904" s="135"/>
      <c r="N904" s="1053"/>
      <c r="O904" s="1018"/>
      <c r="P904" s="678"/>
      <c r="Q904" s="678"/>
    </row>
    <row r="905" spans="1:17" ht="12.75" customHeight="1" x14ac:dyDescent="0.2">
      <c r="A905" s="678">
        <v>9</v>
      </c>
      <c r="B905" s="922"/>
      <c r="C905" s="925"/>
      <c r="D905" s="924"/>
      <c r="E905" s="678">
        <v>6</v>
      </c>
      <c r="F905" s="678" t="s">
        <v>362</v>
      </c>
      <c r="G905" s="313" t="s">
        <v>622</v>
      </c>
      <c r="H905" s="314">
        <f>SUM(H903:H904)</f>
        <v>642.30000000000007</v>
      </c>
      <c r="I905" s="314">
        <f>SUM(I903:I904)</f>
        <v>799.59999999999991</v>
      </c>
      <c r="J905" s="314">
        <f>SUM(J903:J904)</f>
        <v>924.2</v>
      </c>
      <c r="K905" s="314">
        <f>SUM(K903:K904)</f>
        <v>937.5</v>
      </c>
      <c r="L905" s="887">
        <f>SUM(L903:L904)</f>
        <v>944.59999999999991</v>
      </c>
      <c r="M905" s="135"/>
      <c r="N905" s="1053"/>
      <c r="O905" s="1018"/>
      <c r="P905" s="678"/>
      <c r="Q905" s="678"/>
    </row>
    <row r="906" spans="1:17" ht="12.75" customHeight="1" x14ac:dyDescent="0.2">
      <c r="A906" s="678">
        <v>9</v>
      </c>
      <c r="B906" s="922"/>
      <c r="C906" s="925" t="s">
        <v>1602</v>
      </c>
      <c r="D906" s="924" t="s">
        <v>363</v>
      </c>
      <c r="E906" s="681">
        <v>6</v>
      </c>
      <c r="F906" s="678" t="s">
        <v>362</v>
      </c>
      <c r="G906" s="681" t="s">
        <v>8</v>
      </c>
      <c r="H906" s="682">
        <v>188.8</v>
      </c>
      <c r="I906" s="38">
        <v>218.2</v>
      </c>
      <c r="J906" s="100">
        <v>230.2</v>
      </c>
      <c r="K906" s="682">
        <v>236.6</v>
      </c>
      <c r="L906" s="888">
        <v>239.8</v>
      </c>
      <c r="M906" s="135"/>
      <c r="N906" s="1053" t="s">
        <v>1603</v>
      </c>
      <c r="O906" s="1018" t="s">
        <v>1604</v>
      </c>
      <c r="P906" s="678"/>
      <c r="Q906" s="678"/>
    </row>
    <row r="907" spans="1:17" ht="12.75" customHeight="1" x14ac:dyDescent="0.2">
      <c r="A907" s="678">
        <v>9</v>
      </c>
      <c r="B907" s="922"/>
      <c r="C907" s="925"/>
      <c r="D907" s="924" t="s">
        <v>364</v>
      </c>
      <c r="E907" s="681">
        <v>6</v>
      </c>
      <c r="F907" s="678" t="s">
        <v>362</v>
      </c>
      <c r="G907" s="681" t="s">
        <v>8</v>
      </c>
      <c r="H907" s="682">
        <v>179.3</v>
      </c>
      <c r="I907" s="38">
        <v>171.6</v>
      </c>
      <c r="J907" s="100">
        <v>219.8</v>
      </c>
      <c r="K907" s="682">
        <v>225.7</v>
      </c>
      <c r="L907" s="888">
        <v>228.6</v>
      </c>
      <c r="M907" s="135"/>
      <c r="N907" s="1053" t="s">
        <v>1603</v>
      </c>
      <c r="O907" s="1018" t="s">
        <v>1604</v>
      </c>
      <c r="P907" s="678"/>
      <c r="Q907" s="678"/>
    </row>
    <row r="908" spans="1:17" ht="12.75" customHeight="1" x14ac:dyDescent="0.2">
      <c r="A908" s="678">
        <v>9</v>
      </c>
      <c r="B908" s="922"/>
      <c r="C908" s="925"/>
      <c r="D908" s="924" t="s">
        <v>365</v>
      </c>
      <c r="E908" s="681">
        <v>6</v>
      </c>
      <c r="F908" s="678" t="s">
        <v>362</v>
      </c>
      <c r="G908" s="681" t="s">
        <v>8</v>
      </c>
      <c r="H908" s="682">
        <v>12.6</v>
      </c>
      <c r="I908" s="38">
        <v>14.4</v>
      </c>
      <c r="J908" s="100">
        <v>53</v>
      </c>
      <c r="K908" s="682">
        <v>54</v>
      </c>
      <c r="L908" s="888">
        <v>55</v>
      </c>
      <c r="M908" s="135"/>
      <c r="N908" s="1053" t="s">
        <v>1605</v>
      </c>
      <c r="O908" s="1018" t="s">
        <v>1604</v>
      </c>
      <c r="P908" s="678"/>
      <c r="Q908" s="678"/>
    </row>
    <row r="909" spans="1:17" ht="12.75" customHeight="1" x14ac:dyDescent="0.2">
      <c r="A909" s="678">
        <v>9</v>
      </c>
      <c r="B909" s="922"/>
      <c r="C909" s="925"/>
      <c r="D909" s="924" t="s">
        <v>1606</v>
      </c>
      <c r="E909" s="681">
        <v>6</v>
      </c>
      <c r="F909" s="678" t="s">
        <v>362</v>
      </c>
      <c r="G909" s="681" t="s">
        <v>8</v>
      </c>
      <c r="H909" s="682">
        <v>248.9</v>
      </c>
      <c r="I909" s="38">
        <v>395.4</v>
      </c>
      <c r="J909" s="100">
        <v>421.2</v>
      </c>
      <c r="K909" s="682">
        <v>421.2</v>
      </c>
      <c r="L909" s="888">
        <v>421.2</v>
      </c>
      <c r="M909" s="135"/>
      <c r="N909" s="1053" t="s">
        <v>1607</v>
      </c>
      <c r="O909" s="1018" t="s">
        <v>1604</v>
      </c>
      <c r="P909" s="678"/>
      <c r="Q909" s="678"/>
    </row>
    <row r="910" spans="1:17" ht="14.45" customHeight="1" x14ac:dyDescent="0.2">
      <c r="A910" s="678">
        <v>9</v>
      </c>
      <c r="B910" s="922"/>
      <c r="C910" s="925"/>
      <c r="D910" s="924" t="s">
        <v>363</v>
      </c>
      <c r="E910" s="681">
        <v>6</v>
      </c>
      <c r="F910" s="678" t="s">
        <v>362</v>
      </c>
      <c r="G910" s="681" t="s">
        <v>10</v>
      </c>
      <c r="H910" s="682">
        <v>12.7</v>
      </c>
      <c r="I910" s="38"/>
      <c r="J910" s="100"/>
      <c r="K910" s="682"/>
      <c r="L910" s="888"/>
      <c r="M910" s="135"/>
      <c r="N910" s="1053"/>
      <c r="O910" s="1018"/>
      <c r="P910" s="678"/>
      <c r="Q910" s="678"/>
    </row>
    <row r="911" spans="1:17" ht="21.6" customHeight="1" x14ac:dyDescent="0.2">
      <c r="A911" s="678">
        <v>9</v>
      </c>
      <c r="B911" s="114" t="s">
        <v>1608</v>
      </c>
      <c r="C911" s="114" t="s">
        <v>1608</v>
      </c>
      <c r="D911" s="134" t="s">
        <v>1609</v>
      </c>
      <c r="E911" s="1088"/>
      <c r="F911" s="678"/>
      <c r="G911" s="100"/>
      <c r="H911" s="135"/>
      <c r="I911" s="100"/>
      <c r="J911" s="100"/>
      <c r="K911" s="100"/>
      <c r="L911" s="100"/>
      <c r="M911" s="135" t="s">
        <v>620</v>
      </c>
      <c r="N911" s="1053"/>
      <c r="O911" s="1018"/>
      <c r="P911" s="678"/>
      <c r="Q911" s="678"/>
    </row>
    <row r="912" spans="1:17" ht="21.6" customHeight="1" x14ac:dyDescent="0.2">
      <c r="A912" s="678"/>
      <c r="B912" s="919"/>
      <c r="C912" s="919"/>
      <c r="D912" s="920"/>
      <c r="E912" s="1088"/>
      <c r="F912" s="678"/>
      <c r="G912" s="115" t="s">
        <v>1600</v>
      </c>
      <c r="H912" s="312" t="e">
        <f>SUM(H915+H916+H917+H918+H920+H921+H922+H923+H924+H925+H926+H927+H929+H930+H931+H932+H933+H934+H935+H937+H939+H940+H942+H944+H945+#REF!)</f>
        <v>#REF!</v>
      </c>
      <c r="I912" s="115" t="e">
        <f>SUM(I920:I927,I929:I935,I937,I939:I940,I942,I944:I945,#REF!,I915:I918,I946)</f>
        <v>#REF!</v>
      </c>
      <c r="J912" s="115">
        <f>SUM(J920:J927,J929:J935,J937,J939:J940,J942,J944:J945,J915:J918,J946)</f>
        <v>10791.000000000002</v>
      </c>
      <c r="K912" s="115" t="e">
        <f>SUM(K920:K927,K929:K935,K937,K939:K940,K942,K944:K945,#REF!,K915:K918,K946)</f>
        <v>#REF!</v>
      </c>
      <c r="L912" s="823" t="e">
        <f>SUM(L920:L927,L929:L935,L937,L939:L940,L942,L944:L945,#REF!,L915:L918,L946)</f>
        <v>#REF!</v>
      </c>
      <c r="M912" s="135"/>
      <c r="N912" s="1055"/>
      <c r="O912" s="1018"/>
      <c r="P912" s="678"/>
      <c r="Q912" s="678"/>
    </row>
    <row r="913" spans="1:17" ht="12.75" customHeight="1" x14ac:dyDescent="0.2">
      <c r="A913" s="678">
        <v>9</v>
      </c>
      <c r="B913" s="679"/>
      <c r="C913" s="678"/>
      <c r="D913" s="680"/>
      <c r="E913" s="681"/>
      <c r="F913" s="678"/>
      <c r="G913" s="115" t="s">
        <v>1610</v>
      </c>
      <c r="H913" s="312">
        <f>SUM(H936,H938,H941,H943,H919)</f>
        <v>5.9</v>
      </c>
      <c r="I913" s="115">
        <f>SUM(I936,I938,I941,I943,I919)</f>
        <v>10</v>
      </c>
      <c r="J913" s="115">
        <f>SUM(J936,J938,J941,J943,J919)</f>
        <v>14.399999999999999</v>
      </c>
      <c r="K913" s="115">
        <f>SUM(K936,K938,K941,K943,K919)</f>
        <v>14.399999999999999</v>
      </c>
      <c r="L913" s="823">
        <f>SUM(L936,L938,L941,L943,L919)</f>
        <v>14.399999999999999</v>
      </c>
      <c r="M913" s="135"/>
      <c r="N913" s="1053"/>
      <c r="O913" s="1018"/>
      <c r="P913" s="678"/>
      <c r="Q913" s="678"/>
    </row>
    <row r="914" spans="1:17" ht="23.45" customHeight="1" x14ac:dyDescent="0.2">
      <c r="A914" s="678">
        <v>9</v>
      </c>
      <c r="B914" s="679"/>
      <c r="C914" s="678"/>
      <c r="D914" s="680"/>
      <c r="E914" s="681"/>
      <c r="F914" s="678"/>
      <c r="G914" s="313" t="s">
        <v>495</v>
      </c>
      <c r="H914" s="314" t="e">
        <f>SUM(H912:H913)</f>
        <v>#REF!</v>
      </c>
      <c r="I914" s="314" t="e">
        <f>SUM(I912:I913)</f>
        <v>#REF!</v>
      </c>
      <c r="J914" s="314">
        <f>SUM(J912:J913)</f>
        <v>10805.400000000001</v>
      </c>
      <c r="K914" s="314" t="e">
        <f>SUM(K912:K913)</f>
        <v>#REF!</v>
      </c>
      <c r="L914" s="887" t="e">
        <f>SUM(L912:L913)</f>
        <v>#REF!</v>
      </c>
      <c r="M914" s="135"/>
      <c r="N914" s="1053"/>
      <c r="O914" s="1018"/>
      <c r="P914" s="678"/>
      <c r="Q914" s="678"/>
    </row>
    <row r="915" spans="1:17" ht="20.45" customHeight="1" x14ac:dyDescent="0.2">
      <c r="A915" s="678">
        <v>9</v>
      </c>
      <c r="B915" s="679"/>
      <c r="C915" s="678" t="s">
        <v>1611</v>
      </c>
      <c r="D915" s="680" t="s">
        <v>1612</v>
      </c>
      <c r="E915" s="64">
        <v>6</v>
      </c>
      <c r="F915" s="678" t="s">
        <v>367</v>
      </c>
      <c r="G915" s="681" t="s">
        <v>8</v>
      </c>
      <c r="H915" s="682">
        <v>3944.3</v>
      </c>
      <c r="I915" s="38">
        <v>4718.2</v>
      </c>
      <c r="J915" s="100">
        <f>5362.3-75.3-3</f>
        <v>5284</v>
      </c>
      <c r="K915" s="682">
        <v>5480.2</v>
      </c>
      <c r="L915" s="888">
        <v>5543.3</v>
      </c>
      <c r="M915" s="135"/>
      <c r="N915" s="1053" t="s">
        <v>1613</v>
      </c>
      <c r="O915" s="1018" t="s">
        <v>1614</v>
      </c>
      <c r="P915" s="678"/>
      <c r="Q915" s="678"/>
    </row>
    <row r="916" spans="1:17" ht="12.75" customHeight="1" x14ac:dyDescent="0.2">
      <c r="A916" s="678">
        <v>9</v>
      </c>
      <c r="B916" s="679"/>
      <c r="C916" s="678"/>
      <c r="D916" s="315" t="s">
        <v>366</v>
      </c>
      <c r="E916" s="64">
        <v>3</v>
      </c>
      <c r="F916" s="678" t="s">
        <v>367</v>
      </c>
      <c r="G916" s="681" t="s">
        <v>8</v>
      </c>
      <c r="H916" s="682">
        <v>108.1</v>
      </c>
      <c r="I916" s="38">
        <v>29.6</v>
      </c>
      <c r="J916" s="100">
        <v>10</v>
      </c>
      <c r="K916" s="682">
        <v>10</v>
      </c>
      <c r="L916" s="888">
        <v>10</v>
      </c>
      <c r="M916" s="135"/>
      <c r="N916" s="1053" t="s">
        <v>1615</v>
      </c>
      <c r="O916" s="1018" t="s">
        <v>1616</v>
      </c>
      <c r="P916" s="678"/>
      <c r="Q916" s="678"/>
    </row>
    <row r="917" spans="1:17" ht="12.75" customHeight="1" x14ac:dyDescent="0.2">
      <c r="A917" s="678">
        <v>9</v>
      </c>
      <c r="B917" s="679"/>
      <c r="C917" s="678"/>
      <c r="D917" s="315" t="s">
        <v>366</v>
      </c>
      <c r="E917" s="64">
        <v>34</v>
      </c>
      <c r="F917" s="678" t="s">
        <v>367</v>
      </c>
      <c r="G917" s="681" t="s">
        <v>8</v>
      </c>
      <c r="H917" s="682">
        <v>221.6</v>
      </c>
      <c r="I917" s="38">
        <v>251.8</v>
      </c>
      <c r="J917" s="100">
        <f>520-204.8</f>
        <v>315.2</v>
      </c>
      <c r="K917" s="683">
        <v>320</v>
      </c>
      <c r="L917" s="889">
        <v>320</v>
      </c>
      <c r="M917" s="135"/>
      <c r="N917" s="1053" t="s">
        <v>1617</v>
      </c>
      <c r="O917" s="1018" t="s">
        <v>1618</v>
      </c>
      <c r="P917" s="678"/>
      <c r="Q917" s="678"/>
    </row>
    <row r="918" spans="1:17" ht="12.75" customHeight="1" x14ac:dyDescent="0.2">
      <c r="A918" s="678">
        <v>9</v>
      </c>
      <c r="B918" s="679"/>
      <c r="C918" s="678"/>
      <c r="D918" s="315" t="s">
        <v>366</v>
      </c>
      <c r="E918" s="64">
        <v>10</v>
      </c>
      <c r="F918" s="678" t="s">
        <v>367</v>
      </c>
      <c r="G918" s="681" t="s">
        <v>8</v>
      </c>
      <c r="H918" s="682"/>
      <c r="I918" s="38"/>
      <c r="J918" s="100">
        <f>100-80</f>
        <v>20</v>
      </c>
      <c r="K918" s="682">
        <f>80</f>
        <v>80</v>
      </c>
      <c r="L918" s="888">
        <v>100</v>
      </c>
      <c r="M918" s="135"/>
      <c r="N918" s="1053" t="s">
        <v>1619</v>
      </c>
      <c r="O918" s="1018" t="s">
        <v>1620</v>
      </c>
      <c r="P918" s="678"/>
      <c r="Q918" s="678"/>
    </row>
    <row r="919" spans="1:17" ht="12.75" customHeight="1" x14ac:dyDescent="0.2">
      <c r="A919" s="678">
        <v>9</v>
      </c>
      <c r="B919" s="679"/>
      <c r="C919" s="678"/>
      <c r="D919" s="315" t="s">
        <v>366</v>
      </c>
      <c r="E919" s="64">
        <v>6</v>
      </c>
      <c r="F919" s="678" t="s">
        <v>367</v>
      </c>
      <c r="G919" s="681" t="s">
        <v>11</v>
      </c>
      <c r="H919" s="682">
        <v>1.9</v>
      </c>
      <c r="I919" s="38">
        <v>5.9</v>
      </c>
      <c r="J919" s="100">
        <v>12.1</v>
      </c>
      <c r="K919" s="682">
        <v>12.1</v>
      </c>
      <c r="L919" s="888">
        <v>12.1</v>
      </c>
      <c r="M919" s="135"/>
      <c r="N919" s="1053" t="s">
        <v>1621</v>
      </c>
      <c r="O919" s="1018" t="s">
        <v>1622</v>
      </c>
      <c r="P919" s="678"/>
      <c r="Q919" s="678"/>
    </row>
    <row r="920" spans="1:17" ht="12.75" customHeight="1" x14ac:dyDescent="0.2">
      <c r="A920" s="678">
        <v>9</v>
      </c>
      <c r="B920" s="679"/>
      <c r="C920" s="678"/>
      <c r="D920" s="315" t="s">
        <v>368</v>
      </c>
      <c r="E920" s="64">
        <v>6</v>
      </c>
      <c r="F920" s="678" t="s">
        <v>367</v>
      </c>
      <c r="G920" s="681" t="s">
        <v>8</v>
      </c>
      <c r="H920" s="682">
        <v>1327.5</v>
      </c>
      <c r="I920" s="38">
        <v>1575.1</v>
      </c>
      <c r="J920" s="100">
        <v>1500.9</v>
      </c>
      <c r="K920" s="682">
        <v>1563</v>
      </c>
      <c r="L920" s="888">
        <v>1592.9</v>
      </c>
      <c r="M920" s="135"/>
      <c r="N920" s="1053" t="s">
        <v>1623</v>
      </c>
      <c r="O920" s="1018" t="s">
        <v>1624</v>
      </c>
      <c r="P920" s="678"/>
      <c r="Q920" s="678"/>
    </row>
    <row r="921" spans="1:17" ht="12.75" customHeight="1" x14ac:dyDescent="0.2">
      <c r="A921" s="678">
        <v>9</v>
      </c>
      <c r="B921" s="679"/>
      <c r="C921" s="678"/>
      <c r="D921" s="315" t="s">
        <v>369</v>
      </c>
      <c r="E921" s="64">
        <v>6</v>
      </c>
      <c r="F921" s="678" t="s">
        <v>367</v>
      </c>
      <c r="G921" s="681" t="s">
        <v>8</v>
      </c>
      <c r="H921" s="682">
        <v>319.2</v>
      </c>
      <c r="I921" s="38">
        <v>390.8</v>
      </c>
      <c r="J921" s="100">
        <v>392.4</v>
      </c>
      <c r="K921" s="682">
        <v>408</v>
      </c>
      <c r="L921" s="888">
        <v>415.8</v>
      </c>
      <c r="M921" s="135"/>
      <c r="N921" s="1053" t="s">
        <v>1623</v>
      </c>
      <c r="O921" s="1018" t="s">
        <v>1624</v>
      </c>
      <c r="P921" s="678"/>
      <c r="Q921" s="678"/>
    </row>
    <row r="922" spans="1:17" ht="12.75" customHeight="1" x14ac:dyDescent="0.2">
      <c r="A922" s="678">
        <v>9</v>
      </c>
      <c r="B922" s="679"/>
      <c r="C922" s="678"/>
      <c r="D922" s="315" t="s">
        <v>370</v>
      </c>
      <c r="E922" s="64">
        <v>6</v>
      </c>
      <c r="F922" s="678" t="s">
        <v>367</v>
      </c>
      <c r="G922" s="681" t="s">
        <v>8</v>
      </c>
      <c r="H922" s="682">
        <v>29</v>
      </c>
      <c r="I922" s="38">
        <v>34.799999999999997</v>
      </c>
      <c r="J922" s="100">
        <v>34.200000000000003</v>
      </c>
      <c r="K922" s="682">
        <v>34.5</v>
      </c>
      <c r="L922" s="888">
        <v>36.299999999999997</v>
      </c>
      <c r="M922" s="135"/>
      <c r="N922" s="1053" t="s">
        <v>1623</v>
      </c>
      <c r="O922" s="1018" t="s">
        <v>1624</v>
      </c>
      <c r="P922" s="678"/>
      <c r="Q922" s="678"/>
    </row>
    <row r="923" spans="1:17" ht="12.75" customHeight="1" x14ac:dyDescent="0.2">
      <c r="A923" s="678">
        <v>9</v>
      </c>
      <c r="B923" s="679"/>
      <c r="C923" s="678"/>
      <c r="D923" s="315" t="s">
        <v>371</v>
      </c>
      <c r="E923" s="64">
        <v>6</v>
      </c>
      <c r="F923" s="678" t="s">
        <v>367</v>
      </c>
      <c r="G923" s="681" t="s">
        <v>8</v>
      </c>
      <c r="H923" s="682">
        <v>85.6</v>
      </c>
      <c r="I923" s="38">
        <v>98.4</v>
      </c>
      <c r="J923" s="100">
        <v>100.3</v>
      </c>
      <c r="K923" s="682">
        <v>105.1</v>
      </c>
      <c r="L923" s="888">
        <v>107.4</v>
      </c>
      <c r="M923" s="135"/>
      <c r="N923" s="1053" t="s">
        <v>1623</v>
      </c>
      <c r="O923" s="1018" t="s">
        <v>1624</v>
      </c>
      <c r="P923" s="678"/>
      <c r="Q923" s="678"/>
    </row>
    <row r="924" spans="1:17" ht="12.75" customHeight="1" x14ac:dyDescent="0.2">
      <c r="A924" s="678">
        <v>9</v>
      </c>
      <c r="B924" s="679"/>
      <c r="C924" s="678"/>
      <c r="D924" s="315" t="s">
        <v>372</v>
      </c>
      <c r="E924" s="64">
        <v>6</v>
      </c>
      <c r="F924" s="678" t="s">
        <v>367</v>
      </c>
      <c r="G924" s="681" t="s">
        <v>8</v>
      </c>
      <c r="H924" s="682">
        <v>140.4</v>
      </c>
      <c r="I924" s="38">
        <v>178.9</v>
      </c>
      <c r="J924" s="100">
        <v>169.3</v>
      </c>
      <c r="K924" s="682">
        <v>176.3</v>
      </c>
      <c r="L924" s="888">
        <v>178</v>
      </c>
      <c r="M924" s="135"/>
      <c r="N924" s="1053" t="s">
        <v>1623</v>
      </c>
      <c r="O924" s="1018" t="s">
        <v>1624</v>
      </c>
      <c r="P924" s="678"/>
      <c r="Q924" s="678"/>
    </row>
    <row r="925" spans="1:17" ht="12.75" customHeight="1" x14ac:dyDescent="0.2">
      <c r="A925" s="678">
        <v>9</v>
      </c>
      <c r="B925" s="679"/>
      <c r="C925" s="678"/>
      <c r="D925" s="315" t="s">
        <v>373</v>
      </c>
      <c r="E925" s="64">
        <v>6</v>
      </c>
      <c r="F925" s="678" t="s">
        <v>367</v>
      </c>
      <c r="G925" s="681" t="s">
        <v>8</v>
      </c>
      <c r="H925" s="682">
        <v>334</v>
      </c>
      <c r="I925" s="38">
        <v>396.2</v>
      </c>
      <c r="J925" s="100">
        <v>381.1</v>
      </c>
      <c r="K925" s="682">
        <v>395.3</v>
      </c>
      <c r="L925" s="888">
        <v>401.6</v>
      </c>
      <c r="M925" s="135"/>
      <c r="N925" s="1053" t="s">
        <v>1623</v>
      </c>
      <c r="O925" s="1018" t="s">
        <v>1624</v>
      </c>
      <c r="P925" s="678"/>
      <c r="Q925" s="678"/>
    </row>
    <row r="926" spans="1:17" ht="12.75" customHeight="1" x14ac:dyDescent="0.2">
      <c r="A926" s="678">
        <v>9</v>
      </c>
      <c r="B926" s="679"/>
      <c r="C926" s="678"/>
      <c r="D926" s="680" t="s">
        <v>374</v>
      </c>
      <c r="E926" s="64">
        <v>3</v>
      </c>
      <c r="F926" s="678" t="s">
        <v>367</v>
      </c>
      <c r="G926" s="681" t="s">
        <v>8</v>
      </c>
      <c r="H926" s="682">
        <v>40</v>
      </c>
      <c r="I926" s="38">
        <v>80</v>
      </c>
      <c r="J926" s="100">
        <v>100</v>
      </c>
      <c r="K926" s="682">
        <v>100</v>
      </c>
      <c r="L926" s="888">
        <v>100</v>
      </c>
      <c r="M926" s="135"/>
      <c r="N926" s="1053" t="s">
        <v>1615</v>
      </c>
      <c r="O926" s="1018" t="s">
        <v>1625</v>
      </c>
      <c r="P926" s="678"/>
      <c r="Q926" s="678"/>
    </row>
    <row r="927" spans="1:17" ht="12.75" customHeight="1" x14ac:dyDescent="0.2">
      <c r="A927" s="678">
        <v>9</v>
      </c>
      <c r="B927" s="679"/>
      <c r="C927" s="678"/>
      <c r="D927" s="680" t="s">
        <v>1626</v>
      </c>
      <c r="E927" s="64">
        <v>6</v>
      </c>
      <c r="F927" s="678" t="s">
        <v>367</v>
      </c>
      <c r="G927" s="681" t="s">
        <v>8</v>
      </c>
      <c r="H927" s="682">
        <v>8.6999999999999993</v>
      </c>
      <c r="I927" s="38">
        <v>27.6</v>
      </c>
      <c r="J927" s="100">
        <v>270</v>
      </c>
      <c r="K927" s="682">
        <v>285</v>
      </c>
      <c r="L927" s="888">
        <v>300</v>
      </c>
      <c r="M927" s="135"/>
      <c r="N927" s="1053" t="s">
        <v>1627</v>
      </c>
      <c r="O927" s="1018" t="s">
        <v>1628</v>
      </c>
      <c r="P927" s="678">
        <v>50</v>
      </c>
      <c r="Q927" s="678"/>
    </row>
    <row r="928" spans="1:17" ht="12.75" customHeight="1" x14ac:dyDescent="0.2">
      <c r="A928" s="678">
        <v>9</v>
      </c>
      <c r="B928" s="679"/>
      <c r="C928" s="678"/>
      <c r="D928" s="684"/>
      <c r="E928" s="681"/>
      <c r="F928" s="678" t="s">
        <v>367</v>
      </c>
      <c r="G928" s="316" t="s">
        <v>495</v>
      </c>
      <c r="H928" s="115">
        <f>SUM(H915:H927)</f>
        <v>6560.2999999999993</v>
      </c>
      <c r="I928" s="115">
        <f>SUM(I915:I927)</f>
        <v>7787.3</v>
      </c>
      <c r="J928" s="115">
        <f>SUM(J915:J927)</f>
        <v>8589.5</v>
      </c>
      <c r="K928" s="115">
        <f>SUM(K915:K927)</f>
        <v>8969.5</v>
      </c>
      <c r="L928" s="823">
        <f>SUM(L915:L927)</f>
        <v>9117.4000000000015</v>
      </c>
      <c r="M928" s="135"/>
      <c r="N928" s="1053"/>
      <c r="O928" s="1018"/>
      <c r="P928" s="678"/>
      <c r="Q928" s="678"/>
    </row>
    <row r="929" spans="1:17" ht="12.75" customHeight="1" x14ac:dyDescent="0.2">
      <c r="A929" s="678">
        <v>9</v>
      </c>
      <c r="B929" s="679"/>
      <c r="C929" s="678" t="s">
        <v>1629</v>
      </c>
      <c r="D929" s="680" t="s">
        <v>375</v>
      </c>
      <c r="E929" s="681">
        <v>6</v>
      </c>
      <c r="F929" s="678" t="s">
        <v>376</v>
      </c>
      <c r="G929" s="678" t="s">
        <v>8</v>
      </c>
      <c r="H929" s="685">
        <v>147.1</v>
      </c>
      <c r="I929" s="38">
        <v>161.19999999999999</v>
      </c>
      <c r="J929" s="100">
        <f>215-32.5+12.8</f>
        <v>195.3</v>
      </c>
      <c r="K929" s="682">
        <v>222.3</v>
      </c>
      <c r="L929" s="888">
        <v>226.1</v>
      </c>
      <c r="M929" s="135"/>
      <c r="N929" s="837" t="s">
        <v>1630</v>
      </c>
      <c r="O929" s="1018" t="s">
        <v>1631</v>
      </c>
      <c r="P929" s="678">
        <v>1</v>
      </c>
      <c r="Q929" s="678"/>
    </row>
    <row r="930" spans="1:17" ht="12.75" customHeight="1" x14ac:dyDescent="0.2">
      <c r="A930" s="678">
        <v>9</v>
      </c>
      <c r="B930" s="679"/>
      <c r="C930" s="678" t="s">
        <v>1632</v>
      </c>
      <c r="D930" s="680" t="s">
        <v>377</v>
      </c>
      <c r="E930" s="681">
        <v>19</v>
      </c>
      <c r="F930" s="678" t="s">
        <v>378</v>
      </c>
      <c r="G930" s="678" t="s">
        <v>8</v>
      </c>
      <c r="H930" s="685">
        <v>118.8</v>
      </c>
      <c r="I930" s="38">
        <v>120.5</v>
      </c>
      <c r="J930" s="100">
        <v>151</v>
      </c>
      <c r="K930" s="682">
        <v>149.80000000000001</v>
      </c>
      <c r="L930" s="888">
        <v>151.19999999999999</v>
      </c>
      <c r="M930" s="135"/>
      <c r="N930" s="1053" t="s">
        <v>1633</v>
      </c>
      <c r="O930" s="1018" t="s">
        <v>1634</v>
      </c>
      <c r="P930" s="678">
        <v>1</v>
      </c>
      <c r="Q930" s="678"/>
    </row>
    <row r="931" spans="1:17" ht="27.6" customHeight="1" x14ac:dyDescent="0.2">
      <c r="A931" s="678">
        <v>9</v>
      </c>
      <c r="B931" s="679"/>
      <c r="C931" s="678" t="s">
        <v>1635</v>
      </c>
      <c r="D931" s="680" t="s">
        <v>379</v>
      </c>
      <c r="E931" s="681">
        <v>20</v>
      </c>
      <c r="F931" s="678" t="s">
        <v>380</v>
      </c>
      <c r="G931" s="678" t="s">
        <v>8</v>
      </c>
      <c r="H931" s="685">
        <v>100.9</v>
      </c>
      <c r="I931" s="38">
        <v>159.6</v>
      </c>
      <c r="J931" s="100">
        <v>207.7</v>
      </c>
      <c r="K931" s="682">
        <v>207.9</v>
      </c>
      <c r="L931" s="888">
        <v>210</v>
      </c>
      <c r="M931" s="135"/>
      <c r="N931" s="1093" t="s">
        <v>1909</v>
      </c>
      <c r="O931" s="1018" t="s">
        <v>1634</v>
      </c>
      <c r="P931" s="678">
        <v>1</v>
      </c>
      <c r="Q931" s="678"/>
    </row>
    <row r="932" spans="1:17" ht="12.75" customHeight="1" x14ac:dyDescent="0.2">
      <c r="A932" s="678">
        <v>9</v>
      </c>
      <c r="B932" s="679"/>
      <c r="C932" s="678" t="s">
        <v>1636</v>
      </c>
      <c r="D932" s="680" t="s">
        <v>381</v>
      </c>
      <c r="E932" s="681">
        <v>21</v>
      </c>
      <c r="F932" s="678" t="s">
        <v>382</v>
      </c>
      <c r="G932" s="678" t="s">
        <v>8</v>
      </c>
      <c r="H932" s="685">
        <v>120.4</v>
      </c>
      <c r="I932" s="38">
        <v>140.4</v>
      </c>
      <c r="J932" s="100">
        <v>176.3</v>
      </c>
      <c r="K932" s="682">
        <v>176.6</v>
      </c>
      <c r="L932" s="888">
        <v>178.6</v>
      </c>
      <c r="M932" s="135"/>
      <c r="N932" s="1053" t="s">
        <v>1374</v>
      </c>
      <c r="O932" s="1018" t="s">
        <v>1634</v>
      </c>
      <c r="P932" s="678">
        <v>1</v>
      </c>
      <c r="Q932" s="678"/>
    </row>
    <row r="933" spans="1:17" ht="12.75" customHeight="1" x14ac:dyDescent="0.2">
      <c r="A933" s="678">
        <v>9</v>
      </c>
      <c r="B933" s="679"/>
      <c r="C933" s="678" t="s">
        <v>1637</v>
      </c>
      <c r="D933" s="680" t="s">
        <v>383</v>
      </c>
      <c r="E933" s="681">
        <v>22</v>
      </c>
      <c r="F933" s="678" t="s">
        <v>384</v>
      </c>
      <c r="G933" s="678" t="s">
        <v>8</v>
      </c>
      <c r="H933" s="685">
        <v>113.6</v>
      </c>
      <c r="I933" s="38">
        <v>96.2</v>
      </c>
      <c r="J933" s="100">
        <v>135.1</v>
      </c>
      <c r="K933" s="682">
        <v>133.69999999999999</v>
      </c>
      <c r="L933" s="888">
        <v>135.1</v>
      </c>
      <c r="M933" s="135"/>
      <c r="N933" s="1053" t="s">
        <v>1376</v>
      </c>
      <c r="O933" s="1018" t="s">
        <v>1634</v>
      </c>
      <c r="P933" s="678">
        <v>1</v>
      </c>
      <c r="Q933" s="678"/>
    </row>
    <row r="934" spans="1:17" ht="12.75" customHeight="1" x14ac:dyDescent="0.2">
      <c r="A934" s="678">
        <v>9</v>
      </c>
      <c r="B934" s="679"/>
      <c r="C934" s="678" t="s">
        <v>1638</v>
      </c>
      <c r="D934" s="680" t="s">
        <v>385</v>
      </c>
      <c r="E934" s="681">
        <v>23</v>
      </c>
      <c r="F934" s="678" t="s">
        <v>386</v>
      </c>
      <c r="G934" s="678" t="s">
        <v>8</v>
      </c>
      <c r="H934" s="685">
        <v>114.9</v>
      </c>
      <c r="I934" s="38">
        <v>118.5</v>
      </c>
      <c r="J934" s="100">
        <v>122</v>
      </c>
      <c r="K934" s="682">
        <v>124.1</v>
      </c>
      <c r="L934" s="888">
        <v>126.3</v>
      </c>
      <c r="M934" s="135"/>
      <c r="N934" s="1053" t="s">
        <v>1639</v>
      </c>
      <c r="O934" s="1018" t="s">
        <v>1634</v>
      </c>
      <c r="P934" s="678">
        <v>1</v>
      </c>
      <c r="Q934" s="678"/>
    </row>
    <row r="935" spans="1:17" ht="12.75" customHeight="1" x14ac:dyDescent="0.2">
      <c r="A935" s="678">
        <v>9</v>
      </c>
      <c r="B935" s="679"/>
      <c r="C935" s="678" t="s">
        <v>1640</v>
      </c>
      <c r="D935" s="680" t="s">
        <v>387</v>
      </c>
      <c r="E935" s="681">
        <v>24</v>
      </c>
      <c r="F935" s="678" t="s">
        <v>388</v>
      </c>
      <c r="G935" s="678" t="s">
        <v>8</v>
      </c>
      <c r="H935" s="685">
        <v>97.3</v>
      </c>
      <c r="I935" s="38">
        <v>98.4</v>
      </c>
      <c r="J935" s="100">
        <v>123.6</v>
      </c>
      <c r="K935" s="682">
        <v>122.3</v>
      </c>
      <c r="L935" s="888">
        <v>124</v>
      </c>
      <c r="M935" s="135"/>
      <c r="N935" s="1053" t="s">
        <v>1379</v>
      </c>
      <c r="O935" s="1018" t="s">
        <v>1634</v>
      </c>
      <c r="P935" s="678">
        <v>1</v>
      </c>
      <c r="Q935" s="678"/>
    </row>
    <row r="936" spans="1:17" ht="12.75" customHeight="1" x14ac:dyDescent="0.2">
      <c r="A936" s="678">
        <v>9</v>
      </c>
      <c r="B936" s="679"/>
      <c r="C936" s="678"/>
      <c r="D936" s="680" t="s">
        <v>387</v>
      </c>
      <c r="E936" s="681">
        <v>24</v>
      </c>
      <c r="F936" s="678" t="s">
        <v>388</v>
      </c>
      <c r="G936" s="678" t="s">
        <v>11</v>
      </c>
      <c r="H936" s="685">
        <v>0.3</v>
      </c>
      <c r="I936" s="38">
        <v>0.3</v>
      </c>
      <c r="J936" s="100">
        <v>0.3</v>
      </c>
      <c r="K936" s="682">
        <v>0.3</v>
      </c>
      <c r="L936" s="888">
        <v>0.3</v>
      </c>
      <c r="M936" s="135"/>
      <c r="N936" s="1053" t="s">
        <v>1379</v>
      </c>
      <c r="O936" s="1018" t="s">
        <v>1634</v>
      </c>
      <c r="P936" s="678">
        <v>1</v>
      </c>
      <c r="Q936" s="678"/>
    </row>
    <row r="937" spans="1:17" ht="12.75" customHeight="1" x14ac:dyDescent="0.2">
      <c r="A937" s="678">
        <v>9</v>
      </c>
      <c r="B937" s="679"/>
      <c r="C937" s="678" t="s">
        <v>1641</v>
      </c>
      <c r="D937" s="680" t="s">
        <v>389</v>
      </c>
      <c r="E937" s="681">
        <v>25</v>
      </c>
      <c r="F937" s="678" t="s">
        <v>390</v>
      </c>
      <c r="G937" s="678" t="s">
        <v>8</v>
      </c>
      <c r="H937" s="685">
        <v>118.7</v>
      </c>
      <c r="I937" s="38">
        <v>104.6</v>
      </c>
      <c r="J937" s="100">
        <v>137.30000000000001</v>
      </c>
      <c r="K937" s="682">
        <v>135.6</v>
      </c>
      <c r="L937" s="888">
        <v>136.80000000000001</v>
      </c>
      <c r="M937" s="135"/>
      <c r="N937" s="1053" t="s">
        <v>1381</v>
      </c>
      <c r="O937" s="1018" t="s">
        <v>1634</v>
      </c>
      <c r="P937" s="678">
        <v>1</v>
      </c>
      <c r="Q937" s="678"/>
    </row>
    <row r="938" spans="1:17" ht="12.75" customHeight="1" x14ac:dyDescent="0.2">
      <c r="A938" s="678">
        <v>9</v>
      </c>
      <c r="B938" s="679"/>
      <c r="C938" s="678"/>
      <c r="D938" s="680"/>
      <c r="E938" s="681">
        <v>25</v>
      </c>
      <c r="F938" s="678" t="s">
        <v>390</v>
      </c>
      <c r="G938" s="678" t="s">
        <v>11</v>
      </c>
      <c r="H938" s="685">
        <v>1.3</v>
      </c>
      <c r="I938" s="38">
        <v>1.3</v>
      </c>
      <c r="J938" s="100"/>
      <c r="K938" s="682"/>
      <c r="L938" s="888"/>
      <c r="M938" s="135"/>
      <c r="N938" s="1053" t="s">
        <v>1381</v>
      </c>
      <c r="O938" s="1018" t="s">
        <v>1634</v>
      </c>
      <c r="P938" s="678">
        <v>1</v>
      </c>
      <c r="Q938" s="678"/>
    </row>
    <row r="939" spans="1:17" ht="12.75" customHeight="1" x14ac:dyDescent="0.2">
      <c r="A939" s="678">
        <v>9</v>
      </c>
      <c r="B939" s="679"/>
      <c r="C939" s="678" t="s">
        <v>1642</v>
      </c>
      <c r="D939" s="680" t="s">
        <v>391</v>
      </c>
      <c r="E939" s="681">
        <v>26</v>
      </c>
      <c r="F939" s="678" t="s">
        <v>392</v>
      </c>
      <c r="G939" s="678" t="s">
        <v>8</v>
      </c>
      <c r="H939" s="685">
        <v>135.80000000000001</v>
      </c>
      <c r="I939" s="38">
        <v>156.69999999999999</v>
      </c>
      <c r="J939" s="100">
        <v>179.3</v>
      </c>
      <c r="K939" s="682">
        <v>168.7</v>
      </c>
      <c r="L939" s="888">
        <v>170.6</v>
      </c>
      <c r="M939" s="135"/>
      <c r="N939" s="1053" t="s">
        <v>1260</v>
      </c>
      <c r="O939" s="1018" t="s">
        <v>1634</v>
      </c>
      <c r="P939" s="678">
        <v>1</v>
      </c>
      <c r="Q939" s="678"/>
    </row>
    <row r="940" spans="1:17" ht="12.75" customHeight="1" x14ac:dyDescent="0.2">
      <c r="A940" s="678">
        <v>9</v>
      </c>
      <c r="B940" s="679"/>
      <c r="C940" s="678" t="s">
        <v>1643</v>
      </c>
      <c r="D940" s="680" t="s">
        <v>393</v>
      </c>
      <c r="E940" s="681">
        <v>27</v>
      </c>
      <c r="F940" s="678" t="s">
        <v>394</v>
      </c>
      <c r="G940" s="678" t="s">
        <v>8</v>
      </c>
      <c r="H940" s="685">
        <v>172.7</v>
      </c>
      <c r="I940" s="38">
        <v>170.6</v>
      </c>
      <c r="J940" s="100">
        <v>192.1</v>
      </c>
      <c r="K940" s="682">
        <v>193</v>
      </c>
      <c r="L940" s="888">
        <v>195.8</v>
      </c>
      <c r="M940" s="135"/>
      <c r="N940" s="1053" t="s">
        <v>1644</v>
      </c>
      <c r="O940" s="1018" t="s">
        <v>1634</v>
      </c>
      <c r="P940" s="678">
        <v>1</v>
      </c>
      <c r="Q940" s="678"/>
    </row>
    <row r="941" spans="1:17" ht="12.75" customHeight="1" x14ac:dyDescent="0.2">
      <c r="A941" s="678">
        <v>9</v>
      </c>
      <c r="B941" s="679"/>
      <c r="C941" s="678"/>
      <c r="D941" s="680" t="s">
        <v>393</v>
      </c>
      <c r="E941" s="681">
        <v>27</v>
      </c>
      <c r="F941" s="678" t="s">
        <v>394</v>
      </c>
      <c r="G941" s="678" t="s">
        <v>11</v>
      </c>
      <c r="H941" s="685">
        <v>0.7</v>
      </c>
      <c r="I941" s="38">
        <v>1.3</v>
      </c>
      <c r="J941" s="100">
        <v>1.3</v>
      </c>
      <c r="K941" s="682">
        <v>1.3</v>
      </c>
      <c r="L941" s="888">
        <v>1.3</v>
      </c>
      <c r="M941" s="135"/>
      <c r="N941" s="1053" t="s">
        <v>1644</v>
      </c>
      <c r="O941" s="1018" t="s">
        <v>1634</v>
      </c>
      <c r="P941" s="678">
        <v>1</v>
      </c>
      <c r="Q941" s="678"/>
    </row>
    <row r="942" spans="1:17" ht="12.75" customHeight="1" x14ac:dyDescent="0.2">
      <c r="A942" s="678">
        <v>9</v>
      </c>
      <c r="B942" s="679"/>
      <c r="C942" s="678" t="s">
        <v>1645</v>
      </c>
      <c r="D942" s="680" t="s">
        <v>395</v>
      </c>
      <c r="E942" s="681">
        <v>28</v>
      </c>
      <c r="F942" s="678" t="s">
        <v>396</v>
      </c>
      <c r="G942" s="678" t="s">
        <v>8</v>
      </c>
      <c r="H942" s="685">
        <v>132.19999999999999</v>
      </c>
      <c r="I942" s="38">
        <v>132.1</v>
      </c>
      <c r="J942" s="100">
        <v>160.80000000000001</v>
      </c>
      <c r="K942" s="682">
        <v>160.4</v>
      </c>
      <c r="L942" s="888">
        <v>162.4</v>
      </c>
      <c r="M942" s="135"/>
      <c r="N942" s="1053" t="s">
        <v>1386</v>
      </c>
      <c r="O942" s="1018" t="s">
        <v>1634</v>
      </c>
      <c r="P942" s="678">
        <v>1</v>
      </c>
      <c r="Q942" s="678"/>
    </row>
    <row r="943" spans="1:17" ht="12.75" customHeight="1" x14ac:dyDescent="0.2">
      <c r="A943" s="678">
        <v>9</v>
      </c>
      <c r="B943" s="679"/>
      <c r="C943" s="678"/>
      <c r="D943" s="680" t="s">
        <v>395</v>
      </c>
      <c r="E943" s="681">
        <v>28</v>
      </c>
      <c r="F943" s="678" t="s">
        <v>396</v>
      </c>
      <c r="G943" s="678" t="s">
        <v>11</v>
      </c>
      <c r="H943" s="685">
        <v>1.7</v>
      </c>
      <c r="I943" s="38">
        <v>1.2</v>
      </c>
      <c r="J943" s="100">
        <v>0.7</v>
      </c>
      <c r="K943" s="682">
        <v>0.7</v>
      </c>
      <c r="L943" s="888">
        <v>0.7</v>
      </c>
      <c r="M943" s="135"/>
      <c r="N943" s="1053" t="s">
        <v>1386</v>
      </c>
      <c r="O943" s="1018" t="s">
        <v>1634</v>
      </c>
      <c r="P943" s="678">
        <v>1</v>
      </c>
      <c r="Q943" s="678"/>
    </row>
    <row r="944" spans="1:17" ht="12.75" customHeight="1" x14ac:dyDescent="0.2">
      <c r="A944" s="678">
        <v>9</v>
      </c>
      <c r="B944" s="679"/>
      <c r="C944" s="678" t="s">
        <v>1646</v>
      </c>
      <c r="D944" s="680" t="s">
        <v>397</v>
      </c>
      <c r="E944" s="681">
        <v>29</v>
      </c>
      <c r="F944" s="678" t="s">
        <v>398</v>
      </c>
      <c r="G944" s="678" t="s">
        <v>8</v>
      </c>
      <c r="H944" s="685">
        <v>145.9</v>
      </c>
      <c r="I944" s="38">
        <v>156.4</v>
      </c>
      <c r="J944" s="100">
        <v>183.1</v>
      </c>
      <c r="K944" s="682">
        <v>183.5</v>
      </c>
      <c r="L944" s="888">
        <v>186.5</v>
      </c>
      <c r="M944" s="135"/>
      <c r="N944" s="1054" t="s">
        <v>1388</v>
      </c>
      <c r="O944" s="1018" t="s">
        <v>1634</v>
      </c>
      <c r="P944" s="678">
        <v>1</v>
      </c>
      <c r="Q944" s="678"/>
    </row>
    <row r="945" spans="1:17" ht="21" customHeight="1" x14ac:dyDescent="0.2">
      <c r="A945" s="678">
        <v>9</v>
      </c>
      <c r="B945" s="679"/>
      <c r="C945" s="678" t="s">
        <v>1647</v>
      </c>
      <c r="D945" s="680" t="s">
        <v>1648</v>
      </c>
      <c r="E945" s="681">
        <v>15</v>
      </c>
      <c r="F945" s="678" t="s">
        <v>400</v>
      </c>
      <c r="G945" s="678" t="s">
        <v>8</v>
      </c>
      <c r="H945" s="685">
        <v>121.4</v>
      </c>
      <c r="I945" s="38">
        <v>115.6</v>
      </c>
      <c r="J945" s="100">
        <v>200</v>
      </c>
      <c r="K945" s="682">
        <v>200</v>
      </c>
      <c r="L945" s="888">
        <v>200</v>
      </c>
      <c r="M945" s="135"/>
      <c r="N945" s="1053" t="s">
        <v>1649</v>
      </c>
      <c r="O945" s="1018" t="s">
        <v>1650</v>
      </c>
      <c r="P945" s="678">
        <v>1</v>
      </c>
      <c r="Q945" s="678"/>
    </row>
    <row r="946" spans="1:17" ht="20.45" customHeight="1" x14ac:dyDescent="0.2">
      <c r="A946" s="678">
        <v>9</v>
      </c>
      <c r="B946" s="679"/>
      <c r="C946" s="678" t="s">
        <v>1647</v>
      </c>
      <c r="D946" s="680" t="s">
        <v>1651</v>
      </c>
      <c r="E946" s="681">
        <v>3</v>
      </c>
      <c r="F946" s="678" t="s">
        <v>400</v>
      </c>
      <c r="G946" s="678" t="s">
        <v>8</v>
      </c>
      <c r="H946" s="685"/>
      <c r="I946" s="38">
        <v>52</v>
      </c>
      <c r="J946" s="100">
        <v>50</v>
      </c>
      <c r="K946" s="682">
        <v>50</v>
      </c>
      <c r="L946" s="888">
        <v>50</v>
      </c>
      <c r="M946" s="135"/>
      <c r="N946" s="1053" t="s">
        <v>1652</v>
      </c>
      <c r="O946" s="1018" t="s">
        <v>1650</v>
      </c>
      <c r="P946" s="678">
        <v>1</v>
      </c>
      <c r="Q946" s="678"/>
    </row>
    <row r="947" spans="1:17" ht="10.9" customHeight="1" x14ac:dyDescent="0.2">
      <c r="A947" s="678">
        <v>9</v>
      </c>
      <c r="B947" s="679"/>
      <c r="C947" s="678"/>
      <c r="D947" s="680"/>
      <c r="E947" s="681"/>
      <c r="F947" s="678"/>
      <c r="G947" s="316" t="s">
        <v>495</v>
      </c>
      <c r="H947" s="115">
        <f>SUM(H929:H946)</f>
        <v>1643.7000000000003</v>
      </c>
      <c r="I947" s="115">
        <f>SUM(I929:I946)</f>
        <v>1786.8999999999996</v>
      </c>
      <c r="J947" s="115">
        <f>SUM(J929:J946)</f>
        <v>2215.8999999999996</v>
      </c>
      <c r="K947" s="115">
        <f>SUM(K929:K946)</f>
        <v>2230.1999999999998</v>
      </c>
      <c r="L947" s="823">
        <f>SUM(L929:L946)</f>
        <v>2255.6999999999998</v>
      </c>
      <c r="M947" s="135"/>
      <c r="N947" s="1053"/>
      <c r="O947" s="1018"/>
      <c r="P947" s="678"/>
      <c r="Q947" s="678"/>
    </row>
    <row r="948" spans="1:17" ht="28.15" customHeight="1" x14ac:dyDescent="0.2">
      <c r="A948" s="678">
        <v>9</v>
      </c>
      <c r="B948" s="114" t="s">
        <v>1653</v>
      </c>
      <c r="C948" s="114" t="s">
        <v>1653</v>
      </c>
      <c r="D948" s="134" t="s">
        <v>1654</v>
      </c>
      <c r="E948" s="1088"/>
      <c r="F948" s="678"/>
      <c r="G948" s="100"/>
      <c r="H948" s="135"/>
      <c r="I948" s="100"/>
      <c r="J948" s="100"/>
      <c r="K948" s="100"/>
      <c r="L948" s="100"/>
      <c r="M948" s="135" t="s">
        <v>620</v>
      </c>
      <c r="N948" s="1053"/>
      <c r="O948" s="1019"/>
      <c r="P948" s="678"/>
      <c r="Q948" s="678"/>
    </row>
    <row r="949" spans="1:17" x14ac:dyDescent="0.2">
      <c r="A949" s="678">
        <v>9</v>
      </c>
      <c r="B949" s="919"/>
      <c r="C949" s="919"/>
      <c r="D949" s="920"/>
      <c r="E949" s="681"/>
      <c r="F949" s="678"/>
      <c r="G949" s="115" t="s">
        <v>1600</v>
      </c>
      <c r="H949" s="317" t="e">
        <f>SUM(H965+H968+H971+H975+H983+H986+H992+#REF!+H1001+#REF!+H1023)</f>
        <v>#REF!</v>
      </c>
      <c r="I949" s="115" t="e">
        <f>SUM(I965,I968,I971,I975,I983,I986,I992,#REF!,I1001,I1023,I978,I1027,I1043)</f>
        <v>#REF!</v>
      </c>
      <c r="J949" s="115">
        <f>SUM(J965,J968,J971,J975,J983,J986,J992,J1001,J1023,J978,J1027,J1043)</f>
        <v>1421.4999999999995</v>
      </c>
      <c r="K949" s="115" t="e">
        <f>SUM(K965,K968,K971,K975,K983,K986,K992,#REF!,K1001,K1023,K978,K1027,K1043)</f>
        <v>#REF!</v>
      </c>
      <c r="L949" s="823" t="e">
        <f>SUM(L965,L968,L971,L975,L983,L986,L992,#REF!,L1001,L1023,L978,L1027,L1043)</f>
        <v>#REF!</v>
      </c>
      <c r="M949" s="135"/>
      <c r="N949" s="1053"/>
      <c r="O949" s="1019"/>
      <c r="P949" s="678"/>
      <c r="Q949" s="678"/>
    </row>
    <row r="950" spans="1:17" x14ac:dyDescent="0.2">
      <c r="A950" s="678">
        <v>9</v>
      </c>
      <c r="B950" s="121"/>
      <c r="C950" s="121"/>
      <c r="D950" s="83"/>
      <c r="E950" s="681"/>
      <c r="F950" s="678"/>
      <c r="G950" s="115" t="s">
        <v>1610</v>
      </c>
      <c r="H950" s="317"/>
      <c r="I950" s="115" t="e">
        <f>#REF!</f>
        <v>#REF!</v>
      </c>
      <c r="J950" s="115"/>
      <c r="K950" s="115" t="e">
        <f>#REF!</f>
        <v>#REF!</v>
      </c>
      <c r="L950" s="823" t="e">
        <f>#REF!</f>
        <v>#REF!</v>
      </c>
      <c r="M950" s="135"/>
      <c r="N950" s="1053"/>
      <c r="O950" s="1018"/>
      <c r="P950" s="678"/>
      <c r="Q950" s="678"/>
    </row>
    <row r="951" spans="1:17" ht="22.5" x14ac:dyDescent="0.2">
      <c r="A951" s="678">
        <v>9</v>
      </c>
      <c r="B951" s="679"/>
      <c r="C951" s="678"/>
      <c r="D951" s="680"/>
      <c r="E951" s="681"/>
      <c r="F951" s="678"/>
      <c r="G951" s="115" t="s">
        <v>1601</v>
      </c>
      <c r="H951" s="317" t="e">
        <f>SUM(H962,H964,H967,H970,H974,H977,H980,H982,H985,H991,H993:H999,#REF!,H1005:H1007,H1011,H1013:H1015,H1017:H1018,H1020:H1022,H1026,H1029,H1031,H1033,H1036,H1038)</f>
        <v>#REF!</v>
      </c>
      <c r="I951" s="115" t="e">
        <f>SUM(I962+I964+I967+I970+I974+I977+I980+I982+I985+I991+I993+I994+I995+I996+I997+I998+I999+#REF!+I1004+I1005+I1006+I1007+I1011+I1024+I1026+I1029+I1031+I1033+I1036+I1038+I1042+I1053)</f>
        <v>#REF!</v>
      </c>
      <c r="J951" s="115">
        <f>SUM(J962+J964+J967+J970+J974+J977+J980+J982+J985+J991+J993+J994+J995+J996+J997+J998+J999+J1004+J1005+J1006+J1007+J1011+J1024+J1026+J1029+J1031+J1033+J1036+J1038+J1042+J1053)</f>
        <v>795.9000000000002</v>
      </c>
      <c r="K951" s="115" t="e">
        <f>SUM(K962+K964+K967+K970+K974+K977+K980+K982+K985+K991+K993+K994+K995+K996+K997+K998+K999+#REF!+K1004+K1005+K1006+K1007+K1011+K1024+K1026+K1029+K1031+K1033+K1036+K1038+K1042+K1053)</f>
        <v>#REF!</v>
      </c>
      <c r="L951" s="823" t="e">
        <f>SUM(L962+L964+L967+L970+L974+L977+L980+L982+L985+L991+L993+L994+L995+L996+L997+L998+L999+#REF!+L1004+L1005+L1006+L1007+L1011+L1024+L1026+L1029+L1031+L1033+L1036+L1038+L1042+L1053)</f>
        <v>#REF!</v>
      </c>
      <c r="M951" s="135"/>
      <c r="N951" s="1053"/>
      <c r="O951" s="1018"/>
      <c r="P951" s="678"/>
      <c r="Q951" s="678"/>
    </row>
    <row r="952" spans="1:17" ht="22.5" x14ac:dyDescent="0.2">
      <c r="A952" s="678">
        <v>9</v>
      </c>
      <c r="B952" s="679"/>
      <c r="C952" s="678"/>
      <c r="D952" s="680"/>
      <c r="E952" s="681"/>
      <c r="F952" s="678"/>
      <c r="G952" s="115" t="s">
        <v>1655</v>
      </c>
      <c r="H952" s="317">
        <f t="shared" ref="H952:L953" si="122">SUM(H989)</f>
        <v>6.7</v>
      </c>
      <c r="I952" s="115">
        <f t="shared" si="122"/>
        <v>6.9</v>
      </c>
      <c r="J952" s="115">
        <f t="shared" si="122"/>
        <v>7</v>
      </c>
      <c r="K952" s="115">
        <f t="shared" si="122"/>
        <v>7</v>
      </c>
      <c r="L952" s="823">
        <f t="shared" si="122"/>
        <v>7</v>
      </c>
      <c r="M952" s="135"/>
      <c r="N952" s="1053"/>
      <c r="O952" s="1018"/>
      <c r="P952" s="678"/>
      <c r="Q952" s="678"/>
    </row>
    <row r="953" spans="1:17" ht="22.5" x14ac:dyDescent="0.2">
      <c r="A953" s="678">
        <v>9</v>
      </c>
      <c r="B953" s="679"/>
      <c r="C953" s="678"/>
      <c r="D953" s="680"/>
      <c r="E953" s="681"/>
      <c r="F953" s="678"/>
      <c r="G953" s="115" t="s">
        <v>1656</v>
      </c>
      <c r="H953" s="317">
        <f t="shared" si="122"/>
        <v>6.7</v>
      </c>
      <c r="I953" s="115">
        <f t="shared" si="122"/>
        <v>6.9</v>
      </c>
      <c r="J953" s="115">
        <f t="shared" si="122"/>
        <v>7</v>
      </c>
      <c r="K953" s="115">
        <f t="shared" si="122"/>
        <v>7</v>
      </c>
      <c r="L953" s="823">
        <f t="shared" si="122"/>
        <v>7</v>
      </c>
      <c r="M953" s="135"/>
      <c r="N953" s="1053"/>
      <c r="O953" s="1018"/>
      <c r="P953" s="678"/>
      <c r="Q953" s="678"/>
    </row>
    <row r="954" spans="1:17" ht="22.5" x14ac:dyDescent="0.2">
      <c r="A954" s="678">
        <v>9</v>
      </c>
      <c r="B954" s="679"/>
      <c r="C954" s="678"/>
      <c r="D954" s="680"/>
      <c r="E954" s="681"/>
      <c r="F954" s="678"/>
      <c r="G954" s="115" t="s">
        <v>1657</v>
      </c>
      <c r="H954" s="317">
        <f>H1040</f>
        <v>4.4000000000000004</v>
      </c>
      <c r="I954" s="115">
        <f>I1040+I1045+I1034+I1009</f>
        <v>1.2000000000000002</v>
      </c>
      <c r="J954" s="115">
        <f t="shared" ref="J954:L954" si="123">J1040+J1045+J1034+J1009</f>
        <v>0.30000000000000004</v>
      </c>
      <c r="K954" s="115">
        <f t="shared" si="123"/>
        <v>0</v>
      </c>
      <c r="L954" s="823">
        <f t="shared" si="123"/>
        <v>0</v>
      </c>
      <c r="M954" s="135"/>
      <c r="N954" s="1053"/>
      <c r="O954" s="1018"/>
      <c r="P954" s="678"/>
      <c r="Q954" s="678"/>
    </row>
    <row r="955" spans="1:17" ht="22.5" x14ac:dyDescent="0.2">
      <c r="A955" s="678">
        <v>9</v>
      </c>
      <c r="B955" s="679"/>
      <c r="C955" s="678"/>
      <c r="D955" s="680"/>
      <c r="E955" s="681"/>
      <c r="F955" s="678"/>
      <c r="G955" s="115" t="s">
        <v>1658</v>
      </c>
      <c r="H955" s="317">
        <f>SUM(H1008)</f>
        <v>1.2</v>
      </c>
      <c r="I955" s="115">
        <f>SUM(I1008)</f>
        <v>0</v>
      </c>
      <c r="J955" s="115">
        <f t="shared" ref="J955:L955" si="124">SUM(J1008)</f>
        <v>0.8</v>
      </c>
      <c r="K955" s="115">
        <f t="shared" si="124"/>
        <v>0</v>
      </c>
      <c r="L955" s="823">
        <f t="shared" si="124"/>
        <v>0</v>
      </c>
      <c r="M955" s="135"/>
      <c r="N955" s="1053"/>
      <c r="O955" s="1018"/>
      <c r="P955" s="678"/>
      <c r="Q955" s="678"/>
    </row>
    <row r="956" spans="1:17" ht="22.5" x14ac:dyDescent="0.2">
      <c r="A956" s="678">
        <v>9</v>
      </c>
      <c r="B956" s="679"/>
      <c r="C956" s="678"/>
      <c r="D956" s="680"/>
      <c r="E956" s="681"/>
      <c r="F956" s="678"/>
      <c r="G956" s="115" t="s">
        <v>1659</v>
      </c>
      <c r="H956" s="317" t="e">
        <f>SUM(H1002:H1003,#REF!)</f>
        <v>#REF!</v>
      </c>
      <c r="I956" s="115">
        <f>SUM(I1002:I1003)</f>
        <v>158.19999999999999</v>
      </c>
      <c r="J956" s="115">
        <f t="shared" ref="J956:L956" si="125">SUM(J1002:J1003)</f>
        <v>0</v>
      </c>
      <c r="K956" s="115">
        <f t="shared" si="125"/>
        <v>0</v>
      </c>
      <c r="L956" s="823">
        <f t="shared" si="125"/>
        <v>0</v>
      </c>
      <c r="M956" s="135"/>
      <c r="N956" s="1053"/>
      <c r="O956" s="1018"/>
      <c r="P956" s="678"/>
      <c r="Q956" s="678"/>
    </row>
    <row r="957" spans="1:17" ht="22.5" x14ac:dyDescent="0.2">
      <c r="A957" s="678">
        <v>9</v>
      </c>
      <c r="B957" s="679"/>
      <c r="C957" s="678"/>
      <c r="D957" s="680"/>
      <c r="E957" s="681"/>
      <c r="F957" s="678"/>
      <c r="G957" s="115" t="s">
        <v>1660</v>
      </c>
      <c r="H957" s="317"/>
      <c r="I957" s="115">
        <f>SUM(I1047+I1050+I1055)</f>
        <v>12</v>
      </c>
      <c r="J957" s="115">
        <f t="shared" ref="J957:L958" si="126">SUM(J1047+J1050+J1055)</f>
        <v>67.599999999999994</v>
      </c>
      <c r="K957" s="115">
        <f t="shared" si="126"/>
        <v>46.5</v>
      </c>
      <c r="L957" s="823">
        <f t="shared" si="126"/>
        <v>42.3</v>
      </c>
      <c r="M957" s="135"/>
      <c r="N957" s="1053"/>
      <c r="O957" s="1018"/>
      <c r="P957" s="678"/>
      <c r="Q957" s="678"/>
    </row>
    <row r="958" spans="1:17" ht="22.5" x14ac:dyDescent="0.2">
      <c r="A958" s="678">
        <v>9</v>
      </c>
      <c r="B958" s="679"/>
      <c r="C958" s="678"/>
      <c r="D958" s="680"/>
      <c r="E958" s="681"/>
      <c r="F958" s="678"/>
      <c r="G958" s="115" t="s">
        <v>1661</v>
      </c>
      <c r="H958" s="317"/>
      <c r="I958" s="115">
        <f>SUM(I1048+I1051+I1056)</f>
        <v>3</v>
      </c>
      <c r="J958" s="115">
        <f t="shared" si="126"/>
        <v>14.4</v>
      </c>
      <c r="K958" s="115">
        <f t="shared" si="126"/>
        <v>11</v>
      </c>
      <c r="L958" s="823">
        <f t="shared" si="126"/>
        <v>9.6000000000000014</v>
      </c>
      <c r="M958" s="135"/>
      <c r="N958" s="1053"/>
      <c r="O958" s="1018"/>
      <c r="P958" s="678"/>
      <c r="Q958" s="678"/>
    </row>
    <row r="959" spans="1:17" ht="22.5" x14ac:dyDescent="0.2">
      <c r="A959" s="678">
        <v>9</v>
      </c>
      <c r="B959" s="679"/>
      <c r="C959" s="678"/>
      <c r="D959" s="680"/>
      <c r="E959" s="681"/>
      <c r="F959" s="678"/>
      <c r="G959" s="115" t="s">
        <v>1662</v>
      </c>
      <c r="H959" s="317"/>
      <c r="I959" s="115">
        <f>SUM(I972)</f>
        <v>0.3</v>
      </c>
      <c r="J959" s="115">
        <f t="shared" ref="J959:L959" si="127">SUM(J972)</f>
        <v>0.7</v>
      </c>
      <c r="K959" s="115">
        <f t="shared" si="127"/>
        <v>0</v>
      </c>
      <c r="L959" s="823">
        <f t="shared" si="127"/>
        <v>0</v>
      </c>
      <c r="M959" s="135"/>
      <c r="N959" s="1053"/>
      <c r="O959" s="1018"/>
      <c r="P959" s="678"/>
      <c r="Q959" s="678"/>
    </row>
    <row r="960" spans="1:17" x14ac:dyDescent="0.2">
      <c r="A960" s="678">
        <v>9</v>
      </c>
      <c r="B960" s="679"/>
      <c r="C960" s="678"/>
      <c r="D960" s="680"/>
      <c r="E960" s="681"/>
      <c r="F960" s="678"/>
      <c r="G960" s="115" t="s">
        <v>1939</v>
      </c>
      <c r="H960" s="317"/>
      <c r="I960" s="115"/>
      <c r="J960" s="115">
        <f>J987</f>
        <v>100.6</v>
      </c>
      <c r="K960" s="115"/>
      <c r="L960" s="823"/>
      <c r="M960" s="135"/>
      <c r="N960" s="1053"/>
      <c r="O960" s="1018"/>
      <c r="P960" s="678"/>
      <c r="Q960" s="678"/>
    </row>
    <row r="961" spans="1:17" x14ac:dyDescent="0.2">
      <c r="A961" s="678">
        <v>9</v>
      </c>
      <c r="B961" s="679"/>
      <c r="C961" s="678"/>
      <c r="D961" s="680"/>
      <c r="E961" s="681"/>
      <c r="F961" s="678"/>
      <c r="G961" s="313" t="s">
        <v>495</v>
      </c>
      <c r="H961" s="314" t="e">
        <f>SUM(H949:H956)</f>
        <v>#REF!</v>
      </c>
      <c r="I961" s="314" t="e">
        <f>SUM(I949:I959)</f>
        <v>#REF!</v>
      </c>
      <c r="J961" s="314">
        <f>SUM(J949:J960)</f>
        <v>2415.7999999999997</v>
      </c>
      <c r="K961" s="314" t="e">
        <f>SUM(K949:K959)</f>
        <v>#REF!</v>
      </c>
      <c r="L961" s="887" t="e">
        <f>SUM(L949:L959)</f>
        <v>#REF!</v>
      </c>
      <c r="M961" s="135"/>
      <c r="N961" s="1053"/>
      <c r="O961" s="1018"/>
      <c r="P961" s="678"/>
      <c r="Q961" s="678"/>
    </row>
    <row r="962" spans="1:17" ht="27.6" customHeight="1" x14ac:dyDescent="0.2">
      <c r="A962" s="678">
        <v>9</v>
      </c>
      <c r="B962" s="679"/>
      <c r="C962" s="678" t="s">
        <v>1663</v>
      </c>
      <c r="D962" s="35" t="s">
        <v>402</v>
      </c>
      <c r="E962" s="70">
        <v>33</v>
      </c>
      <c r="F962" s="678" t="s">
        <v>403</v>
      </c>
      <c r="G962" s="80" t="s">
        <v>10</v>
      </c>
      <c r="H962" s="37">
        <v>1.1000000000000001</v>
      </c>
      <c r="I962" s="38">
        <v>1.2</v>
      </c>
      <c r="J962" s="100">
        <v>1.2</v>
      </c>
      <c r="K962" s="26">
        <v>1.2</v>
      </c>
      <c r="L962" s="27">
        <v>1.2</v>
      </c>
      <c r="M962" s="135"/>
      <c r="N962" s="1053" t="s">
        <v>1664</v>
      </c>
      <c r="O962" s="1018" t="s">
        <v>1665</v>
      </c>
      <c r="P962" s="678">
        <v>1</v>
      </c>
      <c r="Q962" s="678"/>
    </row>
    <row r="963" spans="1:17" ht="12.75" customHeight="1" x14ac:dyDescent="0.2">
      <c r="A963" s="678">
        <v>9</v>
      </c>
      <c r="B963" s="679"/>
      <c r="C963" s="678"/>
      <c r="D963" s="35"/>
      <c r="E963" s="70">
        <v>33</v>
      </c>
      <c r="F963" s="678" t="s">
        <v>403</v>
      </c>
      <c r="G963" s="318" t="s">
        <v>495</v>
      </c>
      <c r="H963" s="106">
        <f>SUM(H962)</f>
        <v>1.1000000000000001</v>
      </c>
      <c r="I963" s="106">
        <f>SUM(I962)</f>
        <v>1.2</v>
      </c>
      <c r="J963" s="106">
        <f>SUM(J962)</f>
        <v>1.2</v>
      </c>
      <c r="K963" s="106">
        <f>SUM(K962)</f>
        <v>1.2</v>
      </c>
      <c r="L963" s="890">
        <f>SUM(L962)</f>
        <v>1.2</v>
      </c>
      <c r="M963" s="135"/>
      <c r="N963" s="1053"/>
      <c r="O963" s="1018"/>
      <c r="P963" s="678"/>
      <c r="Q963" s="678"/>
    </row>
    <row r="964" spans="1:17" ht="30" customHeight="1" x14ac:dyDescent="0.2">
      <c r="A964" s="678">
        <v>9</v>
      </c>
      <c r="B964" s="679"/>
      <c r="C964" s="678" t="s">
        <v>1666</v>
      </c>
      <c r="D964" s="35" t="s">
        <v>404</v>
      </c>
      <c r="E964" s="70">
        <v>3</v>
      </c>
      <c r="F964" s="678" t="s">
        <v>405</v>
      </c>
      <c r="G964" s="80" t="s">
        <v>10</v>
      </c>
      <c r="H964" s="37">
        <v>17.8</v>
      </c>
      <c r="I964" s="38">
        <v>17.8</v>
      </c>
      <c r="J964" s="100">
        <v>17.8</v>
      </c>
      <c r="K964" s="26">
        <v>18.100000000000001</v>
      </c>
      <c r="L964" s="27">
        <v>18.2</v>
      </c>
      <c r="M964" s="135"/>
      <c r="N964" s="1053" t="s">
        <v>1667</v>
      </c>
      <c r="O964" s="1018" t="s">
        <v>1665</v>
      </c>
      <c r="P964" s="678">
        <v>1</v>
      </c>
      <c r="Q964" s="678"/>
    </row>
    <row r="965" spans="1:17" ht="30" customHeight="1" x14ac:dyDescent="0.2">
      <c r="A965" s="678">
        <v>9</v>
      </c>
      <c r="B965" s="679"/>
      <c r="C965" s="678"/>
      <c r="D965" s="35"/>
      <c r="E965" s="70">
        <v>3</v>
      </c>
      <c r="F965" s="678" t="s">
        <v>405</v>
      </c>
      <c r="G965" s="80" t="s">
        <v>8</v>
      </c>
      <c r="H965" s="37">
        <v>30.8</v>
      </c>
      <c r="I965" s="38">
        <v>34.200000000000003</v>
      </c>
      <c r="J965" s="100">
        <v>43</v>
      </c>
      <c r="K965" s="26">
        <v>44.4</v>
      </c>
      <c r="L965" s="27">
        <v>45</v>
      </c>
      <c r="M965" s="135"/>
      <c r="N965" s="1053" t="s">
        <v>1667</v>
      </c>
      <c r="O965" s="1018" t="s">
        <v>1665</v>
      </c>
      <c r="P965" s="678"/>
      <c r="Q965" s="678"/>
    </row>
    <row r="966" spans="1:17" ht="12.75" customHeight="1" x14ac:dyDescent="0.2">
      <c r="A966" s="678">
        <v>9</v>
      </c>
      <c r="B966" s="679"/>
      <c r="C966" s="678"/>
      <c r="D966" s="35"/>
      <c r="E966" s="70">
        <v>3</v>
      </c>
      <c r="F966" s="678" t="s">
        <v>405</v>
      </c>
      <c r="G966" s="318" t="s">
        <v>495</v>
      </c>
      <c r="H966" s="106">
        <f>SUM(H964+H965)</f>
        <v>48.6</v>
      </c>
      <c r="I966" s="106">
        <f>SUM(I964+I965)</f>
        <v>52</v>
      </c>
      <c r="J966" s="106">
        <f>SUM(J964+J965)</f>
        <v>60.8</v>
      </c>
      <c r="K966" s="106">
        <f>SUM(K964+K965)</f>
        <v>62.5</v>
      </c>
      <c r="L966" s="890">
        <f>SUM(L964+L965)</f>
        <v>63.2</v>
      </c>
      <c r="M966" s="135"/>
      <c r="N966" s="1053"/>
      <c r="O966" s="1018"/>
      <c r="P966" s="678"/>
      <c r="Q966" s="678"/>
    </row>
    <row r="967" spans="1:17" ht="12.75" customHeight="1" x14ac:dyDescent="0.2">
      <c r="A967" s="678">
        <v>9</v>
      </c>
      <c r="B967" s="679"/>
      <c r="C967" s="678" t="s">
        <v>1668</v>
      </c>
      <c r="D967" s="35" t="s">
        <v>406</v>
      </c>
      <c r="E967" s="70">
        <v>16</v>
      </c>
      <c r="F967" s="678" t="s">
        <v>407</v>
      </c>
      <c r="G967" s="80" t="s">
        <v>10</v>
      </c>
      <c r="H967" s="37">
        <v>35.299999999999997</v>
      </c>
      <c r="I967" s="38">
        <v>20.2</v>
      </c>
      <c r="J967" s="100">
        <v>29.2</v>
      </c>
      <c r="K967" s="26">
        <v>29.2</v>
      </c>
      <c r="L967" s="27">
        <v>29.2</v>
      </c>
      <c r="M967" s="135"/>
      <c r="N967" s="1053" t="s">
        <v>1669</v>
      </c>
      <c r="O967" s="1018" t="s">
        <v>1665</v>
      </c>
      <c r="P967" s="678">
        <v>1</v>
      </c>
      <c r="Q967" s="678"/>
    </row>
    <row r="968" spans="1:17" ht="12.75" customHeight="1" x14ac:dyDescent="0.2">
      <c r="A968" s="678">
        <v>9</v>
      </c>
      <c r="B968" s="679"/>
      <c r="C968" s="678"/>
      <c r="D968" s="35"/>
      <c r="E968" s="70">
        <v>16</v>
      </c>
      <c r="F968" s="678" t="s">
        <v>407</v>
      </c>
      <c r="G968" s="80" t="s">
        <v>8</v>
      </c>
      <c r="H968" s="37">
        <v>6.6</v>
      </c>
      <c r="I968" s="38">
        <v>0.8</v>
      </c>
      <c r="J968" s="100">
        <v>6.9</v>
      </c>
      <c r="K968" s="26">
        <v>8</v>
      </c>
      <c r="L968" s="27">
        <v>8.5</v>
      </c>
      <c r="M968" s="135"/>
      <c r="N968" s="1053" t="s">
        <v>1669</v>
      </c>
      <c r="O968" s="1018" t="s">
        <v>1665</v>
      </c>
      <c r="P968" s="678"/>
      <c r="Q968" s="678"/>
    </row>
    <row r="969" spans="1:17" ht="21.6" customHeight="1" x14ac:dyDescent="0.2">
      <c r="A969" s="678">
        <v>9</v>
      </c>
      <c r="B969" s="679"/>
      <c r="C969" s="678"/>
      <c r="D969" s="35"/>
      <c r="E969" s="70">
        <v>16</v>
      </c>
      <c r="F969" s="678" t="s">
        <v>407</v>
      </c>
      <c r="G969" s="318" t="s">
        <v>495</v>
      </c>
      <c r="H969" s="106">
        <f>SUM(H967+H968)</f>
        <v>41.9</v>
      </c>
      <c r="I969" s="106">
        <f>SUM(I967+I968)</f>
        <v>21</v>
      </c>
      <c r="J969" s="106">
        <f>SUM(J967+J968)</f>
        <v>36.1</v>
      </c>
      <c r="K969" s="106">
        <f>SUM(K967+K968)</f>
        <v>37.200000000000003</v>
      </c>
      <c r="L969" s="890">
        <f>SUM(L967+L968)</f>
        <v>37.700000000000003</v>
      </c>
      <c r="M969" s="135"/>
      <c r="N969" s="1053"/>
      <c r="O969" s="1018"/>
      <c r="P969" s="678"/>
      <c r="Q969" s="678"/>
    </row>
    <row r="970" spans="1:17" ht="29.45" customHeight="1" x14ac:dyDescent="0.2">
      <c r="A970" s="678">
        <v>9</v>
      </c>
      <c r="B970" s="679"/>
      <c r="C970" s="678" t="s">
        <v>1670</v>
      </c>
      <c r="D970" s="35" t="s">
        <v>408</v>
      </c>
      <c r="E970" s="70">
        <v>3</v>
      </c>
      <c r="F970" s="678" t="s">
        <v>409</v>
      </c>
      <c r="G970" s="80" t="s">
        <v>10</v>
      </c>
      <c r="H970" s="37">
        <v>9</v>
      </c>
      <c r="I970" s="38">
        <v>9</v>
      </c>
      <c r="J970" s="100">
        <v>9</v>
      </c>
      <c r="K970" s="26">
        <v>9.1999999999999993</v>
      </c>
      <c r="L970" s="27">
        <v>9.3000000000000007</v>
      </c>
      <c r="M970" s="135"/>
      <c r="N970" s="1053" t="s">
        <v>1671</v>
      </c>
      <c r="O970" s="1018" t="s">
        <v>1665</v>
      </c>
      <c r="P970" s="678"/>
      <c r="Q970" s="678"/>
    </row>
    <row r="971" spans="1:17" ht="12.75" customHeight="1" x14ac:dyDescent="0.2">
      <c r="A971" s="678">
        <v>9</v>
      </c>
      <c r="B971" s="679"/>
      <c r="C971" s="678"/>
      <c r="D971" s="35"/>
      <c r="E971" s="70">
        <v>3</v>
      </c>
      <c r="F971" s="678" t="s">
        <v>409</v>
      </c>
      <c r="G971" s="80" t="s">
        <v>8</v>
      </c>
      <c r="H971" s="37">
        <v>21.7</v>
      </c>
      <c r="I971" s="38">
        <v>29.4</v>
      </c>
      <c r="J971" s="100">
        <v>34.799999999999997</v>
      </c>
      <c r="K971" s="26">
        <v>36</v>
      </c>
      <c r="L971" s="27">
        <v>36.5</v>
      </c>
      <c r="M971" s="135"/>
      <c r="N971" s="1053" t="s">
        <v>1671</v>
      </c>
      <c r="O971" s="1018" t="s">
        <v>1665</v>
      </c>
      <c r="P971" s="678"/>
      <c r="Q971" s="678"/>
    </row>
    <row r="972" spans="1:17" ht="12.75" customHeight="1" x14ac:dyDescent="0.2">
      <c r="A972" s="678">
        <v>9</v>
      </c>
      <c r="B972" s="679"/>
      <c r="C972" s="678"/>
      <c r="D972" s="35"/>
      <c r="E972" s="70">
        <v>3</v>
      </c>
      <c r="F972" s="678" t="s">
        <v>409</v>
      </c>
      <c r="G972" s="80" t="s">
        <v>74</v>
      </c>
      <c r="H972" s="37"/>
      <c r="I972" s="38">
        <v>0.3</v>
      </c>
      <c r="J972" s="100">
        <v>0.7</v>
      </c>
      <c r="K972" s="26"/>
      <c r="L972" s="27"/>
      <c r="M972" s="135"/>
      <c r="N972" s="1053" t="s">
        <v>1671</v>
      </c>
      <c r="O972" s="1018" t="s">
        <v>1665</v>
      </c>
      <c r="P972" s="678"/>
      <c r="Q972" s="678"/>
    </row>
    <row r="973" spans="1:17" ht="12.75" customHeight="1" x14ac:dyDescent="0.2">
      <c r="A973" s="678">
        <v>9</v>
      </c>
      <c r="B973" s="679"/>
      <c r="C973" s="678"/>
      <c r="D973" s="35"/>
      <c r="E973" s="70">
        <v>3</v>
      </c>
      <c r="F973" s="678" t="s">
        <v>409</v>
      </c>
      <c r="G973" s="318" t="s">
        <v>495</v>
      </c>
      <c r="H973" s="106">
        <f>SUM(H970+H971)</f>
        <v>30.7</v>
      </c>
      <c r="I973" s="106">
        <f>SUM(I970+I971+I972)</f>
        <v>38.699999999999996</v>
      </c>
      <c r="J973" s="106">
        <f>SUM(J970+J971)</f>
        <v>43.8</v>
      </c>
      <c r="K973" s="106">
        <f>SUM(K970+K971)</f>
        <v>45.2</v>
      </c>
      <c r="L973" s="890">
        <f>SUM(L970+L971)</f>
        <v>45.8</v>
      </c>
      <c r="M973" s="135"/>
      <c r="N973" s="1053"/>
      <c r="O973" s="1018"/>
      <c r="P973" s="678"/>
      <c r="Q973" s="678"/>
    </row>
    <row r="974" spans="1:17" ht="24.6" customHeight="1" x14ac:dyDescent="0.2">
      <c r="A974" s="678">
        <v>9</v>
      </c>
      <c r="B974" s="679"/>
      <c r="C974" s="678" t="s">
        <v>1672</v>
      </c>
      <c r="D974" s="35" t="s">
        <v>410</v>
      </c>
      <c r="E974" s="70">
        <v>33</v>
      </c>
      <c r="F974" s="678" t="s">
        <v>411</v>
      </c>
      <c r="G974" s="80" t="s">
        <v>10</v>
      </c>
      <c r="H974" s="37">
        <v>35.299999999999997</v>
      </c>
      <c r="I974" s="38">
        <v>34.4</v>
      </c>
      <c r="J974" s="100">
        <v>34.200000000000003</v>
      </c>
      <c r="K974" s="26">
        <v>34.9</v>
      </c>
      <c r="L974" s="27">
        <v>35.200000000000003</v>
      </c>
      <c r="M974" s="135"/>
      <c r="N974" s="1053" t="s">
        <v>1673</v>
      </c>
      <c r="O974" s="1018" t="s">
        <v>1665</v>
      </c>
      <c r="P974" s="678">
        <v>1</v>
      </c>
      <c r="Q974" s="678"/>
    </row>
    <row r="975" spans="1:17" ht="42" customHeight="1" x14ac:dyDescent="0.2">
      <c r="A975" s="678">
        <v>9</v>
      </c>
      <c r="B975" s="679"/>
      <c r="C975" s="678"/>
      <c r="D975" s="35"/>
      <c r="E975" s="70">
        <v>33</v>
      </c>
      <c r="F975" s="678" t="s">
        <v>411</v>
      </c>
      <c r="G975" s="80" t="s">
        <v>8</v>
      </c>
      <c r="H975" s="37">
        <v>66.2</v>
      </c>
      <c r="I975" s="38">
        <v>79.8</v>
      </c>
      <c r="J975" s="100">
        <v>96.7</v>
      </c>
      <c r="K975" s="26">
        <v>100.8</v>
      </c>
      <c r="L975" s="27">
        <v>102.5</v>
      </c>
      <c r="M975" s="135"/>
      <c r="N975" s="1053" t="s">
        <v>1674</v>
      </c>
      <c r="O975" s="1018" t="s">
        <v>1665</v>
      </c>
      <c r="P975" s="678"/>
      <c r="Q975" s="678"/>
    </row>
    <row r="976" spans="1:17" x14ac:dyDescent="0.2">
      <c r="A976" s="678">
        <v>9</v>
      </c>
      <c r="B976" s="679"/>
      <c r="C976" s="678"/>
      <c r="D976" s="35"/>
      <c r="E976" s="70">
        <v>33</v>
      </c>
      <c r="F976" s="678" t="s">
        <v>411</v>
      </c>
      <c r="G976" s="318" t="s">
        <v>495</v>
      </c>
      <c r="H976" s="106">
        <f>SUM(H974+H975)</f>
        <v>101.5</v>
      </c>
      <c r="I976" s="106">
        <f>SUM(I974+I975)</f>
        <v>114.19999999999999</v>
      </c>
      <c r="J976" s="106">
        <f>SUM(J974+J975)</f>
        <v>130.9</v>
      </c>
      <c r="K976" s="106">
        <f>SUM(K974+K975)</f>
        <v>135.69999999999999</v>
      </c>
      <c r="L976" s="890">
        <f>SUM(L974+L975)</f>
        <v>137.69999999999999</v>
      </c>
      <c r="M976" s="135"/>
      <c r="N976" s="1053"/>
      <c r="O976" s="1018"/>
      <c r="P976" s="678"/>
      <c r="Q976" s="678"/>
    </row>
    <row r="977" spans="1:17" ht="40.9" customHeight="1" x14ac:dyDescent="0.2">
      <c r="A977" s="678">
        <v>9</v>
      </c>
      <c r="B977" s="679"/>
      <c r="C977" s="678" t="s">
        <v>1675</v>
      </c>
      <c r="D977" s="35" t="s">
        <v>412</v>
      </c>
      <c r="E977" s="70">
        <v>36</v>
      </c>
      <c r="F977" s="678" t="s">
        <v>413</v>
      </c>
      <c r="G977" s="80" t="s">
        <v>10</v>
      </c>
      <c r="H977" s="37"/>
      <c r="I977" s="6">
        <v>65.900000000000006</v>
      </c>
      <c r="J977" s="100">
        <v>65.8</v>
      </c>
      <c r="K977" s="26">
        <v>65.8</v>
      </c>
      <c r="L977" s="27">
        <v>65.8</v>
      </c>
      <c r="M977" s="135"/>
      <c r="N977" s="1053" t="s">
        <v>1676</v>
      </c>
      <c r="O977" s="1018" t="s">
        <v>1665</v>
      </c>
      <c r="P977" s="678">
        <v>1</v>
      </c>
      <c r="Q977" s="678"/>
    </row>
    <row r="978" spans="1:17" ht="33.75" x14ac:dyDescent="0.2">
      <c r="A978" s="678">
        <v>9</v>
      </c>
      <c r="B978" s="679"/>
      <c r="C978" s="678"/>
      <c r="D978" s="35"/>
      <c r="E978" s="70">
        <v>36</v>
      </c>
      <c r="F978" s="678" t="s">
        <v>413</v>
      </c>
      <c r="G978" s="80" t="s">
        <v>8</v>
      </c>
      <c r="H978" s="37"/>
      <c r="I978" s="6"/>
      <c r="J978" s="100">
        <v>28.8</v>
      </c>
      <c r="K978" s="26">
        <v>31.9</v>
      </c>
      <c r="L978" s="27">
        <v>33.200000000000003</v>
      </c>
      <c r="M978" s="135"/>
      <c r="N978" s="1053" t="s">
        <v>1676</v>
      </c>
      <c r="O978" s="1018" t="s">
        <v>1665</v>
      </c>
      <c r="P978" s="678">
        <v>1</v>
      </c>
      <c r="Q978" s="678"/>
    </row>
    <row r="979" spans="1:17" ht="12.75" customHeight="1" x14ac:dyDescent="0.2">
      <c r="A979" s="678">
        <v>9</v>
      </c>
      <c r="B979" s="679"/>
      <c r="C979" s="678"/>
      <c r="D979" s="35"/>
      <c r="E979" s="70">
        <v>36</v>
      </c>
      <c r="F979" s="678" t="s">
        <v>413</v>
      </c>
      <c r="G979" s="318" t="s">
        <v>495</v>
      </c>
      <c r="H979" s="106">
        <f>SUM(H977)</f>
        <v>0</v>
      </c>
      <c r="I979" s="106">
        <f>SUM(I977+I978)</f>
        <v>65.900000000000006</v>
      </c>
      <c r="J979" s="106">
        <f t="shared" ref="J979:L979" si="128">SUM(J977+J978)</f>
        <v>94.6</v>
      </c>
      <c r="K979" s="106">
        <f t="shared" si="128"/>
        <v>97.699999999999989</v>
      </c>
      <c r="L979" s="890">
        <f t="shared" si="128"/>
        <v>99</v>
      </c>
      <c r="M979" s="135"/>
      <c r="N979" s="1053"/>
      <c r="O979" s="1018"/>
      <c r="P979" s="678"/>
      <c r="Q979" s="678"/>
    </row>
    <row r="980" spans="1:17" ht="48" customHeight="1" x14ac:dyDescent="0.2">
      <c r="A980" s="678">
        <v>9</v>
      </c>
      <c r="B980" s="679"/>
      <c r="C980" s="678" t="s">
        <v>1677</v>
      </c>
      <c r="D980" s="35" t="s">
        <v>414</v>
      </c>
      <c r="E980" s="70">
        <v>12</v>
      </c>
      <c r="F980" s="678" t="s">
        <v>415</v>
      </c>
      <c r="G980" s="80" t="s">
        <v>10</v>
      </c>
      <c r="H980" s="37">
        <v>9.6</v>
      </c>
      <c r="I980" s="6">
        <v>9.6999999999999993</v>
      </c>
      <c r="J980" s="100">
        <v>10.1</v>
      </c>
      <c r="K980" s="26">
        <v>10.1</v>
      </c>
      <c r="L980" s="27">
        <v>10.1</v>
      </c>
      <c r="M980" s="135"/>
      <c r="N980" s="1053" t="s">
        <v>1678</v>
      </c>
      <c r="O980" s="1018" t="s">
        <v>1665</v>
      </c>
      <c r="P980" s="678">
        <v>1</v>
      </c>
      <c r="Q980" s="678"/>
    </row>
    <row r="981" spans="1:17" ht="12.75" customHeight="1" x14ac:dyDescent="0.2">
      <c r="A981" s="678">
        <v>9</v>
      </c>
      <c r="B981" s="679"/>
      <c r="C981" s="678"/>
      <c r="D981" s="35"/>
      <c r="E981" s="70">
        <v>12</v>
      </c>
      <c r="F981" s="678" t="s">
        <v>415</v>
      </c>
      <c r="G981" s="318" t="s">
        <v>495</v>
      </c>
      <c r="H981" s="106">
        <f>SUM(H980)</f>
        <v>9.6</v>
      </c>
      <c r="I981" s="106">
        <f>SUM(I980)</f>
        <v>9.6999999999999993</v>
      </c>
      <c r="J981" s="106">
        <f>SUM(J980)</f>
        <v>10.1</v>
      </c>
      <c r="K981" s="106">
        <f>SUM(K980)</f>
        <v>10.1</v>
      </c>
      <c r="L981" s="890">
        <f>SUM(L980)</f>
        <v>10.1</v>
      </c>
      <c r="M981" s="135"/>
      <c r="N981" s="1053"/>
      <c r="O981" s="1018"/>
      <c r="P981" s="678"/>
      <c r="Q981" s="678"/>
    </row>
    <row r="982" spans="1:17" ht="12.75" customHeight="1" x14ac:dyDescent="0.2">
      <c r="A982" s="678">
        <v>9</v>
      </c>
      <c r="B982" s="679"/>
      <c r="C982" s="678" t="s">
        <v>1679</v>
      </c>
      <c r="D982" s="35" t="s">
        <v>416</v>
      </c>
      <c r="E982" s="70">
        <v>13</v>
      </c>
      <c r="F982" s="678" t="s">
        <v>417</v>
      </c>
      <c r="G982" s="80" t="s">
        <v>10</v>
      </c>
      <c r="H982" s="37">
        <v>25</v>
      </c>
      <c r="I982" s="38">
        <f>78.7-48.8</f>
        <v>29.900000000000006</v>
      </c>
      <c r="J982" s="100">
        <f>49.7-17.2</f>
        <v>32.5</v>
      </c>
      <c r="K982" s="26">
        <v>49.9</v>
      </c>
      <c r="L982" s="27">
        <v>50.1</v>
      </c>
      <c r="M982" s="135"/>
      <c r="N982" s="1053" t="s">
        <v>1680</v>
      </c>
      <c r="O982" s="1018" t="s">
        <v>1665</v>
      </c>
      <c r="P982" s="678">
        <v>1</v>
      </c>
      <c r="Q982" s="678"/>
    </row>
    <row r="983" spans="1:17" ht="12.75" customHeight="1" x14ac:dyDescent="0.2">
      <c r="A983" s="678">
        <v>9</v>
      </c>
      <c r="B983" s="679"/>
      <c r="C983" s="678"/>
      <c r="D983" s="35"/>
      <c r="E983" s="70">
        <v>13</v>
      </c>
      <c r="F983" s="678" t="s">
        <v>417</v>
      </c>
      <c r="G983" s="80" t="s">
        <v>8</v>
      </c>
      <c r="H983" s="37">
        <v>1</v>
      </c>
      <c r="I983" s="38">
        <v>19.8</v>
      </c>
      <c r="J983" s="100">
        <f>18.7+10</f>
        <v>28.7</v>
      </c>
      <c r="K983" s="26">
        <v>19.5</v>
      </c>
      <c r="L983" s="27">
        <v>19.7</v>
      </c>
      <c r="M983" s="135"/>
      <c r="N983" s="1053" t="s">
        <v>1680</v>
      </c>
      <c r="O983" s="1018" t="s">
        <v>1665</v>
      </c>
      <c r="P983" s="678"/>
      <c r="Q983" s="678"/>
    </row>
    <row r="984" spans="1:17" x14ac:dyDescent="0.2">
      <c r="A984" s="678">
        <v>9</v>
      </c>
      <c r="B984" s="679"/>
      <c r="C984" s="678"/>
      <c r="D984" s="35"/>
      <c r="E984" s="70">
        <v>13</v>
      </c>
      <c r="F984" s="678" t="s">
        <v>417</v>
      </c>
      <c r="G984" s="318" t="s">
        <v>495</v>
      </c>
      <c r="H984" s="106">
        <f>SUM(H982+H983)</f>
        <v>26</v>
      </c>
      <c r="I984" s="106">
        <f>SUM(I982+I983)</f>
        <v>49.7</v>
      </c>
      <c r="J984" s="106">
        <f>SUM(J982+J983)</f>
        <v>61.2</v>
      </c>
      <c r="K984" s="106">
        <f>SUM(K982+K983)</f>
        <v>69.400000000000006</v>
      </c>
      <c r="L984" s="890">
        <f>SUM(L982+L983)</f>
        <v>69.8</v>
      </c>
      <c r="M984" s="135"/>
      <c r="N984" s="1053"/>
      <c r="O984" s="1018"/>
      <c r="P984" s="678"/>
      <c r="Q984" s="678"/>
    </row>
    <row r="985" spans="1:17" ht="21" customHeight="1" x14ac:dyDescent="0.2">
      <c r="A985" s="678">
        <v>9</v>
      </c>
      <c r="B985" s="679"/>
      <c r="C985" s="678" t="s">
        <v>1681</v>
      </c>
      <c r="D985" s="35" t="s">
        <v>418</v>
      </c>
      <c r="E985" s="70">
        <v>13</v>
      </c>
      <c r="F985" s="678" t="s">
        <v>419</v>
      </c>
      <c r="G985" s="80" t="s">
        <v>10</v>
      </c>
      <c r="H985" s="37">
        <v>64</v>
      </c>
      <c r="I985" s="38">
        <v>71.2</v>
      </c>
      <c r="J985" s="100">
        <f>174.9-100</f>
        <v>74.900000000000006</v>
      </c>
      <c r="K985" s="26">
        <v>74.900000000000006</v>
      </c>
      <c r="L985" s="27">
        <v>74.900000000000006</v>
      </c>
      <c r="M985" s="135"/>
      <c r="N985" s="1055" t="s">
        <v>1682</v>
      </c>
      <c r="O985" s="1018" t="s">
        <v>1665</v>
      </c>
      <c r="P985" s="678">
        <v>1</v>
      </c>
      <c r="Q985" s="751"/>
    </row>
    <row r="986" spans="1:17" ht="22.15" customHeight="1" x14ac:dyDescent="0.2">
      <c r="A986" s="678">
        <v>9</v>
      </c>
      <c r="B986" s="679"/>
      <c r="C986" s="678"/>
      <c r="D986" s="35"/>
      <c r="E986" s="70">
        <v>13</v>
      </c>
      <c r="F986" s="678" t="s">
        <v>419</v>
      </c>
      <c r="G986" s="80" t="s">
        <v>8</v>
      </c>
      <c r="H986" s="37">
        <v>22.7</v>
      </c>
      <c r="I986" s="38">
        <v>94.1</v>
      </c>
      <c r="J986" s="100">
        <f>154.7-100+30</f>
        <v>84.699999999999989</v>
      </c>
      <c r="K986" s="26">
        <v>26.6</v>
      </c>
      <c r="L986" s="27">
        <v>27</v>
      </c>
      <c r="M986" s="135"/>
      <c r="N986" s="1053" t="s">
        <v>1682</v>
      </c>
      <c r="O986" s="1018" t="s">
        <v>1665</v>
      </c>
      <c r="P986" s="678"/>
      <c r="Q986" s="678"/>
    </row>
    <row r="987" spans="1:17" ht="22.15" customHeight="1" x14ac:dyDescent="0.2">
      <c r="A987" s="678">
        <v>9</v>
      </c>
      <c r="B987" s="679"/>
      <c r="C987" s="678"/>
      <c r="D987" s="35"/>
      <c r="E987" s="70">
        <v>13</v>
      </c>
      <c r="F987" s="678" t="s">
        <v>419</v>
      </c>
      <c r="G987" s="70" t="s">
        <v>1939</v>
      </c>
      <c r="H987" s="37"/>
      <c r="I987" s="38"/>
      <c r="J987" s="100">
        <v>100.6</v>
      </c>
      <c r="K987" s="26"/>
      <c r="L987" s="27"/>
      <c r="M987" s="135"/>
      <c r="N987" s="1104" t="s">
        <v>1940</v>
      </c>
      <c r="O987" s="1104" t="s">
        <v>1941</v>
      </c>
      <c r="P987" s="1106">
        <v>5</v>
      </c>
      <c r="Q987" s="678"/>
    </row>
    <row r="988" spans="1:17" ht="12.75" customHeight="1" x14ac:dyDescent="0.2">
      <c r="A988" s="678">
        <v>9</v>
      </c>
      <c r="B988" s="679"/>
      <c r="C988" s="678"/>
      <c r="D988" s="35"/>
      <c r="E988" s="70">
        <v>13</v>
      </c>
      <c r="F988" s="678" t="s">
        <v>419</v>
      </c>
      <c r="G988" s="318" t="s">
        <v>495</v>
      </c>
      <c r="H988" s="106">
        <f>SUM(H985+H986)</f>
        <v>86.7</v>
      </c>
      <c r="I988" s="106">
        <f>SUM(I985+I986)</f>
        <v>165.3</v>
      </c>
      <c r="J988" s="106">
        <f>SUM(J985+J986)</f>
        <v>159.6</v>
      </c>
      <c r="K988" s="106">
        <f>SUM(K985+K986)</f>
        <v>101.5</v>
      </c>
      <c r="L988" s="890">
        <f>SUM(L985+L986)</f>
        <v>101.9</v>
      </c>
      <c r="M988" s="135"/>
      <c r="N988" s="1053"/>
      <c r="O988" s="1018"/>
      <c r="P988" s="678"/>
      <c r="Q988" s="678"/>
    </row>
    <row r="989" spans="1:17" ht="12.75" customHeight="1" x14ac:dyDescent="0.2">
      <c r="A989" s="678">
        <v>9</v>
      </c>
      <c r="B989" s="679"/>
      <c r="C989" s="678" t="s">
        <v>1683</v>
      </c>
      <c r="D989" s="35" t="s">
        <v>420</v>
      </c>
      <c r="E989" s="70">
        <v>32</v>
      </c>
      <c r="F989" s="678" t="s">
        <v>421</v>
      </c>
      <c r="G989" s="56" t="s">
        <v>422</v>
      </c>
      <c r="H989" s="37">
        <v>6.7</v>
      </c>
      <c r="I989" s="38">
        <v>6.9</v>
      </c>
      <c r="J989" s="100">
        <v>7</v>
      </c>
      <c r="K989" s="26">
        <v>7</v>
      </c>
      <c r="L989" s="27">
        <v>7</v>
      </c>
      <c r="M989" s="135"/>
      <c r="N989" s="1208" t="s">
        <v>2063</v>
      </c>
      <c r="O989" s="1018" t="s">
        <v>1684</v>
      </c>
      <c r="P989" s="678">
        <v>100</v>
      </c>
      <c r="Q989" s="678"/>
    </row>
    <row r="990" spans="1:17" ht="12.75" customHeight="1" x14ac:dyDescent="0.2">
      <c r="A990" s="678">
        <v>9</v>
      </c>
      <c r="B990" s="679"/>
      <c r="C990" s="678" t="s">
        <v>1683</v>
      </c>
      <c r="D990" s="35" t="s">
        <v>420</v>
      </c>
      <c r="E990" s="70">
        <v>32</v>
      </c>
      <c r="F990" s="678" t="s">
        <v>421</v>
      </c>
      <c r="G990" s="56" t="s">
        <v>423</v>
      </c>
      <c r="H990" s="37">
        <v>6.7</v>
      </c>
      <c r="I990" s="38">
        <v>6.9</v>
      </c>
      <c r="J990" s="100">
        <v>7</v>
      </c>
      <c r="K990" s="26">
        <v>7</v>
      </c>
      <c r="L990" s="27">
        <v>7</v>
      </c>
      <c r="M990" s="135"/>
      <c r="N990" s="1208" t="s">
        <v>2063</v>
      </c>
      <c r="O990" s="1018" t="s">
        <v>1684</v>
      </c>
      <c r="P990" s="678"/>
      <c r="Q990" s="678"/>
    </row>
    <row r="991" spans="1:17" ht="12.75" customHeight="1" x14ac:dyDescent="0.2">
      <c r="A991" s="678">
        <v>9</v>
      </c>
      <c r="B991" s="679"/>
      <c r="C991" s="678" t="s">
        <v>1683</v>
      </c>
      <c r="D991" s="35" t="s">
        <v>420</v>
      </c>
      <c r="E991" s="70">
        <v>32</v>
      </c>
      <c r="F991" s="678" t="s">
        <v>421</v>
      </c>
      <c r="G991" s="80" t="s">
        <v>10</v>
      </c>
      <c r="H991" s="37">
        <v>104.9</v>
      </c>
      <c r="I991" s="38">
        <f>94.5+1.4</f>
        <v>95.9</v>
      </c>
      <c r="J991" s="100">
        <v>83.4</v>
      </c>
      <c r="K991" s="26">
        <v>87.6</v>
      </c>
      <c r="L991" s="27">
        <v>91.9</v>
      </c>
      <c r="M991" s="135"/>
      <c r="N991" s="1208" t="s">
        <v>2063</v>
      </c>
      <c r="O991" s="1018" t="s">
        <v>1684</v>
      </c>
      <c r="P991" s="678"/>
      <c r="Q991" s="678"/>
    </row>
    <row r="992" spans="1:17" ht="12.75" customHeight="1" x14ac:dyDescent="0.2">
      <c r="A992" s="678">
        <v>9</v>
      </c>
      <c r="B992" s="679"/>
      <c r="C992" s="678" t="s">
        <v>1683</v>
      </c>
      <c r="D992" s="35" t="s">
        <v>420</v>
      </c>
      <c r="E992" s="70">
        <v>32</v>
      </c>
      <c r="F992" s="678" t="s">
        <v>421</v>
      </c>
      <c r="G992" s="80" t="s">
        <v>8</v>
      </c>
      <c r="H992" s="37">
        <v>96.1</v>
      </c>
      <c r="I992" s="38">
        <v>127</v>
      </c>
      <c r="J992" s="100">
        <v>189.9</v>
      </c>
      <c r="K992" s="26">
        <v>200.5</v>
      </c>
      <c r="L992" s="27">
        <v>205.7</v>
      </c>
      <c r="M992" s="135"/>
      <c r="N992" s="1208" t="s">
        <v>2063</v>
      </c>
      <c r="O992" s="1018" t="s">
        <v>1684</v>
      </c>
      <c r="P992" s="678"/>
      <c r="Q992" s="678"/>
    </row>
    <row r="993" spans="1:17" ht="12.75" customHeight="1" x14ac:dyDescent="0.2">
      <c r="A993" s="678">
        <v>9</v>
      </c>
      <c r="B993" s="679"/>
      <c r="C993" s="678" t="s">
        <v>1683</v>
      </c>
      <c r="D993" s="35" t="s">
        <v>420</v>
      </c>
      <c r="E993" s="1089">
        <v>19</v>
      </c>
      <c r="F993" s="678" t="s">
        <v>424</v>
      </c>
      <c r="G993" s="67" t="s">
        <v>10</v>
      </c>
      <c r="H993" s="37">
        <v>12</v>
      </c>
      <c r="I993" s="38">
        <f>11.6-3</f>
        <v>8.6</v>
      </c>
      <c r="J993" s="100">
        <v>11.8</v>
      </c>
      <c r="K993" s="26">
        <v>11.8</v>
      </c>
      <c r="L993" s="27">
        <v>11.8</v>
      </c>
      <c r="M993" s="135"/>
      <c r="N993" s="1053" t="s">
        <v>1685</v>
      </c>
      <c r="O993" s="1018" t="s">
        <v>1686</v>
      </c>
      <c r="P993" s="678">
        <v>165</v>
      </c>
      <c r="Q993" s="678"/>
    </row>
    <row r="994" spans="1:17" ht="12.75" customHeight="1" x14ac:dyDescent="0.2">
      <c r="A994" s="678">
        <v>9</v>
      </c>
      <c r="B994" s="679"/>
      <c r="C994" s="678" t="s">
        <v>1683</v>
      </c>
      <c r="D994" s="35" t="s">
        <v>420</v>
      </c>
      <c r="E994" s="1089">
        <v>21</v>
      </c>
      <c r="F994" s="678" t="s">
        <v>425</v>
      </c>
      <c r="G994" s="80" t="s">
        <v>10</v>
      </c>
      <c r="H994" s="37">
        <v>20.7</v>
      </c>
      <c r="I994" s="38">
        <f>23.5-1.5</f>
        <v>22</v>
      </c>
      <c r="J994" s="100">
        <v>23.6</v>
      </c>
      <c r="K994" s="26">
        <v>23.6</v>
      </c>
      <c r="L994" s="27">
        <v>23.6</v>
      </c>
      <c r="M994" s="135"/>
      <c r="N994" s="1053" t="s">
        <v>1687</v>
      </c>
      <c r="O994" s="1018" t="s">
        <v>1686</v>
      </c>
      <c r="P994" s="678">
        <v>500</v>
      </c>
      <c r="Q994" s="678"/>
    </row>
    <row r="995" spans="1:17" ht="12.75" customHeight="1" x14ac:dyDescent="0.2">
      <c r="A995" s="678">
        <v>9</v>
      </c>
      <c r="B995" s="679"/>
      <c r="C995" s="678" t="s">
        <v>1683</v>
      </c>
      <c r="D995" s="35" t="s">
        <v>420</v>
      </c>
      <c r="E995" s="1089">
        <v>24</v>
      </c>
      <c r="F995" s="678" t="s">
        <v>426</v>
      </c>
      <c r="G995" s="80" t="s">
        <v>10</v>
      </c>
      <c r="H995" s="37">
        <v>20.6</v>
      </c>
      <c r="I995" s="38">
        <v>25.5</v>
      </c>
      <c r="J995" s="100">
        <v>25.8</v>
      </c>
      <c r="K995" s="26">
        <v>25.8</v>
      </c>
      <c r="L995" s="27">
        <v>25.8</v>
      </c>
      <c r="M995" s="135"/>
      <c r="N995" s="1053" t="s">
        <v>1688</v>
      </c>
      <c r="O995" s="1018" t="s">
        <v>1686</v>
      </c>
      <c r="P995" s="678">
        <v>395</v>
      </c>
      <c r="Q995" s="678"/>
    </row>
    <row r="996" spans="1:17" ht="12.75" customHeight="1" x14ac:dyDescent="0.2">
      <c r="A996" s="678">
        <v>9</v>
      </c>
      <c r="B996" s="679"/>
      <c r="C996" s="678" t="s">
        <v>1683</v>
      </c>
      <c r="D996" s="35" t="s">
        <v>420</v>
      </c>
      <c r="E996" s="1089">
        <v>26</v>
      </c>
      <c r="F996" s="678" t="s">
        <v>427</v>
      </c>
      <c r="G996" s="80" t="s">
        <v>10</v>
      </c>
      <c r="H996" s="37">
        <v>19</v>
      </c>
      <c r="I996" s="38">
        <f>21.4+1</f>
        <v>22.4</v>
      </c>
      <c r="J996" s="100">
        <v>23.6</v>
      </c>
      <c r="K996" s="26">
        <v>23.6</v>
      </c>
      <c r="L996" s="27">
        <v>23.6</v>
      </c>
      <c r="M996" s="135"/>
      <c r="N996" s="1053" t="s">
        <v>1689</v>
      </c>
      <c r="O996" s="1018" t="s">
        <v>1690</v>
      </c>
      <c r="P996" s="678">
        <v>297</v>
      </c>
      <c r="Q996" s="678"/>
    </row>
    <row r="997" spans="1:17" ht="12.75" customHeight="1" x14ac:dyDescent="0.2">
      <c r="A997" s="678">
        <v>9</v>
      </c>
      <c r="B997" s="679"/>
      <c r="C997" s="678" t="s">
        <v>1683</v>
      </c>
      <c r="D997" s="35" t="s">
        <v>420</v>
      </c>
      <c r="E997" s="1089">
        <v>27</v>
      </c>
      <c r="F997" s="678" t="s">
        <v>428</v>
      </c>
      <c r="G997" s="80" t="s">
        <v>10</v>
      </c>
      <c r="H997" s="37">
        <v>16.5</v>
      </c>
      <c r="I997" s="38">
        <f>17.8+4.1</f>
        <v>21.9</v>
      </c>
      <c r="J997" s="100">
        <v>23.9</v>
      </c>
      <c r="K997" s="26">
        <v>23.9</v>
      </c>
      <c r="L997" s="27">
        <v>23.9</v>
      </c>
      <c r="M997" s="135"/>
      <c r="N997" s="1053" t="s">
        <v>1691</v>
      </c>
      <c r="O997" s="1018" t="s">
        <v>1692</v>
      </c>
      <c r="P997" s="678">
        <v>400</v>
      </c>
      <c r="Q997" s="678"/>
    </row>
    <row r="998" spans="1:17" ht="12.75" customHeight="1" x14ac:dyDescent="0.2">
      <c r="A998" s="678">
        <v>9</v>
      </c>
      <c r="B998" s="679"/>
      <c r="C998" s="678" t="s">
        <v>1683</v>
      </c>
      <c r="D998" s="35" t="s">
        <v>420</v>
      </c>
      <c r="E998" s="1089">
        <v>28</v>
      </c>
      <c r="F998" s="678" t="s">
        <v>429</v>
      </c>
      <c r="G998" s="80" t="s">
        <v>10</v>
      </c>
      <c r="H998" s="37">
        <v>20.6</v>
      </c>
      <c r="I998" s="38">
        <f>22.1-1</f>
        <v>21.1</v>
      </c>
      <c r="J998" s="100">
        <v>23.6</v>
      </c>
      <c r="K998" s="26">
        <v>23.6</v>
      </c>
      <c r="L998" s="27">
        <v>23.6</v>
      </c>
      <c r="M998" s="135"/>
      <c r="N998" s="1053" t="s">
        <v>1693</v>
      </c>
      <c r="O998" s="1018" t="s">
        <v>1694</v>
      </c>
      <c r="P998" s="678">
        <v>560</v>
      </c>
      <c r="Q998" s="678"/>
    </row>
    <row r="999" spans="1:17" ht="12.75" customHeight="1" x14ac:dyDescent="0.2">
      <c r="A999" s="678">
        <v>9</v>
      </c>
      <c r="B999" s="679"/>
      <c r="C999" s="678" t="s">
        <v>1683</v>
      </c>
      <c r="D999" s="35" t="s">
        <v>420</v>
      </c>
      <c r="E999" s="1089">
        <v>29</v>
      </c>
      <c r="F999" s="678" t="s">
        <v>430</v>
      </c>
      <c r="G999" s="80" t="s">
        <v>10</v>
      </c>
      <c r="H999" s="37">
        <v>21</v>
      </c>
      <c r="I999" s="38">
        <f>23.1-1</f>
        <v>22.1</v>
      </c>
      <c r="J999" s="100">
        <v>23.6</v>
      </c>
      <c r="K999" s="26">
        <v>23.6</v>
      </c>
      <c r="L999" s="27">
        <v>23.6</v>
      </c>
      <c r="M999" s="135"/>
      <c r="N999" s="1053" t="s">
        <v>1695</v>
      </c>
      <c r="O999" s="1018" t="s">
        <v>1686</v>
      </c>
      <c r="P999" s="678">
        <v>594</v>
      </c>
      <c r="Q999" s="678"/>
    </row>
    <row r="1000" spans="1:17" x14ac:dyDescent="0.2">
      <c r="A1000" s="678">
        <v>9</v>
      </c>
      <c r="B1000" s="679"/>
      <c r="C1000" s="678"/>
      <c r="D1000" s="35"/>
      <c r="E1000" s="64"/>
      <c r="F1000" s="678"/>
      <c r="G1000" s="318" t="s">
        <v>495</v>
      </c>
      <c r="H1000" s="106">
        <f>SUM(H989:H999)</f>
        <v>344.8</v>
      </c>
      <c r="I1000" s="106">
        <f>SUM(I989:I999)</f>
        <v>380.29999999999995</v>
      </c>
      <c r="J1000" s="106">
        <f>SUM(J989:J999)</f>
        <v>443.2000000000001</v>
      </c>
      <c r="K1000" s="106">
        <f>SUM(K989:K999)</f>
        <v>458.00000000000011</v>
      </c>
      <c r="L1000" s="890">
        <f>SUM(L989:L999)</f>
        <v>467.50000000000011</v>
      </c>
      <c r="M1000" s="135"/>
      <c r="N1000" s="1053"/>
      <c r="O1000" s="1018"/>
      <c r="P1000" s="678"/>
      <c r="Q1000" s="678"/>
    </row>
    <row r="1001" spans="1:17" ht="12.75" customHeight="1" x14ac:dyDescent="0.2">
      <c r="A1001" s="678">
        <v>9</v>
      </c>
      <c r="B1001" s="679"/>
      <c r="C1001" s="678" t="s">
        <v>1696</v>
      </c>
      <c r="D1001" s="35" t="s">
        <v>431</v>
      </c>
      <c r="E1001" s="64">
        <v>7</v>
      </c>
      <c r="F1001" s="678" t="s">
        <v>432</v>
      </c>
      <c r="G1001" s="56" t="s">
        <v>8</v>
      </c>
      <c r="H1001" s="37">
        <v>389.5</v>
      </c>
      <c r="I1001" s="38">
        <v>709.6</v>
      </c>
      <c r="J1001" s="100">
        <v>842</v>
      </c>
      <c r="K1001" s="15">
        <v>873.2</v>
      </c>
      <c r="L1001" s="34">
        <v>863.9</v>
      </c>
      <c r="M1001" s="135"/>
      <c r="N1001" s="1053" t="s">
        <v>1697</v>
      </c>
      <c r="O1001" s="1018" t="s">
        <v>1083</v>
      </c>
      <c r="P1001" s="678">
        <v>100</v>
      </c>
      <c r="Q1001" s="678"/>
    </row>
    <row r="1002" spans="1:17" ht="12.75" customHeight="1" x14ac:dyDescent="0.2">
      <c r="A1002" s="678">
        <v>9</v>
      </c>
      <c r="B1002" s="679"/>
      <c r="C1002" s="678"/>
      <c r="D1002" s="35"/>
      <c r="E1002" s="64">
        <v>7</v>
      </c>
      <c r="F1002" s="678" t="s">
        <v>432</v>
      </c>
      <c r="G1002" s="80" t="s">
        <v>169</v>
      </c>
      <c r="H1002" s="37">
        <v>126.7</v>
      </c>
      <c r="I1002" s="38">
        <v>134</v>
      </c>
      <c r="J1002" s="352"/>
      <c r="K1002" s="6"/>
      <c r="L1002" s="25"/>
      <c r="M1002" s="135"/>
      <c r="N1002" s="1053" t="s">
        <v>1697</v>
      </c>
      <c r="O1002" s="1018" t="s">
        <v>1083</v>
      </c>
      <c r="P1002" s="678"/>
      <c r="Q1002" s="678"/>
    </row>
    <row r="1003" spans="1:17" ht="12.75" customHeight="1" x14ac:dyDescent="0.2">
      <c r="A1003" s="678">
        <v>9</v>
      </c>
      <c r="B1003" s="679"/>
      <c r="C1003" s="678"/>
      <c r="D1003" s="35"/>
      <c r="E1003" s="64">
        <v>7</v>
      </c>
      <c r="F1003" s="678" t="s">
        <v>432</v>
      </c>
      <c r="G1003" s="80" t="s">
        <v>169</v>
      </c>
      <c r="H1003" s="37">
        <v>16.5</v>
      </c>
      <c r="I1003" s="38">
        <f>16.5+7.7</f>
        <v>24.2</v>
      </c>
      <c r="J1003" s="352"/>
      <c r="K1003" s="6"/>
      <c r="L1003" s="25"/>
      <c r="M1003" s="135"/>
      <c r="N1003" s="1053" t="s">
        <v>1697</v>
      </c>
      <c r="O1003" s="1018" t="s">
        <v>1083</v>
      </c>
      <c r="P1003" s="678"/>
      <c r="Q1003" s="678"/>
    </row>
    <row r="1004" spans="1:17" ht="12.75" customHeight="1" x14ac:dyDescent="0.2">
      <c r="A1004" s="678">
        <v>9</v>
      </c>
      <c r="B1004" s="679"/>
      <c r="C1004" s="678"/>
      <c r="D1004" s="35"/>
      <c r="E1004" s="64">
        <v>7</v>
      </c>
      <c r="F1004" s="678" t="s">
        <v>432</v>
      </c>
      <c r="G1004" s="80" t="s">
        <v>10</v>
      </c>
      <c r="H1004" s="37"/>
      <c r="I1004" s="38"/>
      <c r="J1004" s="322"/>
      <c r="K1004" s="6"/>
      <c r="L1004" s="25"/>
      <c r="M1004" s="135"/>
      <c r="N1004" s="1053" t="s">
        <v>1697</v>
      </c>
      <c r="O1004" s="1018" t="s">
        <v>1083</v>
      </c>
      <c r="P1004" s="678"/>
      <c r="Q1004" s="678"/>
    </row>
    <row r="1005" spans="1:17" ht="12.75" customHeight="1" x14ac:dyDescent="0.2">
      <c r="A1005" s="678">
        <v>9</v>
      </c>
      <c r="B1005" s="679"/>
      <c r="C1005" s="678"/>
      <c r="D1005" s="687" t="s">
        <v>1698</v>
      </c>
      <c r="E1005" s="64">
        <v>7</v>
      </c>
      <c r="F1005" s="678" t="s">
        <v>432</v>
      </c>
      <c r="G1005" s="56" t="s">
        <v>10</v>
      </c>
      <c r="H1005" s="37">
        <v>8</v>
      </c>
      <c r="I1005" s="38">
        <v>9.4</v>
      </c>
      <c r="J1005" s="322">
        <v>11.1</v>
      </c>
      <c r="K1005" s="6">
        <v>11.1</v>
      </c>
      <c r="L1005" s="25">
        <v>11.1</v>
      </c>
      <c r="M1005" s="135"/>
      <c r="N1005" s="1053" t="s">
        <v>1697</v>
      </c>
      <c r="O1005" s="1018" t="s">
        <v>1083</v>
      </c>
      <c r="P1005" s="678"/>
      <c r="Q1005" s="678"/>
    </row>
    <row r="1006" spans="1:17" ht="12.75" customHeight="1" x14ac:dyDescent="0.2">
      <c r="A1006" s="678">
        <v>9</v>
      </c>
      <c r="B1006" s="679"/>
      <c r="C1006" s="678"/>
      <c r="D1006" s="687" t="s">
        <v>1699</v>
      </c>
      <c r="E1006" s="64">
        <v>7</v>
      </c>
      <c r="F1006" s="678" t="s">
        <v>432</v>
      </c>
      <c r="G1006" s="56" t="s">
        <v>10</v>
      </c>
      <c r="H1006" s="37">
        <v>47.7</v>
      </c>
      <c r="I1006" s="38">
        <v>61.8</v>
      </c>
      <c r="J1006" s="322">
        <v>63.7</v>
      </c>
      <c r="K1006" s="6">
        <v>63.7</v>
      </c>
      <c r="L1006" s="25">
        <v>63.7</v>
      </c>
      <c r="M1006" s="135"/>
      <c r="N1006" s="1053" t="s">
        <v>1697</v>
      </c>
      <c r="O1006" s="1018" t="s">
        <v>1083</v>
      </c>
      <c r="P1006" s="678"/>
      <c r="Q1006" s="678"/>
    </row>
    <row r="1007" spans="1:17" ht="12.75" customHeight="1" x14ac:dyDescent="0.2">
      <c r="A1007" s="678">
        <v>9</v>
      </c>
      <c r="B1007" s="679"/>
      <c r="C1007" s="678"/>
      <c r="D1007" s="687" t="s">
        <v>1700</v>
      </c>
      <c r="E1007" s="64">
        <v>7</v>
      </c>
      <c r="F1007" s="678" t="s">
        <v>432</v>
      </c>
      <c r="G1007" s="56" t="s">
        <v>10</v>
      </c>
      <c r="H1007" s="37">
        <v>37.6</v>
      </c>
      <c r="I1007" s="38">
        <v>41.5</v>
      </c>
      <c r="J1007" s="322">
        <v>47</v>
      </c>
      <c r="K1007" s="6">
        <v>47</v>
      </c>
      <c r="L1007" s="25">
        <v>47</v>
      </c>
      <c r="M1007" s="135"/>
      <c r="N1007" s="1053" t="s">
        <v>1697</v>
      </c>
      <c r="O1007" s="1018" t="s">
        <v>1083</v>
      </c>
      <c r="P1007" s="678"/>
      <c r="Q1007" s="678"/>
    </row>
    <row r="1008" spans="1:17" ht="12.75" customHeight="1" x14ac:dyDescent="0.2">
      <c r="A1008" s="678">
        <v>9</v>
      </c>
      <c r="B1008" s="679"/>
      <c r="C1008" s="678"/>
      <c r="D1008" s="35"/>
      <c r="E1008" s="64">
        <v>7</v>
      </c>
      <c r="F1008" s="678" t="s">
        <v>432</v>
      </c>
      <c r="G1008" s="64" t="s">
        <v>604</v>
      </c>
      <c r="H1008" s="37">
        <v>1.2</v>
      </c>
      <c r="I1008" s="38"/>
      <c r="J1008" s="352">
        <f>0.4+0.4</f>
        <v>0.8</v>
      </c>
      <c r="K1008" s="6"/>
      <c r="L1008" s="25"/>
      <c r="M1008" s="135"/>
      <c r="N1008" s="1053" t="s">
        <v>1697</v>
      </c>
      <c r="O1008" s="1018" t="s">
        <v>1083</v>
      </c>
      <c r="P1008" s="678"/>
      <c r="Q1008" s="678"/>
    </row>
    <row r="1009" spans="1:17" ht="12.75" customHeight="1" x14ac:dyDescent="0.2">
      <c r="A1009" s="678">
        <v>9</v>
      </c>
      <c r="B1009" s="679"/>
      <c r="C1009" s="678"/>
      <c r="D1009" s="35"/>
      <c r="E1009" s="64">
        <v>7</v>
      </c>
      <c r="F1009" s="678" t="s">
        <v>432</v>
      </c>
      <c r="G1009" s="64" t="s">
        <v>621</v>
      </c>
      <c r="H1009" s="37"/>
      <c r="I1009" s="38">
        <v>0.3</v>
      </c>
      <c r="J1009" s="100">
        <f>0.1</f>
        <v>0.1</v>
      </c>
      <c r="K1009" s="6"/>
      <c r="L1009" s="25"/>
      <c r="M1009" s="135"/>
      <c r="N1009" s="1053" t="s">
        <v>1697</v>
      </c>
      <c r="O1009" s="1018" t="s">
        <v>1083</v>
      </c>
      <c r="P1009" s="678"/>
      <c r="Q1009" s="678"/>
    </row>
    <row r="1010" spans="1:17" x14ac:dyDescent="0.2">
      <c r="A1010" s="678">
        <v>9</v>
      </c>
      <c r="B1010" s="679"/>
      <c r="C1010" s="678"/>
      <c r="D1010" s="35"/>
      <c r="E1010" s="64">
        <v>7</v>
      </c>
      <c r="F1010" s="678" t="s">
        <v>432</v>
      </c>
      <c r="G1010" s="318" t="s">
        <v>495</v>
      </c>
      <c r="H1010" s="106">
        <f>SUM(H1001:H1008)</f>
        <v>627.20000000000016</v>
      </c>
      <c r="I1010" s="106">
        <f>SUM(I1001:I1009)</f>
        <v>980.8</v>
      </c>
      <c r="J1010" s="106">
        <f t="shared" ref="J1010:L1010" si="129">SUM(J1001:J1009)</f>
        <v>964.7</v>
      </c>
      <c r="K1010" s="106">
        <f t="shared" si="129"/>
        <v>995.00000000000011</v>
      </c>
      <c r="L1010" s="890">
        <f t="shared" si="129"/>
        <v>985.7</v>
      </c>
      <c r="M1010" s="135"/>
      <c r="N1010" s="1053"/>
      <c r="O1010" s="1018"/>
      <c r="P1010" s="678"/>
      <c r="Q1010" s="678"/>
    </row>
    <row r="1011" spans="1:17" ht="22.5" x14ac:dyDescent="0.2">
      <c r="A1011" s="678">
        <v>9</v>
      </c>
      <c r="B1011" s="679"/>
      <c r="C1011" s="678" t="s">
        <v>1701</v>
      </c>
      <c r="D1011" s="35" t="s">
        <v>437</v>
      </c>
      <c r="E1011" s="64">
        <v>6</v>
      </c>
      <c r="F1011" s="678" t="s">
        <v>438</v>
      </c>
      <c r="G1011" s="56" t="s">
        <v>10</v>
      </c>
      <c r="H1011" s="37">
        <v>0.6</v>
      </c>
      <c r="I1011" s="6">
        <v>0.7</v>
      </c>
      <c r="J1011" s="100">
        <v>0.7</v>
      </c>
      <c r="K1011" s="26">
        <v>0.7</v>
      </c>
      <c r="L1011" s="27">
        <v>0.7</v>
      </c>
      <c r="M1011" s="135"/>
      <c r="N1011" s="1053" t="s">
        <v>1702</v>
      </c>
      <c r="O1011" s="1018" t="s">
        <v>1665</v>
      </c>
      <c r="P1011" s="678">
        <v>1</v>
      </c>
      <c r="Q1011" s="678"/>
    </row>
    <row r="1012" spans="1:17" ht="12.75" customHeight="1" x14ac:dyDescent="0.2">
      <c r="A1012" s="678">
        <v>9</v>
      </c>
      <c r="B1012" s="679"/>
      <c r="C1012" s="678"/>
      <c r="D1012" s="35"/>
      <c r="E1012" s="64">
        <v>6</v>
      </c>
      <c r="F1012" s="678" t="s">
        <v>438</v>
      </c>
      <c r="G1012" s="318" t="s">
        <v>495</v>
      </c>
      <c r="H1012" s="106">
        <f>SUM(H1011)</f>
        <v>0.6</v>
      </c>
      <c r="I1012" s="106">
        <f>SUM(I1011)</f>
        <v>0.7</v>
      </c>
      <c r="J1012" s="106">
        <f>SUM(J1011)</f>
        <v>0.7</v>
      </c>
      <c r="K1012" s="106">
        <f>SUM(K1011)</f>
        <v>0.7</v>
      </c>
      <c r="L1012" s="890">
        <f>SUM(L1011)</f>
        <v>0.7</v>
      </c>
      <c r="M1012" s="135"/>
      <c r="N1012" s="1053"/>
      <c r="O1012" s="1018"/>
      <c r="P1012" s="678"/>
      <c r="Q1012" s="678"/>
    </row>
    <row r="1013" spans="1:17" ht="12.75" customHeight="1" x14ac:dyDescent="0.2">
      <c r="A1013" s="678">
        <v>9</v>
      </c>
      <c r="B1013" s="679"/>
      <c r="C1013" s="678" t="s">
        <v>1703</v>
      </c>
      <c r="D1013" s="35" t="s">
        <v>1704</v>
      </c>
      <c r="E1013" s="1089" t="s">
        <v>304</v>
      </c>
      <c r="F1013" s="678" t="s">
        <v>439</v>
      </c>
      <c r="G1013" s="43" t="s">
        <v>10</v>
      </c>
      <c r="H1013" s="37">
        <v>0.2</v>
      </c>
      <c r="I1013" s="38">
        <v>0.2</v>
      </c>
      <c r="J1013" s="100">
        <v>0.2</v>
      </c>
      <c r="K1013" s="26">
        <v>0.2</v>
      </c>
      <c r="L1013" s="27">
        <v>0.2</v>
      </c>
      <c r="M1013" s="135"/>
      <c r="N1013" s="1053" t="s">
        <v>1705</v>
      </c>
      <c r="O1013" s="1018" t="s">
        <v>1665</v>
      </c>
      <c r="P1013" s="678">
        <v>1</v>
      </c>
      <c r="Q1013" s="678"/>
    </row>
    <row r="1014" spans="1:17" ht="12.75" customHeight="1" x14ac:dyDescent="0.2">
      <c r="A1014" s="678">
        <v>9</v>
      </c>
      <c r="B1014" s="679"/>
      <c r="C1014" s="678" t="s">
        <v>1703</v>
      </c>
      <c r="D1014" s="35" t="s">
        <v>1704</v>
      </c>
      <c r="E1014" s="1089" t="s">
        <v>433</v>
      </c>
      <c r="F1014" s="678" t="s">
        <v>440</v>
      </c>
      <c r="G1014" s="43" t="s">
        <v>10</v>
      </c>
      <c r="H1014" s="37">
        <v>1</v>
      </c>
      <c r="I1014" s="38">
        <v>1.1000000000000001</v>
      </c>
      <c r="J1014" s="100">
        <v>2</v>
      </c>
      <c r="K1014" s="26">
        <v>2</v>
      </c>
      <c r="L1014" s="27">
        <v>2</v>
      </c>
      <c r="M1014" s="135"/>
      <c r="N1014" s="1056" t="s">
        <v>1706</v>
      </c>
      <c r="O1014" s="1018" t="s">
        <v>1665</v>
      </c>
      <c r="P1014" s="678">
        <v>1</v>
      </c>
      <c r="Q1014" s="678"/>
    </row>
    <row r="1015" spans="1:17" ht="12.75" customHeight="1" x14ac:dyDescent="0.2">
      <c r="A1015" s="678">
        <v>9</v>
      </c>
      <c r="B1015" s="679"/>
      <c r="C1015" s="678" t="s">
        <v>1703</v>
      </c>
      <c r="D1015" s="35" t="s">
        <v>1704</v>
      </c>
      <c r="E1015" s="1089" t="s">
        <v>305</v>
      </c>
      <c r="F1015" s="678" t="s">
        <v>441</v>
      </c>
      <c r="G1015" s="43" t="s">
        <v>10</v>
      </c>
      <c r="H1015" s="37">
        <v>0.2</v>
      </c>
      <c r="I1015" s="38">
        <v>0.3</v>
      </c>
      <c r="J1015" s="100">
        <v>0.1</v>
      </c>
      <c r="K1015" s="26">
        <v>0.1</v>
      </c>
      <c r="L1015" s="27">
        <v>0.1</v>
      </c>
      <c r="M1015" s="135"/>
      <c r="N1015" s="1057" t="s">
        <v>1864</v>
      </c>
      <c r="O1015" s="1018" t="s">
        <v>1665</v>
      </c>
      <c r="P1015" s="678">
        <v>1</v>
      </c>
      <c r="Q1015" s="678"/>
    </row>
    <row r="1016" spans="1:17" ht="12.75" customHeight="1" x14ac:dyDescent="0.2">
      <c r="A1016" s="678">
        <v>9</v>
      </c>
      <c r="B1016" s="679"/>
      <c r="C1016" s="678" t="s">
        <v>1703</v>
      </c>
      <c r="D1016" s="35" t="s">
        <v>1704</v>
      </c>
      <c r="E1016" s="1089" t="s">
        <v>307</v>
      </c>
      <c r="F1016" s="678" t="s">
        <v>442</v>
      </c>
      <c r="G1016" s="43" t="s">
        <v>8</v>
      </c>
      <c r="H1016" s="37">
        <v>21.4</v>
      </c>
      <c r="I1016" s="38">
        <v>22.2</v>
      </c>
      <c r="J1016" s="100">
        <v>24.3</v>
      </c>
      <c r="K1016" s="26">
        <v>25.5</v>
      </c>
      <c r="L1016" s="27">
        <v>26</v>
      </c>
      <c r="M1016" s="135"/>
      <c r="N1016" s="1056" t="s">
        <v>1707</v>
      </c>
      <c r="O1016" s="1018" t="s">
        <v>1665</v>
      </c>
      <c r="P1016" s="678">
        <v>1</v>
      </c>
      <c r="Q1016" s="678"/>
    </row>
    <row r="1017" spans="1:17" ht="12.75" customHeight="1" x14ac:dyDescent="0.2">
      <c r="A1017" s="678">
        <v>9</v>
      </c>
      <c r="B1017" s="679"/>
      <c r="C1017" s="678" t="s">
        <v>1703</v>
      </c>
      <c r="D1017" s="35" t="s">
        <v>1704</v>
      </c>
      <c r="E1017" s="1089" t="s">
        <v>434</v>
      </c>
      <c r="F1017" s="678" t="s">
        <v>443</v>
      </c>
      <c r="G1017" s="43" t="s">
        <v>10</v>
      </c>
      <c r="H1017" s="37">
        <v>0.2</v>
      </c>
      <c r="I1017" s="38">
        <v>0.2</v>
      </c>
      <c r="J1017" s="100">
        <v>0.1</v>
      </c>
      <c r="K1017" s="26">
        <v>0.1</v>
      </c>
      <c r="L1017" s="27">
        <v>0.1</v>
      </c>
      <c r="M1017" s="135"/>
      <c r="N1017" s="1058" t="s">
        <v>1708</v>
      </c>
      <c r="O1017" s="1018" t="s">
        <v>1665</v>
      </c>
      <c r="P1017" s="678">
        <v>1</v>
      </c>
      <c r="Q1017" s="678"/>
    </row>
    <row r="1018" spans="1:17" ht="21.75" customHeight="1" x14ac:dyDescent="0.2">
      <c r="A1018" s="678">
        <v>9</v>
      </c>
      <c r="B1018" s="679"/>
      <c r="C1018" s="678" t="s">
        <v>1703</v>
      </c>
      <c r="D1018" s="35" t="s">
        <v>1704</v>
      </c>
      <c r="E1018" s="1089" t="s">
        <v>435</v>
      </c>
      <c r="F1018" s="678" t="s">
        <v>444</v>
      </c>
      <c r="G1018" s="43" t="s">
        <v>10</v>
      </c>
      <c r="H1018" s="37">
        <v>1.1000000000000001</v>
      </c>
      <c r="I1018" s="38">
        <v>1.1000000000000001</v>
      </c>
      <c r="J1018" s="100">
        <v>2</v>
      </c>
      <c r="K1018" s="26">
        <v>2</v>
      </c>
      <c r="L1018" s="27">
        <v>2</v>
      </c>
      <c r="M1018" s="135"/>
      <c r="N1018" s="1059" t="s">
        <v>1709</v>
      </c>
      <c r="O1018" s="1018" t="s">
        <v>1665</v>
      </c>
      <c r="P1018" s="678">
        <v>1</v>
      </c>
      <c r="Q1018" s="678"/>
    </row>
    <row r="1019" spans="1:17" ht="12.75" customHeight="1" x14ac:dyDescent="0.2">
      <c r="A1019" s="678">
        <v>9</v>
      </c>
      <c r="B1019" s="679"/>
      <c r="C1019" s="678" t="s">
        <v>1703</v>
      </c>
      <c r="D1019" s="35" t="s">
        <v>1704</v>
      </c>
      <c r="E1019" s="1089" t="s">
        <v>310</v>
      </c>
      <c r="F1019" s="678" t="s">
        <v>445</v>
      </c>
      <c r="G1019" s="43" t="s">
        <v>8</v>
      </c>
      <c r="H1019" s="37">
        <v>10</v>
      </c>
      <c r="I1019" s="38">
        <v>11.8</v>
      </c>
      <c r="J1019" s="100">
        <v>11.8</v>
      </c>
      <c r="K1019" s="26">
        <v>12.4</v>
      </c>
      <c r="L1019" s="27">
        <v>12.6</v>
      </c>
      <c r="M1019" s="135"/>
      <c r="N1019" s="1053" t="s">
        <v>1710</v>
      </c>
      <c r="O1019" s="1018" t="s">
        <v>1665</v>
      </c>
      <c r="P1019" s="678">
        <v>1</v>
      </c>
      <c r="Q1019" s="678"/>
    </row>
    <row r="1020" spans="1:17" ht="12.75" customHeight="1" x14ac:dyDescent="0.2">
      <c r="A1020" s="678">
        <v>9</v>
      </c>
      <c r="B1020" s="679"/>
      <c r="C1020" s="678" t="s">
        <v>1703</v>
      </c>
      <c r="D1020" s="35" t="s">
        <v>1704</v>
      </c>
      <c r="E1020" s="1089" t="s">
        <v>436</v>
      </c>
      <c r="F1020" s="678" t="s">
        <v>446</v>
      </c>
      <c r="G1020" s="43" t="s">
        <v>10</v>
      </c>
      <c r="H1020" s="37">
        <v>2.7</v>
      </c>
      <c r="I1020" s="38">
        <v>2.8</v>
      </c>
      <c r="J1020" s="100">
        <v>2</v>
      </c>
      <c r="K1020" s="26">
        <v>2</v>
      </c>
      <c r="L1020" s="27">
        <v>2</v>
      </c>
      <c r="M1020" s="135"/>
      <c r="N1020" s="1060" t="s">
        <v>1711</v>
      </c>
      <c r="O1020" s="1018" t="s">
        <v>1665</v>
      </c>
      <c r="P1020" s="678">
        <v>1</v>
      </c>
      <c r="Q1020" s="678"/>
    </row>
    <row r="1021" spans="1:17" ht="12.75" customHeight="1" x14ac:dyDescent="0.2">
      <c r="A1021" s="678">
        <v>9</v>
      </c>
      <c r="B1021" s="679"/>
      <c r="C1021" s="678" t="s">
        <v>1703</v>
      </c>
      <c r="D1021" s="35" t="s">
        <v>1704</v>
      </c>
      <c r="E1021" s="1089" t="s">
        <v>312</v>
      </c>
      <c r="F1021" s="678" t="s">
        <v>447</v>
      </c>
      <c r="G1021" s="43" t="s">
        <v>10</v>
      </c>
      <c r="H1021" s="37">
        <v>0.3</v>
      </c>
      <c r="I1021" s="38">
        <v>0.4</v>
      </c>
      <c r="J1021" s="100">
        <v>0.3</v>
      </c>
      <c r="K1021" s="26">
        <v>0.3</v>
      </c>
      <c r="L1021" s="27">
        <v>0.3</v>
      </c>
      <c r="M1021" s="135"/>
      <c r="N1021" s="837" t="s">
        <v>1712</v>
      </c>
      <c r="O1021" s="1018" t="s">
        <v>1665</v>
      </c>
      <c r="P1021" s="678">
        <v>1</v>
      </c>
      <c r="Q1021" s="678"/>
    </row>
    <row r="1022" spans="1:17" x14ac:dyDescent="0.2">
      <c r="A1022" s="678">
        <v>9</v>
      </c>
      <c r="B1022" s="679"/>
      <c r="C1022" s="678" t="s">
        <v>1703</v>
      </c>
      <c r="D1022" s="35" t="s">
        <v>1704</v>
      </c>
      <c r="E1022" s="1089" t="s">
        <v>314</v>
      </c>
      <c r="F1022" s="678" t="s">
        <v>448</v>
      </c>
      <c r="G1022" s="43" t="s">
        <v>10</v>
      </c>
      <c r="H1022" s="37">
        <v>1.1000000000000001</v>
      </c>
      <c r="I1022" s="38">
        <v>1.1000000000000001</v>
      </c>
      <c r="J1022" s="100">
        <v>0.8</v>
      </c>
      <c r="K1022" s="26">
        <v>0.8</v>
      </c>
      <c r="L1022" s="27">
        <v>0.8</v>
      </c>
      <c r="M1022" s="135"/>
      <c r="N1022" s="1061" t="s">
        <v>1713</v>
      </c>
      <c r="O1022" s="1018" t="s">
        <v>1665</v>
      </c>
      <c r="P1022" s="678">
        <v>1</v>
      </c>
      <c r="Q1022" s="678"/>
    </row>
    <row r="1023" spans="1:17" x14ac:dyDescent="0.2">
      <c r="A1023" s="678">
        <v>9</v>
      </c>
      <c r="B1023" s="679"/>
      <c r="C1023" s="678"/>
      <c r="D1023" s="35"/>
      <c r="E1023" s="64"/>
      <c r="F1023" s="678"/>
      <c r="G1023" s="319" t="s">
        <v>1600</v>
      </c>
      <c r="H1023" s="217">
        <f>SUM(H1016+H1019)</f>
        <v>31.4</v>
      </c>
      <c r="I1023" s="115">
        <f>SUM(I1016+I1019)</f>
        <v>34</v>
      </c>
      <c r="J1023" s="217">
        <f>SUM(J1016+J1019)</f>
        <v>36.1</v>
      </c>
      <c r="K1023" s="217">
        <f>SUM(K1016+K1019)</f>
        <v>37.9</v>
      </c>
      <c r="L1023" s="841">
        <f>SUM(L1016+L1019)</f>
        <v>38.6</v>
      </c>
      <c r="M1023" s="135"/>
      <c r="N1023" s="1053"/>
      <c r="O1023" s="1018"/>
      <c r="P1023" s="678"/>
      <c r="Q1023" s="678"/>
    </row>
    <row r="1024" spans="1:17" ht="12.75" customHeight="1" x14ac:dyDescent="0.2">
      <c r="A1024" s="678">
        <v>9</v>
      </c>
      <c r="B1024" s="679"/>
      <c r="C1024" s="678"/>
      <c r="D1024" s="35"/>
      <c r="E1024" s="64"/>
      <c r="F1024" s="678"/>
      <c r="G1024" s="319" t="s">
        <v>1601</v>
      </c>
      <c r="H1024" s="217">
        <f>SUM(H1013+H1014+H1015+H1017+H1018+H1020+H1021+H1022)</f>
        <v>6.8000000000000007</v>
      </c>
      <c r="I1024" s="115">
        <f>SUM(I1013+I1014+I1015+I1017+I1018+I1020+I1021+I1022)</f>
        <v>7.2000000000000011</v>
      </c>
      <c r="J1024" s="217">
        <f>SUM(J1013+J1014+J1015+J1017+J1018+J1020+J1021+J1022)</f>
        <v>7.5</v>
      </c>
      <c r="K1024" s="217">
        <f>SUM(K1013+K1014+K1015+K1017+K1018+K1020+K1021+K1022)</f>
        <v>7.5</v>
      </c>
      <c r="L1024" s="841">
        <f>SUM(L1013+L1014+L1015+L1017+L1018+L1020+L1021+L1022)</f>
        <v>7.5</v>
      </c>
      <c r="M1024" s="135"/>
      <c r="N1024" s="1053"/>
      <c r="O1024" s="1018"/>
      <c r="P1024" s="678"/>
      <c r="Q1024" s="678"/>
    </row>
    <row r="1025" spans="1:17" ht="12.75" customHeight="1" x14ac:dyDescent="0.2">
      <c r="A1025" s="678">
        <v>9</v>
      </c>
      <c r="B1025" s="679"/>
      <c r="C1025" s="678"/>
      <c r="D1025" s="35"/>
      <c r="E1025" s="64"/>
      <c r="F1025" s="678"/>
      <c r="G1025" s="313" t="s">
        <v>495</v>
      </c>
      <c r="H1025" s="314">
        <f>SUM(H1023+H1024)</f>
        <v>38.200000000000003</v>
      </c>
      <c r="I1025" s="314">
        <f>SUM(I1023+I1024)</f>
        <v>41.2</v>
      </c>
      <c r="J1025" s="314">
        <f>SUM(J1023+J1024)</f>
        <v>43.6</v>
      </c>
      <c r="K1025" s="314">
        <f>SUM(K1023+K1024)</f>
        <v>45.4</v>
      </c>
      <c r="L1025" s="887">
        <f>SUM(L1023+L1024)</f>
        <v>46.1</v>
      </c>
      <c r="M1025" s="135"/>
      <c r="N1025" s="1053"/>
      <c r="O1025" s="1018"/>
      <c r="P1025" s="678"/>
      <c r="Q1025" s="678"/>
    </row>
    <row r="1026" spans="1:17" ht="12.75" customHeight="1" x14ac:dyDescent="0.2">
      <c r="A1026" s="678">
        <v>9</v>
      </c>
      <c r="B1026" s="679"/>
      <c r="C1026" s="678" t="s">
        <v>1714</v>
      </c>
      <c r="D1026" s="35" t="s">
        <v>450</v>
      </c>
      <c r="E1026" s="64">
        <v>38</v>
      </c>
      <c r="F1026" s="678" t="s">
        <v>451</v>
      </c>
      <c r="G1026" s="43" t="s">
        <v>10</v>
      </c>
      <c r="H1026" s="37">
        <v>84.2</v>
      </c>
      <c r="I1026" s="6">
        <v>99.7</v>
      </c>
      <c r="J1026" s="100">
        <v>84.1</v>
      </c>
      <c r="K1026" s="26">
        <v>84.1</v>
      </c>
      <c r="L1026" s="27">
        <v>84.1</v>
      </c>
      <c r="M1026" s="135"/>
      <c r="N1026" s="1062" t="s">
        <v>1920</v>
      </c>
      <c r="O1026" s="1018"/>
      <c r="P1026" s="678"/>
      <c r="Q1026" s="678"/>
    </row>
    <row r="1027" spans="1:17" ht="12.75" customHeight="1" x14ac:dyDescent="0.2">
      <c r="A1027" s="678">
        <v>9</v>
      </c>
      <c r="B1027" s="679"/>
      <c r="C1027" s="678"/>
      <c r="D1027" s="35"/>
      <c r="E1027" s="64">
        <v>38</v>
      </c>
      <c r="F1027" s="678" t="s">
        <v>451</v>
      </c>
      <c r="G1027" s="43" t="s">
        <v>8</v>
      </c>
      <c r="H1027" s="37"/>
      <c r="I1027" s="6"/>
      <c r="J1027" s="100">
        <v>12.8</v>
      </c>
      <c r="K1027" s="26">
        <v>15.6</v>
      </c>
      <c r="L1027" s="27">
        <v>16.8</v>
      </c>
      <c r="M1027" s="135"/>
      <c r="N1027" s="1062" t="s">
        <v>1920</v>
      </c>
      <c r="O1027" s="1018" t="s">
        <v>1665</v>
      </c>
      <c r="P1027" s="678">
        <v>1</v>
      </c>
      <c r="Q1027" s="678"/>
    </row>
    <row r="1028" spans="1:17" ht="12.75" customHeight="1" x14ac:dyDescent="0.2">
      <c r="A1028" s="678">
        <v>9</v>
      </c>
      <c r="B1028" s="679"/>
      <c r="C1028" s="678"/>
      <c r="D1028" s="35"/>
      <c r="E1028" s="64">
        <v>38</v>
      </c>
      <c r="F1028" s="678" t="s">
        <v>451</v>
      </c>
      <c r="G1028" s="318" t="s">
        <v>495</v>
      </c>
      <c r="H1028" s="106">
        <f>SUM(H1026)</f>
        <v>84.2</v>
      </c>
      <c r="I1028" s="106">
        <f>SUM(I1026+I1027)</f>
        <v>99.7</v>
      </c>
      <c r="J1028" s="106">
        <f>SUM(J1026+J1027)</f>
        <v>96.899999999999991</v>
      </c>
      <c r="K1028" s="106">
        <f t="shared" ref="K1028:L1028" si="130">SUM(K1026+K1027)</f>
        <v>99.699999999999989</v>
      </c>
      <c r="L1028" s="890">
        <f t="shared" si="130"/>
        <v>100.89999999999999</v>
      </c>
      <c r="M1028" s="135"/>
      <c r="N1028" s="1053"/>
      <c r="O1028" s="1018"/>
      <c r="P1028" s="678"/>
      <c r="Q1028" s="678"/>
    </row>
    <row r="1029" spans="1:17" ht="12.75" customHeight="1" x14ac:dyDescent="0.2">
      <c r="A1029" s="678">
        <v>9</v>
      </c>
      <c r="B1029" s="679"/>
      <c r="C1029" s="678" t="s">
        <v>1715</v>
      </c>
      <c r="D1029" s="35" t="s">
        <v>452</v>
      </c>
      <c r="E1029" s="64">
        <v>17</v>
      </c>
      <c r="F1029" s="678" t="s">
        <v>453</v>
      </c>
      <c r="G1029" s="43" t="s">
        <v>10</v>
      </c>
      <c r="H1029" s="37">
        <v>22.9</v>
      </c>
      <c r="I1029" s="6">
        <v>25.5</v>
      </c>
      <c r="J1029" s="100">
        <f>33.7-6.8</f>
        <v>26.900000000000002</v>
      </c>
      <c r="K1029" s="26">
        <v>34.799999999999997</v>
      </c>
      <c r="L1029" s="27">
        <v>36.200000000000003</v>
      </c>
      <c r="M1029" s="135"/>
      <c r="N1029" s="1053" t="s">
        <v>660</v>
      </c>
      <c r="O1029" s="1018" t="s">
        <v>1716</v>
      </c>
      <c r="P1029" s="678">
        <v>7</v>
      </c>
      <c r="Q1029" s="678"/>
    </row>
    <row r="1030" spans="1:17" x14ac:dyDescent="0.2">
      <c r="A1030" s="678">
        <v>9</v>
      </c>
      <c r="B1030" s="679"/>
      <c r="C1030" s="678"/>
      <c r="D1030" s="35"/>
      <c r="E1030" s="64">
        <v>17</v>
      </c>
      <c r="F1030" s="678" t="s">
        <v>453</v>
      </c>
      <c r="G1030" s="318" t="s">
        <v>495</v>
      </c>
      <c r="H1030" s="106">
        <f>SUM(H1029)</f>
        <v>22.9</v>
      </c>
      <c r="I1030" s="106">
        <f>SUM(I1029)</f>
        <v>25.5</v>
      </c>
      <c r="J1030" s="106">
        <f>SUM(J1029)</f>
        <v>26.900000000000002</v>
      </c>
      <c r="K1030" s="106">
        <f>SUM(K1029)</f>
        <v>34.799999999999997</v>
      </c>
      <c r="L1030" s="890">
        <f>SUM(L1029)</f>
        <v>36.200000000000003</v>
      </c>
      <c r="M1030" s="135"/>
      <c r="N1030" s="1053"/>
      <c r="O1030" s="1018"/>
      <c r="P1030" s="678"/>
      <c r="Q1030" s="678"/>
    </row>
    <row r="1031" spans="1:17" ht="22.5" x14ac:dyDescent="0.2">
      <c r="A1031" s="678">
        <v>9</v>
      </c>
      <c r="B1031" s="679"/>
      <c r="C1031" s="678" t="s">
        <v>1717</v>
      </c>
      <c r="D1031" s="51" t="s">
        <v>195</v>
      </c>
      <c r="E1031" s="64">
        <v>7</v>
      </c>
      <c r="F1031" s="678" t="s">
        <v>454</v>
      </c>
      <c r="G1031" s="43" t="s">
        <v>10</v>
      </c>
      <c r="H1031" s="37">
        <v>1.5</v>
      </c>
      <c r="I1031" s="6">
        <f>1.8+0.1</f>
        <v>1.9000000000000001</v>
      </c>
      <c r="J1031" s="100">
        <v>2.7</v>
      </c>
      <c r="K1031" s="26">
        <v>2.7</v>
      </c>
      <c r="L1031" s="27">
        <v>2.7</v>
      </c>
      <c r="M1031" s="135"/>
      <c r="N1031" s="1053" t="s">
        <v>1697</v>
      </c>
      <c r="O1031" s="1018" t="s">
        <v>1665</v>
      </c>
      <c r="P1031" s="678">
        <v>1</v>
      </c>
      <c r="Q1031" s="678"/>
    </row>
    <row r="1032" spans="1:17" x14ac:dyDescent="0.2">
      <c r="A1032" s="678">
        <v>9</v>
      </c>
      <c r="B1032" s="679"/>
      <c r="C1032" s="678"/>
      <c r="D1032" s="51"/>
      <c r="E1032" s="64">
        <v>7</v>
      </c>
      <c r="F1032" s="678" t="s">
        <v>454</v>
      </c>
      <c r="G1032" s="318" t="s">
        <v>495</v>
      </c>
      <c r="H1032" s="106">
        <f>SUM(H1031)</f>
        <v>1.5</v>
      </c>
      <c r="I1032" s="106">
        <f>SUM(I1031)</f>
        <v>1.9000000000000001</v>
      </c>
      <c r="J1032" s="106">
        <f>SUM(J1031)</f>
        <v>2.7</v>
      </c>
      <c r="K1032" s="106">
        <f>SUM(K1031)</f>
        <v>2.7</v>
      </c>
      <c r="L1032" s="890">
        <f>SUM(L1031)</f>
        <v>2.7</v>
      </c>
      <c r="M1032" s="135"/>
      <c r="N1032" s="1053"/>
      <c r="O1032" s="1018"/>
      <c r="P1032" s="678"/>
      <c r="Q1032" s="678"/>
    </row>
    <row r="1033" spans="1:17" ht="22.5" x14ac:dyDescent="0.2">
      <c r="A1033" s="678">
        <v>9</v>
      </c>
      <c r="B1033" s="679"/>
      <c r="C1033" s="678" t="s">
        <v>1718</v>
      </c>
      <c r="D1033" s="51" t="s">
        <v>455</v>
      </c>
      <c r="E1033" s="64">
        <v>7</v>
      </c>
      <c r="F1033" s="678" t="s">
        <v>456</v>
      </c>
      <c r="G1033" s="43" t="s">
        <v>10</v>
      </c>
      <c r="H1033" s="37">
        <v>5.4</v>
      </c>
      <c r="I1033" s="6">
        <v>5</v>
      </c>
      <c r="J1033" s="100">
        <f>6.3+0.3</f>
        <v>6.6</v>
      </c>
      <c r="K1033" s="26">
        <v>6.3</v>
      </c>
      <c r="L1033" s="27">
        <v>6.3</v>
      </c>
      <c r="M1033" s="135"/>
      <c r="N1033" s="1063" t="s">
        <v>1719</v>
      </c>
      <c r="O1033" s="1018" t="s">
        <v>1665</v>
      </c>
      <c r="P1033" s="678">
        <v>1</v>
      </c>
      <c r="Q1033" s="678"/>
    </row>
    <row r="1034" spans="1:17" ht="12.75" customHeight="1" x14ac:dyDescent="0.2">
      <c r="A1034" s="678">
        <v>9</v>
      </c>
      <c r="B1034" s="679"/>
      <c r="C1034" s="678"/>
      <c r="D1034" s="51"/>
      <c r="E1034" s="64">
        <v>7</v>
      </c>
      <c r="F1034" s="678" t="s">
        <v>456</v>
      </c>
      <c r="G1034" s="43" t="s">
        <v>621</v>
      </c>
      <c r="H1034" s="37"/>
      <c r="I1034" s="6">
        <v>0.3</v>
      </c>
      <c r="J1034" s="100">
        <f>0.1+0.1</f>
        <v>0.2</v>
      </c>
      <c r="K1034" s="26"/>
      <c r="L1034" s="27"/>
      <c r="M1034" s="135"/>
      <c r="N1034" s="1063" t="s">
        <v>1719</v>
      </c>
      <c r="O1034" s="1018" t="s">
        <v>1665</v>
      </c>
      <c r="P1034" s="678"/>
      <c r="Q1034" s="678"/>
    </row>
    <row r="1035" spans="1:17" x14ac:dyDescent="0.2">
      <c r="A1035" s="678">
        <v>9</v>
      </c>
      <c r="B1035" s="679"/>
      <c r="C1035" s="678"/>
      <c r="D1035" s="51"/>
      <c r="E1035" s="64">
        <v>7</v>
      </c>
      <c r="F1035" s="678" t="s">
        <v>456</v>
      </c>
      <c r="G1035" s="318" t="s">
        <v>495</v>
      </c>
      <c r="H1035" s="106">
        <f>SUM(H1033)</f>
        <v>5.4</v>
      </c>
      <c r="I1035" s="106">
        <f>SUM(I1033:I1034)</f>
        <v>5.3</v>
      </c>
      <c r="J1035" s="106">
        <f t="shared" ref="J1035:L1035" si="131">SUM(J1033:J1034)</f>
        <v>6.8</v>
      </c>
      <c r="K1035" s="106">
        <f t="shared" si="131"/>
        <v>6.3</v>
      </c>
      <c r="L1035" s="890">
        <f t="shared" si="131"/>
        <v>6.3</v>
      </c>
      <c r="M1035" s="135"/>
      <c r="N1035" s="1053"/>
      <c r="O1035" s="1018"/>
      <c r="P1035" s="678"/>
      <c r="Q1035" s="678"/>
    </row>
    <row r="1036" spans="1:17" ht="22.5" x14ac:dyDescent="0.2">
      <c r="A1036" s="678">
        <v>9</v>
      </c>
      <c r="B1036" s="679"/>
      <c r="C1036" s="678" t="s">
        <v>1720</v>
      </c>
      <c r="D1036" s="51" t="s">
        <v>1721</v>
      </c>
      <c r="E1036" s="64">
        <v>7</v>
      </c>
      <c r="F1036" s="678" t="s">
        <v>1722</v>
      </c>
      <c r="G1036" s="43" t="s">
        <v>10</v>
      </c>
      <c r="H1036" s="37">
        <v>1.2</v>
      </c>
      <c r="I1036" s="6">
        <v>1.3</v>
      </c>
      <c r="J1036" s="100">
        <f>1.4-0.1</f>
        <v>1.2999999999999998</v>
      </c>
      <c r="K1036" s="26">
        <v>1.4</v>
      </c>
      <c r="L1036" s="27">
        <v>1.4</v>
      </c>
      <c r="M1036" s="135"/>
      <c r="N1036" s="1064" t="s">
        <v>1723</v>
      </c>
      <c r="O1036" s="1018" t="s">
        <v>1665</v>
      </c>
      <c r="P1036" s="678">
        <v>1</v>
      </c>
      <c r="Q1036" s="678"/>
    </row>
    <row r="1037" spans="1:17" ht="12.75" customHeight="1" x14ac:dyDescent="0.2">
      <c r="A1037" s="678">
        <v>9</v>
      </c>
      <c r="B1037" s="679"/>
      <c r="C1037" s="678"/>
      <c r="D1037" s="51"/>
      <c r="E1037" s="64">
        <v>7</v>
      </c>
      <c r="F1037" s="678" t="s">
        <v>1722</v>
      </c>
      <c r="G1037" s="318" t="s">
        <v>495</v>
      </c>
      <c r="H1037" s="106">
        <f>SUM(H1036)</f>
        <v>1.2</v>
      </c>
      <c r="I1037" s="106">
        <f>SUM(I1036)</f>
        <v>1.3</v>
      </c>
      <c r="J1037" s="106">
        <f>SUM(J1036)</f>
        <v>1.2999999999999998</v>
      </c>
      <c r="K1037" s="106">
        <f>SUM(K1036)</f>
        <v>1.4</v>
      </c>
      <c r="L1037" s="890">
        <f>SUM(L1036)</f>
        <v>1.4</v>
      </c>
      <c r="M1037" s="135"/>
      <c r="N1037" s="1053"/>
      <c r="O1037" s="1018"/>
      <c r="P1037" s="678"/>
      <c r="Q1037" s="678"/>
    </row>
    <row r="1038" spans="1:17" ht="12.75" customHeight="1" x14ac:dyDescent="0.2">
      <c r="A1038" s="678">
        <v>9</v>
      </c>
      <c r="B1038" s="679"/>
      <c r="C1038" s="678" t="s">
        <v>1724</v>
      </c>
      <c r="D1038" s="51" t="s">
        <v>1725</v>
      </c>
      <c r="E1038" s="64">
        <v>7</v>
      </c>
      <c r="F1038" s="678" t="s">
        <v>1726</v>
      </c>
      <c r="G1038" s="43" t="s">
        <v>10</v>
      </c>
      <c r="H1038" s="37">
        <v>1.4</v>
      </c>
      <c r="I1038" s="6">
        <v>1.7</v>
      </c>
      <c r="J1038" s="100">
        <f>1.6+3.2</f>
        <v>4.8000000000000007</v>
      </c>
      <c r="K1038" s="26">
        <v>1.6</v>
      </c>
      <c r="L1038" s="27">
        <v>1.6</v>
      </c>
      <c r="M1038" s="135"/>
      <c r="N1038" s="1064" t="s">
        <v>1727</v>
      </c>
      <c r="O1038" s="1018" t="s">
        <v>1665</v>
      </c>
      <c r="P1038" s="678">
        <v>1</v>
      </c>
      <c r="Q1038" s="678"/>
    </row>
    <row r="1039" spans="1:17" x14ac:dyDescent="0.2">
      <c r="A1039" s="678">
        <v>9</v>
      </c>
      <c r="B1039" s="679"/>
      <c r="C1039" s="678"/>
      <c r="D1039" s="51"/>
      <c r="E1039" s="64">
        <v>7</v>
      </c>
      <c r="F1039" s="678" t="s">
        <v>1726</v>
      </c>
      <c r="G1039" s="318" t="s">
        <v>495</v>
      </c>
      <c r="H1039" s="106">
        <f>SUM(H1038)</f>
        <v>1.4</v>
      </c>
      <c r="I1039" s="106">
        <f>SUM(I1038)</f>
        <v>1.7</v>
      </c>
      <c r="J1039" s="106">
        <f>SUM(J1038)</f>
        <v>4.8000000000000007</v>
      </c>
      <c r="K1039" s="106">
        <f>SUM(K1038)</f>
        <v>1.6</v>
      </c>
      <c r="L1039" s="890">
        <f>SUM(L1038)</f>
        <v>1.6</v>
      </c>
      <c r="M1039" s="135"/>
      <c r="N1039" s="1053"/>
      <c r="O1039" s="1018"/>
      <c r="P1039" s="678"/>
      <c r="Q1039" s="678"/>
    </row>
    <row r="1040" spans="1:17" ht="22.5" x14ac:dyDescent="0.2">
      <c r="A1040" s="678">
        <v>9</v>
      </c>
      <c r="B1040" s="679"/>
      <c r="C1040" s="678" t="s">
        <v>1728</v>
      </c>
      <c r="D1040" s="51" t="s">
        <v>1729</v>
      </c>
      <c r="E1040" s="64">
        <v>7</v>
      </c>
      <c r="F1040" s="678" t="s">
        <v>1730</v>
      </c>
      <c r="G1040" s="43" t="s">
        <v>621</v>
      </c>
      <c r="H1040" s="37">
        <v>4.4000000000000004</v>
      </c>
      <c r="I1040" s="6">
        <v>0.3</v>
      </c>
      <c r="J1040" s="100"/>
      <c r="K1040" s="26"/>
      <c r="L1040" s="27"/>
      <c r="M1040" s="135"/>
      <c r="N1040" s="1065" t="s">
        <v>1731</v>
      </c>
      <c r="O1040" s="1018" t="s">
        <v>1665</v>
      </c>
      <c r="P1040" s="678">
        <v>1</v>
      </c>
      <c r="Q1040" s="678"/>
    </row>
    <row r="1041" spans="1:17" x14ac:dyDescent="0.2">
      <c r="A1041" s="678">
        <v>9</v>
      </c>
      <c r="B1041" s="679"/>
      <c r="C1041" s="678"/>
      <c r="D1041" s="51"/>
      <c r="E1041" s="64">
        <v>7</v>
      </c>
      <c r="F1041" s="678" t="s">
        <v>1730</v>
      </c>
      <c r="G1041" s="318" t="s">
        <v>495</v>
      </c>
      <c r="H1041" s="106">
        <f>SUM(H1040)</f>
        <v>4.4000000000000004</v>
      </c>
      <c r="I1041" s="106">
        <f>SUM(I1040)</f>
        <v>0.3</v>
      </c>
      <c r="J1041" s="106">
        <f>SUM(J1040)</f>
        <v>0</v>
      </c>
      <c r="K1041" s="106">
        <f>SUM(K1040)</f>
        <v>0</v>
      </c>
      <c r="L1041" s="890">
        <f>SUM(L1040)</f>
        <v>0</v>
      </c>
      <c r="M1041" s="135"/>
      <c r="N1041" s="1053"/>
      <c r="O1041" s="1018"/>
      <c r="P1041" s="678"/>
      <c r="Q1041" s="678"/>
    </row>
    <row r="1042" spans="1:17" ht="22.5" x14ac:dyDescent="0.2">
      <c r="A1042" s="678">
        <v>9</v>
      </c>
      <c r="B1042" s="679"/>
      <c r="C1042" s="678" t="s">
        <v>1732</v>
      </c>
      <c r="D1042" s="51" t="s">
        <v>1733</v>
      </c>
      <c r="E1042" s="64">
        <v>7</v>
      </c>
      <c r="F1042" s="678" t="s">
        <v>1734</v>
      </c>
      <c r="G1042" s="75" t="s">
        <v>10</v>
      </c>
      <c r="H1042" s="107"/>
      <c r="I1042" s="6">
        <f>24.4-1.9</f>
        <v>22.5</v>
      </c>
      <c r="J1042" s="100">
        <v>24.4</v>
      </c>
      <c r="K1042" s="38">
        <v>24.4</v>
      </c>
      <c r="L1042" s="49">
        <v>24.4</v>
      </c>
      <c r="M1042" s="135"/>
      <c r="N1042" s="1053" t="s">
        <v>1723</v>
      </c>
      <c r="O1042" s="1018" t="s">
        <v>1665</v>
      </c>
      <c r="P1042" s="678">
        <v>1</v>
      </c>
      <c r="Q1042" s="678"/>
    </row>
    <row r="1043" spans="1:17" ht="12.75" customHeight="1" x14ac:dyDescent="0.2">
      <c r="A1043" s="678">
        <v>9</v>
      </c>
      <c r="B1043" s="679"/>
      <c r="C1043" s="678"/>
      <c r="D1043" s="51"/>
      <c r="E1043" s="64">
        <v>7</v>
      </c>
      <c r="F1043" s="678" t="s">
        <v>1734</v>
      </c>
      <c r="G1043" s="75" t="s">
        <v>8</v>
      </c>
      <c r="H1043" s="107"/>
      <c r="I1043" s="6"/>
      <c r="J1043" s="100">
        <v>17.100000000000001</v>
      </c>
      <c r="K1043" s="38">
        <v>18.3</v>
      </c>
      <c r="L1043" s="49">
        <v>18.899999999999999</v>
      </c>
      <c r="M1043" s="135"/>
      <c r="N1043" s="1053" t="s">
        <v>1723</v>
      </c>
      <c r="O1043" s="1018" t="s">
        <v>1665</v>
      </c>
      <c r="P1043" s="678"/>
      <c r="Q1043" s="678"/>
    </row>
    <row r="1044" spans="1:17" x14ac:dyDescent="0.2">
      <c r="A1044" s="678">
        <v>9</v>
      </c>
      <c r="B1044" s="679"/>
      <c r="C1044" s="678"/>
      <c r="D1044" s="51"/>
      <c r="E1044" s="64">
        <v>7</v>
      </c>
      <c r="F1044" s="678" t="s">
        <v>1734</v>
      </c>
      <c r="G1044" s="318" t="s">
        <v>495</v>
      </c>
      <c r="H1044" s="106"/>
      <c r="I1044" s="106">
        <f>SUM(I1042+I1043)</f>
        <v>22.5</v>
      </c>
      <c r="J1044" s="106">
        <f t="shared" ref="J1044:L1044" si="132">SUM(J1042+J1043)</f>
        <v>41.5</v>
      </c>
      <c r="K1044" s="106">
        <f t="shared" si="132"/>
        <v>42.7</v>
      </c>
      <c r="L1044" s="890">
        <f t="shared" si="132"/>
        <v>43.3</v>
      </c>
      <c r="M1044" s="135"/>
      <c r="N1044" s="1053"/>
      <c r="O1044" s="1018"/>
      <c r="P1044" s="678"/>
      <c r="Q1044" s="678"/>
    </row>
    <row r="1045" spans="1:17" ht="48.6" customHeight="1" x14ac:dyDescent="0.2">
      <c r="A1045" s="678">
        <v>9</v>
      </c>
      <c r="B1045" s="679"/>
      <c r="C1045" s="678" t="s">
        <v>1735</v>
      </c>
      <c r="D1045" s="51" t="s">
        <v>1736</v>
      </c>
      <c r="E1045" s="64">
        <v>7</v>
      </c>
      <c r="F1045" s="678" t="s">
        <v>1737</v>
      </c>
      <c r="G1045" s="75" t="s">
        <v>621</v>
      </c>
      <c r="H1045" s="107"/>
      <c r="I1045" s="6">
        <f>0.2+0.1</f>
        <v>0.30000000000000004</v>
      </c>
      <c r="J1045" s="100"/>
      <c r="K1045" s="38"/>
      <c r="L1045" s="49"/>
      <c r="M1045" s="135"/>
      <c r="N1045" s="1053" t="s">
        <v>1731</v>
      </c>
      <c r="O1045" s="1018" t="s">
        <v>1665</v>
      </c>
      <c r="P1045" s="678">
        <v>1</v>
      </c>
      <c r="Q1045" s="678"/>
    </row>
    <row r="1046" spans="1:17" x14ac:dyDescent="0.2">
      <c r="A1046" s="678">
        <v>9</v>
      </c>
      <c r="B1046" s="679"/>
      <c r="C1046" s="678"/>
      <c r="D1046" s="51"/>
      <c r="E1046" s="64">
        <v>7</v>
      </c>
      <c r="F1046" s="678" t="s">
        <v>1737</v>
      </c>
      <c r="G1046" s="318" t="s">
        <v>495</v>
      </c>
      <c r="H1046" s="106"/>
      <c r="I1046" s="106">
        <f>SUM(I1045)</f>
        <v>0.30000000000000004</v>
      </c>
      <c r="J1046" s="106">
        <f t="shared" ref="J1046:L1046" si="133">SUM(J1045)</f>
        <v>0</v>
      </c>
      <c r="K1046" s="106">
        <f t="shared" si="133"/>
        <v>0</v>
      </c>
      <c r="L1046" s="890">
        <f t="shared" si="133"/>
        <v>0</v>
      </c>
      <c r="M1046" s="135"/>
      <c r="N1046" s="1053"/>
      <c r="O1046" s="1018"/>
      <c r="P1046" s="678"/>
      <c r="Q1046" s="678"/>
    </row>
    <row r="1047" spans="1:17" ht="22.5" x14ac:dyDescent="0.2">
      <c r="A1047" s="678">
        <v>9</v>
      </c>
      <c r="B1047" s="679"/>
      <c r="C1047" s="678" t="s">
        <v>1738</v>
      </c>
      <c r="D1047" s="51" t="s">
        <v>1739</v>
      </c>
      <c r="E1047" s="64">
        <v>7</v>
      </c>
      <c r="F1047" s="678" t="s">
        <v>1740</v>
      </c>
      <c r="G1047" s="75" t="s">
        <v>37</v>
      </c>
      <c r="H1047" s="107"/>
      <c r="I1047" s="6">
        <v>7.8</v>
      </c>
      <c r="J1047" s="100">
        <v>21.1</v>
      </c>
      <c r="K1047" s="38"/>
      <c r="L1047" s="49"/>
      <c r="M1047" s="135"/>
      <c r="N1047" s="1053" t="s">
        <v>1741</v>
      </c>
      <c r="O1047" s="1018" t="s">
        <v>1665</v>
      </c>
      <c r="P1047" s="678">
        <v>1</v>
      </c>
      <c r="Q1047" s="678"/>
    </row>
    <row r="1048" spans="1:17" ht="12.75" customHeight="1" x14ac:dyDescent="0.2">
      <c r="A1048" s="678">
        <v>9</v>
      </c>
      <c r="B1048" s="679"/>
      <c r="C1048" s="678"/>
      <c r="D1048" s="51"/>
      <c r="E1048" s="64">
        <v>7</v>
      </c>
      <c r="F1048" s="678" t="s">
        <v>1740</v>
      </c>
      <c r="G1048" s="75" t="s">
        <v>38</v>
      </c>
      <c r="H1048" s="107"/>
      <c r="I1048" s="6">
        <v>2.2999999999999998</v>
      </c>
      <c r="J1048" s="100">
        <v>3.4</v>
      </c>
      <c r="K1048" s="38"/>
      <c r="L1048" s="49"/>
      <c r="M1048" s="135"/>
      <c r="N1048" s="1053" t="s">
        <v>1741</v>
      </c>
      <c r="O1048" s="1018" t="s">
        <v>1665</v>
      </c>
      <c r="P1048" s="678"/>
      <c r="Q1048" s="678"/>
    </row>
    <row r="1049" spans="1:17" x14ac:dyDescent="0.2">
      <c r="A1049" s="678">
        <v>9</v>
      </c>
      <c r="B1049" s="679"/>
      <c r="C1049" s="678"/>
      <c r="D1049" s="51"/>
      <c r="E1049" s="64">
        <v>7</v>
      </c>
      <c r="F1049" s="678" t="s">
        <v>1740</v>
      </c>
      <c r="G1049" s="318" t="s">
        <v>495</v>
      </c>
      <c r="H1049" s="106"/>
      <c r="I1049" s="106">
        <f>I1047+I1048</f>
        <v>10.1</v>
      </c>
      <c r="J1049" s="106">
        <f t="shared" ref="J1049:L1049" si="134">J1047+J1048</f>
        <v>24.5</v>
      </c>
      <c r="K1049" s="106">
        <f t="shared" si="134"/>
        <v>0</v>
      </c>
      <c r="L1049" s="890">
        <f t="shared" si="134"/>
        <v>0</v>
      </c>
      <c r="M1049" s="135"/>
      <c r="N1049" s="1053"/>
      <c r="O1049" s="1018"/>
      <c r="P1049" s="678"/>
      <c r="Q1049" s="678"/>
    </row>
    <row r="1050" spans="1:17" ht="33.75" x14ac:dyDescent="0.2">
      <c r="A1050" s="678">
        <v>9</v>
      </c>
      <c r="B1050" s="679"/>
      <c r="C1050" s="678" t="s">
        <v>1742</v>
      </c>
      <c r="D1050" s="51" t="s">
        <v>1743</v>
      </c>
      <c r="E1050" s="64">
        <v>7</v>
      </c>
      <c r="F1050" s="678" t="s">
        <v>1744</v>
      </c>
      <c r="G1050" s="75" t="s">
        <v>37</v>
      </c>
      <c r="H1050" s="107"/>
      <c r="I1050" s="6">
        <v>4.2</v>
      </c>
      <c r="J1050" s="100">
        <v>26.7</v>
      </c>
      <c r="K1050" s="38">
        <v>26.7</v>
      </c>
      <c r="L1050" s="49">
        <v>26.7</v>
      </c>
      <c r="M1050" s="135"/>
      <c r="N1050" s="1053" t="s">
        <v>1745</v>
      </c>
      <c r="O1050" s="1018" t="s">
        <v>1665</v>
      </c>
      <c r="P1050" s="678">
        <v>1</v>
      </c>
      <c r="Q1050" s="678"/>
    </row>
    <row r="1051" spans="1:17" ht="12.75" customHeight="1" x14ac:dyDescent="0.2">
      <c r="A1051" s="678">
        <v>9</v>
      </c>
      <c r="B1051" s="679"/>
      <c r="C1051" s="678"/>
      <c r="D1051" s="51"/>
      <c r="E1051" s="64">
        <v>7</v>
      </c>
      <c r="F1051" s="678" t="s">
        <v>1744</v>
      </c>
      <c r="G1051" s="75" t="s">
        <v>38</v>
      </c>
      <c r="H1051" s="107"/>
      <c r="I1051" s="6">
        <v>0.7</v>
      </c>
      <c r="J1051" s="100">
        <v>4.4000000000000004</v>
      </c>
      <c r="K1051" s="38">
        <v>4.4000000000000004</v>
      </c>
      <c r="L1051" s="49">
        <v>4.4000000000000004</v>
      </c>
      <c r="M1051" s="135"/>
      <c r="N1051" s="1053" t="s">
        <v>1745</v>
      </c>
      <c r="O1051" s="1018" t="s">
        <v>1665</v>
      </c>
      <c r="P1051" s="678"/>
      <c r="Q1051" s="678"/>
    </row>
    <row r="1052" spans="1:17" x14ac:dyDescent="0.2">
      <c r="A1052" s="678">
        <v>9</v>
      </c>
      <c r="B1052" s="679"/>
      <c r="C1052" s="678"/>
      <c r="D1052" s="51"/>
      <c r="E1052" s="64">
        <v>7</v>
      </c>
      <c r="F1052" s="678" t="s">
        <v>1744</v>
      </c>
      <c r="G1052" s="318" t="s">
        <v>495</v>
      </c>
      <c r="H1052" s="106"/>
      <c r="I1052" s="106">
        <f>I1050+I1051</f>
        <v>4.9000000000000004</v>
      </c>
      <c r="J1052" s="106">
        <f t="shared" ref="J1052:L1052" si="135">J1050+J1051</f>
        <v>31.1</v>
      </c>
      <c r="K1052" s="106">
        <f t="shared" si="135"/>
        <v>31.1</v>
      </c>
      <c r="L1052" s="890">
        <f t="shared" si="135"/>
        <v>31.1</v>
      </c>
      <c r="M1052" s="135"/>
      <c r="N1052" s="758"/>
      <c r="O1052" s="1018"/>
      <c r="P1052" s="678"/>
      <c r="Q1052" s="678"/>
    </row>
    <row r="1053" spans="1:17" ht="22.5" x14ac:dyDescent="0.2">
      <c r="A1053" s="678">
        <v>9</v>
      </c>
      <c r="B1053" s="679"/>
      <c r="C1053" s="678" t="s">
        <v>1746</v>
      </c>
      <c r="D1053" s="51" t="s">
        <v>1747</v>
      </c>
      <c r="E1053" s="64">
        <v>7</v>
      </c>
      <c r="F1053" s="678" t="s">
        <v>1748</v>
      </c>
      <c r="G1053" s="75" t="s">
        <v>10</v>
      </c>
      <c r="H1053" s="107"/>
      <c r="I1053" s="6">
        <v>3.4</v>
      </c>
      <c r="J1053" s="100">
        <v>1.1000000000000001</v>
      </c>
      <c r="K1053" s="38">
        <v>1.1000000000000001</v>
      </c>
      <c r="L1053" s="49">
        <v>1.1000000000000001</v>
      </c>
      <c r="M1053" s="135"/>
      <c r="N1053" s="1053" t="s">
        <v>1697</v>
      </c>
      <c r="O1053" s="1018" t="s">
        <v>1665</v>
      </c>
      <c r="P1053" s="678">
        <v>1</v>
      </c>
      <c r="Q1053" s="678"/>
    </row>
    <row r="1054" spans="1:17" x14ac:dyDescent="0.2">
      <c r="A1054" s="678">
        <v>9</v>
      </c>
      <c r="B1054" s="679"/>
      <c r="C1054" s="678"/>
      <c r="D1054" s="51"/>
      <c r="E1054" s="64">
        <v>7</v>
      </c>
      <c r="F1054" s="678" t="s">
        <v>1748</v>
      </c>
      <c r="G1054" s="318" t="s">
        <v>495</v>
      </c>
      <c r="H1054" s="106"/>
      <c r="I1054" s="106">
        <f>I1053</f>
        <v>3.4</v>
      </c>
      <c r="J1054" s="106">
        <f t="shared" ref="J1054:L1054" si="136">J1053</f>
        <v>1.1000000000000001</v>
      </c>
      <c r="K1054" s="106">
        <f t="shared" si="136"/>
        <v>1.1000000000000001</v>
      </c>
      <c r="L1054" s="890">
        <f t="shared" si="136"/>
        <v>1.1000000000000001</v>
      </c>
      <c r="M1054" s="135"/>
      <c r="N1054" s="758"/>
      <c r="O1054" s="1018"/>
      <c r="P1054" s="678"/>
      <c r="Q1054" s="678"/>
    </row>
    <row r="1055" spans="1:17" ht="22.5" x14ac:dyDescent="0.2">
      <c r="A1055" s="678">
        <v>9</v>
      </c>
      <c r="B1055" s="679"/>
      <c r="C1055" s="678" t="s">
        <v>1749</v>
      </c>
      <c r="D1055" s="51" t="s">
        <v>1750</v>
      </c>
      <c r="E1055" s="64">
        <v>7</v>
      </c>
      <c r="F1055" s="678" t="s">
        <v>1751</v>
      </c>
      <c r="G1055" s="82" t="s">
        <v>37</v>
      </c>
      <c r="H1055" s="190"/>
      <c r="I1055" s="15"/>
      <c r="J1055" s="100">
        <v>19.8</v>
      </c>
      <c r="K1055" s="15">
        <v>19.8</v>
      </c>
      <c r="L1055" s="34">
        <v>15.6</v>
      </c>
      <c r="M1055" s="135"/>
      <c r="N1055" s="1053" t="s">
        <v>1697</v>
      </c>
      <c r="O1055" s="1018" t="s">
        <v>1665</v>
      </c>
      <c r="P1055" s="678">
        <v>1</v>
      </c>
      <c r="Q1055" s="678"/>
    </row>
    <row r="1056" spans="1:17" ht="12.75" customHeight="1" x14ac:dyDescent="0.2">
      <c r="A1056" s="678">
        <v>9</v>
      </c>
      <c r="B1056" s="679"/>
      <c r="C1056" s="678"/>
      <c r="D1056" s="51"/>
      <c r="E1056" s="64">
        <v>7</v>
      </c>
      <c r="F1056" s="678" t="s">
        <v>1751</v>
      </c>
      <c r="G1056" s="82" t="s">
        <v>38</v>
      </c>
      <c r="H1056" s="190"/>
      <c r="I1056" s="15"/>
      <c r="J1056" s="100">
        <v>6.6</v>
      </c>
      <c r="K1056" s="15">
        <v>6.6</v>
      </c>
      <c r="L1056" s="34">
        <v>5.2</v>
      </c>
      <c r="M1056" s="135"/>
      <c r="N1056" s="1053" t="s">
        <v>1697</v>
      </c>
      <c r="O1056" s="1018"/>
      <c r="P1056" s="678"/>
      <c r="Q1056" s="678"/>
    </row>
    <row r="1057" spans="1:17" x14ac:dyDescent="0.2">
      <c r="A1057" s="678">
        <v>9</v>
      </c>
      <c r="B1057" s="679"/>
      <c r="C1057" s="678"/>
      <c r="D1057" s="51"/>
      <c r="E1057" s="64">
        <v>7</v>
      </c>
      <c r="F1057" s="678" t="s">
        <v>1751</v>
      </c>
      <c r="G1057" s="318" t="s">
        <v>495</v>
      </c>
      <c r="H1057" s="106"/>
      <c r="I1057" s="106">
        <f>SUM(I1055+I1056)</f>
        <v>0</v>
      </c>
      <c r="J1057" s="106">
        <f t="shared" ref="J1057:L1057" si="137">SUM(J1055+J1056)</f>
        <v>26.4</v>
      </c>
      <c r="K1057" s="106">
        <f t="shared" si="137"/>
        <v>26.4</v>
      </c>
      <c r="L1057" s="890">
        <f t="shared" si="137"/>
        <v>20.8</v>
      </c>
      <c r="M1057" s="135"/>
      <c r="N1057" s="758"/>
      <c r="O1057" s="1018"/>
      <c r="P1057" s="678"/>
      <c r="Q1057" s="678"/>
    </row>
    <row r="1058" spans="1:17" ht="30" customHeight="1" x14ac:dyDescent="0.2">
      <c r="A1058" s="678">
        <v>9</v>
      </c>
      <c r="B1058" s="310" t="s">
        <v>1752</v>
      </c>
      <c r="C1058" s="310" t="s">
        <v>1752</v>
      </c>
      <c r="D1058" s="311" t="s">
        <v>1753</v>
      </c>
      <c r="E1058" s="681"/>
      <c r="F1058" s="678"/>
      <c r="G1058" s="115" t="s">
        <v>1754</v>
      </c>
      <c r="H1058" s="317">
        <f>SUM(H1060,H1062)</f>
        <v>358.1</v>
      </c>
      <c r="I1058" s="115">
        <f>SUM(I1060,I1062)</f>
        <v>2288</v>
      </c>
      <c r="J1058" s="115">
        <f>SUM(J1060,J1062)</f>
        <v>2442.6999999999998</v>
      </c>
      <c r="K1058" s="115">
        <f>SUM(K1060,K1062)</f>
        <v>2642.5</v>
      </c>
      <c r="L1058" s="823">
        <f>SUM(L1060,L1062)</f>
        <v>2796.8</v>
      </c>
      <c r="M1058" s="135"/>
      <c r="N1058" s="1053"/>
      <c r="O1058" s="1018"/>
      <c r="P1058" s="678"/>
      <c r="Q1058" s="678"/>
    </row>
    <row r="1059" spans="1:17" ht="12.75" customHeight="1" x14ac:dyDescent="0.2">
      <c r="A1059" s="678">
        <v>9</v>
      </c>
      <c r="B1059" s="679"/>
      <c r="C1059" s="688"/>
      <c r="D1059" s="680"/>
      <c r="E1059" s="681"/>
      <c r="F1059" s="678"/>
      <c r="G1059" s="313" t="s">
        <v>495</v>
      </c>
      <c r="H1059" s="314">
        <f>SUM(H1058:H1058)</f>
        <v>358.1</v>
      </c>
      <c r="I1059" s="314">
        <f>SUM(I1058:I1058)</f>
        <v>2288</v>
      </c>
      <c r="J1059" s="314">
        <f>SUM(J1058:J1058)</f>
        <v>2442.6999999999998</v>
      </c>
      <c r="K1059" s="314">
        <f>SUM(K1058:K1058)</f>
        <v>2642.5</v>
      </c>
      <c r="L1059" s="887">
        <f>SUM(L1058:L1058)</f>
        <v>2796.8</v>
      </c>
      <c r="M1059" s="135"/>
      <c r="N1059" s="1053"/>
      <c r="O1059" s="1018"/>
      <c r="P1059" s="678"/>
      <c r="Q1059" s="678"/>
    </row>
    <row r="1060" spans="1:17" ht="12.75" customHeight="1" x14ac:dyDescent="0.2">
      <c r="A1060" s="678">
        <v>9</v>
      </c>
      <c r="B1060" s="679"/>
      <c r="C1060" s="688" t="s">
        <v>1755</v>
      </c>
      <c r="D1060" s="51" t="s">
        <v>459</v>
      </c>
      <c r="E1060" s="70">
        <v>4</v>
      </c>
      <c r="F1060" s="678" t="s">
        <v>460</v>
      </c>
      <c r="G1060" s="678" t="s">
        <v>8</v>
      </c>
      <c r="H1060" s="37">
        <v>358.1</v>
      </c>
      <c r="I1060" s="38">
        <v>546.6</v>
      </c>
      <c r="J1060" s="100">
        <v>500</v>
      </c>
      <c r="K1060" s="26">
        <v>500</v>
      </c>
      <c r="L1060" s="27">
        <v>500</v>
      </c>
      <c r="M1060" s="135" t="s">
        <v>624</v>
      </c>
      <c r="N1060" s="1053" t="s">
        <v>1756</v>
      </c>
      <c r="O1060" s="1018" t="s">
        <v>1083</v>
      </c>
      <c r="P1060" s="678">
        <v>100</v>
      </c>
      <c r="Q1060" s="678"/>
    </row>
    <row r="1061" spans="1:17" ht="12.75" customHeight="1" x14ac:dyDescent="0.2">
      <c r="A1061" s="678">
        <v>9</v>
      </c>
      <c r="B1061" s="679"/>
      <c r="C1061" s="688"/>
      <c r="D1061" s="51"/>
      <c r="E1061" s="70">
        <v>4</v>
      </c>
      <c r="F1061" s="678" t="s">
        <v>460</v>
      </c>
      <c r="G1061" s="318" t="s">
        <v>495</v>
      </c>
      <c r="H1061" s="106" t="e">
        <f>SUM(H1060+#REF!)</f>
        <v>#REF!</v>
      </c>
      <c r="I1061" s="106">
        <f>SUM(I1060)</f>
        <v>546.6</v>
      </c>
      <c r="J1061" s="106">
        <f>SUM(J1060)</f>
        <v>500</v>
      </c>
      <c r="K1061" s="106">
        <f>SUM(K1060)</f>
        <v>500</v>
      </c>
      <c r="L1061" s="890">
        <f>SUM(L1060)</f>
        <v>500</v>
      </c>
      <c r="M1061" s="135"/>
      <c r="N1061" s="1053"/>
      <c r="O1061" s="1018"/>
      <c r="P1061" s="678"/>
      <c r="Q1061" s="678"/>
    </row>
    <row r="1062" spans="1:17" ht="12.75" customHeight="1" x14ac:dyDescent="0.2">
      <c r="A1062" s="678">
        <v>9</v>
      </c>
      <c r="B1062" s="679"/>
      <c r="C1062" s="678" t="s">
        <v>1757</v>
      </c>
      <c r="D1062" s="51" t="s">
        <v>461</v>
      </c>
      <c r="E1062" s="70">
        <v>4</v>
      </c>
      <c r="F1062" s="678" t="s">
        <v>462</v>
      </c>
      <c r="G1062" s="678" t="s">
        <v>8</v>
      </c>
      <c r="H1062" s="37"/>
      <c r="I1062" s="38">
        <v>1741.4</v>
      </c>
      <c r="J1062" s="100">
        <v>1942.7</v>
      </c>
      <c r="K1062" s="26">
        <v>2142.5</v>
      </c>
      <c r="L1062" s="27">
        <v>2296.8000000000002</v>
      </c>
      <c r="M1062" s="135" t="s">
        <v>624</v>
      </c>
      <c r="N1062" s="1053" t="s">
        <v>1756</v>
      </c>
      <c r="O1062" s="1018" t="s">
        <v>1083</v>
      </c>
      <c r="P1062" s="678">
        <v>100</v>
      </c>
      <c r="Q1062" s="678"/>
    </row>
    <row r="1063" spans="1:17" x14ac:dyDescent="0.2">
      <c r="A1063" s="678">
        <v>9</v>
      </c>
      <c r="B1063" s="679"/>
      <c r="C1063" s="678"/>
      <c r="D1063" s="51"/>
      <c r="E1063" s="70">
        <v>4</v>
      </c>
      <c r="F1063" s="678" t="s">
        <v>462</v>
      </c>
      <c r="G1063" s="318" t="s">
        <v>495</v>
      </c>
      <c r="H1063" s="106">
        <f>SUM(H1062:H1062)</f>
        <v>0</v>
      </c>
      <c r="I1063" s="106">
        <f>SUM(I1062:I1062)</f>
        <v>1741.4</v>
      </c>
      <c r="J1063" s="106">
        <f>SUM(J1062:J1062)</f>
        <v>1942.7</v>
      </c>
      <c r="K1063" s="106">
        <f>SUM(K1062:K1062)</f>
        <v>2142.5</v>
      </c>
      <c r="L1063" s="890">
        <f>SUM(L1062:L1062)</f>
        <v>2296.8000000000002</v>
      </c>
      <c r="M1063" s="135"/>
      <c r="N1063" s="1053"/>
      <c r="O1063" s="1018"/>
      <c r="P1063" s="678"/>
      <c r="Q1063" s="678"/>
    </row>
    <row r="1064" spans="1:17" ht="45" x14ac:dyDescent="0.2">
      <c r="A1064" s="678">
        <v>9</v>
      </c>
      <c r="B1064" s="95"/>
      <c r="C1064" s="95"/>
      <c r="D1064" s="96" t="s">
        <v>1758</v>
      </c>
      <c r="E1064" s="918"/>
      <c r="F1064" s="97"/>
      <c r="G1064" s="95"/>
      <c r="H1064" s="98"/>
      <c r="I1064" s="97"/>
      <c r="J1064" s="97"/>
      <c r="K1064" s="97"/>
      <c r="L1064" s="431"/>
      <c r="M1064" s="135"/>
      <c r="N1064" s="1066"/>
      <c r="O1064" s="1018"/>
      <c r="P1064" s="678"/>
      <c r="Q1064" s="678"/>
    </row>
    <row r="1065" spans="1:17" ht="21" customHeight="1" x14ac:dyDescent="0.2">
      <c r="A1065" s="678">
        <v>9</v>
      </c>
      <c r="B1065" s="114" t="s">
        <v>1759</v>
      </c>
      <c r="C1065" s="114" t="s">
        <v>1759</v>
      </c>
      <c r="D1065" s="134" t="s">
        <v>1760</v>
      </c>
      <c r="E1065" s="1090"/>
      <c r="F1065" s="925"/>
      <c r="G1065" s="100" t="s">
        <v>1600</v>
      </c>
      <c r="H1065" s="100" t="e">
        <f>SUM(H1071:H1075,H1078:H1082,#REF!,#REF!,H1085:H1087)</f>
        <v>#REF!</v>
      </c>
      <c r="I1065" s="100" t="e">
        <f>SUM(I1071+I1073+I1075+I1078+I1080+I1082+I1085+I1087+#REF!+#REF!+#REF!+I1091+#REF!+I1089)</f>
        <v>#REF!</v>
      </c>
      <c r="J1065" s="100">
        <f>SUM(J1071+J1073+J1075+J1078+J1080+J1082+J1085+J1087+J1091+J1089+J1095)</f>
        <v>696.7</v>
      </c>
      <c r="K1065" s="100" t="e">
        <f>SUM(K1071+K1073+K1075+K1078+K1080+K1082+K1085+K1087+#REF!+#REF!+#REF!+K1091+#REF!+K1089)</f>
        <v>#REF!</v>
      </c>
      <c r="L1065" s="127" t="e">
        <f>SUM(L1071+L1073+L1075+L1078+L1080+L1082+L1085+L1087+#REF!+#REF!+#REF!+L1091+#REF!+L1089)</f>
        <v>#REF!</v>
      </c>
      <c r="M1065" s="135"/>
      <c r="N1065" s="1066"/>
      <c r="O1065" s="1018"/>
      <c r="P1065" s="678"/>
      <c r="Q1065" s="678"/>
    </row>
    <row r="1066" spans="1:17" ht="22.15" customHeight="1" x14ac:dyDescent="0.2">
      <c r="A1066" s="678">
        <v>9</v>
      </c>
      <c r="B1066" s="922"/>
      <c r="C1066" s="923"/>
      <c r="D1066" s="924"/>
      <c r="E1066" s="1090"/>
      <c r="F1066" s="925"/>
      <c r="G1066" s="100" t="s">
        <v>1761</v>
      </c>
      <c r="H1066" s="100">
        <f>H1076</f>
        <v>10</v>
      </c>
      <c r="I1066" s="100">
        <f>I1076</f>
        <v>10</v>
      </c>
      <c r="J1066" s="100">
        <f>J1076</f>
        <v>10</v>
      </c>
      <c r="K1066" s="100">
        <f>K1076</f>
        <v>10</v>
      </c>
      <c r="L1066" s="127">
        <f>L1076</f>
        <v>10</v>
      </c>
      <c r="M1066" s="135"/>
      <c r="N1066" s="1066"/>
      <c r="O1066" s="1018"/>
      <c r="P1066" s="678"/>
      <c r="Q1066" s="678"/>
    </row>
    <row r="1067" spans="1:17" ht="20.45" customHeight="1" x14ac:dyDescent="0.2">
      <c r="A1067" s="678">
        <v>9</v>
      </c>
      <c r="B1067" s="922"/>
      <c r="C1067" s="923"/>
      <c r="D1067" s="924"/>
      <c r="E1067" s="1090"/>
      <c r="F1067" s="925"/>
      <c r="G1067" s="100" t="s">
        <v>1762</v>
      </c>
      <c r="H1067" s="100" t="e">
        <f>SUM(H1083+#REF!)</f>
        <v>#REF!</v>
      </c>
      <c r="I1067" s="100" t="e">
        <f>SUM(I1083+#REF!)</f>
        <v>#REF!</v>
      </c>
      <c r="J1067" s="100">
        <f>SUM(J1083)</f>
        <v>209.8</v>
      </c>
      <c r="K1067" s="100" t="e">
        <f>SUM(K1083+#REF!)</f>
        <v>#REF!</v>
      </c>
      <c r="L1067" s="127" t="e">
        <f>SUM(L1083+#REF!)</f>
        <v>#REF!</v>
      </c>
      <c r="M1067" s="135"/>
      <c r="N1067" s="1066"/>
      <c r="O1067" s="1018"/>
      <c r="P1067" s="678"/>
      <c r="Q1067" s="678"/>
    </row>
    <row r="1068" spans="1:17" ht="23.45" customHeight="1" x14ac:dyDescent="0.2">
      <c r="A1068" s="678">
        <v>9</v>
      </c>
      <c r="B1068" s="922"/>
      <c r="C1068" s="923"/>
      <c r="D1068" s="924"/>
      <c r="E1068" s="1090"/>
      <c r="F1068" s="925"/>
      <c r="G1068" s="100" t="s">
        <v>1601</v>
      </c>
      <c r="H1068" s="100"/>
      <c r="I1068" s="100">
        <f>SUM(I1092)</f>
        <v>0</v>
      </c>
      <c r="J1068" s="100">
        <f t="shared" ref="J1068:L1069" si="138">SUM(J1092)</f>
        <v>8.4</v>
      </c>
      <c r="K1068" s="100">
        <f t="shared" si="138"/>
        <v>0</v>
      </c>
      <c r="L1068" s="127">
        <f t="shared" si="138"/>
        <v>0</v>
      </c>
      <c r="M1068" s="135"/>
      <c r="N1068" s="1066"/>
      <c r="O1068" s="1018"/>
      <c r="P1068" s="678"/>
      <c r="Q1068" s="678"/>
    </row>
    <row r="1069" spans="1:17" ht="12.75" customHeight="1" x14ac:dyDescent="0.2">
      <c r="A1069" s="678">
        <v>9</v>
      </c>
      <c r="B1069" s="922"/>
      <c r="C1069" s="923"/>
      <c r="D1069" s="924"/>
      <c r="E1069" s="1090"/>
      <c r="F1069" s="925"/>
      <c r="G1069" s="100" t="s">
        <v>1763</v>
      </c>
      <c r="H1069" s="100"/>
      <c r="I1069" s="100">
        <f>SUM(I1093)</f>
        <v>0</v>
      </c>
      <c r="J1069" s="100">
        <f t="shared" si="138"/>
        <v>31.4</v>
      </c>
      <c r="K1069" s="100">
        <f t="shared" si="138"/>
        <v>0</v>
      </c>
      <c r="L1069" s="127">
        <f t="shared" si="138"/>
        <v>0</v>
      </c>
      <c r="M1069" s="135"/>
      <c r="N1069" s="1066"/>
      <c r="O1069" s="1018"/>
      <c r="P1069" s="678"/>
      <c r="Q1069" s="678"/>
    </row>
    <row r="1070" spans="1:17" ht="12.75" customHeight="1" x14ac:dyDescent="0.2">
      <c r="A1070" s="678">
        <v>9</v>
      </c>
      <c r="B1070" s="679"/>
      <c r="C1070" s="688"/>
      <c r="D1070" s="680"/>
      <c r="E1070" s="681"/>
      <c r="F1070" s="678"/>
      <c r="G1070" s="313" t="s">
        <v>495</v>
      </c>
      <c r="H1070" s="314" t="e">
        <f>SUM(H1065:H1067)</f>
        <v>#REF!</v>
      </c>
      <c r="I1070" s="314" t="e">
        <f>SUM(I1065:I1069)</f>
        <v>#REF!</v>
      </c>
      <c r="J1070" s="314">
        <f t="shared" ref="J1070:L1070" si="139">SUM(J1065:J1069)</f>
        <v>956.3</v>
      </c>
      <c r="K1070" s="314" t="e">
        <f t="shared" si="139"/>
        <v>#REF!</v>
      </c>
      <c r="L1070" s="887" t="e">
        <f t="shared" si="139"/>
        <v>#REF!</v>
      </c>
      <c r="M1070" s="135"/>
      <c r="N1070" s="1053"/>
      <c r="O1070" s="1018"/>
      <c r="P1070" s="678"/>
      <c r="Q1070" s="678"/>
    </row>
    <row r="1071" spans="1:17" ht="12.75" customHeight="1" x14ac:dyDescent="0.2">
      <c r="A1071" s="678">
        <v>9</v>
      </c>
      <c r="B1071" s="679"/>
      <c r="C1071" s="688" t="s">
        <v>1764</v>
      </c>
      <c r="D1071" s="680" t="s">
        <v>1765</v>
      </c>
      <c r="E1071" s="681">
        <v>13</v>
      </c>
      <c r="F1071" s="678" t="s">
        <v>399</v>
      </c>
      <c r="G1071" s="678" t="s">
        <v>8</v>
      </c>
      <c r="H1071" s="685">
        <v>41.800000000000004</v>
      </c>
      <c r="I1071" s="38">
        <v>174.5</v>
      </c>
      <c r="J1071" s="100">
        <f>272-120</f>
        <v>152</v>
      </c>
      <c r="K1071" s="682">
        <f>161+120</f>
        <v>281</v>
      </c>
      <c r="L1071" s="888">
        <v>161</v>
      </c>
      <c r="M1071" s="135" t="s">
        <v>637</v>
      </c>
      <c r="N1071" s="1067" t="s">
        <v>1766</v>
      </c>
      <c r="O1071" s="1018" t="s">
        <v>1767</v>
      </c>
      <c r="P1071" s="678">
        <v>100</v>
      </c>
      <c r="Q1071" s="678"/>
    </row>
    <row r="1072" spans="1:17" ht="12.75" customHeight="1" x14ac:dyDescent="0.2">
      <c r="A1072" s="678">
        <v>9</v>
      </c>
      <c r="B1072" s="679"/>
      <c r="C1072" s="688"/>
      <c r="D1072" s="680"/>
      <c r="E1072" s="681"/>
      <c r="F1072" s="678" t="s">
        <v>399</v>
      </c>
      <c r="G1072" s="318" t="s">
        <v>495</v>
      </c>
      <c r="H1072" s="106"/>
      <c r="I1072" s="106">
        <f>SUM(I1071)</f>
        <v>174.5</v>
      </c>
      <c r="J1072" s="106">
        <f t="shared" ref="J1072:L1072" si="140">SUM(J1071)</f>
        <v>152</v>
      </c>
      <c r="K1072" s="106">
        <f t="shared" si="140"/>
        <v>281</v>
      </c>
      <c r="L1072" s="890">
        <f t="shared" si="140"/>
        <v>161</v>
      </c>
      <c r="M1072" s="135"/>
      <c r="N1072" s="1053"/>
      <c r="O1072" s="1018"/>
      <c r="P1072" s="678"/>
      <c r="Q1072" s="678"/>
    </row>
    <row r="1073" spans="1:17" ht="12.75" customHeight="1" x14ac:dyDescent="0.2">
      <c r="A1073" s="678">
        <v>9</v>
      </c>
      <c r="B1073" s="679"/>
      <c r="C1073" s="688" t="s">
        <v>1768</v>
      </c>
      <c r="D1073" s="680" t="s">
        <v>1769</v>
      </c>
      <c r="E1073" s="681">
        <v>3</v>
      </c>
      <c r="F1073" s="678" t="s">
        <v>1770</v>
      </c>
      <c r="G1073" s="678" t="s">
        <v>8</v>
      </c>
      <c r="H1073" s="685">
        <v>109.8</v>
      </c>
      <c r="I1073" s="38">
        <v>41.1</v>
      </c>
      <c r="J1073" s="100">
        <f>200-40</f>
        <v>160</v>
      </c>
      <c r="K1073" s="682">
        <v>200</v>
      </c>
      <c r="L1073" s="888">
        <v>200</v>
      </c>
      <c r="M1073" s="135" t="s">
        <v>637</v>
      </c>
      <c r="N1073" s="837" t="s">
        <v>1771</v>
      </c>
      <c r="O1073" s="1018" t="s">
        <v>1772</v>
      </c>
      <c r="P1073" s="678">
        <v>100</v>
      </c>
      <c r="Q1073" s="678"/>
    </row>
    <row r="1074" spans="1:17" x14ac:dyDescent="0.2">
      <c r="A1074" s="678">
        <v>9</v>
      </c>
      <c r="B1074" s="679"/>
      <c r="C1074" s="688"/>
      <c r="D1074" s="680"/>
      <c r="E1074" s="681"/>
      <c r="F1074" s="678" t="s">
        <v>1770</v>
      </c>
      <c r="G1074" s="318" t="s">
        <v>495</v>
      </c>
      <c r="H1074" s="106"/>
      <c r="I1074" s="106" t="e">
        <f>SUM(I1073,#REF!)</f>
        <v>#REF!</v>
      </c>
      <c r="J1074" s="106">
        <f>SUM(J1073)</f>
        <v>160</v>
      </c>
      <c r="K1074" s="106" t="e">
        <f>SUM(K1073,#REF!)</f>
        <v>#REF!</v>
      </c>
      <c r="L1074" s="890" t="e">
        <f>SUM(L1073,#REF!)</f>
        <v>#REF!</v>
      </c>
      <c r="M1074" s="135"/>
      <c r="N1074" s="1053"/>
      <c r="O1074" s="1018"/>
      <c r="P1074" s="678"/>
      <c r="Q1074" s="678"/>
    </row>
    <row r="1075" spans="1:17" ht="99.6" customHeight="1" x14ac:dyDescent="0.2">
      <c r="A1075" s="678">
        <v>9</v>
      </c>
      <c r="B1075" s="679"/>
      <c r="C1075" s="688" t="s">
        <v>1773</v>
      </c>
      <c r="D1075" s="680" t="s">
        <v>1774</v>
      </c>
      <c r="E1075" s="681">
        <v>10</v>
      </c>
      <c r="F1075" s="678" t="s">
        <v>463</v>
      </c>
      <c r="G1075" s="67" t="s">
        <v>8</v>
      </c>
      <c r="H1075" s="37">
        <v>36.799999999999997</v>
      </c>
      <c r="I1075" s="38">
        <v>37.1</v>
      </c>
      <c r="J1075" s="100">
        <v>50</v>
      </c>
      <c r="K1075" s="26">
        <v>50</v>
      </c>
      <c r="L1075" s="27">
        <v>50</v>
      </c>
      <c r="M1075" s="135" t="s">
        <v>624</v>
      </c>
      <c r="N1075" s="1053" t="s">
        <v>1619</v>
      </c>
      <c r="O1075" s="1018" t="s">
        <v>1775</v>
      </c>
      <c r="P1075" s="751" t="s">
        <v>1776</v>
      </c>
      <c r="Q1075" s="678"/>
    </row>
    <row r="1076" spans="1:17" ht="27" customHeight="1" x14ac:dyDescent="0.2">
      <c r="A1076" s="678">
        <v>9</v>
      </c>
      <c r="B1076" s="679"/>
      <c r="C1076" s="688"/>
      <c r="D1076" s="680"/>
      <c r="E1076" s="681">
        <v>10</v>
      </c>
      <c r="F1076" s="678" t="s">
        <v>463</v>
      </c>
      <c r="G1076" s="67" t="s">
        <v>74</v>
      </c>
      <c r="H1076" s="37">
        <v>10</v>
      </c>
      <c r="I1076" s="38">
        <v>10</v>
      </c>
      <c r="J1076" s="100">
        <v>10</v>
      </c>
      <c r="K1076" s="26">
        <v>10</v>
      </c>
      <c r="L1076" s="27">
        <v>10</v>
      </c>
      <c r="M1076" s="135"/>
      <c r="N1076" s="1053" t="s">
        <v>1619</v>
      </c>
      <c r="O1076" s="1018"/>
      <c r="P1076" s="678"/>
      <c r="Q1076" s="678"/>
    </row>
    <row r="1077" spans="1:17" ht="12.75" customHeight="1" x14ac:dyDescent="0.2">
      <c r="A1077" s="678">
        <v>9</v>
      </c>
      <c r="B1077" s="679"/>
      <c r="C1077" s="688"/>
      <c r="D1077" s="680"/>
      <c r="E1077" s="681"/>
      <c r="F1077" s="678" t="s">
        <v>463</v>
      </c>
      <c r="G1077" s="318" t="s">
        <v>495</v>
      </c>
      <c r="H1077" s="106"/>
      <c r="I1077" s="106">
        <f>SUM(I1075:I1076)</f>
        <v>47.1</v>
      </c>
      <c r="J1077" s="106">
        <f>SUM(J1075:J1076)</f>
        <v>60</v>
      </c>
      <c r="K1077" s="106">
        <f>SUM(K1075:K1076)</f>
        <v>60</v>
      </c>
      <c r="L1077" s="890">
        <f>SUM(L1075:L1076)</f>
        <v>60</v>
      </c>
      <c r="M1077" s="135"/>
      <c r="N1077" s="1053"/>
      <c r="O1077" s="1018"/>
      <c r="P1077" s="678"/>
      <c r="Q1077" s="678"/>
    </row>
    <row r="1078" spans="1:17" ht="12.75" customHeight="1" x14ac:dyDescent="0.2">
      <c r="A1078" s="678">
        <v>9</v>
      </c>
      <c r="B1078" s="679"/>
      <c r="C1078" s="688" t="s">
        <v>1777</v>
      </c>
      <c r="D1078" s="680" t="s">
        <v>464</v>
      </c>
      <c r="E1078" s="681">
        <v>10</v>
      </c>
      <c r="F1078" s="678" t="s">
        <v>465</v>
      </c>
      <c r="G1078" s="67" t="s">
        <v>8</v>
      </c>
      <c r="H1078" s="37">
        <v>24.8</v>
      </c>
      <c r="I1078" s="38">
        <v>32.200000000000003</v>
      </c>
      <c r="J1078" s="100">
        <v>34.9</v>
      </c>
      <c r="K1078" s="6">
        <v>34.9</v>
      </c>
      <c r="L1078" s="25">
        <v>34.9</v>
      </c>
      <c r="M1078" s="135" t="s">
        <v>624</v>
      </c>
      <c r="N1078" s="1062" t="s">
        <v>1778</v>
      </c>
      <c r="O1078" s="1018" t="s">
        <v>1779</v>
      </c>
      <c r="P1078" s="678">
        <v>100</v>
      </c>
      <c r="Q1078" s="678"/>
    </row>
    <row r="1079" spans="1:17" ht="12.75" customHeight="1" x14ac:dyDescent="0.2">
      <c r="A1079" s="678">
        <v>9</v>
      </c>
      <c r="B1079" s="679"/>
      <c r="C1079" s="688"/>
      <c r="D1079" s="680"/>
      <c r="E1079" s="681"/>
      <c r="F1079" s="678" t="s">
        <v>465</v>
      </c>
      <c r="G1079" s="318" t="s">
        <v>495</v>
      </c>
      <c r="H1079" s="106"/>
      <c r="I1079" s="106">
        <f>SUM(I1078)</f>
        <v>32.200000000000003</v>
      </c>
      <c r="J1079" s="106">
        <f>SUM(J1078)</f>
        <v>34.9</v>
      </c>
      <c r="K1079" s="106">
        <f>SUM(K1078)</f>
        <v>34.9</v>
      </c>
      <c r="L1079" s="890">
        <f>SUM(L1078)</f>
        <v>34.9</v>
      </c>
      <c r="M1079" s="135"/>
      <c r="N1079" s="1053"/>
      <c r="O1079" s="1018"/>
      <c r="P1079" s="678"/>
      <c r="Q1079" s="678"/>
    </row>
    <row r="1080" spans="1:17" ht="12.75" customHeight="1" x14ac:dyDescent="0.2">
      <c r="A1080" s="678">
        <v>9</v>
      </c>
      <c r="B1080" s="679"/>
      <c r="C1080" s="688" t="s">
        <v>1780</v>
      </c>
      <c r="D1080" s="689" t="s">
        <v>466</v>
      </c>
      <c r="E1080" s="681" t="s">
        <v>401</v>
      </c>
      <c r="F1080" s="678" t="s">
        <v>467</v>
      </c>
      <c r="G1080" s="678" t="s">
        <v>8</v>
      </c>
      <c r="H1080" s="685">
        <v>30.4</v>
      </c>
      <c r="I1080" s="38">
        <v>40.4</v>
      </c>
      <c r="J1080" s="100">
        <v>46.8</v>
      </c>
      <c r="K1080" s="682">
        <v>46.8</v>
      </c>
      <c r="L1080" s="888">
        <v>46.8</v>
      </c>
      <c r="M1080" s="135" t="s">
        <v>624</v>
      </c>
      <c r="N1080" s="1058" t="s">
        <v>1781</v>
      </c>
      <c r="O1080" s="1018" t="s">
        <v>1083</v>
      </c>
      <c r="P1080" s="678">
        <v>100</v>
      </c>
      <c r="Q1080" s="678"/>
    </row>
    <row r="1081" spans="1:17" x14ac:dyDescent="0.2">
      <c r="A1081" s="678">
        <v>9</v>
      </c>
      <c r="B1081" s="679"/>
      <c r="C1081" s="688"/>
      <c r="D1081" s="689"/>
      <c r="E1081" s="681"/>
      <c r="F1081" s="678" t="s">
        <v>467</v>
      </c>
      <c r="G1081" s="318" t="s">
        <v>495</v>
      </c>
      <c r="H1081" s="106"/>
      <c r="I1081" s="106">
        <f>SUM(I1080)</f>
        <v>40.4</v>
      </c>
      <c r="J1081" s="106">
        <f>SUM(J1080)</f>
        <v>46.8</v>
      </c>
      <c r="K1081" s="106">
        <f>SUM(K1080)</f>
        <v>46.8</v>
      </c>
      <c r="L1081" s="890">
        <f>SUM(L1080)</f>
        <v>46.8</v>
      </c>
      <c r="M1081" s="135"/>
      <c r="N1081" s="1053"/>
      <c r="O1081" s="1018"/>
      <c r="P1081" s="678"/>
      <c r="Q1081" s="678"/>
    </row>
    <row r="1082" spans="1:17" ht="22.5" x14ac:dyDescent="0.2">
      <c r="A1082" s="678">
        <v>9</v>
      </c>
      <c r="B1082" s="679"/>
      <c r="C1082" s="688" t="s">
        <v>1782</v>
      </c>
      <c r="D1082" s="51" t="s">
        <v>468</v>
      </c>
      <c r="E1082" s="754" t="s">
        <v>469</v>
      </c>
      <c r="F1082" s="43" t="s">
        <v>470</v>
      </c>
      <c r="G1082" s="678" t="s">
        <v>8</v>
      </c>
      <c r="H1082" s="685">
        <v>50</v>
      </c>
      <c r="I1082" s="38">
        <v>73.900000000000006</v>
      </c>
      <c r="J1082" s="100">
        <f>400-200-30</f>
        <v>170</v>
      </c>
      <c r="K1082" s="682">
        <f>500+200-200</f>
        <v>500</v>
      </c>
      <c r="L1082" s="888">
        <f>600+200</f>
        <v>800</v>
      </c>
      <c r="M1082" s="135" t="s">
        <v>624</v>
      </c>
      <c r="N1082" s="1053" t="s">
        <v>1783</v>
      </c>
      <c r="O1082" s="1018" t="s">
        <v>1784</v>
      </c>
      <c r="P1082" s="678">
        <v>5</v>
      </c>
      <c r="Q1082" s="678"/>
    </row>
    <row r="1083" spans="1:17" ht="22.5" x14ac:dyDescent="0.2">
      <c r="A1083" s="678">
        <v>9</v>
      </c>
      <c r="B1083" s="679"/>
      <c r="C1083" s="688"/>
      <c r="D1083" s="51"/>
      <c r="E1083" s="754" t="s">
        <v>469</v>
      </c>
      <c r="F1083" s="43" t="s">
        <v>470</v>
      </c>
      <c r="G1083" s="678" t="s">
        <v>9</v>
      </c>
      <c r="H1083" s="685">
        <v>56.3</v>
      </c>
      <c r="I1083" s="38">
        <v>127.7</v>
      </c>
      <c r="J1083" s="100">
        <v>209.8</v>
      </c>
      <c r="K1083" s="682"/>
      <c r="L1083" s="888"/>
      <c r="M1083" s="135" t="s">
        <v>624</v>
      </c>
      <c r="N1083" s="1053" t="s">
        <v>1783</v>
      </c>
      <c r="O1083" s="1018"/>
      <c r="P1083" s="678"/>
      <c r="Q1083" s="678"/>
    </row>
    <row r="1084" spans="1:17" x14ac:dyDescent="0.2">
      <c r="A1084" s="678">
        <v>9</v>
      </c>
      <c r="B1084" s="679"/>
      <c r="C1084" s="688"/>
      <c r="D1084" s="51"/>
      <c r="E1084" s="222"/>
      <c r="F1084" s="43" t="s">
        <v>470</v>
      </c>
      <c r="G1084" s="318" t="s">
        <v>495</v>
      </c>
      <c r="H1084" s="106">
        <f>SUM(H1082:H1083)</f>
        <v>106.3</v>
      </c>
      <c r="I1084" s="106">
        <f>SUM(I1082:I1083)</f>
        <v>201.60000000000002</v>
      </c>
      <c r="J1084" s="106">
        <f>SUM(J1082:J1083)</f>
        <v>379.8</v>
      </c>
      <c r="K1084" s="106">
        <f>SUM(K1082:K1083)</f>
        <v>500</v>
      </c>
      <c r="L1084" s="890">
        <f>SUM(L1082:L1083)</f>
        <v>800</v>
      </c>
      <c r="M1084" s="135"/>
      <c r="N1084" s="1053"/>
      <c r="O1084" s="1018"/>
      <c r="P1084" s="678"/>
      <c r="Q1084" s="678"/>
    </row>
    <row r="1085" spans="1:17" ht="36" customHeight="1" x14ac:dyDescent="0.2">
      <c r="A1085" s="678">
        <v>9</v>
      </c>
      <c r="B1085" s="679"/>
      <c r="C1085" s="688" t="s">
        <v>1785</v>
      </c>
      <c r="D1085" s="680" t="s">
        <v>491</v>
      </c>
      <c r="E1085" s="681">
        <v>36</v>
      </c>
      <c r="F1085" s="678" t="s">
        <v>492</v>
      </c>
      <c r="G1085" s="678" t="s">
        <v>8</v>
      </c>
      <c r="H1085" s="685">
        <v>16.600000000000001</v>
      </c>
      <c r="I1085" s="15">
        <v>36.6</v>
      </c>
      <c r="J1085" s="100">
        <v>50</v>
      </c>
      <c r="K1085" s="682">
        <v>50</v>
      </c>
      <c r="L1085" s="888">
        <v>50</v>
      </c>
      <c r="M1085" s="135" t="s">
        <v>624</v>
      </c>
      <c r="N1085" s="1053" t="s">
        <v>1786</v>
      </c>
      <c r="O1085" s="1018" t="s">
        <v>1787</v>
      </c>
      <c r="P1085" s="678">
        <v>5</v>
      </c>
      <c r="Q1085" s="678"/>
    </row>
    <row r="1086" spans="1:17" x14ac:dyDescent="0.2">
      <c r="A1086" s="678">
        <v>9</v>
      </c>
      <c r="B1086" s="679"/>
      <c r="C1086" s="688"/>
      <c r="D1086" s="680"/>
      <c r="E1086" s="681">
        <v>36</v>
      </c>
      <c r="F1086" s="678" t="s">
        <v>492</v>
      </c>
      <c r="G1086" s="318" t="s">
        <v>495</v>
      </c>
      <c r="H1086" s="106"/>
      <c r="I1086" s="106">
        <f>SUM(I1085)</f>
        <v>36.6</v>
      </c>
      <c r="J1086" s="106">
        <f>SUM(J1085)</f>
        <v>50</v>
      </c>
      <c r="K1086" s="106">
        <f>SUM(K1085)</f>
        <v>50</v>
      </c>
      <c r="L1086" s="890">
        <f>SUM(L1085)</f>
        <v>50</v>
      </c>
      <c r="M1086" s="135"/>
      <c r="N1086" s="1053"/>
      <c r="O1086" s="1018"/>
      <c r="P1086" s="678"/>
      <c r="Q1086" s="678"/>
    </row>
    <row r="1087" spans="1:17" ht="28.15" customHeight="1" x14ac:dyDescent="0.2">
      <c r="A1087" s="678">
        <v>9</v>
      </c>
      <c r="B1087" s="679"/>
      <c r="C1087" s="688" t="s">
        <v>1788</v>
      </c>
      <c r="D1087" s="680" t="s">
        <v>493</v>
      </c>
      <c r="E1087" s="681">
        <v>36</v>
      </c>
      <c r="F1087" s="678" t="s">
        <v>494</v>
      </c>
      <c r="G1087" s="678" t="s">
        <v>8</v>
      </c>
      <c r="H1087" s="685">
        <v>8.4</v>
      </c>
      <c r="I1087" s="38">
        <v>5.8</v>
      </c>
      <c r="J1087" s="100">
        <v>10</v>
      </c>
      <c r="K1087" s="682">
        <v>10</v>
      </c>
      <c r="L1087" s="888">
        <v>10</v>
      </c>
      <c r="M1087" s="135" t="s">
        <v>624</v>
      </c>
      <c r="N1087" s="1053" t="s">
        <v>1789</v>
      </c>
      <c r="O1087" s="1018" t="s">
        <v>1790</v>
      </c>
      <c r="P1087" s="678">
        <v>7</v>
      </c>
      <c r="Q1087" s="678"/>
    </row>
    <row r="1088" spans="1:17" x14ac:dyDescent="0.2">
      <c r="A1088" s="678">
        <v>9</v>
      </c>
      <c r="B1088" s="679"/>
      <c r="C1088" s="688"/>
      <c r="D1088" s="680"/>
      <c r="E1088" s="681">
        <v>36</v>
      </c>
      <c r="F1088" s="678" t="s">
        <v>494</v>
      </c>
      <c r="G1088" s="318" t="s">
        <v>495</v>
      </c>
      <c r="H1088" s="106"/>
      <c r="I1088" s="106">
        <f>SUM(I1087)</f>
        <v>5.8</v>
      </c>
      <c r="J1088" s="106">
        <f>SUM(J1087)</f>
        <v>10</v>
      </c>
      <c r="K1088" s="106">
        <f>SUM(K1087)</f>
        <v>10</v>
      </c>
      <c r="L1088" s="890">
        <f>SUM(L1087)</f>
        <v>10</v>
      </c>
      <c r="M1088" s="135"/>
      <c r="N1088" s="1053"/>
      <c r="O1088" s="1018"/>
      <c r="P1088" s="678"/>
      <c r="Q1088" s="678"/>
    </row>
    <row r="1089" spans="1:17" ht="21" customHeight="1" x14ac:dyDescent="0.2">
      <c r="A1089" s="678">
        <v>9</v>
      </c>
      <c r="B1089" s="679"/>
      <c r="C1089" s="688" t="s">
        <v>1791</v>
      </c>
      <c r="D1089" s="680" t="s">
        <v>1792</v>
      </c>
      <c r="E1089" s="681">
        <v>13</v>
      </c>
      <c r="F1089" s="678" t="s">
        <v>1793</v>
      </c>
      <c r="G1089" s="678" t="s">
        <v>8</v>
      </c>
      <c r="H1089" s="685"/>
      <c r="I1089" s="38">
        <v>8.6</v>
      </c>
      <c r="J1089" s="100">
        <v>10</v>
      </c>
      <c r="K1089" s="682">
        <v>10</v>
      </c>
      <c r="L1089" s="888">
        <v>10</v>
      </c>
      <c r="M1089" s="135" t="s">
        <v>637</v>
      </c>
      <c r="N1089" s="1053" t="s">
        <v>1794</v>
      </c>
      <c r="O1089" s="1018" t="s">
        <v>1795</v>
      </c>
      <c r="P1089" s="678">
        <v>3</v>
      </c>
      <c r="Q1089" s="678"/>
    </row>
    <row r="1090" spans="1:17" x14ac:dyDescent="0.2">
      <c r="A1090" s="678">
        <v>9</v>
      </c>
      <c r="B1090" s="679"/>
      <c r="C1090" s="688"/>
      <c r="D1090" s="680"/>
      <c r="E1090" s="678">
        <v>13</v>
      </c>
      <c r="F1090" s="678" t="s">
        <v>1793</v>
      </c>
      <c r="G1090" s="318" t="s">
        <v>495</v>
      </c>
      <c r="H1090" s="106"/>
      <c r="I1090" s="106">
        <f>SUM(I1089)</f>
        <v>8.6</v>
      </c>
      <c r="J1090" s="106">
        <f t="shared" ref="J1090:L1090" si="141">SUM(J1089)</f>
        <v>10</v>
      </c>
      <c r="K1090" s="106">
        <f t="shared" si="141"/>
        <v>10</v>
      </c>
      <c r="L1090" s="890">
        <f t="shared" si="141"/>
        <v>10</v>
      </c>
      <c r="M1090" s="135"/>
      <c r="N1090" s="1053"/>
      <c r="O1090" s="1018"/>
      <c r="P1090" s="678"/>
      <c r="Q1090" s="678"/>
    </row>
    <row r="1091" spans="1:17" ht="29.45" customHeight="1" x14ac:dyDescent="0.2">
      <c r="A1091" s="678">
        <v>9</v>
      </c>
      <c r="B1091" s="679"/>
      <c r="C1091" s="688" t="s">
        <v>1796</v>
      </c>
      <c r="D1091" s="680" t="s">
        <v>1797</v>
      </c>
      <c r="E1091" s="678">
        <v>10</v>
      </c>
      <c r="F1091" s="678" t="s">
        <v>1798</v>
      </c>
      <c r="G1091" s="678" t="s">
        <v>8</v>
      </c>
      <c r="H1091" s="685"/>
      <c r="I1091" s="38"/>
      <c r="J1091" s="100">
        <v>10</v>
      </c>
      <c r="K1091" s="682"/>
      <c r="L1091" s="888"/>
      <c r="M1091" s="135" t="s">
        <v>697</v>
      </c>
      <c r="N1091" s="1053" t="s">
        <v>1799</v>
      </c>
      <c r="O1091" s="1094" t="s">
        <v>1910</v>
      </c>
      <c r="P1091" s="1095">
        <v>1</v>
      </c>
      <c r="Q1091" s="678"/>
    </row>
    <row r="1092" spans="1:17" ht="12.75" customHeight="1" x14ac:dyDescent="0.2">
      <c r="A1092" s="678">
        <v>9</v>
      </c>
      <c r="B1092" s="679"/>
      <c r="C1092" s="688"/>
      <c r="D1092" s="680"/>
      <c r="E1092" s="678">
        <v>10</v>
      </c>
      <c r="F1092" s="678" t="s">
        <v>1798</v>
      </c>
      <c r="G1092" s="678" t="s">
        <v>10</v>
      </c>
      <c r="H1092" s="685"/>
      <c r="I1092" s="38"/>
      <c r="J1092" s="100">
        <v>8.4</v>
      </c>
      <c r="K1092" s="682"/>
      <c r="L1092" s="888"/>
      <c r="M1092" s="135" t="s">
        <v>697</v>
      </c>
      <c r="N1092" s="1053" t="s">
        <v>1799</v>
      </c>
      <c r="O1092" s="1018"/>
      <c r="P1092" s="678"/>
      <c r="Q1092" s="678"/>
    </row>
    <row r="1093" spans="1:17" ht="12.75" customHeight="1" x14ac:dyDescent="0.2">
      <c r="A1093" s="678">
        <v>9</v>
      </c>
      <c r="B1093" s="679"/>
      <c r="C1093" s="688"/>
      <c r="D1093" s="680"/>
      <c r="E1093" s="678">
        <v>10</v>
      </c>
      <c r="F1093" s="678" t="s">
        <v>1798</v>
      </c>
      <c r="G1093" s="678" t="s">
        <v>37</v>
      </c>
      <c r="H1093" s="685"/>
      <c r="I1093" s="38"/>
      <c r="J1093" s="100">
        <v>31.4</v>
      </c>
      <c r="K1093" s="683"/>
      <c r="L1093" s="888"/>
      <c r="M1093" s="135" t="s">
        <v>697</v>
      </c>
      <c r="N1093" s="1053" t="s">
        <v>1799</v>
      </c>
      <c r="O1093" s="1018"/>
      <c r="P1093" s="678"/>
      <c r="Q1093" s="678"/>
    </row>
    <row r="1094" spans="1:17" x14ac:dyDescent="0.2">
      <c r="A1094" s="678">
        <v>9</v>
      </c>
      <c r="B1094" s="679"/>
      <c r="C1094" s="688"/>
      <c r="D1094" s="680"/>
      <c r="E1094" s="678">
        <v>10</v>
      </c>
      <c r="F1094" s="678" t="s">
        <v>1798</v>
      </c>
      <c r="G1094" s="318" t="s">
        <v>495</v>
      </c>
      <c r="H1094" s="106"/>
      <c r="I1094" s="106">
        <f>SUM(I1091:I1093)</f>
        <v>0</v>
      </c>
      <c r="J1094" s="106">
        <f t="shared" ref="J1094:L1094" si="142">SUM(J1091:J1093)</f>
        <v>49.8</v>
      </c>
      <c r="K1094" s="106">
        <f t="shared" si="142"/>
        <v>0</v>
      </c>
      <c r="L1094" s="890">
        <f t="shared" si="142"/>
        <v>0</v>
      </c>
      <c r="M1094" s="135" t="s">
        <v>697</v>
      </c>
      <c r="N1094" s="1053"/>
      <c r="O1094" s="1018"/>
      <c r="P1094" s="678"/>
      <c r="Q1094" s="678"/>
    </row>
    <row r="1095" spans="1:17" ht="22.5" x14ac:dyDescent="0.2">
      <c r="A1095" s="678">
        <v>9</v>
      </c>
      <c r="B1095" s="679"/>
      <c r="C1095" s="1101" t="s">
        <v>1931</v>
      </c>
      <c r="D1095" s="1102" t="s">
        <v>1932</v>
      </c>
      <c r="E1095" s="1103">
        <v>10</v>
      </c>
      <c r="F1095" s="1103" t="s">
        <v>1933</v>
      </c>
      <c r="G1095" s="1108" t="s">
        <v>8</v>
      </c>
      <c r="H1095" s="685"/>
      <c r="I1095" s="38"/>
      <c r="J1095" s="100">
        <v>3</v>
      </c>
      <c r="K1095" s="683"/>
      <c r="L1095" s="888"/>
      <c r="M1095" s="135"/>
      <c r="N1095" s="1104" t="s">
        <v>1916</v>
      </c>
      <c r="O1095" s="1104" t="s">
        <v>1779</v>
      </c>
      <c r="P1095" s="1103">
        <v>100</v>
      </c>
      <c r="Q1095" s="678"/>
    </row>
    <row r="1096" spans="1:17" x14ac:dyDescent="0.2">
      <c r="A1096" s="678">
        <v>9</v>
      </c>
      <c r="B1096" s="679"/>
      <c r="C1096" s="688"/>
      <c r="D1096" s="680"/>
      <c r="E1096" s="1103">
        <v>10</v>
      </c>
      <c r="F1096" s="1103" t="s">
        <v>1933</v>
      </c>
      <c r="G1096" s="318" t="s">
        <v>495</v>
      </c>
      <c r="H1096" s="106"/>
      <c r="I1096" s="106">
        <f>SUM(I1093:I1095)</f>
        <v>0</v>
      </c>
      <c r="J1096" s="106">
        <f>SUM(J1095:M1095)</f>
        <v>3</v>
      </c>
      <c r="K1096" s="106"/>
      <c r="L1096" s="890"/>
      <c r="M1096" s="135"/>
      <c r="N1096" s="1053"/>
      <c r="O1096" s="1018"/>
      <c r="P1096" s="678"/>
      <c r="Q1096" s="678"/>
    </row>
    <row r="1097" spans="1:17" ht="29.45" customHeight="1" x14ac:dyDescent="0.2">
      <c r="A1097" s="678">
        <v>9</v>
      </c>
      <c r="B1097" s="95"/>
      <c r="C1097" s="95"/>
      <c r="D1097" s="96" t="s">
        <v>1800</v>
      </c>
      <c r="E1097" s="918"/>
      <c r="F1097" s="97"/>
      <c r="G1097" s="95"/>
      <c r="H1097" s="98"/>
      <c r="I1097" s="97"/>
      <c r="J1097" s="97"/>
      <c r="K1097" s="97"/>
      <c r="L1097" s="431"/>
      <c r="M1097" s="135"/>
      <c r="N1097" s="1053"/>
      <c r="O1097" s="1018"/>
      <c r="P1097" s="678"/>
      <c r="Q1097" s="678"/>
    </row>
    <row r="1098" spans="1:17" ht="24.6" customHeight="1" x14ac:dyDescent="0.2">
      <c r="A1098" s="678">
        <v>9</v>
      </c>
      <c r="B1098" s="114" t="s">
        <v>1801</v>
      </c>
      <c r="C1098" s="114" t="s">
        <v>1801</v>
      </c>
      <c r="D1098" s="134" t="s">
        <v>1802</v>
      </c>
      <c r="E1098" s="681"/>
      <c r="F1098" s="678"/>
      <c r="G1098" s="115" t="s">
        <v>1754</v>
      </c>
      <c r="H1098" s="317" t="e">
        <f>SUM(H1107+H1110+H1114+H1116+H1118+H1124+H1126+H1130+H1131+#REF!+H1133+H1135+H1139+#REF!)</f>
        <v>#REF!</v>
      </c>
      <c r="I1098" s="115" t="e">
        <f>SUM(I1107+I1110+I1114+I1116+I1118+I1122+I1124+I1126+I1130+I1131+I1133+I1139+I1135+#REF!+#REF!+I1141)</f>
        <v>#REF!</v>
      </c>
      <c r="J1098" s="115">
        <f>SUM(J1107+J1110+J1114+J1116+J1118+J1122+J1124+J1126+J1130+J1131+J1133+J1139+J1135+J1141+J1108+J1143)</f>
        <v>1130.2999999999997</v>
      </c>
      <c r="K1098" s="115" t="e">
        <f>SUM(K1107+K1110+K1114+K1116+K1118+K1122+K1124+K1126+K1130+K1131+K1133+K1139+K1135+#REF!+#REF!+K1141)</f>
        <v>#REF!</v>
      </c>
      <c r="L1098" s="823" t="e">
        <f>SUM(L1107+L1110+L1114+L1116+L1118+L1122+L1124+L1126+L1130+L1131+L1133+L1139+L1135+#REF!+#REF!+L1141)</f>
        <v>#REF!</v>
      </c>
      <c r="M1098" s="135"/>
      <c r="N1098" s="1053"/>
      <c r="O1098" s="1018"/>
      <c r="P1098" s="678"/>
      <c r="Q1098" s="678"/>
    </row>
    <row r="1099" spans="1:17" ht="12.75" customHeight="1" x14ac:dyDescent="0.2">
      <c r="A1099" s="678">
        <v>9</v>
      </c>
      <c r="B1099" s="679"/>
      <c r="C1099" s="678"/>
      <c r="D1099" s="680"/>
      <c r="E1099" s="681"/>
      <c r="F1099" s="678"/>
      <c r="G1099" s="115" t="s">
        <v>1803</v>
      </c>
      <c r="H1099" s="317">
        <f>H1111</f>
        <v>14.3</v>
      </c>
      <c r="I1099" s="115">
        <f>I1111+I1120</f>
        <v>50</v>
      </c>
      <c r="J1099" s="115">
        <f t="shared" ref="J1099:L1099" si="143">J1111+J1120</f>
        <v>0</v>
      </c>
      <c r="K1099" s="115">
        <f t="shared" si="143"/>
        <v>200</v>
      </c>
      <c r="L1099" s="823">
        <f t="shared" si="143"/>
        <v>0</v>
      </c>
      <c r="M1099" s="135"/>
      <c r="N1099" s="1053"/>
      <c r="O1099" s="1018"/>
      <c r="P1099" s="678"/>
      <c r="Q1099" s="678"/>
    </row>
    <row r="1100" spans="1:17" ht="12.75" customHeight="1" x14ac:dyDescent="0.2">
      <c r="A1100" s="678">
        <v>9</v>
      </c>
      <c r="B1100" s="679"/>
      <c r="C1100" s="678"/>
      <c r="D1100" s="680"/>
      <c r="E1100" s="681"/>
      <c r="F1100" s="678"/>
      <c r="G1100" s="115" t="s">
        <v>1804</v>
      </c>
      <c r="H1100" s="317"/>
      <c r="I1100" s="115">
        <f>I1112</f>
        <v>0</v>
      </c>
      <c r="J1100" s="115">
        <f t="shared" ref="J1100:L1100" si="144">J1112</f>
        <v>24</v>
      </c>
      <c r="K1100" s="115">
        <f t="shared" si="144"/>
        <v>20</v>
      </c>
      <c r="L1100" s="823">
        <f t="shared" si="144"/>
        <v>20</v>
      </c>
      <c r="M1100" s="135"/>
      <c r="N1100" s="1053"/>
      <c r="O1100" s="1018"/>
      <c r="P1100" s="678"/>
      <c r="Q1100" s="678"/>
    </row>
    <row r="1101" spans="1:17" ht="12.75" customHeight="1" x14ac:dyDescent="0.2">
      <c r="A1101" s="678">
        <v>9</v>
      </c>
      <c r="B1101" s="679"/>
      <c r="C1101" s="678"/>
      <c r="D1101" s="680"/>
      <c r="E1101" s="681"/>
      <c r="F1101" s="678"/>
      <c r="G1101" s="115" t="s">
        <v>1805</v>
      </c>
      <c r="H1101" s="317">
        <f>H1127</f>
        <v>42.6</v>
      </c>
      <c r="I1101" s="115">
        <f t="shared" ref="I1101:L1102" si="145">I1127</f>
        <v>81.5</v>
      </c>
      <c r="J1101" s="115">
        <f t="shared" si="145"/>
        <v>88.1</v>
      </c>
      <c r="K1101" s="115">
        <f t="shared" si="145"/>
        <v>83</v>
      </c>
      <c r="L1101" s="823">
        <f t="shared" si="145"/>
        <v>83</v>
      </c>
      <c r="M1101" s="135"/>
      <c r="N1101" s="1053"/>
      <c r="O1101" s="1018"/>
      <c r="P1101" s="678"/>
      <c r="Q1101" s="678"/>
    </row>
    <row r="1102" spans="1:17" ht="12.75" customHeight="1" x14ac:dyDescent="0.2">
      <c r="A1102" s="678">
        <v>9</v>
      </c>
      <c r="B1102" s="679"/>
      <c r="C1102" s="678"/>
      <c r="D1102" s="680"/>
      <c r="E1102" s="681"/>
      <c r="F1102" s="678"/>
      <c r="G1102" s="115" t="s">
        <v>1806</v>
      </c>
      <c r="H1102" s="317">
        <f>H1128</f>
        <v>0.1</v>
      </c>
      <c r="I1102" s="115">
        <f t="shared" si="145"/>
        <v>8.4</v>
      </c>
      <c r="J1102" s="115">
        <f t="shared" si="145"/>
        <v>0</v>
      </c>
      <c r="K1102" s="115">
        <f t="shared" si="145"/>
        <v>0</v>
      </c>
      <c r="L1102" s="823">
        <f t="shared" si="145"/>
        <v>0</v>
      </c>
      <c r="M1102" s="135"/>
      <c r="N1102" s="1053"/>
      <c r="O1102" s="1018"/>
      <c r="P1102" s="678"/>
      <c r="Q1102" s="678"/>
    </row>
    <row r="1103" spans="1:17" ht="12.75" customHeight="1" x14ac:dyDescent="0.2">
      <c r="A1103" s="678">
        <v>9</v>
      </c>
      <c r="B1103" s="679"/>
      <c r="C1103" s="678"/>
      <c r="D1103" s="680"/>
      <c r="E1103" s="681"/>
      <c r="F1103" s="678"/>
      <c r="G1103" s="115" t="s">
        <v>1807</v>
      </c>
      <c r="H1103" s="317">
        <f>H1136</f>
        <v>0</v>
      </c>
      <c r="I1103" s="115">
        <f>I1136</f>
        <v>0</v>
      </c>
      <c r="J1103" s="115">
        <f>J1136+J1119</f>
        <v>1982.7</v>
      </c>
      <c r="K1103" s="115">
        <f>K1136</f>
        <v>195.8</v>
      </c>
      <c r="L1103" s="823">
        <f t="shared" ref="L1103" si="146">L1136</f>
        <v>0</v>
      </c>
      <c r="M1103" s="135"/>
      <c r="N1103" s="1053"/>
      <c r="O1103" s="1018"/>
      <c r="P1103" s="678"/>
      <c r="Q1103" s="678"/>
    </row>
    <row r="1104" spans="1:17" ht="12.75" customHeight="1" x14ac:dyDescent="0.2">
      <c r="A1104" s="678">
        <v>9</v>
      </c>
      <c r="B1104" s="679"/>
      <c r="C1104" s="678"/>
      <c r="D1104" s="680"/>
      <c r="E1104" s="681"/>
      <c r="F1104" s="678"/>
      <c r="G1104" s="115" t="s">
        <v>449</v>
      </c>
      <c r="H1104" s="317"/>
      <c r="I1104" s="115"/>
      <c r="J1104" s="115">
        <f>J1121</f>
        <v>0</v>
      </c>
      <c r="K1104" s="115">
        <f t="shared" ref="K1104:L1104" si="147">SUM(L1121)</f>
        <v>0</v>
      </c>
      <c r="L1104" s="823">
        <f t="shared" si="147"/>
        <v>0</v>
      </c>
      <c r="M1104" s="135"/>
      <c r="N1104" s="1053"/>
      <c r="O1104" s="1018"/>
      <c r="P1104" s="678"/>
      <c r="Q1104" s="678"/>
    </row>
    <row r="1105" spans="1:17" ht="12.75" customHeight="1" x14ac:dyDescent="0.2">
      <c r="A1105" s="678">
        <v>9</v>
      </c>
      <c r="B1105" s="679"/>
      <c r="C1105" s="678"/>
      <c r="D1105" s="680"/>
      <c r="E1105" s="681"/>
      <c r="F1105" s="678"/>
      <c r="G1105" s="115" t="s">
        <v>1808</v>
      </c>
      <c r="H1105" s="317">
        <f>H1137</f>
        <v>181.1</v>
      </c>
      <c r="I1105" s="115">
        <f t="shared" ref="I1105:L1105" si="148">I1137</f>
        <v>0</v>
      </c>
      <c r="J1105" s="115">
        <f t="shared" si="148"/>
        <v>0</v>
      </c>
      <c r="K1105" s="115">
        <f t="shared" si="148"/>
        <v>0</v>
      </c>
      <c r="L1105" s="823">
        <f t="shared" si="148"/>
        <v>0</v>
      </c>
      <c r="M1105" s="135"/>
      <c r="N1105" s="1053"/>
      <c r="O1105" s="1018"/>
      <c r="P1105" s="678"/>
      <c r="Q1105" s="678"/>
    </row>
    <row r="1106" spans="1:17" x14ac:dyDescent="0.2">
      <c r="A1106" s="678">
        <v>9</v>
      </c>
      <c r="B1106" s="679"/>
      <c r="C1106" s="678"/>
      <c r="D1106" s="680"/>
      <c r="E1106" s="681"/>
      <c r="F1106" s="678"/>
      <c r="G1106" s="313" t="s">
        <v>495</v>
      </c>
      <c r="H1106" s="314" t="e">
        <f>SUM(H1098:H1105)</f>
        <v>#REF!</v>
      </c>
      <c r="I1106" s="314" t="e">
        <f>SUM(I1098:I1105)</f>
        <v>#REF!</v>
      </c>
      <c r="J1106" s="314">
        <f>SUM(J1098:J1105)</f>
        <v>3225.0999999999995</v>
      </c>
      <c r="K1106" s="314" t="e">
        <f>SUM(K1098:K1105)</f>
        <v>#REF!</v>
      </c>
      <c r="L1106" s="887" t="e">
        <f>SUM(L1098:L1105)</f>
        <v>#REF!</v>
      </c>
      <c r="M1106" s="135"/>
      <c r="N1106" s="1053"/>
      <c r="O1106" s="1018"/>
      <c r="P1106" s="678"/>
      <c r="Q1106" s="678"/>
    </row>
    <row r="1107" spans="1:17" ht="37.9" customHeight="1" x14ac:dyDescent="0.2">
      <c r="A1107" s="678">
        <v>9</v>
      </c>
      <c r="B1107" s="679"/>
      <c r="C1107" s="678" t="s">
        <v>1809</v>
      </c>
      <c r="D1107" s="680" t="s">
        <v>457</v>
      </c>
      <c r="E1107" s="681">
        <v>10</v>
      </c>
      <c r="F1107" s="678" t="s">
        <v>458</v>
      </c>
      <c r="G1107" s="678" t="s">
        <v>8</v>
      </c>
      <c r="H1107" s="685">
        <v>8.3000000000000007</v>
      </c>
      <c r="I1107" s="38">
        <v>52.9</v>
      </c>
      <c r="J1107" s="686">
        <f>126-2.3-50</f>
        <v>73.7</v>
      </c>
      <c r="K1107" s="682">
        <v>42</v>
      </c>
      <c r="L1107" s="888">
        <v>42</v>
      </c>
      <c r="M1107" s="135" t="s">
        <v>637</v>
      </c>
      <c r="N1107" s="1053" t="s">
        <v>1810</v>
      </c>
      <c r="O1107" s="1018" t="s">
        <v>1811</v>
      </c>
      <c r="P1107" s="678">
        <v>25</v>
      </c>
      <c r="Q1107" s="678"/>
    </row>
    <row r="1108" spans="1:17" ht="12.75" customHeight="1" x14ac:dyDescent="0.2">
      <c r="A1108" s="678">
        <v>9</v>
      </c>
      <c r="B1108" s="679"/>
      <c r="C1108" s="678"/>
      <c r="D1108" s="680"/>
      <c r="E1108" s="681">
        <v>27</v>
      </c>
      <c r="F1108" s="678" t="s">
        <v>458</v>
      </c>
      <c r="G1108" s="678" t="s">
        <v>8</v>
      </c>
      <c r="H1108" s="685"/>
      <c r="I1108" s="38"/>
      <c r="J1108" s="686">
        <v>74</v>
      </c>
      <c r="K1108" s="682"/>
      <c r="L1108" s="888"/>
      <c r="M1108" s="135" t="s">
        <v>637</v>
      </c>
      <c r="N1108" s="1068" t="s">
        <v>1860</v>
      </c>
      <c r="O1108" s="1020" t="s">
        <v>1861</v>
      </c>
      <c r="P1108" s="989">
        <v>1</v>
      </c>
      <c r="Q1108" s="678"/>
    </row>
    <row r="1109" spans="1:17" x14ac:dyDescent="0.2">
      <c r="A1109" s="678">
        <v>9</v>
      </c>
      <c r="B1109" s="679"/>
      <c r="C1109" s="678"/>
      <c r="D1109" s="680"/>
      <c r="E1109" s="681">
        <v>10</v>
      </c>
      <c r="F1109" s="678" t="s">
        <v>458</v>
      </c>
      <c r="G1109" s="318" t="s">
        <v>495</v>
      </c>
      <c r="H1109" s="106"/>
      <c r="I1109" s="106">
        <f>SUM(I1107)</f>
        <v>52.9</v>
      </c>
      <c r="J1109" s="106">
        <f>SUM(J1107+J1108)</f>
        <v>147.69999999999999</v>
      </c>
      <c r="K1109" s="106">
        <f t="shared" ref="K1109:L1109" si="149">SUM(K1107+K1108)</f>
        <v>42</v>
      </c>
      <c r="L1109" s="890">
        <f t="shared" si="149"/>
        <v>42</v>
      </c>
      <c r="M1109" s="135"/>
      <c r="N1109" s="1053"/>
      <c r="O1109" s="1018"/>
      <c r="P1109" s="678"/>
      <c r="Q1109" s="678"/>
    </row>
    <row r="1110" spans="1:17" ht="32.450000000000003" customHeight="1" x14ac:dyDescent="0.2">
      <c r="A1110" s="678">
        <v>9</v>
      </c>
      <c r="B1110" s="679"/>
      <c r="C1110" s="678" t="s">
        <v>1812</v>
      </c>
      <c r="D1110" s="680" t="s">
        <v>1813</v>
      </c>
      <c r="E1110" s="681">
        <v>38</v>
      </c>
      <c r="F1110" s="678" t="s">
        <v>474</v>
      </c>
      <c r="G1110" s="678" t="s">
        <v>8</v>
      </c>
      <c r="H1110" s="685"/>
      <c r="I1110" s="38">
        <v>4.9000000000000004</v>
      </c>
      <c r="J1110" s="100">
        <v>50</v>
      </c>
      <c r="K1110" s="682">
        <v>50</v>
      </c>
      <c r="L1110" s="888">
        <v>50</v>
      </c>
      <c r="M1110" s="135" t="s">
        <v>624</v>
      </c>
      <c r="N1110" s="1099" t="s">
        <v>1925</v>
      </c>
      <c r="O1110" s="1018" t="s">
        <v>812</v>
      </c>
      <c r="P1110" s="678">
        <v>100</v>
      </c>
      <c r="Q1110" s="678"/>
    </row>
    <row r="1111" spans="1:17" ht="12.75" customHeight="1" x14ac:dyDescent="0.2">
      <c r="A1111" s="678">
        <v>9</v>
      </c>
      <c r="B1111" s="679"/>
      <c r="C1111" s="678"/>
      <c r="D1111" s="680"/>
      <c r="E1111" s="681">
        <v>38</v>
      </c>
      <c r="F1111" s="678" t="s">
        <v>474</v>
      </c>
      <c r="G1111" s="678" t="s">
        <v>253</v>
      </c>
      <c r="H1111" s="685">
        <v>14.3</v>
      </c>
      <c r="I1111" s="38">
        <v>50</v>
      </c>
      <c r="J1111" s="100"/>
      <c r="K1111" s="682"/>
      <c r="L1111" s="888"/>
      <c r="M1111" s="135"/>
      <c r="N1111" s="1053"/>
      <c r="O1111" s="1018"/>
      <c r="P1111" s="678"/>
      <c r="Q1111" s="678"/>
    </row>
    <row r="1112" spans="1:17" ht="12.75" customHeight="1" x14ac:dyDescent="0.2">
      <c r="A1112" s="678">
        <v>9</v>
      </c>
      <c r="B1112" s="679"/>
      <c r="C1112" s="678"/>
      <c r="D1112" s="680"/>
      <c r="E1112" s="681">
        <v>38</v>
      </c>
      <c r="F1112" s="678" t="s">
        <v>474</v>
      </c>
      <c r="G1112" s="681" t="s">
        <v>147</v>
      </c>
      <c r="H1112" s="685"/>
      <c r="I1112" s="38"/>
      <c r="J1112" s="100">
        <v>24</v>
      </c>
      <c r="K1112" s="682">
        <v>20</v>
      </c>
      <c r="L1112" s="888">
        <v>20</v>
      </c>
      <c r="M1112" s="135"/>
      <c r="N1112" s="1053"/>
      <c r="O1112" s="1018"/>
      <c r="P1112" s="678"/>
      <c r="Q1112" s="678"/>
    </row>
    <row r="1113" spans="1:17" ht="12.75" customHeight="1" x14ac:dyDescent="0.2">
      <c r="A1113" s="678">
        <v>9</v>
      </c>
      <c r="B1113" s="679"/>
      <c r="C1113" s="678"/>
      <c r="D1113" s="680"/>
      <c r="E1113" s="681">
        <v>38</v>
      </c>
      <c r="F1113" s="678" t="s">
        <v>474</v>
      </c>
      <c r="G1113" s="318" t="s">
        <v>495</v>
      </c>
      <c r="H1113" s="106">
        <v>51</v>
      </c>
      <c r="I1113" s="106">
        <f>SUM(I1110:I1112)</f>
        <v>54.9</v>
      </c>
      <c r="J1113" s="106">
        <f t="shared" ref="J1113:L1113" si="150">SUM(J1110:J1112)</f>
        <v>74</v>
      </c>
      <c r="K1113" s="106">
        <f t="shared" si="150"/>
        <v>70</v>
      </c>
      <c r="L1113" s="890">
        <f t="shared" si="150"/>
        <v>70</v>
      </c>
      <c r="M1113" s="135"/>
      <c r="N1113" s="1053"/>
      <c r="O1113" s="1018"/>
      <c r="P1113" s="678"/>
      <c r="Q1113" s="678"/>
    </row>
    <row r="1114" spans="1:17" ht="12.75" customHeight="1" x14ac:dyDescent="0.2">
      <c r="A1114" s="678">
        <v>9</v>
      </c>
      <c r="B1114" s="679"/>
      <c r="C1114" s="678" t="s">
        <v>1814</v>
      </c>
      <c r="D1114" s="680" t="s">
        <v>475</v>
      </c>
      <c r="E1114" s="1091">
        <v>36</v>
      </c>
      <c r="F1114" s="678" t="s">
        <v>476</v>
      </c>
      <c r="G1114" s="678" t="s">
        <v>8</v>
      </c>
      <c r="H1114" s="685">
        <v>8.4</v>
      </c>
      <c r="I1114" s="38">
        <v>12.8</v>
      </c>
      <c r="J1114" s="100">
        <f>16+20</f>
        <v>36</v>
      </c>
      <c r="K1114" s="682">
        <v>16</v>
      </c>
      <c r="L1114" s="888">
        <v>16</v>
      </c>
      <c r="M1114" s="135" t="s">
        <v>624</v>
      </c>
      <c r="N1114" s="1053" t="s">
        <v>1786</v>
      </c>
      <c r="O1114" s="1018" t="s">
        <v>1815</v>
      </c>
      <c r="P1114" s="678">
        <v>15</v>
      </c>
      <c r="Q1114" s="678"/>
    </row>
    <row r="1115" spans="1:17" ht="15" x14ac:dyDescent="0.2">
      <c r="A1115" s="678">
        <v>9</v>
      </c>
      <c r="B1115" s="679"/>
      <c r="C1115" s="678"/>
      <c r="D1115" s="680"/>
      <c r="E1115" s="1091">
        <v>36</v>
      </c>
      <c r="F1115" s="678" t="s">
        <v>476</v>
      </c>
      <c r="G1115" s="318" t="s">
        <v>495</v>
      </c>
      <c r="H1115" s="106"/>
      <c r="I1115" s="106">
        <f>SUM(I1114)</f>
        <v>12.8</v>
      </c>
      <c r="J1115" s="106">
        <f>SUM(J1114)</f>
        <v>36</v>
      </c>
      <c r="K1115" s="106">
        <f>SUM(K1114)</f>
        <v>16</v>
      </c>
      <c r="L1115" s="890">
        <f>SUM(L1114)</f>
        <v>16</v>
      </c>
      <c r="M1115" s="135"/>
      <c r="N1115" s="1053"/>
      <c r="O1115" s="1021"/>
      <c r="P1115" s="990"/>
      <c r="Q1115" s="678"/>
    </row>
    <row r="1116" spans="1:17" ht="20.45" customHeight="1" x14ac:dyDescent="0.2">
      <c r="A1116" s="678">
        <v>9</v>
      </c>
      <c r="B1116" s="679"/>
      <c r="C1116" s="678" t="s">
        <v>1816</v>
      </c>
      <c r="D1116" s="680" t="s">
        <v>477</v>
      </c>
      <c r="E1116" s="1091">
        <v>36</v>
      </c>
      <c r="F1116" s="678" t="s">
        <v>478</v>
      </c>
      <c r="G1116" s="678" t="s">
        <v>8</v>
      </c>
      <c r="H1116" s="685" t="e">
        <f>#REF!+#REF!+#REF!+#REF!</f>
        <v>#REF!</v>
      </c>
      <c r="I1116" s="38">
        <v>128.1</v>
      </c>
      <c r="J1116" s="100">
        <f>350-180</f>
        <v>170</v>
      </c>
      <c r="K1116" s="682">
        <v>100</v>
      </c>
      <c r="L1116" s="888">
        <v>100</v>
      </c>
      <c r="M1116" s="135" t="s">
        <v>637</v>
      </c>
      <c r="N1116" s="1053" t="s">
        <v>1817</v>
      </c>
      <c r="O1116" s="1018" t="s">
        <v>1818</v>
      </c>
      <c r="P1116" s="678">
        <v>4</v>
      </c>
      <c r="Q1116" s="678"/>
    </row>
    <row r="1117" spans="1:17" x14ac:dyDescent="0.2">
      <c r="A1117" s="678">
        <v>9</v>
      </c>
      <c r="B1117" s="679"/>
      <c r="C1117" s="678"/>
      <c r="D1117" s="680"/>
      <c r="E1117" s="1091">
        <v>36</v>
      </c>
      <c r="F1117" s="678" t="s">
        <v>478</v>
      </c>
      <c r="G1117" s="318" t="s">
        <v>495</v>
      </c>
      <c r="H1117" s="106"/>
      <c r="I1117" s="106">
        <f>SUM(I1116)</f>
        <v>128.1</v>
      </c>
      <c r="J1117" s="106">
        <f>SUM(J1116)</f>
        <v>170</v>
      </c>
      <c r="K1117" s="106">
        <f>SUM(K1116)</f>
        <v>100</v>
      </c>
      <c r="L1117" s="890">
        <f>SUM(L1116)</f>
        <v>100</v>
      </c>
      <c r="M1117" s="135"/>
      <c r="N1117" s="1053"/>
      <c r="O1117" s="1018"/>
      <c r="P1117" s="678"/>
      <c r="Q1117" s="678"/>
    </row>
    <row r="1118" spans="1:17" ht="36.6" customHeight="1" x14ac:dyDescent="0.2">
      <c r="A1118" s="678">
        <v>9</v>
      </c>
      <c r="B1118" s="679"/>
      <c r="C1118" s="678" t="s">
        <v>1819</v>
      </c>
      <c r="D1118" s="51" t="s">
        <v>479</v>
      </c>
      <c r="E1118" s="70">
        <v>9</v>
      </c>
      <c r="F1118" s="678" t="s">
        <v>480</v>
      </c>
      <c r="G1118" s="678" t="s">
        <v>8</v>
      </c>
      <c r="H1118" s="37">
        <v>310</v>
      </c>
      <c r="I1118" s="38">
        <v>24.5</v>
      </c>
      <c r="J1118" s="322">
        <f>1000-200-109.1-320-150</f>
        <v>220.89999999999998</v>
      </c>
      <c r="K1118" s="26">
        <f>1500+109.1-200</f>
        <v>1409.1</v>
      </c>
      <c r="L1118" s="27"/>
      <c r="M1118" s="135" t="s">
        <v>697</v>
      </c>
      <c r="N1118" s="1053" t="s">
        <v>1820</v>
      </c>
      <c r="O1118" s="1018" t="s">
        <v>1221</v>
      </c>
      <c r="P1118" s="678">
        <v>50</v>
      </c>
      <c r="Q1118" s="752" t="s">
        <v>640</v>
      </c>
    </row>
    <row r="1119" spans="1:17" ht="36.6" customHeight="1" x14ac:dyDescent="0.2">
      <c r="A1119" s="678">
        <v>9</v>
      </c>
      <c r="B1119" s="679"/>
      <c r="C1119" s="678"/>
      <c r="D1119" s="51"/>
      <c r="E1119" s="70">
        <v>9</v>
      </c>
      <c r="F1119" s="678" t="s">
        <v>480</v>
      </c>
      <c r="G1119" s="1235" t="s">
        <v>37</v>
      </c>
      <c r="H1119" s="37"/>
      <c r="I1119" s="38"/>
      <c r="J1119" s="322">
        <f>1052</f>
        <v>1052</v>
      </c>
      <c r="K1119" s="26"/>
      <c r="L1119" s="27"/>
      <c r="M1119" s="135"/>
      <c r="N1119" s="1053"/>
      <c r="O1119" s="1018"/>
      <c r="P1119" s="678"/>
      <c r="Q1119" s="752"/>
    </row>
    <row r="1120" spans="1:17" ht="12.75" customHeight="1" x14ac:dyDescent="0.2">
      <c r="A1120" s="678">
        <v>9</v>
      </c>
      <c r="B1120" s="679"/>
      <c r="C1120" s="678"/>
      <c r="D1120" s="51"/>
      <c r="E1120" s="70">
        <v>9</v>
      </c>
      <c r="F1120" s="678" t="s">
        <v>480</v>
      </c>
      <c r="G1120" s="678" t="s">
        <v>253</v>
      </c>
      <c r="H1120" s="37"/>
      <c r="I1120" s="38"/>
      <c r="J1120" s="322"/>
      <c r="K1120" s="26">
        <v>200</v>
      </c>
      <c r="L1120" s="27"/>
      <c r="M1120" s="135" t="s">
        <v>697</v>
      </c>
      <c r="N1120" s="1053"/>
      <c r="O1120" s="1018"/>
      <c r="P1120" s="678"/>
      <c r="Q1120" s="752" t="s">
        <v>640</v>
      </c>
    </row>
    <row r="1121" spans="1:17" ht="12.75" customHeight="1" x14ac:dyDescent="0.2">
      <c r="A1121" s="678">
        <v>9</v>
      </c>
      <c r="B1121" s="679"/>
      <c r="C1121" s="678"/>
      <c r="D1121" s="51"/>
      <c r="E1121" s="70">
        <v>9</v>
      </c>
      <c r="F1121" s="678" t="s">
        <v>480</v>
      </c>
      <c r="G1121" s="678" t="s">
        <v>10</v>
      </c>
      <c r="H1121" s="37"/>
      <c r="I1121" s="38"/>
      <c r="J1121" s="322">
        <f>1000+200-1200</f>
        <v>0</v>
      </c>
      <c r="K1121" s="26"/>
      <c r="L1121" s="27"/>
      <c r="M1121" s="135" t="s">
        <v>697</v>
      </c>
      <c r="N1121" s="1053"/>
      <c r="O1121" s="1018"/>
      <c r="P1121" s="678"/>
      <c r="Q1121" s="752" t="s">
        <v>640</v>
      </c>
    </row>
    <row r="1122" spans="1:17" ht="12.75" customHeight="1" x14ac:dyDescent="0.2">
      <c r="A1122" s="678">
        <v>9</v>
      </c>
      <c r="B1122" s="679"/>
      <c r="C1122" s="678"/>
      <c r="D1122" s="51"/>
      <c r="E1122" s="70">
        <v>23</v>
      </c>
      <c r="F1122" s="678" t="s">
        <v>480</v>
      </c>
      <c r="G1122" s="678" t="s">
        <v>8</v>
      </c>
      <c r="H1122" s="37"/>
      <c r="I1122" s="38"/>
      <c r="J1122" s="100">
        <v>0.5</v>
      </c>
      <c r="K1122" s="26"/>
      <c r="L1122" s="27"/>
      <c r="M1122" s="135" t="s">
        <v>697</v>
      </c>
      <c r="N1122" s="1208" t="s">
        <v>583</v>
      </c>
      <c r="O1122" s="1022" t="s">
        <v>1487</v>
      </c>
      <c r="P1122" s="678">
        <v>100</v>
      </c>
      <c r="Q1122" s="752" t="s">
        <v>640</v>
      </c>
    </row>
    <row r="1123" spans="1:17" x14ac:dyDescent="0.2">
      <c r="A1123" s="678">
        <v>9</v>
      </c>
      <c r="B1123" s="679"/>
      <c r="C1123" s="678"/>
      <c r="D1123" s="51"/>
      <c r="E1123" s="70"/>
      <c r="F1123" s="678" t="s">
        <v>480</v>
      </c>
      <c r="G1123" s="318" t="s">
        <v>495</v>
      </c>
      <c r="H1123" s="106">
        <f>SUM(H1118:H1122)</f>
        <v>310</v>
      </c>
      <c r="I1123" s="106">
        <f>SUM(I1118:I1122)</f>
        <v>24.5</v>
      </c>
      <c r="J1123" s="106">
        <f>SUM(J1118:J1122)</f>
        <v>1273.4000000000001</v>
      </c>
      <c r="K1123" s="106">
        <f>SUM(K1118:K1122)</f>
        <v>1609.1</v>
      </c>
      <c r="L1123" s="890">
        <f>SUM(L1118:L1122)</f>
        <v>0</v>
      </c>
      <c r="M1123" s="135" t="s">
        <v>697</v>
      </c>
      <c r="N1123" s="1053"/>
      <c r="O1123" s="1018"/>
      <c r="P1123" s="678"/>
      <c r="Q1123" s="678"/>
    </row>
    <row r="1124" spans="1:17" ht="49.9" customHeight="1" x14ac:dyDescent="0.2">
      <c r="A1124" s="678">
        <v>9</v>
      </c>
      <c r="B1124" s="679"/>
      <c r="C1124" s="678" t="s">
        <v>1821</v>
      </c>
      <c r="D1124" s="69" t="s">
        <v>1822</v>
      </c>
      <c r="E1124" s="70">
        <v>9</v>
      </c>
      <c r="F1124" s="678" t="s">
        <v>481</v>
      </c>
      <c r="G1124" s="678" t="s">
        <v>8</v>
      </c>
      <c r="H1124" s="37">
        <v>46.9</v>
      </c>
      <c r="I1124" s="38">
        <v>49</v>
      </c>
      <c r="J1124" s="100">
        <v>50</v>
      </c>
      <c r="K1124" s="26">
        <v>50</v>
      </c>
      <c r="L1124" s="27">
        <v>50</v>
      </c>
      <c r="M1124" s="135" t="s">
        <v>624</v>
      </c>
      <c r="N1124" s="1053" t="s">
        <v>1823</v>
      </c>
      <c r="O1124" s="1018" t="s">
        <v>1824</v>
      </c>
      <c r="P1124" s="678">
        <v>100</v>
      </c>
      <c r="Q1124" s="678"/>
    </row>
    <row r="1125" spans="1:17" x14ac:dyDescent="0.2">
      <c r="A1125" s="678">
        <v>9</v>
      </c>
      <c r="B1125" s="679"/>
      <c r="C1125" s="678"/>
      <c r="D1125" s="69"/>
      <c r="E1125" s="70">
        <v>9</v>
      </c>
      <c r="F1125" s="678" t="s">
        <v>481</v>
      </c>
      <c r="G1125" s="318" t="s">
        <v>495</v>
      </c>
      <c r="H1125" s="106"/>
      <c r="I1125" s="106">
        <f>SUM(I1124)</f>
        <v>49</v>
      </c>
      <c r="J1125" s="106">
        <f>SUM(J1124)</f>
        <v>50</v>
      </c>
      <c r="K1125" s="106">
        <f>SUM(K1124)</f>
        <v>50</v>
      </c>
      <c r="L1125" s="890">
        <f>SUM(L1124)</f>
        <v>50</v>
      </c>
      <c r="M1125" s="135"/>
      <c r="N1125" s="1053"/>
      <c r="O1125" s="1018"/>
      <c r="P1125" s="678"/>
      <c r="Q1125" s="678"/>
    </row>
    <row r="1126" spans="1:17" ht="28.15" customHeight="1" x14ac:dyDescent="0.2">
      <c r="A1126" s="678">
        <v>9</v>
      </c>
      <c r="B1126" s="679"/>
      <c r="C1126" s="678" t="s">
        <v>1825</v>
      </c>
      <c r="D1126" s="35" t="s">
        <v>482</v>
      </c>
      <c r="E1126" s="64">
        <v>36</v>
      </c>
      <c r="F1126" s="678" t="s">
        <v>483</v>
      </c>
      <c r="G1126" s="678" t="s">
        <v>8</v>
      </c>
      <c r="H1126" s="37">
        <v>86.2</v>
      </c>
      <c r="I1126" s="38">
        <v>59.1</v>
      </c>
      <c r="J1126" s="100">
        <f>100-25</f>
        <v>75</v>
      </c>
      <c r="K1126" s="15">
        <v>100</v>
      </c>
      <c r="L1126" s="34">
        <v>100</v>
      </c>
      <c r="M1126" s="135" t="s">
        <v>637</v>
      </c>
      <c r="N1126" s="1053" t="s">
        <v>1826</v>
      </c>
      <c r="O1126" s="1018" t="s">
        <v>1827</v>
      </c>
      <c r="P1126" s="678">
        <v>15</v>
      </c>
      <c r="Q1126" s="678"/>
    </row>
    <row r="1127" spans="1:17" ht="12.75" customHeight="1" x14ac:dyDescent="0.2">
      <c r="A1127" s="678">
        <v>9</v>
      </c>
      <c r="B1127" s="679"/>
      <c r="C1127" s="678"/>
      <c r="D1127" s="35"/>
      <c r="E1127" s="64">
        <v>36</v>
      </c>
      <c r="F1127" s="678" t="s">
        <v>483</v>
      </c>
      <c r="G1127" s="678" t="s">
        <v>11</v>
      </c>
      <c r="H1127" s="37">
        <v>42.6</v>
      </c>
      <c r="I1127" s="38">
        <v>81.5</v>
      </c>
      <c r="J1127" s="100">
        <f>83+5.1</f>
        <v>88.1</v>
      </c>
      <c r="K1127" s="15">
        <v>83</v>
      </c>
      <c r="L1127" s="34">
        <v>83</v>
      </c>
      <c r="M1127" s="135"/>
      <c r="N1127" s="1053"/>
      <c r="O1127" s="1018"/>
      <c r="P1127" s="678"/>
      <c r="Q1127" s="678"/>
    </row>
    <row r="1128" spans="1:17" ht="12.75" customHeight="1" x14ac:dyDescent="0.2">
      <c r="A1128" s="678">
        <v>9</v>
      </c>
      <c r="B1128" s="679"/>
      <c r="C1128" s="678"/>
      <c r="D1128" s="35"/>
      <c r="E1128" s="64">
        <v>36</v>
      </c>
      <c r="F1128" s="678" t="s">
        <v>483</v>
      </c>
      <c r="G1128" s="678" t="s">
        <v>202</v>
      </c>
      <c r="H1128" s="37">
        <v>0.1</v>
      </c>
      <c r="I1128" s="38">
        <v>8.4</v>
      </c>
      <c r="J1128" s="100"/>
      <c r="K1128" s="15"/>
      <c r="L1128" s="34"/>
      <c r="M1128" s="135"/>
      <c r="N1128" s="1053"/>
      <c r="O1128" s="1018"/>
      <c r="P1128" s="678"/>
      <c r="Q1128" s="678"/>
    </row>
    <row r="1129" spans="1:17" ht="12.75" customHeight="1" x14ac:dyDescent="0.2">
      <c r="A1129" s="678">
        <v>9</v>
      </c>
      <c r="B1129" s="679"/>
      <c r="C1129" s="678"/>
      <c r="D1129" s="35"/>
      <c r="E1129" s="64">
        <v>36</v>
      </c>
      <c r="F1129" s="678" t="s">
        <v>483</v>
      </c>
      <c r="G1129" s="318" t="s">
        <v>495</v>
      </c>
      <c r="H1129" s="106">
        <f>SUM(H1126:H1128)</f>
        <v>128.9</v>
      </c>
      <c r="I1129" s="106">
        <f>SUM(I1126:I1128)</f>
        <v>149</v>
      </c>
      <c r="J1129" s="106">
        <f>SUM(J1126:J1128)</f>
        <v>163.1</v>
      </c>
      <c r="K1129" s="106">
        <f>SUM(K1126:K1128)</f>
        <v>183</v>
      </c>
      <c r="L1129" s="890">
        <f>SUM(L1126:L1128)</f>
        <v>183</v>
      </c>
      <c r="M1129" s="135"/>
      <c r="N1129" s="1053"/>
      <c r="O1129" s="1018"/>
      <c r="P1129" s="678"/>
      <c r="Q1129" s="678"/>
    </row>
    <row r="1130" spans="1:17" ht="25.5" customHeight="1" x14ac:dyDescent="0.2">
      <c r="A1130" s="678">
        <v>9</v>
      </c>
      <c r="B1130" s="679"/>
      <c r="C1130" s="678" t="s">
        <v>1828</v>
      </c>
      <c r="D1130" s="36" t="s">
        <v>484</v>
      </c>
      <c r="E1130" s="64" t="s">
        <v>106</v>
      </c>
      <c r="F1130" s="678" t="s">
        <v>485</v>
      </c>
      <c r="G1130" s="681" t="s">
        <v>8</v>
      </c>
      <c r="H1130" s="37">
        <v>72</v>
      </c>
      <c r="I1130" s="38">
        <v>88.1</v>
      </c>
      <c r="J1130" s="100">
        <f>75.3-50</f>
        <v>25.299999999999997</v>
      </c>
      <c r="K1130" s="15">
        <v>75.3</v>
      </c>
      <c r="L1130" s="34">
        <v>75.3</v>
      </c>
      <c r="M1130" s="135" t="s">
        <v>624</v>
      </c>
      <c r="N1130" s="1069"/>
      <c r="O1130" s="1021"/>
      <c r="P1130" s="990"/>
      <c r="Q1130" s="678"/>
    </row>
    <row r="1131" spans="1:17" ht="36" customHeight="1" x14ac:dyDescent="0.2">
      <c r="A1131" s="678">
        <v>9</v>
      </c>
      <c r="B1131" s="679"/>
      <c r="C1131" s="678"/>
      <c r="D1131" s="36"/>
      <c r="E1131" s="64">
        <v>18</v>
      </c>
      <c r="F1131" s="678" t="s">
        <v>485</v>
      </c>
      <c r="G1131" s="681" t="s">
        <v>8</v>
      </c>
      <c r="H1131" s="37">
        <v>53.4</v>
      </c>
      <c r="I1131" s="38">
        <v>410.2</v>
      </c>
      <c r="J1131" s="100">
        <v>235</v>
      </c>
      <c r="K1131" s="15">
        <v>50</v>
      </c>
      <c r="L1131" s="34">
        <v>50</v>
      </c>
      <c r="M1131" s="135" t="s">
        <v>637</v>
      </c>
      <c r="N1131" s="1053" t="s">
        <v>1829</v>
      </c>
      <c r="O1131" s="1018" t="s">
        <v>1830</v>
      </c>
      <c r="P1131" s="751" t="s">
        <v>1831</v>
      </c>
      <c r="Q1131" s="678"/>
    </row>
    <row r="1132" spans="1:17" x14ac:dyDescent="0.2">
      <c r="A1132" s="678">
        <v>9</v>
      </c>
      <c r="B1132" s="679"/>
      <c r="C1132" s="678"/>
      <c r="D1132" s="36"/>
      <c r="E1132" s="64"/>
      <c r="F1132" s="678" t="s">
        <v>485</v>
      </c>
      <c r="G1132" s="318" t="s">
        <v>495</v>
      </c>
      <c r="H1132" s="106">
        <f>SUM(H1130+H1131)</f>
        <v>125.4</v>
      </c>
      <c r="I1132" s="106" t="e">
        <f>SUM(I1130+I1131+#REF!+#REF!)</f>
        <v>#REF!</v>
      </c>
      <c r="J1132" s="106">
        <f>SUM(J1130+J1131)</f>
        <v>260.3</v>
      </c>
      <c r="K1132" s="106">
        <f>SUM(K1130+K1131)</f>
        <v>125.3</v>
      </c>
      <c r="L1132" s="890">
        <f>SUM(L1130+L1131)</f>
        <v>125.3</v>
      </c>
      <c r="M1132" s="135"/>
      <c r="N1132" s="1053"/>
      <c r="O1132" s="1018"/>
      <c r="P1132" s="678"/>
      <c r="Q1132" s="678"/>
    </row>
    <row r="1133" spans="1:17" ht="31.15" customHeight="1" x14ac:dyDescent="0.2">
      <c r="A1133" s="678">
        <v>9</v>
      </c>
      <c r="B1133" s="679"/>
      <c r="C1133" s="678" t="s">
        <v>1832</v>
      </c>
      <c r="D1133" s="55" t="s">
        <v>486</v>
      </c>
      <c r="E1133" s="64">
        <v>18</v>
      </c>
      <c r="F1133" s="678" t="s">
        <v>487</v>
      </c>
      <c r="G1133" s="678" t="s">
        <v>8</v>
      </c>
      <c r="H1133" s="37">
        <f>27.6-10</f>
        <v>17.600000000000001</v>
      </c>
      <c r="I1133" s="38">
        <v>16</v>
      </c>
      <c r="J1133" s="100">
        <f>27.6-5</f>
        <v>22.6</v>
      </c>
      <c r="K1133" s="15">
        <v>27.6</v>
      </c>
      <c r="L1133" s="34">
        <v>27.6</v>
      </c>
      <c r="M1133" s="135" t="s">
        <v>624</v>
      </c>
      <c r="N1133" s="1053" t="s">
        <v>1833</v>
      </c>
      <c r="O1133" s="1018" t="s">
        <v>1824</v>
      </c>
      <c r="P1133" s="678">
        <v>100</v>
      </c>
      <c r="Q1133" s="678"/>
    </row>
    <row r="1134" spans="1:17" x14ac:dyDescent="0.2">
      <c r="A1134" s="678">
        <v>9</v>
      </c>
      <c r="B1134" s="679"/>
      <c r="C1134" s="678"/>
      <c r="D1134" s="55"/>
      <c r="E1134" s="64">
        <v>18</v>
      </c>
      <c r="F1134" s="678" t="s">
        <v>487</v>
      </c>
      <c r="G1134" s="318" t="s">
        <v>495</v>
      </c>
      <c r="H1134" s="106"/>
      <c r="I1134" s="106">
        <f>SUM(I1133)</f>
        <v>16</v>
      </c>
      <c r="J1134" s="106">
        <f>SUM(J1133)</f>
        <v>22.6</v>
      </c>
      <c r="K1134" s="106">
        <f>SUM(K1133)</f>
        <v>27.6</v>
      </c>
      <c r="L1134" s="890">
        <f>SUM(L1133)</f>
        <v>27.6</v>
      </c>
      <c r="M1134" s="135"/>
      <c r="N1134" s="1053"/>
      <c r="O1134" s="1018"/>
      <c r="P1134" s="678"/>
      <c r="Q1134" s="678"/>
    </row>
    <row r="1135" spans="1:17" ht="25.9" customHeight="1" x14ac:dyDescent="0.2">
      <c r="A1135" s="678">
        <v>9</v>
      </c>
      <c r="B1135" s="679"/>
      <c r="C1135" s="678" t="s">
        <v>1834</v>
      </c>
      <c r="D1135" s="51" t="s">
        <v>1835</v>
      </c>
      <c r="E1135" s="64">
        <v>9</v>
      </c>
      <c r="F1135" s="678" t="s">
        <v>488</v>
      </c>
      <c r="G1135" s="681" t="s">
        <v>8</v>
      </c>
      <c r="H1135" s="37">
        <v>483.2</v>
      </c>
      <c r="I1135" s="38">
        <v>31.7</v>
      </c>
      <c r="J1135" s="100">
        <f>2.3</f>
        <v>2.2999999999999998</v>
      </c>
      <c r="K1135" s="26">
        <f>200-200</f>
        <v>0</v>
      </c>
      <c r="L1135" s="27">
        <f>200</f>
        <v>200</v>
      </c>
      <c r="M1135" s="135" t="s">
        <v>627</v>
      </c>
      <c r="N1135" s="1053"/>
      <c r="O1135" s="1018"/>
      <c r="P1135" s="678"/>
      <c r="Q1135" s="678"/>
    </row>
    <row r="1136" spans="1:17" ht="27.6" customHeight="1" x14ac:dyDescent="0.2">
      <c r="A1136" s="678">
        <v>9</v>
      </c>
      <c r="B1136" s="679"/>
      <c r="C1136" s="678"/>
      <c r="D1136" s="51"/>
      <c r="E1136" s="64">
        <v>9</v>
      </c>
      <c r="F1136" s="678" t="s">
        <v>488</v>
      </c>
      <c r="G1136" s="678" t="s">
        <v>37</v>
      </c>
      <c r="H1136" s="37"/>
      <c r="I1136" s="38"/>
      <c r="J1136" s="100">
        <v>930.7</v>
      </c>
      <c r="K1136" s="26">
        <v>195.8</v>
      </c>
      <c r="L1136" s="27"/>
      <c r="M1136" s="135"/>
      <c r="N1136" s="1053" t="s">
        <v>1836</v>
      </c>
      <c r="O1136" s="1023" t="s">
        <v>1837</v>
      </c>
      <c r="P1136" s="678">
        <v>1</v>
      </c>
      <c r="Q1136" s="678"/>
    </row>
    <row r="1137" spans="1:17" ht="12.75" customHeight="1" x14ac:dyDescent="0.2">
      <c r="A1137" s="678">
        <v>9</v>
      </c>
      <c r="B1137" s="679"/>
      <c r="C1137" s="678"/>
      <c r="D1137" s="51"/>
      <c r="E1137" s="64">
        <v>9</v>
      </c>
      <c r="F1137" s="678" t="s">
        <v>488</v>
      </c>
      <c r="G1137" s="678" t="s">
        <v>9</v>
      </c>
      <c r="H1137" s="37">
        <v>181.1</v>
      </c>
      <c r="I1137" s="38"/>
      <c r="J1137" s="100"/>
      <c r="K1137" s="26"/>
      <c r="L1137" s="27"/>
      <c r="M1137" s="135"/>
      <c r="N1137" s="1053"/>
      <c r="O1137" s="1018"/>
      <c r="P1137" s="678"/>
      <c r="Q1137" s="678"/>
    </row>
    <row r="1138" spans="1:17" x14ac:dyDescent="0.2">
      <c r="A1138" s="678">
        <v>9</v>
      </c>
      <c r="B1138" s="679"/>
      <c r="C1138" s="678"/>
      <c r="D1138" s="51"/>
      <c r="E1138" s="64">
        <v>9</v>
      </c>
      <c r="F1138" s="678" t="s">
        <v>488</v>
      </c>
      <c r="G1138" s="318" t="s">
        <v>495</v>
      </c>
      <c r="H1138" s="106">
        <f>SUM(H1135:H1137)</f>
        <v>664.3</v>
      </c>
      <c r="I1138" s="106">
        <f>SUM(I1135:I1137)</f>
        <v>31.7</v>
      </c>
      <c r="J1138" s="106">
        <f>SUM(J1135:J1137)</f>
        <v>933</v>
      </c>
      <c r="K1138" s="106">
        <f>SUM(K1135:K1137)</f>
        <v>195.8</v>
      </c>
      <c r="L1138" s="890">
        <f>SUM(L1135:L1137)</f>
        <v>200</v>
      </c>
      <c r="M1138" s="135"/>
      <c r="N1138" s="1053"/>
      <c r="O1138" s="1018"/>
      <c r="P1138" s="678"/>
      <c r="Q1138" s="678"/>
    </row>
    <row r="1139" spans="1:17" ht="31.9" customHeight="1" x14ac:dyDescent="0.2">
      <c r="A1139" s="678">
        <v>9</v>
      </c>
      <c r="B1139" s="679"/>
      <c r="C1139" s="678" t="s">
        <v>1838</v>
      </c>
      <c r="D1139" s="55" t="s">
        <v>489</v>
      </c>
      <c r="E1139" s="64">
        <v>18</v>
      </c>
      <c r="F1139" s="678" t="s">
        <v>490</v>
      </c>
      <c r="G1139" s="678" t="s">
        <v>8</v>
      </c>
      <c r="H1139" s="37">
        <v>24.9</v>
      </c>
      <c r="I1139" s="38"/>
      <c r="J1139" s="100">
        <v>5</v>
      </c>
      <c r="K1139" s="15">
        <v>5</v>
      </c>
      <c r="L1139" s="34">
        <v>5</v>
      </c>
      <c r="M1139" s="135" t="s">
        <v>637</v>
      </c>
      <c r="N1139" s="1053" t="s">
        <v>1833</v>
      </c>
      <c r="O1139" s="1018" t="s">
        <v>1839</v>
      </c>
      <c r="P1139" s="678">
        <v>100</v>
      </c>
      <c r="Q1139" s="678"/>
    </row>
    <row r="1140" spans="1:17" x14ac:dyDescent="0.2">
      <c r="A1140" s="678">
        <v>9</v>
      </c>
      <c r="B1140" s="679"/>
      <c r="C1140" s="678"/>
      <c r="D1140" s="55"/>
      <c r="E1140" s="64">
        <v>18</v>
      </c>
      <c r="F1140" s="678" t="s">
        <v>490</v>
      </c>
      <c r="G1140" s="318" t="s">
        <v>495</v>
      </c>
      <c r="H1140" s="106"/>
      <c r="I1140" s="106">
        <f>SUM(I1139)</f>
        <v>0</v>
      </c>
      <c r="J1140" s="106">
        <f>SUM(J1139)</f>
        <v>5</v>
      </c>
      <c r="K1140" s="106">
        <f>SUM(K1139)</f>
        <v>5</v>
      </c>
      <c r="L1140" s="890">
        <f>SUM(L1139)</f>
        <v>5</v>
      </c>
      <c r="M1140" s="135"/>
      <c r="N1140" s="1053"/>
      <c r="O1140" s="1018"/>
      <c r="P1140" s="678"/>
      <c r="Q1140" s="678"/>
    </row>
    <row r="1141" spans="1:17" ht="34.5" customHeight="1" x14ac:dyDescent="0.2">
      <c r="A1141" s="678">
        <v>9</v>
      </c>
      <c r="B1141" s="679"/>
      <c r="C1141" s="678" t="s">
        <v>1840</v>
      </c>
      <c r="D1141" s="55" t="s">
        <v>1841</v>
      </c>
      <c r="E1141" s="64">
        <v>9</v>
      </c>
      <c r="F1141" s="678" t="s">
        <v>1842</v>
      </c>
      <c r="G1141" s="678" t="s">
        <v>8</v>
      </c>
      <c r="H1141" s="37">
        <v>24.9</v>
      </c>
      <c r="I1141" s="38"/>
      <c r="J1141" s="100">
        <v>40</v>
      </c>
      <c r="K1141" s="15">
        <v>200</v>
      </c>
      <c r="L1141" s="34">
        <v>200</v>
      </c>
      <c r="M1141" s="135" t="s">
        <v>637</v>
      </c>
      <c r="N1141" s="1107" t="s">
        <v>1938</v>
      </c>
      <c r="O1141" s="1096" t="s">
        <v>1911</v>
      </c>
      <c r="P1141" s="1097" t="s">
        <v>749</v>
      </c>
      <c r="Q1141" s="678"/>
    </row>
    <row r="1142" spans="1:17" ht="12.75" customHeight="1" x14ac:dyDescent="0.2">
      <c r="A1142" s="678">
        <v>9</v>
      </c>
      <c r="B1142" s="679"/>
      <c r="C1142" s="678"/>
      <c r="D1142" s="55"/>
      <c r="E1142" s="64"/>
      <c r="F1142" s="678"/>
      <c r="G1142" s="318" t="s">
        <v>495</v>
      </c>
      <c r="H1142" s="106"/>
      <c r="I1142" s="106">
        <f>SUM(I1141)</f>
        <v>0</v>
      </c>
      <c r="J1142" s="106">
        <f>SUM(J1141)</f>
        <v>40</v>
      </c>
      <c r="K1142" s="106">
        <f>SUM(K1141)</f>
        <v>200</v>
      </c>
      <c r="L1142" s="106">
        <f>SUM(L1141)</f>
        <v>200</v>
      </c>
      <c r="M1142" s="135"/>
      <c r="N1142" s="1018"/>
      <c r="O1142" s="1018"/>
      <c r="P1142" s="678"/>
      <c r="Q1142" s="678"/>
    </row>
    <row r="1143" spans="1:17" ht="21" customHeight="1" x14ac:dyDescent="0.2">
      <c r="A1143" s="678">
        <v>9</v>
      </c>
      <c r="B1143" s="679"/>
      <c r="C1143" s="1103" t="s">
        <v>1934</v>
      </c>
      <c r="D1143" s="420" t="s">
        <v>1935</v>
      </c>
      <c r="E1143" s="753" t="s">
        <v>927</v>
      </c>
      <c r="F1143" s="1105" t="s">
        <v>1936</v>
      </c>
      <c r="G1143" s="681" t="s">
        <v>8</v>
      </c>
      <c r="H1143" s="37">
        <v>24.9</v>
      </c>
      <c r="I1143" s="38"/>
      <c r="J1143" s="100">
        <v>50</v>
      </c>
      <c r="K1143" s="15">
        <v>200</v>
      </c>
      <c r="L1143" s="34">
        <v>200</v>
      </c>
      <c r="M1143" s="135" t="s">
        <v>637</v>
      </c>
      <c r="N1143" s="1102" t="s">
        <v>890</v>
      </c>
      <c r="O1143" s="1102" t="s">
        <v>1937</v>
      </c>
      <c r="P1143" s="1106">
        <v>1</v>
      </c>
      <c r="Q1143" s="678"/>
    </row>
    <row r="1144" spans="1:17" ht="12.75" customHeight="1" x14ac:dyDescent="0.2">
      <c r="A1144" s="678">
        <v>9</v>
      </c>
      <c r="B1144" s="679"/>
      <c r="C1144" s="678"/>
      <c r="D1144" s="55"/>
      <c r="E1144" s="64"/>
      <c r="F1144" s="678"/>
      <c r="G1144" s="318" t="s">
        <v>495</v>
      </c>
      <c r="H1144" s="106"/>
      <c r="I1144" s="106">
        <f>SUM(I1143)</f>
        <v>0</v>
      </c>
      <c r="J1144" s="106">
        <f>SUM(J1143)</f>
        <v>50</v>
      </c>
      <c r="K1144" s="106">
        <f>SUM(K1143)</f>
        <v>200</v>
      </c>
      <c r="L1144" s="106">
        <f>SUM(L1143)</f>
        <v>200</v>
      </c>
      <c r="M1144" s="135"/>
      <c r="N1144" s="1018"/>
      <c r="O1144" s="1018"/>
      <c r="P1144" s="678"/>
      <c r="Q1144" s="678"/>
    </row>
    <row r="1145" spans="1:17" ht="12.75" hidden="1" customHeight="1" x14ac:dyDescent="0.2">
      <c r="A1145" s="678">
        <v>9</v>
      </c>
      <c r="B1145" s="135"/>
      <c r="C1145" s="135"/>
      <c r="D1145" s="218"/>
      <c r="E1145" s="135"/>
      <c r="F1145" s="135"/>
      <c r="G1145" s="131" t="s">
        <v>495</v>
      </c>
      <c r="H1145" s="122"/>
      <c r="I1145" s="131" t="e">
        <f>SUM(I905+I914+I961+I1059+I1070+I1106)</f>
        <v>#REF!</v>
      </c>
      <c r="J1145" s="131">
        <f>SUM(J905+J914+J961+J1059+J1070+J1106)</f>
        <v>20769.5</v>
      </c>
      <c r="K1145" s="131" t="e">
        <f>SUM(K905+K914+K961+K1059+K1070+K1106)</f>
        <v>#REF!</v>
      </c>
      <c r="L1145" s="798" t="e">
        <f>SUM(L905+L914+L961+L1059+L1070+L1106)</f>
        <v>#REF!</v>
      </c>
      <c r="M1145" s="21"/>
      <c r="N1145" s="1175"/>
      <c r="O1145" s="1016"/>
      <c r="P1145" s="988"/>
      <c r="Q1145" s="237"/>
    </row>
    <row r="1146" spans="1:17" ht="12.75" hidden="1" customHeight="1" x14ac:dyDescent="0.2">
      <c r="A1146" s="678">
        <v>9</v>
      </c>
      <c r="B1146" s="135"/>
      <c r="C1146" s="135"/>
      <c r="D1146" s="218"/>
      <c r="E1146" s="135"/>
      <c r="F1146" s="135"/>
      <c r="G1146" s="320" t="s">
        <v>8</v>
      </c>
      <c r="H1146" s="21"/>
      <c r="I1146" s="21" t="e">
        <f>SUM(I903+I912+I949+I1058+I1065+I1098)</f>
        <v>#REF!</v>
      </c>
      <c r="J1146" s="21">
        <f>SUM(J903+J912+J949+J1058+J1065+J1098)</f>
        <v>17406.400000000001</v>
      </c>
      <c r="K1146" s="21" t="e">
        <f>SUM(K903+K912+K949+K1058+K1065+K1098)</f>
        <v>#REF!</v>
      </c>
      <c r="L1146" s="58" t="e">
        <f>SUM(L903+L912+L949+L1058+L1065+L1098)</f>
        <v>#REF!</v>
      </c>
      <c r="M1146" s="38"/>
      <c r="N1146" s="758"/>
      <c r="O1146" s="1016"/>
      <c r="P1146" s="988"/>
      <c r="Q1146" s="237"/>
    </row>
    <row r="1147" spans="1:17" ht="12.75" hidden="1" customHeight="1" x14ac:dyDescent="0.2">
      <c r="A1147" s="678">
        <v>9</v>
      </c>
      <c r="B1147" s="135"/>
      <c r="C1147" s="135"/>
      <c r="D1147" s="218"/>
      <c r="E1147" s="135"/>
      <c r="F1147" s="135"/>
      <c r="G1147" s="320" t="s">
        <v>10</v>
      </c>
      <c r="H1147" s="21"/>
      <c r="I1147" s="21" t="e">
        <f>SUM(I904+I951+I1068+I1104)</f>
        <v>#REF!</v>
      </c>
      <c r="J1147" s="21">
        <f>SUM(J904+J951+J1068+J1104)</f>
        <v>804.30000000000018</v>
      </c>
      <c r="K1147" s="21" t="e">
        <f>SUM(K904+K951+K1068+K1104)</f>
        <v>#REF!</v>
      </c>
      <c r="L1147" s="58" t="e">
        <f>SUM(L904+L951+L1068+L1104)</f>
        <v>#REF!</v>
      </c>
      <c r="M1147" s="38"/>
      <c r="N1147" s="758"/>
      <c r="O1147" s="1024"/>
      <c r="P1147" s="988"/>
      <c r="Q1147" s="237"/>
    </row>
    <row r="1148" spans="1:17" ht="12.75" hidden="1" customHeight="1" x14ac:dyDescent="0.2">
      <c r="A1148" s="678">
        <v>9</v>
      </c>
      <c r="B1148" s="135"/>
      <c r="C1148" s="135"/>
      <c r="D1148" s="218"/>
      <c r="E1148" s="135"/>
      <c r="F1148" s="135"/>
      <c r="G1148" s="320" t="s">
        <v>40</v>
      </c>
      <c r="H1148" s="21"/>
      <c r="I1148" s="21"/>
      <c r="J1148" s="21"/>
      <c r="K1148" s="21"/>
      <c r="L1148" s="58"/>
      <c r="M1148" s="38"/>
      <c r="N1148" s="758"/>
      <c r="O1148" s="1016"/>
      <c r="P1148" s="988"/>
      <c r="Q1148" s="237"/>
    </row>
    <row r="1149" spans="1:17" ht="12.75" hidden="1" customHeight="1" x14ac:dyDescent="0.2">
      <c r="A1149" s="678">
        <v>9</v>
      </c>
      <c r="B1149" s="135"/>
      <c r="C1149" s="135"/>
      <c r="D1149" s="218"/>
      <c r="E1149" s="135"/>
      <c r="F1149" s="135"/>
      <c r="G1149" s="320" t="s">
        <v>169</v>
      </c>
      <c r="H1149" s="21"/>
      <c r="I1149" s="21">
        <f>SUM(I1002,I1003)</f>
        <v>158.19999999999999</v>
      </c>
      <c r="J1149" s="21">
        <f>SUM(J1002,J1003)</f>
        <v>0</v>
      </c>
      <c r="K1149" s="21">
        <f>SUM(K1002,K1003)</f>
        <v>0</v>
      </c>
      <c r="L1149" s="58">
        <f>SUM(L1002,L1003)</f>
        <v>0</v>
      </c>
      <c r="M1149" s="38"/>
      <c r="N1149" s="758"/>
      <c r="O1149" s="1016"/>
      <c r="P1149" s="988"/>
      <c r="Q1149" s="237"/>
    </row>
    <row r="1150" spans="1:17" ht="12.75" hidden="1" customHeight="1" x14ac:dyDescent="0.2">
      <c r="A1150" s="678">
        <v>9</v>
      </c>
      <c r="B1150" s="135"/>
      <c r="C1150" s="135"/>
      <c r="D1150" s="218"/>
      <c r="E1150" s="135"/>
      <c r="F1150" s="135"/>
      <c r="G1150" s="320" t="s">
        <v>11</v>
      </c>
      <c r="H1150" s="21"/>
      <c r="I1150" s="21" t="e">
        <f>SUM(I919,I936,I938,I941,I943,I1127,#REF!)</f>
        <v>#REF!</v>
      </c>
      <c r="J1150" s="21">
        <f>SUM(J919,J936,J938,J941,J943,J1127,)</f>
        <v>102.5</v>
      </c>
      <c r="K1150" s="21" t="e">
        <f>SUM(K919,K936,K938,K941,K943,K1127,#REF!)</f>
        <v>#REF!</v>
      </c>
      <c r="L1150" s="58" t="e">
        <f>SUM(L919,L936,L938,L941,L943,L1127,#REF!)</f>
        <v>#REF!</v>
      </c>
      <c r="M1150" s="38"/>
      <c r="N1150" s="758"/>
      <c r="O1150" s="1016"/>
      <c r="P1150" s="988"/>
      <c r="Q1150" s="237"/>
    </row>
    <row r="1151" spans="1:17" ht="12.75" hidden="1" customHeight="1" x14ac:dyDescent="0.2">
      <c r="A1151" s="678">
        <v>9</v>
      </c>
      <c r="B1151" s="135"/>
      <c r="C1151" s="135"/>
      <c r="D1151" s="218"/>
      <c r="E1151" s="135"/>
      <c r="F1151" s="135"/>
      <c r="G1151" s="320" t="s">
        <v>202</v>
      </c>
      <c r="H1151" s="21"/>
      <c r="I1151" s="21">
        <f>I1128</f>
        <v>8.4</v>
      </c>
      <c r="J1151" s="21">
        <f>J1128</f>
        <v>0</v>
      </c>
      <c r="K1151" s="21">
        <f>K1128</f>
        <v>0</v>
      </c>
      <c r="L1151" s="58">
        <f>L1128</f>
        <v>0</v>
      </c>
      <c r="M1151" s="38"/>
      <c r="N1151" s="758"/>
      <c r="O1151" s="1016"/>
      <c r="P1151" s="988"/>
      <c r="Q1151" s="237"/>
    </row>
    <row r="1152" spans="1:17" ht="12.75" hidden="1" customHeight="1" x14ac:dyDescent="0.2">
      <c r="A1152" s="678">
        <v>9</v>
      </c>
      <c r="B1152" s="135"/>
      <c r="C1152" s="135"/>
      <c r="D1152" s="218"/>
      <c r="E1152" s="135"/>
      <c r="F1152" s="135"/>
      <c r="G1152" s="320" t="s">
        <v>422</v>
      </c>
      <c r="H1152" s="21"/>
      <c r="I1152" s="21">
        <f>SUM(I989)</f>
        <v>6.9</v>
      </c>
      <c r="J1152" s="21">
        <f>SUM(J989)</f>
        <v>7</v>
      </c>
      <c r="K1152" s="21">
        <f>SUM(K989)</f>
        <v>7</v>
      </c>
      <c r="L1152" s="58">
        <f>SUM(L989)</f>
        <v>7</v>
      </c>
      <c r="M1152" s="38"/>
      <c r="N1152" s="758"/>
      <c r="O1152" s="1016"/>
      <c r="P1152" s="988"/>
      <c r="Q1152" s="237"/>
    </row>
    <row r="1153" spans="1:17" ht="12.75" hidden="1" customHeight="1" x14ac:dyDescent="0.2">
      <c r="A1153" s="678">
        <v>9</v>
      </c>
      <c r="B1153" s="135"/>
      <c r="C1153" s="135"/>
      <c r="D1153" s="218"/>
      <c r="E1153" s="135"/>
      <c r="F1153" s="135"/>
      <c r="G1153" s="320" t="s">
        <v>423</v>
      </c>
      <c r="H1153" s="21"/>
      <c r="I1153" s="21">
        <f>I990</f>
        <v>6.9</v>
      </c>
      <c r="J1153" s="21">
        <f>J990</f>
        <v>7</v>
      </c>
      <c r="K1153" s="21">
        <f>K990</f>
        <v>7</v>
      </c>
      <c r="L1153" s="58">
        <f>L990</f>
        <v>7</v>
      </c>
      <c r="M1153" s="38"/>
      <c r="N1153" s="758"/>
      <c r="O1153" s="1016"/>
      <c r="P1153" s="988"/>
      <c r="Q1153" s="237"/>
    </row>
    <row r="1154" spans="1:17" ht="12.75" hidden="1" customHeight="1" x14ac:dyDescent="0.2">
      <c r="A1154" s="678">
        <v>9</v>
      </c>
      <c r="B1154" s="135"/>
      <c r="C1154" s="135"/>
      <c r="D1154" s="218"/>
      <c r="E1154" s="135"/>
      <c r="F1154" s="135"/>
      <c r="G1154" s="320" t="s">
        <v>219</v>
      </c>
      <c r="H1154" s="21"/>
      <c r="I1154" s="21"/>
      <c r="J1154" s="21"/>
      <c r="K1154" s="21"/>
      <c r="L1154" s="58"/>
      <c r="M1154" s="38"/>
      <c r="N1154" s="758"/>
      <c r="O1154" s="1016"/>
      <c r="P1154" s="988"/>
      <c r="Q1154" s="237"/>
    </row>
    <row r="1155" spans="1:17" ht="12.75" hidden="1" customHeight="1" x14ac:dyDescent="0.2">
      <c r="A1155" s="678">
        <v>9</v>
      </c>
      <c r="B1155" s="135"/>
      <c r="C1155" s="135"/>
      <c r="D1155" s="218"/>
      <c r="E1155" s="135"/>
      <c r="F1155" s="135"/>
      <c r="G1155" s="320" t="s">
        <v>74</v>
      </c>
      <c r="H1155" s="21"/>
      <c r="I1155" s="21">
        <f>SUM(I1076+I972)</f>
        <v>10.3</v>
      </c>
      <c r="J1155" s="21">
        <f>SUM(J1076+J972)</f>
        <v>10.7</v>
      </c>
      <c r="K1155" s="21">
        <f>SUM(K1076+K972)</f>
        <v>10</v>
      </c>
      <c r="L1155" s="58">
        <f>SUM(L1076+L972)</f>
        <v>10</v>
      </c>
      <c r="M1155" s="38"/>
      <c r="N1155" s="758"/>
      <c r="O1155" s="1016"/>
      <c r="P1155" s="988"/>
      <c r="Q1155" s="237"/>
    </row>
    <row r="1156" spans="1:17" ht="12.75" hidden="1" customHeight="1" x14ac:dyDescent="0.2">
      <c r="A1156" s="678">
        <v>9</v>
      </c>
      <c r="B1156" s="135"/>
      <c r="C1156" s="135"/>
      <c r="D1156" s="218"/>
      <c r="E1156" s="135"/>
      <c r="F1156" s="135"/>
      <c r="G1156" s="321" t="s">
        <v>253</v>
      </c>
      <c r="H1156" s="21"/>
      <c r="I1156" s="21">
        <f>SUM(I1111,I1120)</f>
        <v>50</v>
      </c>
      <c r="J1156" s="21">
        <f>SUM(J1111,J1120)</f>
        <v>0</v>
      </c>
      <c r="K1156" s="21">
        <f>SUM(K1111,K1120)</f>
        <v>200</v>
      </c>
      <c r="L1156" s="58">
        <f>SUM(L1111,L1120)</f>
        <v>0</v>
      </c>
      <c r="M1156" s="38"/>
      <c r="N1156" s="758"/>
      <c r="O1156" s="1016"/>
      <c r="P1156" s="988"/>
      <c r="Q1156" s="237"/>
    </row>
    <row r="1157" spans="1:17" ht="12.75" hidden="1" customHeight="1" x14ac:dyDescent="0.2">
      <c r="A1157" s="678">
        <v>9</v>
      </c>
      <c r="B1157" s="135"/>
      <c r="C1157" s="135"/>
      <c r="D1157" s="218"/>
      <c r="E1157" s="135"/>
      <c r="F1157" s="135"/>
      <c r="G1157" s="413" t="s">
        <v>147</v>
      </c>
      <c r="H1157" s="21"/>
      <c r="I1157" s="21">
        <f>I1112</f>
        <v>0</v>
      </c>
      <c r="J1157" s="21">
        <f>J1112</f>
        <v>24</v>
      </c>
      <c r="K1157" s="21">
        <f>K1112</f>
        <v>20</v>
      </c>
      <c r="L1157" s="58">
        <f>L1112</f>
        <v>20</v>
      </c>
      <c r="M1157" s="38"/>
      <c r="N1157" s="758"/>
      <c r="O1157" s="1016"/>
      <c r="P1157" s="988"/>
      <c r="Q1157" s="237"/>
    </row>
    <row r="1158" spans="1:17" ht="12.75" hidden="1" customHeight="1" x14ac:dyDescent="0.2">
      <c r="A1158" s="678">
        <v>9</v>
      </c>
      <c r="B1158" s="135"/>
      <c r="C1158" s="135"/>
      <c r="D1158" s="218"/>
      <c r="E1158" s="135"/>
      <c r="F1158" s="135"/>
      <c r="G1158" s="321" t="s">
        <v>947</v>
      </c>
      <c r="H1158" s="21"/>
      <c r="I1158" s="21"/>
      <c r="J1158" s="21"/>
      <c r="K1158" s="21"/>
      <c r="L1158" s="58"/>
      <c r="M1158" s="38"/>
      <c r="N1158" s="758"/>
      <c r="O1158" s="1016"/>
      <c r="P1158" s="988"/>
      <c r="Q1158" s="237"/>
    </row>
    <row r="1159" spans="1:17" ht="12.75" hidden="1" customHeight="1" x14ac:dyDescent="0.2">
      <c r="A1159" s="678">
        <v>9</v>
      </c>
      <c r="B1159" s="135"/>
      <c r="C1159" s="135"/>
      <c r="D1159" s="218"/>
      <c r="E1159" s="135"/>
      <c r="F1159" s="135"/>
      <c r="G1159" s="320" t="s">
        <v>37</v>
      </c>
      <c r="H1159" s="21"/>
      <c r="I1159" s="21">
        <f>SUM(I1136,I1050,I1047,I1093,I1055)</f>
        <v>12</v>
      </c>
      <c r="J1159" s="21">
        <f>SUM(J1136,J1050,J1047,J1093,J1055,J1119)</f>
        <v>2081.6999999999998</v>
      </c>
      <c r="K1159" s="21">
        <f>SUM(K1136,K1050,K1047,K1093,K1055)</f>
        <v>242.3</v>
      </c>
      <c r="L1159" s="58">
        <f>SUM(L1136,L1050,L1047,L1093,L1055)</f>
        <v>42.3</v>
      </c>
      <c r="M1159" s="38"/>
      <c r="N1159" s="758"/>
      <c r="O1159" s="1016"/>
      <c r="P1159" s="988"/>
      <c r="Q1159" s="237"/>
    </row>
    <row r="1160" spans="1:17" ht="12.75" hidden="1" customHeight="1" x14ac:dyDescent="0.2">
      <c r="A1160" s="678">
        <v>9</v>
      </c>
      <c r="B1160" s="135"/>
      <c r="C1160" s="135"/>
      <c r="D1160" s="218"/>
      <c r="E1160" s="135"/>
      <c r="F1160" s="135"/>
      <c r="G1160" s="320" t="s">
        <v>38</v>
      </c>
      <c r="H1160" s="21"/>
      <c r="I1160" s="21">
        <f>SUM(I958)</f>
        <v>3</v>
      </c>
      <c r="J1160" s="21">
        <f>SUM(J958)</f>
        <v>14.4</v>
      </c>
      <c r="K1160" s="21">
        <f>SUM(K958)</f>
        <v>11</v>
      </c>
      <c r="L1160" s="58">
        <f>SUM(L958)</f>
        <v>9.6000000000000014</v>
      </c>
      <c r="M1160" s="38"/>
      <c r="N1160" s="758"/>
      <c r="O1160" s="1016"/>
      <c r="P1160" s="988"/>
      <c r="Q1160" s="237"/>
    </row>
    <row r="1161" spans="1:17" ht="12.75" hidden="1" customHeight="1" x14ac:dyDescent="0.2">
      <c r="A1161" s="678">
        <v>9</v>
      </c>
      <c r="B1161" s="135"/>
      <c r="C1161" s="135"/>
      <c r="D1161" s="218"/>
      <c r="E1161" s="135"/>
      <c r="F1161" s="135"/>
      <c r="G1161" s="320" t="s">
        <v>9</v>
      </c>
      <c r="H1161" s="21"/>
      <c r="I1161" s="21">
        <f>SUM(I1083)</f>
        <v>127.7</v>
      </c>
      <c r="J1161" s="21">
        <f>SUM(J1083)</f>
        <v>209.8</v>
      </c>
      <c r="K1161" s="21">
        <f>SUM(K1083)</f>
        <v>0</v>
      </c>
      <c r="L1161" s="58">
        <f>SUM(L1083)</f>
        <v>0</v>
      </c>
      <c r="M1161" s="38"/>
      <c r="N1161" s="758"/>
      <c r="O1161" s="1016"/>
      <c r="P1161" s="988"/>
      <c r="Q1161" s="237"/>
    </row>
    <row r="1162" spans="1:17" ht="12.75" hidden="1" customHeight="1" x14ac:dyDescent="0.2">
      <c r="A1162" s="678">
        <v>9</v>
      </c>
      <c r="B1162" s="135"/>
      <c r="C1162" s="135"/>
      <c r="D1162" s="218"/>
      <c r="E1162" s="135"/>
      <c r="F1162" s="135"/>
      <c r="G1162" s="320" t="s">
        <v>621</v>
      </c>
      <c r="H1162" s="21"/>
      <c r="I1162" s="21">
        <f t="shared" ref="I1162:L1163" si="151">SUM(I954)</f>
        <v>1.2000000000000002</v>
      </c>
      <c r="J1162" s="21">
        <f t="shared" si="151"/>
        <v>0.30000000000000004</v>
      </c>
      <c r="K1162" s="21">
        <f t="shared" si="151"/>
        <v>0</v>
      </c>
      <c r="L1162" s="58">
        <f t="shared" si="151"/>
        <v>0</v>
      </c>
      <c r="M1162" s="38"/>
      <c r="N1162" s="758"/>
      <c r="O1162" s="1016"/>
      <c r="P1162" s="988"/>
      <c r="Q1162" s="237"/>
    </row>
    <row r="1163" spans="1:17" ht="12.75" hidden="1" customHeight="1" x14ac:dyDescent="0.2">
      <c r="A1163" s="678">
        <v>9</v>
      </c>
      <c r="B1163" s="135"/>
      <c r="C1163" s="135"/>
      <c r="D1163" s="218"/>
      <c r="E1163" s="135"/>
      <c r="F1163" s="135"/>
      <c r="G1163" s="320" t="s">
        <v>604</v>
      </c>
      <c r="H1163" s="21"/>
      <c r="I1163" s="21">
        <f t="shared" si="151"/>
        <v>0</v>
      </c>
      <c r="J1163" s="21">
        <f t="shared" si="151"/>
        <v>0.8</v>
      </c>
      <c r="K1163" s="21">
        <f t="shared" si="151"/>
        <v>0</v>
      </c>
      <c r="L1163" s="58">
        <f t="shared" si="151"/>
        <v>0</v>
      </c>
      <c r="M1163" s="38"/>
      <c r="N1163" s="758"/>
      <c r="O1163" s="1016"/>
      <c r="P1163" s="988"/>
      <c r="Q1163" s="237"/>
    </row>
    <row r="1164" spans="1:17" ht="12.75" hidden="1" customHeight="1" x14ac:dyDescent="0.2">
      <c r="A1164" s="678">
        <v>9</v>
      </c>
      <c r="B1164" s="135"/>
      <c r="C1164" s="135"/>
      <c r="D1164" s="218"/>
      <c r="E1164" s="135"/>
      <c r="F1164" s="135"/>
      <c r="G1164" s="320" t="s">
        <v>1939</v>
      </c>
      <c r="H1164" s="21"/>
      <c r="I1164" s="21"/>
      <c r="J1164" s="21">
        <f>J987</f>
        <v>100.6</v>
      </c>
      <c r="K1164" s="21"/>
      <c r="L1164" s="58"/>
      <c r="M1164" s="38"/>
      <c r="N1164" s="758"/>
      <c r="O1164" s="1016"/>
      <c r="P1164" s="988"/>
      <c r="Q1164" s="237"/>
    </row>
    <row r="1165" spans="1:17" ht="12.75" hidden="1" customHeight="1" x14ac:dyDescent="0.2">
      <c r="A1165" s="678">
        <v>9</v>
      </c>
      <c r="B1165" s="135"/>
      <c r="C1165" s="135"/>
      <c r="D1165" s="218"/>
      <c r="E1165" s="135"/>
      <c r="F1165" s="135"/>
      <c r="G1165" s="131" t="s">
        <v>495</v>
      </c>
      <c r="H1165" s="122"/>
      <c r="I1165" s="131" t="e">
        <f>SUM(I1146:I1163)</f>
        <v>#REF!</v>
      </c>
      <c r="J1165" s="131">
        <f>SUM(J1146:J1164)</f>
        <v>20769.5</v>
      </c>
      <c r="K1165" s="131" t="e">
        <f t="shared" ref="K1165:L1165" si="152">SUM(K1146:K1163)</f>
        <v>#REF!</v>
      </c>
      <c r="L1165" s="798" t="e">
        <f t="shared" si="152"/>
        <v>#REF!</v>
      </c>
      <c r="M1165" s="21"/>
      <c r="N1165" s="758"/>
      <c r="O1165" s="1024"/>
      <c r="P1165" s="988"/>
      <c r="Q1165" s="237"/>
    </row>
    <row r="1166" spans="1:17" ht="12.75" hidden="1" customHeight="1" x14ac:dyDescent="0.2">
      <c r="A1166" s="135">
        <v>9</v>
      </c>
      <c r="B1166" s="135"/>
      <c r="C1166" s="135"/>
      <c r="D1166" s="218"/>
      <c r="E1166" s="135"/>
      <c r="F1166" s="135"/>
      <c r="G1166" s="75"/>
      <c r="H1166" s="38"/>
      <c r="I1166" s="38" t="e">
        <f>I1145-I1165</f>
        <v>#REF!</v>
      </c>
      <c r="J1166" s="38">
        <f t="shared" ref="J1166:L1166" si="153">J1145-J1165</f>
        <v>0</v>
      </c>
      <c r="K1166" s="38" t="e">
        <f t="shared" si="153"/>
        <v>#REF!</v>
      </c>
      <c r="L1166" s="49" t="e">
        <f t="shared" si="153"/>
        <v>#REF!</v>
      </c>
      <c r="M1166" s="38"/>
      <c r="N1166" s="758"/>
      <c r="O1166" s="1016"/>
      <c r="P1166" s="988"/>
      <c r="Q1166" s="237"/>
    </row>
    <row r="1168" spans="1:17" ht="12.75" customHeight="1" x14ac:dyDescent="0.2">
      <c r="J1168" s="428"/>
      <c r="K1168" s="429"/>
    </row>
  </sheetData>
  <sheetProtection formatCells="0" formatColumns="0" formatRows="0" insertColumns="0" insertRows="0" sort="0" autoFilter="0"/>
  <protectedRanges>
    <protectedRange sqref="N87:N96" name="Diapazonas1"/>
    <protectedRange sqref="N103:N105 N108 N111:N120" name="Diapazonas1_1"/>
    <protectedRange sqref="N110" name="Diapazonas1_1_1"/>
    <protectedRange sqref="N106:N107" name="Diapazonas1_1_2"/>
    <protectedRange sqref="N109" name="Diapazonas1_1_3"/>
  </protectedRanges>
  <autoFilter ref="A3:Q1166" xr:uid="{00000000-0001-0000-0E00-000000000000}"/>
  <mergeCells count="49">
    <mergeCell ref="D643:D644"/>
    <mergeCell ref="D645:D648"/>
    <mergeCell ref="D649:D650"/>
    <mergeCell ref="D651:D652"/>
    <mergeCell ref="D636:D637"/>
    <mergeCell ref="D638:D639"/>
    <mergeCell ref="D653:D657"/>
    <mergeCell ref="D716:D717"/>
    <mergeCell ref="D741:D742"/>
    <mergeCell ref="D746:D747"/>
    <mergeCell ref="D658:D659"/>
    <mergeCell ref="D731:D732"/>
    <mergeCell ref="D733:D736"/>
    <mergeCell ref="D737:D738"/>
    <mergeCell ref="D739:D740"/>
    <mergeCell ref="D101:D103"/>
    <mergeCell ref="D236:D237"/>
    <mergeCell ref="D234:D235"/>
    <mergeCell ref="D640:D642"/>
    <mergeCell ref="D629:D630"/>
    <mergeCell ref="D631:D632"/>
    <mergeCell ref="D633:D634"/>
    <mergeCell ref="D595:D596"/>
    <mergeCell ref="D618:D620"/>
    <mergeCell ref="D621:D624"/>
    <mergeCell ref="D625:D626"/>
    <mergeCell ref="D627:D628"/>
    <mergeCell ref="D593:D594"/>
    <mergeCell ref="E72:E73"/>
    <mergeCell ref="D79:D82"/>
    <mergeCell ref="D87:D89"/>
    <mergeCell ref="D93:D96"/>
    <mergeCell ref="D97:D100"/>
    <mergeCell ref="D769:D771"/>
    <mergeCell ref="D1:G1"/>
    <mergeCell ref="P1:Q1"/>
    <mergeCell ref="P2:Q2"/>
    <mergeCell ref="D2:G2"/>
    <mergeCell ref="D576:D577"/>
    <mergeCell ref="D16:D18"/>
    <mergeCell ref="D27:D30"/>
    <mergeCell ref="D61:D63"/>
    <mergeCell ref="D9:D11"/>
    <mergeCell ref="D33:D36"/>
    <mergeCell ref="D162:D163"/>
    <mergeCell ref="D150:D151"/>
    <mergeCell ref="D585:D586"/>
    <mergeCell ref="D587:D590"/>
    <mergeCell ref="D112:D115"/>
  </mergeCells>
  <phoneticPr fontId="51" type="noConversion"/>
  <pageMargins left="0.23622047244094491" right="0.23622047244094491" top="0.74803149606299213" bottom="0.74803149606299213" header="0.31496062992125984" footer="0.31496062992125984"/>
  <pageSetup paperSize="9" scale="77" fitToHeight="0" orientation="landscape" horizontalDpi="4294967293" verticalDpi="4294967293" r:id="rId1"/>
  <headerFooter alignWithMargins="0">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2.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3.xml><?xml version="1.0" encoding="utf-8"?>
<ds:datastoreItem xmlns:ds="http://schemas.openxmlformats.org/officeDocument/2006/customXml" ds:itemID="{A9196849-BDDB-45D7-B69E-7994614F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Vykd </vt:lpstr>
      <vt:lpstr>MVP 2025</vt:lpstr>
      <vt:lpstr>'MVP 2025'!Print_Area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2025-05-29T07:11:19Z</cp:lastPrinted>
  <dcterms:created xsi:type="dcterms:W3CDTF">2015-02-01T20:48:48Z</dcterms:created>
  <dcterms:modified xsi:type="dcterms:W3CDTF">2025-09-25T09:30:16Z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