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92.168.0.14\Vdiskas\Biudzeto ir Ekonomikos skyrius\Bendras biudzeto ir ekonomikos SK\Biudžeto vykdymas\2025 metai\llI ketvirtis\Internetiniam puslapiui\"/>
    </mc:Choice>
  </mc:AlternateContent>
  <xr:revisionPtr revIDLastSave="0" documentId="13_ncr:1_{F34B3706-2449-4DBF-9DB7-5B77A4F1FA27}" xr6:coauthVersionLast="47" xr6:coauthVersionMax="47" xr10:uidLastSave="{00000000-0000-0000-0000-000000000000}"/>
  <bookViews>
    <workbookView xWindow="3810" yWindow="3810" windowWidth="21600" windowHeight="11295" xr2:uid="{00000000-000D-0000-FFFF-FFFF00000000}"/>
  </bookViews>
  <sheets>
    <sheet name="biudžeto pajamų vykdymas" sheetId="2" r:id="rId1"/>
    <sheet name="pajamų už teikiamas pasl vykdym" sheetId="10" r:id="rId2"/>
    <sheet name="pajamo už patalpų nuomą" sheetId="40" r:id="rId3"/>
    <sheet name="vykdymas pagal asig valdytojus" sheetId="36" r:id="rId4"/>
    <sheet name="vykdymas pagal programas" sheetId="37" r:id="rId5"/>
    <sheet name="vykdymas pagal valstybės funk" sheetId="13" r:id="rId6"/>
    <sheet name="asignavimai pagal valstyb funk" sheetId="38" r:id="rId7"/>
    <sheet name="vykdymas pagal ekonom paskirst" sheetId="14" r:id="rId8"/>
    <sheet name="asignavimai pagal ekonom paskir" sheetId="3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0" l="1"/>
  <c r="H38" i="40"/>
  <c r="F33" i="10"/>
  <c r="G33" i="10"/>
  <c r="G35" i="10"/>
  <c r="F47" i="10"/>
  <c r="G47" i="10"/>
  <c r="G46" i="10"/>
  <c r="F46" i="10"/>
  <c r="G44" i="10"/>
  <c r="G20" i="10"/>
  <c r="G10" i="10"/>
  <c r="G49" i="10"/>
  <c r="G41" i="10"/>
  <c r="G45" i="10"/>
  <c r="G43" i="10"/>
  <c r="G42" i="10"/>
  <c r="F41" i="10"/>
  <c r="G40" i="10"/>
  <c r="G39" i="10"/>
  <c r="G38" i="10"/>
  <c r="G37" i="10"/>
  <c r="G36" i="10"/>
  <c r="F35" i="10"/>
  <c r="G34" i="10"/>
  <c r="G32" i="10"/>
  <c r="G31" i="10"/>
  <c r="G30" i="10"/>
  <c r="G29" i="10"/>
  <c r="G28" i="10"/>
  <c r="G27" i="10"/>
  <c r="G26" i="10"/>
  <c r="G25" i="10"/>
  <c r="G24" i="10"/>
  <c r="G22" i="10"/>
  <c r="G21" i="10"/>
  <c r="G19" i="10"/>
  <c r="G18" i="10"/>
  <c r="G17" i="10"/>
  <c r="G16" i="10"/>
  <c r="G15" i="10"/>
  <c r="G14" i="10"/>
  <c r="G13" i="10"/>
  <c r="G12" i="10"/>
  <c r="G11" i="10"/>
  <c r="G9" i="10"/>
  <c r="G38" i="40"/>
  <c r="N19" i="37"/>
  <c r="M19" i="37"/>
  <c r="L19" i="37"/>
  <c r="K19" i="37"/>
  <c r="J19" i="37"/>
  <c r="I19" i="37"/>
  <c r="H19" i="37"/>
  <c r="G19" i="37"/>
  <c r="F19" i="37"/>
  <c r="E19" i="37"/>
  <c r="D19" i="37"/>
  <c r="C19" i="37"/>
  <c r="P18" i="37"/>
  <c r="O18" i="37"/>
  <c r="P17" i="37"/>
  <c r="O17" i="37"/>
  <c r="P16" i="37"/>
  <c r="O16" i="37"/>
  <c r="P15" i="37"/>
  <c r="O15" i="37"/>
  <c r="P14" i="37"/>
  <c r="O14" i="37"/>
  <c r="P13" i="37"/>
  <c r="O13" i="37"/>
  <c r="P12" i="37"/>
  <c r="O12" i="37"/>
  <c r="P11" i="37"/>
  <c r="O11" i="37"/>
  <c r="P10" i="37"/>
  <c r="O10" i="37"/>
  <c r="O272" i="36"/>
  <c r="N272" i="36"/>
  <c r="M272" i="36"/>
  <c r="L272" i="36"/>
  <c r="K272" i="36"/>
  <c r="J272" i="36"/>
  <c r="I272" i="36"/>
  <c r="H272" i="36"/>
  <c r="G272" i="36"/>
  <c r="F272" i="36"/>
  <c r="E272" i="36"/>
  <c r="D272" i="36"/>
  <c r="O270" i="36"/>
  <c r="N270" i="36"/>
  <c r="M270" i="36"/>
  <c r="L270" i="36"/>
  <c r="K270" i="36"/>
  <c r="J270" i="36"/>
  <c r="I270" i="36"/>
  <c r="H270" i="36"/>
  <c r="G270" i="36"/>
  <c r="F270" i="36"/>
  <c r="E270" i="36"/>
  <c r="D270" i="36"/>
  <c r="O267" i="36"/>
  <c r="N267" i="36"/>
  <c r="M267" i="36"/>
  <c r="L267" i="36"/>
  <c r="K267" i="36"/>
  <c r="J267" i="36"/>
  <c r="I267" i="36"/>
  <c r="H267" i="36"/>
  <c r="Q267" i="36" s="1"/>
  <c r="G267" i="36"/>
  <c r="F267" i="36"/>
  <c r="E267" i="36"/>
  <c r="D267" i="36"/>
  <c r="O265" i="36"/>
  <c r="N265" i="36"/>
  <c r="M265" i="36"/>
  <c r="L265" i="36"/>
  <c r="Q265" i="36" s="1"/>
  <c r="K265" i="36"/>
  <c r="J265" i="36"/>
  <c r="I265" i="36"/>
  <c r="H265" i="36"/>
  <c r="G265" i="36"/>
  <c r="F265" i="36"/>
  <c r="E265" i="36"/>
  <c r="D265" i="36"/>
  <c r="O260" i="36"/>
  <c r="N260" i="36"/>
  <c r="M260" i="36"/>
  <c r="L260" i="36"/>
  <c r="K260" i="36"/>
  <c r="J260" i="36"/>
  <c r="I260" i="36"/>
  <c r="H260" i="36"/>
  <c r="Q260" i="36" s="1"/>
  <c r="G260" i="36"/>
  <c r="F260" i="36"/>
  <c r="E260" i="36"/>
  <c r="D260" i="36"/>
  <c r="O254" i="36"/>
  <c r="N254" i="36"/>
  <c r="M254" i="36"/>
  <c r="L254" i="36"/>
  <c r="K254" i="36"/>
  <c r="J254" i="36"/>
  <c r="I254" i="36"/>
  <c r="H254" i="36"/>
  <c r="G254" i="36"/>
  <c r="F254" i="36"/>
  <c r="E254" i="36"/>
  <c r="D254" i="36"/>
  <c r="O249" i="36"/>
  <c r="N249" i="36"/>
  <c r="M249" i="36"/>
  <c r="L249" i="36"/>
  <c r="K249" i="36"/>
  <c r="J249" i="36"/>
  <c r="I249" i="36"/>
  <c r="H249" i="36"/>
  <c r="Q249" i="36" s="1"/>
  <c r="G249" i="36"/>
  <c r="F249" i="36"/>
  <c r="E249" i="36"/>
  <c r="D249" i="36"/>
  <c r="O247" i="36"/>
  <c r="N247" i="36"/>
  <c r="M247" i="36"/>
  <c r="L247" i="36"/>
  <c r="Q247" i="36" s="1"/>
  <c r="K247" i="36"/>
  <c r="J247" i="36"/>
  <c r="I247" i="36"/>
  <c r="H247" i="36"/>
  <c r="G247" i="36"/>
  <c r="F247" i="36"/>
  <c r="E247" i="36"/>
  <c r="D247" i="36"/>
  <c r="O244" i="36"/>
  <c r="N244" i="36"/>
  <c r="M244" i="36"/>
  <c r="L244" i="36"/>
  <c r="K244" i="36"/>
  <c r="J244" i="36"/>
  <c r="I244" i="36"/>
  <c r="H244" i="36"/>
  <c r="G244" i="36"/>
  <c r="F244" i="36"/>
  <c r="E244" i="36"/>
  <c r="D244" i="36"/>
  <c r="O241" i="36"/>
  <c r="N241" i="36"/>
  <c r="M241" i="36"/>
  <c r="L241" i="36"/>
  <c r="K241" i="36"/>
  <c r="J241" i="36"/>
  <c r="I241" i="36"/>
  <c r="H241" i="36"/>
  <c r="G241" i="36"/>
  <c r="F241" i="36"/>
  <c r="E241" i="36"/>
  <c r="D241" i="36"/>
  <c r="O237" i="36"/>
  <c r="N237" i="36"/>
  <c r="M237" i="36"/>
  <c r="L237" i="36"/>
  <c r="K237" i="36"/>
  <c r="J237" i="36"/>
  <c r="I237" i="36"/>
  <c r="H237" i="36"/>
  <c r="G237" i="36"/>
  <c r="F237" i="36"/>
  <c r="E237" i="36"/>
  <c r="D237" i="36"/>
  <c r="O234" i="36"/>
  <c r="N234" i="36"/>
  <c r="M234" i="36"/>
  <c r="L234" i="36"/>
  <c r="K234" i="36"/>
  <c r="J234" i="36"/>
  <c r="I234" i="36"/>
  <c r="H234" i="36"/>
  <c r="G234" i="36"/>
  <c r="F234" i="36"/>
  <c r="E234" i="36"/>
  <c r="D234" i="36"/>
  <c r="O231" i="36"/>
  <c r="N231" i="36"/>
  <c r="M231" i="36"/>
  <c r="L231" i="36"/>
  <c r="K231" i="36"/>
  <c r="J231" i="36"/>
  <c r="I231" i="36"/>
  <c r="H231" i="36"/>
  <c r="G231" i="36"/>
  <c r="F231" i="36"/>
  <c r="E231" i="36"/>
  <c r="D231" i="36"/>
  <c r="O227" i="36"/>
  <c r="N227" i="36"/>
  <c r="M227" i="36"/>
  <c r="L227" i="36"/>
  <c r="K227" i="36"/>
  <c r="J227" i="36"/>
  <c r="I227" i="36"/>
  <c r="H227" i="36"/>
  <c r="G227" i="36"/>
  <c r="F227" i="36"/>
  <c r="E227" i="36"/>
  <c r="D227" i="36"/>
  <c r="O220" i="36"/>
  <c r="N220" i="36"/>
  <c r="M220" i="36"/>
  <c r="L220" i="36"/>
  <c r="K220" i="36"/>
  <c r="J220" i="36"/>
  <c r="I220" i="36"/>
  <c r="H220" i="36"/>
  <c r="G220" i="36"/>
  <c r="F220" i="36"/>
  <c r="E220" i="36"/>
  <c r="D220" i="36"/>
  <c r="O214" i="36"/>
  <c r="N214" i="36"/>
  <c r="M214" i="36"/>
  <c r="L214" i="36"/>
  <c r="K214" i="36"/>
  <c r="J214" i="36"/>
  <c r="I214" i="36"/>
  <c r="H214" i="36"/>
  <c r="G214" i="36"/>
  <c r="F214" i="36"/>
  <c r="E214" i="36"/>
  <c r="D214" i="36"/>
  <c r="O211" i="36"/>
  <c r="N211" i="36"/>
  <c r="M211" i="36"/>
  <c r="L211" i="36"/>
  <c r="K211" i="36"/>
  <c r="J211" i="36"/>
  <c r="I211" i="36"/>
  <c r="H211" i="36"/>
  <c r="Q211" i="36" s="1"/>
  <c r="G211" i="36"/>
  <c r="F211" i="36"/>
  <c r="E211" i="36"/>
  <c r="D211" i="36"/>
  <c r="O208" i="36"/>
  <c r="N208" i="36"/>
  <c r="M208" i="36"/>
  <c r="L208" i="36"/>
  <c r="K208" i="36"/>
  <c r="J208" i="36"/>
  <c r="I208" i="36"/>
  <c r="H208" i="36"/>
  <c r="G208" i="36"/>
  <c r="F208" i="36"/>
  <c r="E208" i="36"/>
  <c r="D208" i="36"/>
  <c r="O205" i="36"/>
  <c r="N205" i="36"/>
  <c r="M205" i="36"/>
  <c r="L205" i="36"/>
  <c r="K205" i="36"/>
  <c r="J205" i="36"/>
  <c r="I205" i="36"/>
  <c r="H205" i="36"/>
  <c r="G205" i="36"/>
  <c r="F205" i="36"/>
  <c r="E205" i="36"/>
  <c r="D205" i="36"/>
  <c r="O200" i="36"/>
  <c r="N200" i="36"/>
  <c r="M200" i="36"/>
  <c r="L200" i="36"/>
  <c r="K200" i="36"/>
  <c r="J200" i="36"/>
  <c r="I200" i="36"/>
  <c r="H200" i="36"/>
  <c r="G200" i="36"/>
  <c r="F200" i="36"/>
  <c r="E200" i="36"/>
  <c r="D200" i="36"/>
  <c r="O194" i="36"/>
  <c r="N194" i="36"/>
  <c r="M194" i="36"/>
  <c r="L194" i="36"/>
  <c r="K194" i="36"/>
  <c r="J194" i="36"/>
  <c r="I194" i="36"/>
  <c r="H194" i="36"/>
  <c r="G194" i="36"/>
  <c r="F194" i="36"/>
  <c r="E194" i="36"/>
  <c r="D194" i="36"/>
  <c r="O189" i="36"/>
  <c r="N189" i="36"/>
  <c r="M189" i="36"/>
  <c r="L189" i="36"/>
  <c r="K189" i="36"/>
  <c r="J189" i="36"/>
  <c r="I189" i="36"/>
  <c r="H189" i="36"/>
  <c r="G189" i="36"/>
  <c r="F189" i="36"/>
  <c r="E189" i="36"/>
  <c r="D189" i="36"/>
  <c r="O184" i="36"/>
  <c r="N184" i="36"/>
  <c r="M184" i="36"/>
  <c r="L184" i="36"/>
  <c r="K184" i="36"/>
  <c r="J184" i="36"/>
  <c r="I184" i="36"/>
  <c r="H184" i="36"/>
  <c r="G184" i="36"/>
  <c r="F184" i="36"/>
  <c r="E184" i="36"/>
  <c r="D184" i="36"/>
  <c r="O178" i="36"/>
  <c r="N178" i="36"/>
  <c r="M178" i="36"/>
  <c r="L178" i="36"/>
  <c r="K178" i="36"/>
  <c r="J178" i="36"/>
  <c r="I178" i="36"/>
  <c r="H178" i="36"/>
  <c r="G178" i="36"/>
  <c r="F178" i="36"/>
  <c r="E178" i="36"/>
  <c r="D178" i="36"/>
  <c r="O174" i="36"/>
  <c r="N174" i="36"/>
  <c r="M174" i="36"/>
  <c r="L174" i="36"/>
  <c r="K174" i="36"/>
  <c r="J174" i="36"/>
  <c r="I174" i="36"/>
  <c r="H174" i="36"/>
  <c r="Q174" i="36" s="1"/>
  <c r="G174" i="36"/>
  <c r="F174" i="36"/>
  <c r="E174" i="36"/>
  <c r="D174" i="36"/>
  <c r="O172" i="36"/>
  <c r="N172" i="36"/>
  <c r="M172" i="36"/>
  <c r="L172" i="36"/>
  <c r="K172" i="36"/>
  <c r="J172" i="36"/>
  <c r="I172" i="36"/>
  <c r="H172" i="36"/>
  <c r="G172" i="36"/>
  <c r="F172" i="36"/>
  <c r="E172" i="36"/>
  <c r="D172" i="36"/>
  <c r="O170" i="36"/>
  <c r="N170" i="36"/>
  <c r="M170" i="36"/>
  <c r="L170" i="36"/>
  <c r="K170" i="36"/>
  <c r="J170" i="36"/>
  <c r="I170" i="36"/>
  <c r="H170" i="36"/>
  <c r="Q170" i="36" s="1"/>
  <c r="G170" i="36"/>
  <c r="F170" i="36"/>
  <c r="E170" i="36"/>
  <c r="D170" i="36"/>
  <c r="O166" i="36"/>
  <c r="N166" i="36"/>
  <c r="M166" i="36"/>
  <c r="L166" i="36"/>
  <c r="Q166" i="36" s="1"/>
  <c r="K166" i="36"/>
  <c r="J166" i="36"/>
  <c r="I166" i="36"/>
  <c r="H166" i="36"/>
  <c r="G166" i="36"/>
  <c r="F166" i="36"/>
  <c r="E166" i="36"/>
  <c r="D166" i="36"/>
  <c r="O161" i="36"/>
  <c r="N161" i="36"/>
  <c r="M161" i="36"/>
  <c r="L161" i="36"/>
  <c r="K161" i="36"/>
  <c r="J161" i="36"/>
  <c r="I161" i="36"/>
  <c r="H161" i="36"/>
  <c r="Q161" i="36" s="1"/>
  <c r="G161" i="36"/>
  <c r="F161" i="36"/>
  <c r="E161" i="36"/>
  <c r="D161" i="36"/>
  <c r="O158" i="36"/>
  <c r="N158" i="36"/>
  <c r="M158" i="36"/>
  <c r="L158" i="36"/>
  <c r="K158" i="36"/>
  <c r="J158" i="36"/>
  <c r="I158" i="36"/>
  <c r="H158" i="36"/>
  <c r="G158" i="36"/>
  <c r="F158" i="36"/>
  <c r="E158" i="36"/>
  <c r="D158" i="36"/>
  <c r="O152" i="36"/>
  <c r="N152" i="36"/>
  <c r="M152" i="36"/>
  <c r="L152" i="36"/>
  <c r="K152" i="36"/>
  <c r="J152" i="36"/>
  <c r="I152" i="36"/>
  <c r="H152" i="36"/>
  <c r="G152" i="36"/>
  <c r="F152" i="36"/>
  <c r="E152" i="36"/>
  <c r="D152" i="36"/>
  <c r="O146" i="36"/>
  <c r="N146" i="36"/>
  <c r="M146" i="36"/>
  <c r="L146" i="36"/>
  <c r="K146" i="36"/>
  <c r="J146" i="36"/>
  <c r="I146" i="36"/>
  <c r="H146" i="36"/>
  <c r="G146" i="36"/>
  <c r="F146" i="36"/>
  <c r="E146" i="36"/>
  <c r="D146" i="36"/>
  <c r="O140" i="36"/>
  <c r="N140" i="36"/>
  <c r="M140" i="36"/>
  <c r="L140" i="36"/>
  <c r="K140" i="36"/>
  <c r="J140" i="36"/>
  <c r="I140" i="36"/>
  <c r="H140" i="36"/>
  <c r="G140" i="36"/>
  <c r="F140" i="36"/>
  <c r="E140" i="36"/>
  <c r="D140" i="36"/>
  <c r="O135" i="36"/>
  <c r="N135" i="36"/>
  <c r="M135" i="36"/>
  <c r="L135" i="36"/>
  <c r="K135" i="36"/>
  <c r="J135" i="36"/>
  <c r="I135" i="36"/>
  <c r="H135" i="36"/>
  <c r="G135" i="36"/>
  <c r="F135" i="36"/>
  <c r="E135" i="36"/>
  <c r="D135" i="36"/>
  <c r="O130" i="36"/>
  <c r="N130" i="36"/>
  <c r="M130" i="36"/>
  <c r="L130" i="36"/>
  <c r="K130" i="36"/>
  <c r="J130" i="36"/>
  <c r="I130" i="36"/>
  <c r="H130" i="36"/>
  <c r="G130" i="36"/>
  <c r="F130" i="36"/>
  <c r="E130" i="36"/>
  <c r="D130" i="36"/>
  <c r="O124" i="36"/>
  <c r="N124" i="36"/>
  <c r="M124" i="36"/>
  <c r="L124" i="36"/>
  <c r="K124" i="36"/>
  <c r="J124" i="36"/>
  <c r="I124" i="36"/>
  <c r="H124" i="36"/>
  <c r="G124" i="36"/>
  <c r="F124" i="36"/>
  <c r="E124" i="36"/>
  <c r="D124" i="36"/>
  <c r="O119" i="36"/>
  <c r="N119" i="36"/>
  <c r="M119" i="36"/>
  <c r="L119" i="36"/>
  <c r="K119" i="36"/>
  <c r="J119" i="36"/>
  <c r="I119" i="36"/>
  <c r="H119" i="36"/>
  <c r="Q119" i="36" s="1"/>
  <c r="G119" i="36"/>
  <c r="F119" i="36"/>
  <c r="E119" i="36"/>
  <c r="D119" i="36"/>
  <c r="O113" i="36"/>
  <c r="N113" i="36"/>
  <c r="M113" i="36"/>
  <c r="L113" i="36"/>
  <c r="K113" i="36"/>
  <c r="J113" i="36"/>
  <c r="I113" i="36"/>
  <c r="H113" i="36"/>
  <c r="G113" i="36"/>
  <c r="F113" i="36"/>
  <c r="E113" i="36"/>
  <c r="D113" i="36"/>
  <c r="O107" i="36"/>
  <c r="N107" i="36"/>
  <c r="M107" i="36"/>
  <c r="L107" i="36"/>
  <c r="K107" i="36"/>
  <c r="J107" i="36"/>
  <c r="I107" i="36"/>
  <c r="H107" i="36"/>
  <c r="Q107" i="36" s="1"/>
  <c r="G107" i="36"/>
  <c r="F107" i="36"/>
  <c r="E107" i="36"/>
  <c r="D107" i="36"/>
  <c r="O101" i="36"/>
  <c r="N101" i="36"/>
  <c r="M101" i="36"/>
  <c r="L101" i="36"/>
  <c r="Q101" i="36" s="1"/>
  <c r="K101" i="36"/>
  <c r="J101" i="36"/>
  <c r="I101" i="36"/>
  <c r="H101" i="36"/>
  <c r="G101" i="36"/>
  <c r="F101" i="36"/>
  <c r="E101" i="36"/>
  <c r="D101" i="36"/>
  <c r="O95" i="36"/>
  <c r="N95" i="36"/>
  <c r="M95" i="36"/>
  <c r="L95" i="36"/>
  <c r="K95" i="36"/>
  <c r="J95" i="36"/>
  <c r="I95" i="36"/>
  <c r="H95" i="36"/>
  <c r="G95" i="36"/>
  <c r="F95" i="36"/>
  <c r="E95" i="36"/>
  <c r="D95" i="36"/>
  <c r="O89" i="36"/>
  <c r="N89" i="36"/>
  <c r="M89" i="36"/>
  <c r="L89" i="36"/>
  <c r="K89" i="36"/>
  <c r="J89" i="36"/>
  <c r="I89" i="36"/>
  <c r="H89" i="36"/>
  <c r="G89" i="36"/>
  <c r="F89" i="36"/>
  <c r="E89" i="36"/>
  <c r="D89" i="36"/>
  <c r="O83" i="36"/>
  <c r="N83" i="36"/>
  <c r="M83" i="36"/>
  <c r="L83" i="36"/>
  <c r="K83" i="36"/>
  <c r="J83" i="36"/>
  <c r="I83" i="36"/>
  <c r="H83" i="36"/>
  <c r="G83" i="36"/>
  <c r="F83" i="36"/>
  <c r="E83" i="36"/>
  <c r="D83" i="36"/>
  <c r="O77" i="36"/>
  <c r="N77" i="36"/>
  <c r="M77" i="36"/>
  <c r="L77" i="36"/>
  <c r="K77" i="36"/>
  <c r="J77" i="36"/>
  <c r="I77" i="36"/>
  <c r="H77" i="36"/>
  <c r="G77" i="36"/>
  <c r="F77" i="36"/>
  <c r="E77" i="36"/>
  <c r="D77" i="36"/>
  <c r="O71" i="36"/>
  <c r="N71" i="36"/>
  <c r="M71" i="36"/>
  <c r="L71" i="36"/>
  <c r="K71" i="36"/>
  <c r="J71" i="36"/>
  <c r="I71" i="36"/>
  <c r="H71" i="36"/>
  <c r="G71" i="36"/>
  <c r="F71" i="36"/>
  <c r="E71" i="36"/>
  <c r="D71" i="36"/>
  <c r="O66" i="36"/>
  <c r="N66" i="36"/>
  <c r="M66" i="36"/>
  <c r="L66" i="36"/>
  <c r="K66" i="36"/>
  <c r="J66" i="36"/>
  <c r="I66" i="36"/>
  <c r="H66" i="36"/>
  <c r="G66" i="36"/>
  <c r="F66" i="36"/>
  <c r="E66" i="36"/>
  <c r="D66" i="36"/>
  <c r="O10" i="36"/>
  <c r="N10" i="36"/>
  <c r="M10" i="36"/>
  <c r="L10" i="36"/>
  <c r="K10" i="36"/>
  <c r="J10" i="36"/>
  <c r="I10" i="36"/>
  <c r="H10" i="36"/>
  <c r="G10" i="36"/>
  <c r="F10" i="36"/>
  <c r="E10" i="36"/>
  <c r="D10" i="36"/>
  <c r="P135" i="36" l="1"/>
  <c r="P19" i="37"/>
  <c r="Q231" i="36"/>
  <c r="Q270" i="36"/>
  <c r="Q272" i="36"/>
  <c r="P89" i="36"/>
  <c r="P158" i="36"/>
  <c r="P189" i="36"/>
  <c r="Q214" i="36"/>
  <c r="Q220" i="36"/>
  <c r="P241" i="36"/>
  <c r="P270" i="36"/>
  <c r="Q71" i="36"/>
  <c r="Q83" i="36"/>
  <c r="Q89" i="36"/>
  <c r="Q135" i="36"/>
  <c r="Q237" i="36"/>
  <c r="Q241" i="36"/>
  <c r="P208" i="36"/>
  <c r="P227" i="36"/>
  <c r="P254" i="36"/>
  <c r="P140" i="36"/>
  <c r="P152" i="36"/>
  <c r="Q158" i="36"/>
  <c r="M276" i="36"/>
  <c r="O276" i="36"/>
  <c r="Q184" i="36"/>
  <c r="Q189" i="36"/>
  <c r="G276" i="36"/>
  <c r="P66" i="36"/>
  <c r="P194" i="36"/>
  <c r="P205" i="36"/>
  <c r="P113" i="36"/>
  <c r="Q124" i="36"/>
  <c r="Q130" i="36"/>
  <c r="P244" i="36"/>
  <c r="P172" i="36"/>
  <c r="P107" i="36"/>
  <c r="P161" i="36"/>
  <c r="Q178" i="36"/>
  <c r="Q208" i="36"/>
  <c r="P249" i="36"/>
  <c r="J276" i="36"/>
  <c r="K276" i="36"/>
  <c r="D276" i="36"/>
  <c r="Q77" i="36"/>
  <c r="Q113" i="36"/>
  <c r="Q140" i="36"/>
  <c r="P170" i="36"/>
  <c r="P211" i="36"/>
  <c r="Q234" i="36"/>
  <c r="Q254" i="36"/>
  <c r="P83" i="36"/>
  <c r="P237" i="36"/>
  <c r="P272" i="36"/>
  <c r="P10" i="36"/>
  <c r="P119" i="36"/>
  <c r="Q146" i="36"/>
  <c r="Q152" i="36"/>
  <c r="Q172" i="36"/>
  <c r="Q194" i="36"/>
  <c r="P220" i="36"/>
  <c r="P260" i="36"/>
  <c r="P95" i="36"/>
  <c r="E276" i="36"/>
  <c r="Q66" i="36"/>
  <c r="Q95" i="36"/>
  <c r="P130" i="36"/>
  <c r="P174" i="36"/>
  <c r="Q200" i="36"/>
  <c r="Q205" i="36"/>
  <c r="Q227" i="36"/>
  <c r="Q244" i="36"/>
  <c r="P267" i="36"/>
  <c r="H276" i="36"/>
  <c r="F276" i="36"/>
  <c r="N276" i="36"/>
  <c r="P71" i="36"/>
  <c r="P184" i="36"/>
  <c r="P231" i="36"/>
  <c r="Q10" i="36"/>
  <c r="I276" i="36"/>
  <c r="O19" i="37"/>
  <c r="L276" i="36"/>
  <c r="P77" i="36"/>
  <c r="P101" i="36"/>
  <c r="P124" i="36"/>
  <c r="P146" i="36"/>
  <c r="P166" i="36"/>
  <c r="P178" i="36"/>
  <c r="P200" i="36"/>
  <c r="P214" i="36"/>
  <c r="P234" i="36"/>
  <c r="P247" i="36"/>
  <c r="P265" i="36"/>
  <c r="Q276" i="36" l="1"/>
  <c r="P276" i="36"/>
  <c r="C8" i="38" l="1"/>
  <c r="C30" i="39"/>
  <c r="C9" i="39"/>
  <c r="E8" i="38" l="1"/>
  <c r="D8" i="38"/>
  <c r="G8" i="13"/>
  <c r="G9" i="13"/>
  <c r="M44" i="2"/>
  <c r="L44" i="2"/>
  <c r="K44" i="2"/>
  <c r="J44" i="2"/>
  <c r="I44" i="2"/>
  <c r="G44" i="2"/>
  <c r="M43" i="2"/>
  <c r="L43" i="2"/>
  <c r="K43" i="2"/>
  <c r="J43" i="2"/>
  <c r="I43" i="2"/>
  <c r="G43" i="2"/>
  <c r="M42" i="2"/>
  <c r="L42" i="2"/>
  <c r="K42" i="2"/>
  <c r="J42" i="2"/>
  <c r="I42" i="2"/>
  <c r="G42" i="2"/>
  <c r="M41" i="2"/>
  <c r="L41" i="2"/>
  <c r="K41" i="2"/>
  <c r="J41" i="2"/>
  <c r="I41" i="2"/>
  <c r="G41" i="2"/>
  <c r="M40" i="2"/>
  <c r="L40" i="2"/>
  <c r="J40" i="2"/>
  <c r="I40" i="2"/>
  <c r="G40" i="2"/>
  <c r="D40" i="2"/>
  <c r="D38" i="2" s="1"/>
  <c r="M39" i="2"/>
  <c r="L39" i="2"/>
  <c r="K39" i="2"/>
  <c r="J39" i="2"/>
  <c r="I39" i="2"/>
  <c r="G39" i="2"/>
  <c r="D39" i="2"/>
  <c r="H38" i="2"/>
  <c r="F38" i="2"/>
  <c r="M38" i="2" s="1"/>
  <c r="E38" i="2"/>
  <c r="I38" i="2" s="1"/>
  <c r="C38" i="2"/>
  <c r="J38" i="2" s="1"/>
  <c r="M35" i="2"/>
  <c r="L35" i="2"/>
  <c r="K35" i="2"/>
  <c r="J35" i="2"/>
  <c r="I35" i="2"/>
  <c r="G35" i="2"/>
  <c r="M34" i="2"/>
  <c r="L34" i="2"/>
  <c r="K34" i="2"/>
  <c r="J34" i="2"/>
  <c r="I34" i="2"/>
  <c r="G34" i="2"/>
  <c r="M33" i="2"/>
  <c r="L33" i="2"/>
  <c r="K33" i="2"/>
  <c r="J33" i="2"/>
  <c r="I33" i="2"/>
  <c r="G33" i="2"/>
  <c r="M32" i="2"/>
  <c r="L32" i="2"/>
  <c r="K32" i="2"/>
  <c r="J32" i="2"/>
  <c r="I32" i="2"/>
  <c r="G32" i="2"/>
  <c r="M31" i="2"/>
  <c r="L31" i="2"/>
  <c r="K31" i="2"/>
  <c r="J31" i="2"/>
  <c r="I31" i="2"/>
  <c r="G31" i="2"/>
  <c r="M30" i="2"/>
  <c r="L30" i="2"/>
  <c r="K30" i="2"/>
  <c r="J30" i="2"/>
  <c r="I30" i="2"/>
  <c r="G30" i="2"/>
  <c r="M29" i="2"/>
  <c r="L29" i="2"/>
  <c r="K29" i="2"/>
  <c r="J29" i="2"/>
  <c r="I29" i="2"/>
  <c r="G29" i="2"/>
  <c r="M28" i="2"/>
  <c r="L28" i="2"/>
  <c r="K28" i="2"/>
  <c r="J28" i="2"/>
  <c r="G28" i="2"/>
  <c r="M27" i="2"/>
  <c r="L27" i="2"/>
  <c r="K27" i="2"/>
  <c r="J27" i="2"/>
  <c r="I27" i="2"/>
  <c r="G27" i="2"/>
  <c r="M26" i="2"/>
  <c r="L26" i="2"/>
  <c r="K26" i="2"/>
  <c r="J26" i="2"/>
  <c r="I26" i="2"/>
  <c r="G26" i="2"/>
  <c r="M25" i="2"/>
  <c r="L25" i="2"/>
  <c r="K25" i="2"/>
  <c r="J25" i="2"/>
  <c r="I25" i="2"/>
  <c r="G25" i="2"/>
  <c r="H24" i="2"/>
  <c r="H23" i="2" s="1"/>
  <c r="F24" i="2"/>
  <c r="G24" i="2" s="1"/>
  <c r="E24" i="2"/>
  <c r="D24" i="2"/>
  <c r="D23" i="2" s="1"/>
  <c r="C24" i="2"/>
  <c r="C23" i="2" s="1"/>
  <c r="E23" i="2"/>
  <c r="M22" i="2"/>
  <c r="L22" i="2"/>
  <c r="K22" i="2"/>
  <c r="J22" i="2"/>
  <c r="I22" i="2"/>
  <c r="G22" i="2"/>
  <c r="M21" i="2"/>
  <c r="L21" i="2"/>
  <c r="K21" i="2"/>
  <c r="J21" i="2"/>
  <c r="I21" i="2"/>
  <c r="G21" i="2"/>
  <c r="M20" i="2"/>
  <c r="L20" i="2"/>
  <c r="J20" i="2"/>
  <c r="I20" i="2"/>
  <c r="G20" i="2"/>
  <c r="D20" i="2"/>
  <c r="K20" i="2" s="1"/>
  <c r="M19" i="2"/>
  <c r="L19" i="2"/>
  <c r="K19" i="2"/>
  <c r="J19" i="2"/>
  <c r="I19" i="2"/>
  <c r="G19" i="2"/>
  <c r="H18" i="2"/>
  <c r="H14" i="2" s="1"/>
  <c r="F18" i="2"/>
  <c r="M18" i="2" s="1"/>
  <c r="E18" i="2"/>
  <c r="C18" i="2"/>
  <c r="M17" i="2"/>
  <c r="L17" i="2"/>
  <c r="K17" i="2"/>
  <c r="J17" i="2"/>
  <c r="I17" i="2"/>
  <c r="G17" i="2"/>
  <c r="L16" i="2"/>
  <c r="K16" i="2"/>
  <c r="J16" i="2"/>
  <c r="G16" i="2"/>
  <c r="M15" i="2"/>
  <c r="L15" i="2"/>
  <c r="K15" i="2"/>
  <c r="J15" i="2"/>
  <c r="I15" i="2"/>
  <c r="G15" i="2"/>
  <c r="E14" i="2"/>
  <c r="E13" i="2"/>
  <c r="M12" i="2"/>
  <c r="L12" i="2"/>
  <c r="L11" i="2" s="1"/>
  <c r="J12" i="2"/>
  <c r="E12" i="2"/>
  <c r="E11" i="2" s="1"/>
  <c r="D12" i="2"/>
  <c r="K12" i="2" s="1"/>
  <c r="H11" i="2"/>
  <c r="J11" i="2" s="1"/>
  <c r="F11" i="2"/>
  <c r="D11" i="2"/>
  <c r="C11" i="2"/>
  <c r="M10" i="2"/>
  <c r="L10" i="2"/>
  <c r="K10" i="2"/>
  <c r="J10" i="2"/>
  <c r="I10" i="2"/>
  <c r="G10" i="2"/>
  <c r="M9" i="2"/>
  <c r="L9" i="2"/>
  <c r="K9" i="2"/>
  <c r="J9" i="2"/>
  <c r="I9" i="2"/>
  <c r="G9" i="2"/>
  <c r="M8" i="2"/>
  <c r="L8" i="2"/>
  <c r="K8" i="2"/>
  <c r="J8" i="2"/>
  <c r="I8" i="2"/>
  <c r="G8" i="2"/>
  <c r="L7" i="2"/>
  <c r="H7" i="2"/>
  <c r="J7" i="2" s="1"/>
  <c r="F7" i="2"/>
  <c r="F5" i="2" s="1"/>
  <c r="E7" i="2"/>
  <c r="D7" i="2"/>
  <c r="C7" i="2"/>
  <c r="C5" i="2" s="1"/>
  <c r="M6" i="2"/>
  <c r="L6" i="2"/>
  <c r="K6" i="2"/>
  <c r="J6" i="2"/>
  <c r="I6" i="2"/>
  <c r="G6" i="2"/>
  <c r="H13" i="2" l="1"/>
  <c r="M11" i="2"/>
  <c r="G18" i="2"/>
  <c r="M7" i="2"/>
  <c r="C37" i="2"/>
  <c r="J37" i="2" s="1"/>
  <c r="L38" i="2"/>
  <c r="G14" i="2"/>
  <c r="J18" i="2"/>
  <c r="E37" i="2"/>
  <c r="I7" i="2"/>
  <c r="L24" i="2"/>
  <c r="F14" i="2"/>
  <c r="M14" i="2" s="1"/>
  <c r="J23" i="2"/>
  <c r="K7" i="2"/>
  <c r="D18" i="2"/>
  <c r="D14" i="2" s="1"/>
  <c r="D13" i="2" s="1"/>
  <c r="F37" i="2"/>
  <c r="G7" i="2"/>
  <c r="H37" i="2"/>
  <c r="E5" i="2"/>
  <c r="E36" i="2" s="1"/>
  <c r="E45" i="2" s="1"/>
  <c r="G11" i="2"/>
  <c r="G5" i="2" s="1"/>
  <c r="K38" i="2"/>
  <c r="D37" i="2"/>
  <c r="K37" i="2" s="1"/>
  <c r="I14" i="2"/>
  <c r="I11" i="2"/>
  <c r="I12" i="2"/>
  <c r="C14" i="2"/>
  <c r="I24" i="2"/>
  <c r="G38" i="2"/>
  <c r="G12" i="2"/>
  <c r="H5" i="2"/>
  <c r="L5" i="2" s="1"/>
  <c r="L14" i="2"/>
  <c r="I18" i="2"/>
  <c r="J24" i="2"/>
  <c r="I5" i="2"/>
  <c r="K11" i="2"/>
  <c r="F23" i="2"/>
  <c r="F13" i="2" s="1"/>
  <c r="K24" i="2"/>
  <c r="K40" i="2"/>
  <c r="L18" i="2"/>
  <c r="M24" i="2"/>
  <c r="D5" i="2"/>
  <c r="K14" i="2" l="1"/>
  <c r="L37" i="2"/>
  <c r="D36" i="2"/>
  <c r="D45" i="2" s="1"/>
  <c r="K18" i="2"/>
  <c r="I37" i="2"/>
  <c r="M37" i="2"/>
  <c r="G37" i="2"/>
  <c r="L13" i="2"/>
  <c r="K13" i="2"/>
  <c r="I13" i="2"/>
  <c r="G13" i="2"/>
  <c r="M13" i="2"/>
  <c r="F36" i="2"/>
  <c r="K5" i="2"/>
  <c r="C13" i="2"/>
  <c r="J14" i="2"/>
  <c r="H36" i="2"/>
  <c r="J5" i="2"/>
  <c r="M5" i="2"/>
  <c r="K23" i="2"/>
  <c r="I23" i="2"/>
  <c r="G23" i="2"/>
  <c r="M23" i="2"/>
  <c r="L23" i="2"/>
  <c r="J13" i="2" l="1"/>
  <c r="C36" i="2"/>
  <c r="C45" i="2" s="1"/>
  <c r="H45" i="2"/>
  <c r="J45" i="2" s="1"/>
  <c r="L36" i="2"/>
  <c r="K36" i="2"/>
  <c r="I36" i="2"/>
  <c r="G36" i="2"/>
  <c r="F45" i="2"/>
  <c r="M36" i="2"/>
  <c r="J36" i="2" l="1"/>
  <c r="M45" i="2"/>
  <c r="L45" i="2"/>
  <c r="K45" i="2"/>
  <c r="I45" i="2"/>
  <c r="G45" i="2"/>
  <c r="J27" i="40" l="1"/>
  <c r="J31" i="10"/>
  <c r="J26" i="10"/>
  <c r="F9" i="10"/>
  <c r="I31" i="40"/>
  <c r="F19" i="40"/>
  <c r="C20" i="38" l="1"/>
  <c r="F8" i="39" l="1"/>
  <c r="G30" i="14"/>
  <c r="G9" i="14"/>
  <c r="G37" i="14" l="1"/>
  <c r="C20" i="13"/>
  <c r="D19" i="13" s="1"/>
  <c r="H50" i="10"/>
  <c r="F50" i="10"/>
  <c r="I48" i="10"/>
  <c r="J48" i="10"/>
  <c r="I23" i="10"/>
  <c r="I25" i="40"/>
  <c r="J25" i="40"/>
  <c r="I16" i="40"/>
  <c r="J16" i="40"/>
  <c r="I50" i="10" l="1"/>
  <c r="G19" i="38"/>
  <c r="F19" i="38"/>
  <c r="G18" i="38"/>
  <c r="F18" i="38"/>
  <c r="G17" i="38"/>
  <c r="F17" i="38"/>
  <c r="G16" i="38"/>
  <c r="F16" i="38"/>
  <c r="G15" i="38"/>
  <c r="F15" i="38"/>
  <c r="G14" i="38"/>
  <c r="F14" i="38"/>
  <c r="G13" i="38"/>
  <c r="F13" i="38"/>
  <c r="G12" i="38"/>
  <c r="F12" i="38"/>
  <c r="G11" i="38"/>
  <c r="F11" i="38"/>
  <c r="G10" i="38"/>
  <c r="F10" i="38"/>
  <c r="G9" i="38"/>
  <c r="F9" i="38"/>
  <c r="E20" i="38"/>
  <c r="D20" i="38"/>
  <c r="E20" i="13"/>
  <c r="F14" i="13" s="1"/>
  <c r="D11" i="13"/>
  <c r="J18" i="13"/>
  <c r="I18" i="13"/>
  <c r="J17" i="13"/>
  <c r="I17" i="13"/>
  <c r="J16" i="13"/>
  <c r="I16" i="13"/>
  <c r="J15" i="13"/>
  <c r="I15" i="13"/>
  <c r="J14" i="13"/>
  <c r="I14" i="13"/>
  <c r="J13" i="13"/>
  <c r="I13" i="13"/>
  <c r="J12" i="13"/>
  <c r="I12" i="13"/>
  <c r="J11" i="13"/>
  <c r="I11" i="13"/>
  <c r="J10" i="13"/>
  <c r="I10" i="13"/>
  <c r="J9" i="13"/>
  <c r="I9" i="13"/>
  <c r="G20" i="13"/>
  <c r="I20" i="13" s="1"/>
  <c r="F16" i="13" l="1"/>
  <c r="F10" i="13"/>
  <c r="F8" i="13"/>
  <c r="F11" i="13"/>
  <c r="F13" i="13"/>
  <c r="F9" i="13"/>
  <c r="F12" i="13"/>
  <c r="G20" i="38"/>
  <c r="F8" i="38"/>
  <c r="F20" i="38" s="1"/>
  <c r="G8" i="38"/>
  <c r="J20" i="13"/>
  <c r="H17" i="13"/>
  <c r="H15" i="13"/>
  <c r="H12" i="13"/>
  <c r="H20" i="13"/>
  <c r="H18" i="13"/>
  <c r="H10" i="13"/>
  <c r="H13" i="13"/>
  <c r="H11" i="13"/>
  <c r="H16" i="13"/>
  <c r="H14" i="13"/>
  <c r="H9" i="13"/>
  <c r="D20" i="13"/>
  <c r="I8" i="13"/>
  <c r="D10" i="13"/>
  <c r="D18" i="13"/>
  <c r="D13" i="13"/>
  <c r="D15" i="13"/>
  <c r="F18" i="13"/>
  <c r="F20" i="13"/>
  <c r="H8" i="13"/>
  <c r="J8" i="13"/>
  <c r="D9" i="13"/>
  <c r="D12" i="13"/>
  <c r="F15" i="13"/>
  <c r="D16" i="13"/>
  <c r="D8" i="13"/>
  <c r="D14" i="13"/>
  <c r="F17" i="13"/>
  <c r="D17" i="13"/>
  <c r="G34" i="39" l="1"/>
  <c r="F34" i="39"/>
  <c r="G33" i="39"/>
  <c r="F33" i="39"/>
  <c r="G32" i="39"/>
  <c r="F32" i="39"/>
  <c r="G31" i="39"/>
  <c r="F31" i="39"/>
  <c r="E30" i="39"/>
  <c r="D30" i="39"/>
  <c r="G29" i="39"/>
  <c r="F29" i="39"/>
  <c r="G28" i="39"/>
  <c r="F28" i="39"/>
  <c r="G27" i="39"/>
  <c r="F27" i="39"/>
  <c r="G26" i="39"/>
  <c r="F26" i="39"/>
  <c r="G25" i="39"/>
  <c r="F25" i="39"/>
  <c r="G24" i="39"/>
  <c r="F24" i="39"/>
  <c r="G23" i="39"/>
  <c r="F23" i="39"/>
  <c r="G22" i="39"/>
  <c r="F22" i="39"/>
  <c r="G21" i="39"/>
  <c r="F21" i="39"/>
  <c r="G20" i="39"/>
  <c r="F20" i="39"/>
  <c r="G19" i="39"/>
  <c r="F19" i="39"/>
  <c r="G18" i="39"/>
  <c r="F18" i="39"/>
  <c r="G17" i="39"/>
  <c r="F17" i="39"/>
  <c r="G16" i="39"/>
  <c r="F16" i="39"/>
  <c r="G15" i="39"/>
  <c r="F15" i="39"/>
  <c r="G14" i="39"/>
  <c r="F14" i="39"/>
  <c r="G13" i="39"/>
  <c r="F13" i="39"/>
  <c r="G12" i="39"/>
  <c r="F12" i="39"/>
  <c r="G11" i="39"/>
  <c r="F11" i="39"/>
  <c r="G10" i="39"/>
  <c r="F10" i="39"/>
  <c r="E9" i="39"/>
  <c r="D9" i="39"/>
  <c r="C35" i="39"/>
  <c r="G8" i="39"/>
  <c r="J35" i="14"/>
  <c r="I35" i="14"/>
  <c r="J34" i="14"/>
  <c r="I34" i="14"/>
  <c r="J33" i="14"/>
  <c r="I33" i="14"/>
  <c r="J32" i="14"/>
  <c r="I32" i="14"/>
  <c r="I31" i="14"/>
  <c r="E30" i="14"/>
  <c r="C30" i="14"/>
  <c r="J29" i="14"/>
  <c r="I29" i="14"/>
  <c r="J28" i="14"/>
  <c r="I28" i="14"/>
  <c r="J27" i="14"/>
  <c r="I27" i="14"/>
  <c r="J26" i="14"/>
  <c r="I26" i="14"/>
  <c r="J25" i="14"/>
  <c r="I25" i="14"/>
  <c r="J24" i="14"/>
  <c r="I24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E9" i="14"/>
  <c r="I9" i="14" s="1"/>
  <c r="C9" i="14"/>
  <c r="J8" i="14"/>
  <c r="I8" i="14"/>
  <c r="C37" i="14" l="1"/>
  <c r="D9" i="14" s="1"/>
  <c r="J30" i="14"/>
  <c r="D35" i="39"/>
  <c r="F30" i="39"/>
  <c r="E35" i="39"/>
  <c r="F9" i="39"/>
  <c r="I30" i="14"/>
  <c r="G30" i="39"/>
  <c r="G9" i="39"/>
  <c r="J9" i="14"/>
  <c r="E37" i="14"/>
  <c r="F8" i="14" l="1"/>
  <c r="F23" i="14"/>
  <c r="F24" i="14"/>
  <c r="H35" i="14"/>
  <c r="H8" i="14"/>
  <c r="D29" i="14"/>
  <c r="D37" i="14"/>
  <c r="D17" i="14"/>
  <c r="D21" i="14"/>
  <c r="D11" i="14"/>
  <c r="D16" i="14"/>
  <c r="D13" i="14"/>
  <c r="D35" i="14"/>
  <c r="D32" i="14"/>
  <c r="D15" i="14"/>
  <c r="D36" i="14"/>
  <c r="D8" i="14"/>
  <c r="D26" i="14"/>
  <c r="D31" i="14"/>
  <c r="D34" i="14"/>
  <c r="D23" i="14"/>
  <c r="D22" i="14"/>
  <c r="D20" i="14"/>
  <c r="D14" i="14"/>
  <c r="D12" i="14"/>
  <c r="D18" i="14"/>
  <c r="D30" i="14"/>
  <c r="D27" i="14"/>
  <c r="D19" i="14"/>
  <c r="D28" i="14"/>
  <c r="D33" i="14"/>
  <c r="D25" i="14"/>
  <c r="D10" i="14"/>
  <c r="H9" i="14"/>
  <c r="J37" i="14"/>
  <c r="F35" i="39"/>
  <c r="G35" i="39"/>
  <c r="H30" i="14"/>
  <c r="F30" i="14"/>
  <c r="F22" i="14"/>
  <c r="F14" i="14"/>
  <c r="F33" i="14"/>
  <c r="F27" i="14"/>
  <c r="F17" i="14"/>
  <c r="F31" i="14"/>
  <c r="F20" i="14"/>
  <c r="F12" i="14"/>
  <c r="F35" i="14"/>
  <c r="F19" i="14"/>
  <c r="F25" i="14"/>
  <c r="F15" i="14"/>
  <c r="F37" i="14"/>
  <c r="F34" i="14"/>
  <c r="F28" i="14"/>
  <c r="F18" i="14"/>
  <c r="F10" i="14"/>
  <c r="F21" i="14"/>
  <c r="F13" i="14"/>
  <c r="F29" i="14"/>
  <c r="F11" i="14"/>
  <c r="F32" i="14"/>
  <c r="F26" i="14"/>
  <c r="F16" i="14"/>
  <c r="H33" i="14"/>
  <c r="H27" i="14"/>
  <c r="H17" i="14"/>
  <c r="I37" i="14"/>
  <c r="H31" i="14"/>
  <c r="H20" i="14"/>
  <c r="H12" i="14"/>
  <c r="H37" i="14"/>
  <c r="H25" i="14"/>
  <c r="H23" i="14"/>
  <c r="H15" i="14"/>
  <c r="H34" i="14"/>
  <c r="H28" i="14"/>
  <c r="H18" i="14"/>
  <c r="H10" i="14"/>
  <c r="H22" i="14"/>
  <c r="H21" i="14"/>
  <c r="H13" i="14"/>
  <c r="H32" i="14"/>
  <c r="H26" i="14"/>
  <c r="H16" i="14"/>
  <c r="H24" i="14"/>
  <c r="H14" i="14"/>
  <c r="H29" i="14"/>
  <c r="H19" i="14"/>
  <c r="H11" i="14"/>
  <c r="F9" i="14"/>
  <c r="F38" i="40" l="1"/>
  <c r="J36" i="40"/>
  <c r="I36" i="40"/>
  <c r="J35" i="40"/>
  <c r="I35" i="40"/>
  <c r="J34" i="40"/>
  <c r="I34" i="40"/>
  <c r="J33" i="40"/>
  <c r="I33" i="40"/>
  <c r="J32" i="40"/>
  <c r="I32" i="40"/>
  <c r="J30" i="40"/>
  <c r="I30" i="40"/>
  <c r="J29" i="40"/>
  <c r="I29" i="40"/>
  <c r="J28" i="40"/>
  <c r="I28" i="40"/>
  <c r="I27" i="40"/>
  <c r="J26" i="40"/>
  <c r="I26" i="40"/>
  <c r="J24" i="40"/>
  <c r="I24" i="40"/>
  <c r="J23" i="40"/>
  <c r="I23" i="40"/>
  <c r="J22" i="40"/>
  <c r="I22" i="40"/>
  <c r="J21" i="40"/>
  <c r="I21" i="40"/>
  <c r="J20" i="40"/>
  <c r="I20" i="40"/>
  <c r="J19" i="40"/>
  <c r="I19" i="40"/>
  <c r="J18" i="40"/>
  <c r="I18" i="40"/>
  <c r="J17" i="40"/>
  <c r="I17" i="40"/>
  <c r="J15" i="40"/>
  <c r="I15" i="40"/>
  <c r="J14" i="40"/>
  <c r="I14" i="40"/>
  <c r="J13" i="40"/>
  <c r="I13" i="40"/>
  <c r="J12" i="40"/>
  <c r="I12" i="40"/>
  <c r="J11" i="40"/>
  <c r="I11" i="40"/>
  <c r="J10" i="40"/>
  <c r="I10" i="40"/>
  <c r="J9" i="40"/>
  <c r="I9" i="40"/>
  <c r="J49" i="10"/>
  <c r="I49" i="10"/>
  <c r="J47" i="10"/>
  <c r="I47" i="10"/>
  <c r="J46" i="10"/>
  <c r="I46" i="10"/>
  <c r="J45" i="10"/>
  <c r="I45" i="10"/>
  <c r="J44" i="10"/>
  <c r="I44" i="10"/>
  <c r="J43" i="10"/>
  <c r="I43" i="10"/>
  <c r="J42" i="10"/>
  <c r="I42" i="10"/>
  <c r="J41" i="10"/>
  <c r="I41" i="10"/>
  <c r="J40" i="10"/>
  <c r="I40" i="10"/>
  <c r="J39" i="10"/>
  <c r="I39" i="10"/>
  <c r="J38" i="10"/>
  <c r="I38" i="10"/>
  <c r="J37" i="10"/>
  <c r="I37" i="10"/>
  <c r="J36" i="10"/>
  <c r="I36" i="10"/>
  <c r="J35" i="10"/>
  <c r="I35" i="10"/>
  <c r="J34" i="10"/>
  <c r="I34" i="10"/>
  <c r="J33" i="10"/>
  <c r="I33" i="10"/>
  <c r="J32" i="10"/>
  <c r="I32" i="10"/>
  <c r="I31" i="10"/>
  <c r="J30" i="10"/>
  <c r="I30" i="10"/>
  <c r="J29" i="10"/>
  <c r="I29" i="10"/>
  <c r="J28" i="10"/>
  <c r="I28" i="10"/>
  <c r="J27" i="10"/>
  <c r="I27" i="10"/>
  <c r="I26" i="10"/>
  <c r="J25" i="10"/>
  <c r="I25" i="10"/>
  <c r="J24" i="10"/>
  <c r="I24" i="10"/>
  <c r="I22" i="10"/>
  <c r="J22" i="10"/>
  <c r="J21" i="10"/>
  <c r="I21" i="10"/>
  <c r="I20" i="10"/>
  <c r="J20" i="10"/>
  <c r="J19" i="10"/>
  <c r="I19" i="10"/>
  <c r="J18" i="10"/>
  <c r="I18" i="10"/>
  <c r="J17" i="10"/>
  <c r="I17" i="10"/>
  <c r="J16" i="10"/>
  <c r="I16" i="10"/>
  <c r="I15" i="10"/>
  <c r="J15" i="10"/>
  <c r="J14" i="10"/>
  <c r="I14" i="10"/>
  <c r="J13" i="10"/>
  <c r="I13" i="10"/>
  <c r="I12" i="10"/>
  <c r="J12" i="10"/>
  <c r="J11" i="10"/>
  <c r="I11" i="10"/>
  <c r="I10" i="10"/>
  <c r="J10" i="10"/>
  <c r="J9" i="10"/>
  <c r="I9" i="10"/>
  <c r="J38" i="40" l="1"/>
  <c r="I38" i="40"/>
  <c r="I37" i="40"/>
  <c r="J37" i="40"/>
  <c r="G50" i="10"/>
  <c r="J50" i="10" s="1"/>
</calcChain>
</file>

<file path=xl/sharedStrings.xml><?xml version="1.0" encoding="utf-8"?>
<sst xmlns="http://schemas.openxmlformats.org/spreadsheetml/2006/main" count="868" uniqueCount="374">
  <si>
    <t>1.</t>
  </si>
  <si>
    <t>2.</t>
  </si>
  <si>
    <t>3.</t>
  </si>
  <si>
    <t>4.</t>
  </si>
  <si>
    <t>5.</t>
  </si>
  <si>
    <t>6.</t>
  </si>
  <si>
    <t>7.</t>
  </si>
  <si>
    <t>8.</t>
  </si>
  <si>
    <t>Įvykdymo procentas</t>
  </si>
  <si>
    <t xml:space="preserve"> tūkst. eurų</t>
  </si>
  <si>
    <t>Palūkanos</t>
  </si>
  <si>
    <t>Įstaigos pavadinimas</t>
  </si>
  <si>
    <t>Metinis patikslintas planas</t>
  </si>
  <si>
    <t>Įvykdyta</t>
  </si>
  <si>
    <t>Gargždų "Vaivorykštės" gimnazija</t>
  </si>
  <si>
    <t>Priekulės I.Simonaitytės gimnazija</t>
  </si>
  <si>
    <t>Endriejavo pagrindinė mokykla</t>
  </si>
  <si>
    <t>Gargždų "Minijos" progimnazija</t>
  </si>
  <si>
    <t>9.</t>
  </si>
  <si>
    <t>Dovilų pagrindinė mokykla</t>
  </si>
  <si>
    <t>10.</t>
  </si>
  <si>
    <t>11.</t>
  </si>
  <si>
    <t>Ketvergių pagrindinė mokykla</t>
  </si>
  <si>
    <t>12.</t>
  </si>
  <si>
    <t>Kretingalės pagrindinė mokykla</t>
  </si>
  <si>
    <t>13.</t>
  </si>
  <si>
    <t>14.</t>
  </si>
  <si>
    <t>Plikių I. Labutytės pagrindinė mokykla</t>
  </si>
  <si>
    <t>15.</t>
  </si>
  <si>
    <t>16.</t>
  </si>
  <si>
    <t>Vėžaičių pagrindinė mokykla</t>
  </si>
  <si>
    <t>17.</t>
  </si>
  <si>
    <t>Slengių mokykla-daugiafunkcis centras</t>
  </si>
  <si>
    <t>18.</t>
  </si>
  <si>
    <t>19.</t>
  </si>
  <si>
    <t>Gargždų lopšelis-darželis "Ąžuoliukas"</t>
  </si>
  <si>
    <t>20.</t>
  </si>
  <si>
    <t>Gargždų lopšelis-darželis "Gintarėlis"</t>
  </si>
  <si>
    <t>21.</t>
  </si>
  <si>
    <t>Gargždų lopšelis -darželis "Saulutė"</t>
  </si>
  <si>
    <t>22.</t>
  </si>
  <si>
    <t>23.</t>
  </si>
  <si>
    <t>24.</t>
  </si>
  <si>
    <t>25.</t>
  </si>
  <si>
    <t>26.</t>
  </si>
  <si>
    <t>Gargždų lopšelis-darželis "Naminukas"</t>
  </si>
  <si>
    <t>27.</t>
  </si>
  <si>
    <t>28.</t>
  </si>
  <si>
    <t>Priekulės vaikų lopšelis-darželis</t>
  </si>
  <si>
    <t>29.</t>
  </si>
  <si>
    <t>30.</t>
  </si>
  <si>
    <t>Gargždų muzikos mokykla</t>
  </si>
  <si>
    <t>31.</t>
  </si>
  <si>
    <t>32.</t>
  </si>
  <si>
    <t>33.</t>
  </si>
  <si>
    <t>Vaikų ir jaunimo laisvalaikio centras</t>
  </si>
  <si>
    <t>34.</t>
  </si>
  <si>
    <t>Švietimo centras</t>
  </si>
  <si>
    <t>35.</t>
  </si>
  <si>
    <t>36.</t>
  </si>
  <si>
    <t>Klaipėdos rajono turizmo informacijos centras</t>
  </si>
  <si>
    <t>37.</t>
  </si>
  <si>
    <t>Klaipėdos r. savivaldybės visuomenės sveikatos biuras</t>
  </si>
  <si>
    <t>38.</t>
  </si>
  <si>
    <t>Gargždų socialinių paslaugų centras</t>
  </si>
  <si>
    <t>39.</t>
  </si>
  <si>
    <t>Klaipėdos rajono paramos šeimai centras</t>
  </si>
  <si>
    <t>Priekulės socialinių paslaugų centras</t>
  </si>
  <si>
    <t>Viliaus Gaigalaičio globos namai</t>
  </si>
  <si>
    <t>Jono Lankučio viešoji biblioteka</t>
  </si>
  <si>
    <t>Gargždų krašto muziejus</t>
  </si>
  <si>
    <t>Gargždų kultūros centras</t>
  </si>
  <si>
    <t>Kretingalės kultūros centras</t>
  </si>
  <si>
    <t>Veiviržėnų kultūros centras</t>
  </si>
  <si>
    <t>Vėžaičių kultūros centras</t>
  </si>
  <si>
    <t>Sporto centras</t>
  </si>
  <si>
    <t>Klaipėdos r. sav. priešgaisrinė tarnyba</t>
  </si>
  <si>
    <t>Savivaldybės administracija</t>
  </si>
  <si>
    <t>IŠ VISO PAJAMŲ:</t>
  </si>
  <si>
    <t xml:space="preserve">UŽ PATALPŲ NUOMĄ ĮMOKŲ Į SAVIVALDYBĖS BIUDŽETĄ PLANO ĮVYKDYMAS </t>
  </si>
  <si>
    <t xml:space="preserve">  tūkst. eurų</t>
  </si>
  <si>
    <t>Veiviržėnų Jurgio Šaulio gimnazija</t>
  </si>
  <si>
    <t>IŠ VISO:</t>
  </si>
  <si>
    <t>Mityba</t>
  </si>
  <si>
    <t>Medikamentai</t>
  </si>
  <si>
    <t>Ryšių paslaugos</t>
  </si>
  <si>
    <t>Transporto išlaikymas</t>
  </si>
  <si>
    <t>Apranga ir patalynė</t>
  </si>
  <si>
    <t>Komandiruotės</t>
  </si>
  <si>
    <t>Kvalifikacijos kėlimas</t>
  </si>
  <si>
    <t>Komunalinės paslaugos</t>
  </si>
  <si>
    <t>Reprezentacinės išlaidos</t>
  </si>
  <si>
    <t>Subsidijos</t>
  </si>
  <si>
    <t>Socialinės išmokos</t>
  </si>
  <si>
    <t>Kitos išlaidos</t>
  </si>
  <si>
    <t>Žemė</t>
  </si>
  <si>
    <t>Pastatai ir statiniai</t>
  </si>
  <si>
    <t>Iš viso:</t>
  </si>
  <si>
    <t>Asignavimai pagal valstybės funkcijas</t>
  </si>
  <si>
    <t>IŠ VISO ASIGNAVIMŲ:</t>
  </si>
  <si>
    <t>2 lentelė</t>
  </si>
  <si>
    <t>3 lentelė</t>
  </si>
  <si>
    <t>9 lentelė</t>
  </si>
  <si>
    <t xml:space="preserve"> Bendros valstybės paslaugos</t>
  </si>
  <si>
    <t xml:space="preserve"> Gynyba</t>
  </si>
  <si>
    <t xml:space="preserve"> Viešoji tvarka ir visuomenės apsauga</t>
  </si>
  <si>
    <t xml:space="preserve"> Ekonomika</t>
  </si>
  <si>
    <t xml:space="preserve"> Aplinkos apsauga</t>
  </si>
  <si>
    <t xml:space="preserve"> Būstas ir komunalinis ūkis</t>
  </si>
  <si>
    <t xml:space="preserve"> Poilsis, kultūra ir religija</t>
  </si>
  <si>
    <t xml:space="preserve"> Švietimas</t>
  </si>
  <si>
    <t xml:space="preserve"> Socialinė apsauga</t>
  </si>
  <si>
    <t>Struktūra procentais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</si>
  <si>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</si>
  <si>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</si>
  <si>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</si>
  <si>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</si>
  <si>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</si>
  <si>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</si>
  <si>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</si>
  <si>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</si>
  <si>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</si>
  <si>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Gyvenamųjų vietovių viešasis ūkis</t>
  </si>
  <si>
    <t>2.10.</t>
  </si>
  <si>
    <t>2.11.</t>
  </si>
  <si>
    <t>Mater. turto paprastasis remontas</t>
  </si>
  <si>
    <t>2.12.</t>
  </si>
  <si>
    <t>2.13.</t>
  </si>
  <si>
    <t>2.14.</t>
  </si>
  <si>
    <t>Kitos prekės ir paslaugos</t>
  </si>
  <si>
    <t>Gyventojų pajamų mokestis</t>
  </si>
  <si>
    <t>Žemės mokestis</t>
  </si>
  <si>
    <t>Nekilnojamojo turto mokestis</t>
  </si>
  <si>
    <t>Kiti mokesčiai už valstybinius gamtos išteklius</t>
  </si>
  <si>
    <t>Pajamos už prekes ir paslaugas</t>
  </si>
  <si>
    <t>Pajamos už ilgalaikio ir trumpalaikio materialiojo turto nuomą</t>
  </si>
  <si>
    <t>Ekonominė klasifikacija</t>
  </si>
  <si>
    <t>Pajamų pavadinimas</t>
  </si>
  <si>
    <t xml:space="preserve"> +/-</t>
  </si>
  <si>
    <t>%</t>
  </si>
  <si>
    <t>Paveldimo turto mokestis</t>
  </si>
  <si>
    <t>Mokesčiai už aplinkos teršimą</t>
  </si>
  <si>
    <t>Nuomos mokestis už valstybinę žemę</t>
  </si>
  <si>
    <t>Mokestis už medžiojamųjų gyvūnų išteklius</t>
  </si>
  <si>
    <t>Įmokos už išlaikymą švietimo, socialinės apsaugos ir kitose įstaigose</t>
  </si>
  <si>
    <t>Pajamos iš baudų, konfiskuoto turto ir kitų netesybų</t>
  </si>
  <si>
    <t>Kitos neišvardytos pajamos</t>
  </si>
  <si>
    <t>Eil.</t>
  </si>
  <si>
    <t>Nr.</t>
  </si>
  <si>
    <t>met.pl.</t>
  </si>
  <si>
    <t>Išlaidos pagal valstybės funkcijas</t>
  </si>
  <si>
    <t>tūkst. eurų</t>
  </si>
  <si>
    <t>Patikslintas metinis planas</t>
  </si>
  <si>
    <t>Finansinio turto įsigijimo išlaidos (akcijos)</t>
  </si>
  <si>
    <t>7 lentelė</t>
  </si>
  <si>
    <t>Mater. ir nemater. turto nuoma</t>
  </si>
  <si>
    <t>Informacinių tech. prekės ir pasl.</t>
  </si>
  <si>
    <t>Sumokėtos palūkanos</t>
  </si>
  <si>
    <t>Ilgalaikio turto įsigijimas</t>
  </si>
  <si>
    <t>Nematerialiojo turto įsigijimas</t>
  </si>
  <si>
    <t>6 lentelė</t>
  </si>
  <si>
    <t>Asignavimų pavadinimas</t>
  </si>
  <si>
    <t>8 lentelė</t>
  </si>
  <si>
    <t>Įvykdymo palyginimas (+,-)</t>
  </si>
  <si>
    <t>Angliavandenilių išteklių mokestis</t>
  </si>
  <si>
    <t>Pajamos už parduotą žemę</t>
  </si>
  <si>
    <t xml:space="preserve">    +;-</t>
  </si>
  <si>
    <t>proc.</t>
  </si>
  <si>
    <t>Struktūra proc.</t>
  </si>
  <si>
    <t>Ekspertų ir konsultantų paslaugos</t>
  </si>
  <si>
    <t>2.15.</t>
  </si>
  <si>
    <t>Dividendai</t>
  </si>
  <si>
    <t xml:space="preserve">  +;-</t>
  </si>
  <si>
    <t>Prekės ir paslaugos</t>
  </si>
  <si>
    <t>Infrastruktūros plėtros įmokų lėšos</t>
  </si>
  <si>
    <t>Veiviržėnų J.Šaulio gimnazija</t>
  </si>
  <si>
    <t>Gargždų "Kranto" progimnazija</t>
  </si>
  <si>
    <t>Agluonėnų mokykla-darželis</t>
  </si>
  <si>
    <t>Lopšelis-darželis "Ąžuoliukas"</t>
  </si>
  <si>
    <t>Lopšelis-darželis "Gintarėlis"</t>
  </si>
  <si>
    <t>Lopšelis-darželis "Naminukas"</t>
  </si>
  <si>
    <t>2023 m. įvykdyta</t>
  </si>
  <si>
    <t>Akcijos</t>
  </si>
  <si>
    <t>MOKESČIAI (2+3+7)</t>
  </si>
  <si>
    <t>Turto mokesčiai (4+5+6)</t>
  </si>
  <si>
    <t>Prekių ir paslaugų mokesčiai (8)</t>
  </si>
  <si>
    <t>KITOS PAJAMOS (10+15+19+20)</t>
  </si>
  <si>
    <t>Turto pajamos (11+12+13+14)</t>
  </si>
  <si>
    <t>Mokesčiai už valstybinius gamtos išteklius, iš jų:</t>
  </si>
  <si>
    <t>14.1.</t>
  </si>
  <si>
    <t>14.2</t>
  </si>
  <si>
    <t>14.3.</t>
  </si>
  <si>
    <t>Želdinių atkuriamosios vertės lėšos</t>
  </si>
  <si>
    <t>14.4.</t>
  </si>
  <si>
    <t>Pajamos už prekes ir paslaugas (16+17+18)</t>
  </si>
  <si>
    <t>Biudžetinių įstaigų pajamos už prekes ir paslaugas, iš jų:</t>
  </si>
  <si>
    <t>16.1.</t>
  </si>
  <si>
    <t>16.2.</t>
  </si>
  <si>
    <t>16.3.</t>
  </si>
  <si>
    <t>16.4.</t>
  </si>
  <si>
    <t>Valstybės rinkliava</t>
  </si>
  <si>
    <t>Vietinės rinkliavos, iš jų:</t>
  </si>
  <si>
    <t>18.1.</t>
  </si>
  <si>
    <t>Komunalinių atliekų surinkimą iš atliekų turėtojų ir atliekų tvarkymą</t>
  </si>
  <si>
    <t>MATERIALIOJO IR NEMATERIALIOJO TURTO REALIZAVIMO PAJAMOS, IŠ JŲ:</t>
  </si>
  <si>
    <t>IŠ VISO PAJAMŲ SAVARANKIŠKOSIOMS FUNKCIJOMS VYKDYTI (1+9+21)</t>
  </si>
  <si>
    <t>DOTACIJOS (24+30)</t>
  </si>
  <si>
    <t>VALSTYBĖS BIUDŽETO DOTACIJOS (25+26+27+28+29)</t>
  </si>
  <si>
    <t>Valstybinėms (valstybės perduotoms savivaldybėms) funkcijoms vykdyti</t>
  </si>
  <si>
    <t>Ugdymo reikmėms finansuoti</t>
  </si>
  <si>
    <t>Iš apskrities perduotai įstaigai finansuoti</t>
  </si>
  <si>
    <t>Klasių, skirtų mokiniams, turintiems specialiųjų ugdymosi poreikių, ūkio lėšoms finansuoti</t>
  </si>
  <si>
    <t xml:space="preserve">Kitos dotacijos </t>
  </si>
  <si>
    <t>DOTACIJA SAVIVALDYBĖMS IŠ EUROPOS SĄJUNGOS, KITOS TARPTAUTINĖS FINANSINĖS PARAMOS IR BENDROJO FINANSAVIMO LĖŠŲ</t>
  </si>
  <si>
    <t>IŠ VISO (22+23)</t>
  </si>
  <si>
    <t xml:space="preserve">TEIKIAMAS PASLAUGAS ĮMOKŲ Į SAVIVALDYBĖS BIUDŽETĄ PLANO ĮVYKDYMAS </t>
  </si>
  <si>
    <t>Eil. Nr.</t>
  </si>
  <si>
    <t>Dituvos A. T. Kuršaičio pagrindinė mokykla</t>
  </si>
  <si>
    <t>Klaipėdos rajono etninės kultūros centras</t>
  </si>
  <si>
    <t>Priekulės meno ir kultūros centras</t>
  </si>
  <si>
    <t>Asignavimų straipsniai</t>
  </si>
  <si>
    <t>2024 m. įvykdyta</t>
  </si>
  <si>
    <t xml:space="preserve"> +,-</t>
  </si>
  <si>
    <t>Materialiojo ir nemat. turto nuoma</t>
  </si>
  <si>
    <t xml:space="preserve">Ekspertų ir konsultantų paslaugų įsigijimo išlaidos </t>
  </si>
  <si>
    <t>Informacinių technologijų prekių ir paslaugų įsigijimas</t>
  </si>
  <si>
    <t>Viešinimo išlaidos</t>
  </si>
  <si>
    <t>2.16.</t>
  </si>
  <si>
    <t>Kitų prekių ir paslaugų įsigijimas</t>
  </si>
  <si>
    <t>Materialinio ir nematerialinio turto išlaidos</t>
  </si>
  <si>
    <t>7.1.</t>
  </si>
  <si>
    <t>7.2.</t>
  </si>
  <si>
    <t>Ilg. turto įsigijimas</t>
  </si>
  <si>
    <t>7.3.</t>
  </si>
  <si>
    <t>7.4.</t>
  </si>
  <si>
    <t>Ilgalaikių paskolų grąžinimas</t>
  </si>
  <si>
    <t xml:space="preserve"> Paskolų ir palūkanų grąžinimas</t>
  </si>
  <si>
    <t xml:space="preserve"> Viešoji tvarka ir visuomenės  apsauga</t>
  </si>
  <si>
    <t xml:space="preserve"> Sveikatos apsauga</t>
  </si>
  <si>
    <t xml:space="preserve"> Bendrosios valstybės paslaugos</t>
  </si>
  <si>
    <t xml:space="preserve"> Palūkanų grąžinimas</t>
  </si>
  <si>
    <t xml:space="preserve"> Paskolų grąžinimas</t>
  </si>
  <si>
    <t>Lopšelis-darželis "Saulutė"</t>
  </si>
  <si>
    <t>Klaipėdos r. Sendvario "Saulės" mokykla</t>
  </si>
  <si>
    <t>40.</t>
  </si>
  <si>
    <t>41.</t>
  </si>
  <si>
    <t>2025 metinis planas</t>
  </si>
  <si>
    <t xml:space="preserve">2025 m. </t>
  </si>
  <si>
    <t>21.1</t>
  </si>
  <si>
    <t>2025 m. įvykdyta</t>
  </si>
  <si>
    <t>2025 m. palyginimas su 2024 m.</t>
  </si>
  <si>
    <t>2025 m. palyginus su 2024 m.</t>
  </si>
  <si>
    <t>Nemat. turto įsigijimas</t>
  </si>
  <si>
    <t>Darbo užmokestis ir socialinio draudimo įmokos</t>
  </si>
  <si>
    <t>Materialiojo ir nemateriojo turto įsigijimo išlaidos</t>
  </si>
  <si>
    <t>Asignavimų valdytojas</t>
  </si>
  <si>
    <t>Finansavimo šaltinis</t>
  </si>
  <si>
    <t>Įvykdymas</t>
  </si>
  <si>
    <t>Įvykdymo proc.</t>
  </si>
  <si>
    <t>Iš viso</t>
  </si>
  <si>
    <t>Iš jų:</t>
  </si>
  <si>
    <t>Paprastosios išlaidos</t>
  </si>
  <si>
    <t>Turtui įsigyti</t>
  </si>
  <si>
    <t>Iš jų darbo užmokesčiui</t>
  </si>
  <si>
    <t>Klaipėdos rajono savivaldybės administracija</t>
  </si>
  <si>
    <t>ES</t>
  </si>
  <si>
    <t>ML</t>
  </si>
  <si>
    <t>ML(UK)</t>
  </si>
  <si>
    <t>SB</t>
  </si>
  <si>
    <t>SL(ES)</t>
  </si>
  <si>
    <t>VBD</t>
  </si>
  <si>
    <t>VBES</t>
  </si>
  <si>
    <t>Ž</t>
  </si>
  <si>
    <t>AA</t>
  </si>
  <si>
    <t>GŠV</t>
  </si>
  <si>
    <t>LA</t>
  </si>
  <si>
    <t>LGŠV</t>
  </si>
  <si>
    <t>LS</t>
  </si>
  <si>
    <t>S</t>
  </si>
  <si>
    <t>VBD(UK)</t>
  </si>
  <si>
    <t>KPPP</t>
  </si>
  <si>
    <t>VLK</t>
  </si>
  <si>
    <t>LK</t>
  </si>
  <si>
    <t>SL</t>
  </si>
  <si>
    <t>LŽ</t>
  </si>
  <si>
    <t>J.Lankučio viešoji biblioteka</t>
  </si>
  <si>
    <t>Gargždų " Vaivorykštės" gimnazija</t>
  </si>
  <si>
    <t>Priekulės Ievos Simonaitytės gimnazija</t>
  </si>
  <si>
    <t>KKP</t>
  </si>
  <si>
    <t>Luminor Bank AS</t>
  </si>
  <si>
    <t>AB SEB bankas</t>
  </si>
  <si>
    <t>Pedagoginė psichologinė tarnyba</t>
  </si>
  <si>
    <t>Klaipėdos r. paramos šeimai centras</t>
  </si>
  <si>
    <t>Gargždų atviras jaunimo centras</t>
  </si>
  <si>
    <t>AS "Citadele banka"</t>
  </si>
  <si>
    <t>Programa</t>
  </si>
  <si>
    <t>1</t>
  </si>
  <si>
    <t>Žinių visuomenės plėtros programa</t>
  </si>
  <si>
    <t>2</t>
  </si>
  <si>
    <t>Ekonominio konkurencingumo didinimo programa</t>
  </si>
  <si>
    <t>3</t>
  </si>
  <si>
    <t>Aplinkos apsaugos programa</t>
  </si>
  <si>
    <t>4</t>
  </si>
  <si>
    <t>Sveikatos apsaugos programa</t>
  </si>
  <si>
    <t>5</t>
  </si>
  <si>
    <t>Socialinės paramos programa</t>
  </si>
  <si>
    <t>6</t>
  </si>
  <si>
    <t>Susisiekimo ir inžinerinės infrastruktūros plėtros programa</t>
  </si>
  <si>
    <t>7</t>
  </si>
  <si>
    <t>8</t>
  </si>
  <si>
    <t>Kūno kultūros ir sporto plėtros programa</t>
  </si>
  <si>
    <t>9</t>
  </si>
  <si>
    <t>4 lentelė</t>
  </si>
  <si>
    <t>5 lentelė</t>
  </si>
  <si>
    <t xml:space="preserve">2025 M. 9 MĖNESIŲ IŠ SAVIVALDYBĖS BIUDŽETO IŠLAIKOMŲ ĮSTAIGŲ PAJAMŲ UŽ </t>
  </si>
  <si>
    <t>2025 M. 9 MĖNESIŲ IŠ SAVIVALDYBĖS BIUDŽETO IŠLAIKOMŲ ĮSTAIGŲ PAJAMŲ</t>
  </si>
  <si>
    <t xml:space="preserve"> 2025 M. 9 MĖNESIŲ SAVIVALDYBĖS  BIUDŽETO ASIGNAVIMAI PAGAL VALSTYBĖS FUNKCIJAS  </t>
  </si>
  <si>
    <t xml:space="preserve">  2023- 2025 M.  9 MĖNESIŲ SAVIVALDYBĖS BIUDŽETO ASIGNAVIMŲ STRUKTŪRA PAGAL EKONOMINĮ PASKIRSTYMĄ</t>
  </si>
  <si>
    <t xml:space="preserve">     2025 M. 9 MĖNESIŲ SAVIVALDYBĖS BIUDŽETO ASIGNAVIMAI PAGAL EKONOMINĮ PASKIRSTYMĄ  </t>
  </si>
  <si>
    <t>9 mėnesių planas</t>
  </si>
  <si>
    <t>SAVIVALDYBĖS  BIUDŽETO  PAJAMŲ  PLANO ĮVYKDYMAS 2025 M. RUGSĖJO 30 D.</t>
  </si>
  <si>
    <t>Įvykdyta 2024 09 30</t>
  </si>
  <si>
    <t>Įvykdymo palyginimas   2025 09 30 /2024 09 30</t>
  </si>
  <si>
    <t>Įvykdyta 2025 09 30</t>
  </si>
  <si>
    <t>2025 m. 9 mėn.</t>
  </si>
  <si>
    <t>2024 09 30/ 2024 m. įvykdymu</t>
  </si>
  <si>
    <t>2025 09 30 / 2025 m. planu</t>
  </si>
  <si>
    <t xml:space="preserve">2023-2025 M. 9 MĖNESIŲ SAVIVALDYBĖS BIUDŽETO IŠLAIDŲ STRUKTŪRA PAGAL VALSTYBĖS FUNKCIJAS </t>
  </si>
  <si>
    <t>9 mėnesių  planas</t>
  </si>
  <si>
    <t>Ketvirčio planas</t>
  </si>
  <si>
    <t>Klaipėdos r. Dovilų pagrindinė mokykla</t>
  </si>
  <si>
    <t>Klaipėdos r. Plikių Ievos Labutytės pagrindinė mokykla</t>
  </si>
  <si>
    <t>Klaipėdos r. Vėžaičių pagrindinė mokykla</t>
  </si>
  <si>
    <t>Klaipėdos r. Endriejavo pagrindinė mokykla</t>
  </si>
  <si>
    <t>Gargždų vaikų ir jaunimo laisvalaikio centras</t>
  </si>
  <si>
    <t>Klaipėdos rajono Švietimo centras</t>
  </si>
  <si>
    <t>Klaipėdos rajono savivaldybės visuomenės sveikatos biuras</t>
  </si>
  <si>
    <t>Klaipėdos rajono savivaldybės biudžetinė įstaiga sporto centras</t>
  </si>
  <si>
    <t>Klaipėdos rajono savivaldybės Kontrolės ir audito tarnyba</t>
  </si>
  <si>
    <t>Klaipėdos rajono savivaldybės priešgaisrinė tarnyba</t>
  </si>
  <si>
    <t>Klaipėdos r. Slengių mokykla-daugiafunkcis centras</t>
  </si>
  <si>
    <t>AB Artea bankas</t>
  </si>
  <si>
    <t>2025 M. 9 MĖNESIŲ SAVIVALDYBĖS BIUDŽETO ASIGNAVIMAI  PAGAL ASIGNAVIMŲ VALDYTOJUS</t>
  </si>
  <si>
    <t>Kultūros paveldo puoselėjimo ir kultūros paslaugų plėtros pr</t>
  </si>
  <si>
    <t>2025 M. 9 MĖNESIŲ SAVIVALDYBĖS BIUDŽETO ASIGNAVIMAI  PAGAL PROGRAMAS</t>
  </si>
  <si>
    <t>9 mėn. pl.</t>
  </si>
  <si>
    <t xml:space="preserve">7-Kultūros paveldo puoselėjimo ir kultūros paslaugų plėtros </t>
  </si>
  <si>
    <t xml:space="preserve">9-Savivaldybės valdymo ir pagrindinių funkcijų vykdymo </t>
  </si>
  <si>
    <t>8-Kūno kultūros ir sporto plėtros</t>
  </si>
  <si>
    <t xml:space="preserve">6-Susisiekimo ir inžinerinės infrastruktūros plėtros </t>
  </si>
  <si>
    <t xml:space="preserve">5-Socialinės paramos </t>
  </si>
  <si>
    <t xml:space="preserve">4-Sveikatos apsaugos </t>
  </si>
  <si>
    <t xml:space="preserve">3-Aplinkos apsaugos </t>
  </si>
  <si>
    <t xml:space="preserve">2-Ekonominio konkurencingumo didinimo </t>
  </si>
  <si>
    <t xml:space="preserve">1-Žinių visuomenės plėtros </t>
  </si>
  <si>
    <t>Programos kodas ir pavadinimas</t>
  </si>
  <si>
    <t>1-Žinių visuomenės plėtros</t>
  </si>
  <si>
    <t>5-Socialinės paramos</t>
  </si>
  <si>
    <t>Klaipėdos r. Dituvos Aleksandro Teodoro Kuršaičio pagrindinė mokykla</t>
  </si>
  <si>
    <t>2-Ekonominio konkurencingumo didinimo</t>
  </si>
  <si>
    <t>9-Savivaldybės valdymo ir pagrindinių funkcijų vykdymo</t>
  </si>
  <si>
    <t xml:space="preserve">8-Kūno kultūros ir sporto plėtros </t>
  </si>
  <si>
    <t>7-Kultūros paveldo puoselėjimo ir kultūros paslaugų plėtros</t>
  </si>
  <si>
    <t>6-Susisiekimo ir inžinerinės infrastruktūros plėtros</t>
  </si>
  <si>
    <t>9 mėnesių plano įvykdymas</t>
  </si>
  <si>
    <t>Savivaldybės valdymo ir pagrindinių funkcijų vykdymo programa</t>
  </si>
  <si>
    <t>Programos pavadinimas</t>
  </si>
  <si>
    <t>met. pl.</t>
  </si>
  <si>
    <t>tūkst. eur.</t>
  </si>
  <si>
    <t xml:space="preserve"> metinio plano</t>
  </si>
  <si>
    <t xml:space="preserve"> ataskaitinio laikotarpio plano</t>
  </si>
  <si>
    <t>metinio plano</t>
  </si>
  <si>
    <t>ataskaitinio laikotarpio plano</t>
  </si>
  <si>
    <t>Gargždų lopšelis-darželis "Saulutė"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</si>
</sst>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########0.0"/>
    <numFmt numFmtId="167" formatCode="0.000"/>
  </numFmts>
  <fonts count="27">
    <font>
      <sz val="10"/>
      <name val="Arial"/>
    </font>
    <font>
      <b/>
      <sz val="10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Palemonas"/>
      <family val="1"/>
      <charset val="186"/>
    </font>
    <font>
      <b/>
      <sz val="9"/>
      <name val="Palemonas"/>
      <family val="1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2" fillId="0" borderId="0"/>
    <xf numFmtId="0" fontId="13" fillId="0" borderId="0"/>
    <xf numFmtId="0" fontId="15" fillId="0" borderId="0"/>
    <xf numFmtId="0" fontId="16" fillId="0" borderId="0"/>
    <xf numFmtId="0" fontId="5" fillId="0" borderId="0"/>
    <xf numFmtId="0" fontId="13" fillId="0" borderId="0"/>
    <xf numFmtId="0" fontId="4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4" fillId="2" borderId="1" applyNumberFormat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260">
    <xf numFmtId="0" fontId="0" fillId="0" borderId="0" xfId="0"/>
    <xf numFmtId="0" fontId="0" fillId="0" borderId="2" xfId="0" applyBorder="1"/>
    <xf numFmtId="0" fontId="0" fillId="0" borderId="9" xfId="0" applyBorder="1"/>
    <xf numFmtId="0" fontId="3" fillId="0" borderId="0" xfId="0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1" fillId="0" borderId="0" xfId="0" applyFont="1"/>
    <xf numFmtId="167" fontId="0" fillId="0" borderId="4" xfId="0" applyNumberFormat="1" applyBorder="1"/>
    <xf numFmtId="167" fontId="1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/>
    <xf numFmtId="0" fontId="17" fillId="0" borderId="9" xfId="0" applyFont="1" applyBorder="1"/>
    <xf numFmtId="0" fontId="17" fillId="0" borderId="2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7" xfId="0" applyFont="1" applyBorder="1" applyAlignment="1">
      <alignment horizontal="left"/>
    </xf>
    <xf numFmtId="1" fontId="17" fillId="0" borderId="2" xfId="0" applyNumberFormat="1" applyFont="1" applyBorder="1"/>
    <xf numFmtId="0" fontId="17" fillId="0" borderId="4" xfId="0" applyFont="1" applyBorder="1"/>
    <xf numFmtId="0" fontId="17" fillId="0" borderId="16" xfId="0" applyFont="1" applyBorder="1"/>
    <xf numFmtId="1" fontId="17" fillId="0" borderId="2" xfId="0" applyNumberFormat="1" applyFont="1" applyBorder="1" applyAlignment="1">
      <alignment horizontal="right"/>
    </xf>
    <xf numFmtId="0" fontId="17" fillId="0" borderId="7" xfId="0" applyFont="1" applyBorder="1"/>
    <xf numFmtId="0" fontId="17" fillId="0" borderId="5" xfId="0" applyFont="1" applyBorder="1"/>
    <xf numFmtId="0" fontId="17" fillId="0" borderId="3" xfId="0" applyFont="1" applyBorder="1"/>
    <xf numFmtId="164" fontId="17" fillId="0" borderId="2" xfId="0" applyNumberFormat="1" applyFont="1" applyBorder="1"/>
    <xf numFmtId="0" fontId="17" fillId="0" borderId="10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0" xfId="0" applyFont="1" applyBorder="1" applyAlignment="1">
      <alignment horizontal="left" wrapText="1"/>
    </xf>
    <xf numFmtId="0" fontId="17" fillId="0" borderId="15" xfId="0" applyFont="1" applyBorder="1" applyAlignment="1">
      <alignment horizontal="left" vertical="center" wrapText="1"/>
    </xf>
    <xf numFmtId="164" fontId="17" fillId="0" borderId="10" xfId="0" applyNumberFormat="1" applyFont="1" applyBorder="1" applyAlignment="1">
      <alignment horizontal="right" wrapText="1" shrinkToFit="1"/>
    </xf>
    <xf numFmtId="164" fontId="17" fillId="0" borderId="10" xfId="0" applyNumberFormat="1" applyFont="1" applyBorder="1"/>
    <xf numFmtId="164" fontId="17" fillId="0" borderId="6" xfId="0" applyNumberFormat="1" applyFont="1" applyBorder="1"/>
    <xf numFmtId="0" fontId="17" fillId="0" borderId="10" xfId="0" applyFont="1" applyBorder="1"/>
    <xf numFmtId="164" fontId="17" fillId="0" borderId="14" xfId="0" applyNumberFormat="1" applyFont="1" applyBorder="1"/>
    <xf numFmtId="16" fontId="17" fillId="0" borderId="2" xfId="0" applyNumberFormat="1" applyFont="1" applyBorder="1"/>
    <xf numFmtId="164" fontId="17" fillId="0" borderId="2" xfId="0" applyNumberFormat="1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3" xfId="0" applyFont="1" applyBorder="1"/>
    <xf numFmtId="0" fontId="18" fillId="0" borderId="3" xfId="0" applyFont="1" applyBorder="1"/>
    <xf numFmtId="164" fontId="18" fillId="0" borderId="10" xfId="0" applyNumberFormat="1" applyFont="1" applyBorder="1"/>
    <xf numFmtId="164" fontId="18" fillId="0" borderId="2" xfId="0" applyNumberFormat="1" applyFont="1" applyBorder="1"/>
    <xf numFmtId="0" fontId="19" fillId="0" borderId="0" xfId="0" applyFont="1"/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wrapText="1"/>
    </xf>
    <xf numFmtId="0" fontId="17" fillId="0" borderId="15" xfId="0" applyFont="1" applyBorder="1"/>
    <xf numFmtId="0" fontId="19" fillId="0" borderId="2" xfId="0" applyFont="1" applyBorder="1"/>
    <xf numFmtId="0" fontId="19" fillId="0" borderId="3" xfId="0" applyFont="1" applyBorder="1"/>
    <xf numFmtId="164" fontId="19" fillId="0" borderId="10" xfId="0" applyNumberFormat="1" applyFont="1" applyBorder="1"/>
    <xf numFmtId="0" fontId="19" fillId="0" borderId="8" xfId="0" applyFont="1" applyBorder="1"/>
    <xf numFmtId="164" fontId="19" fillId="0" borderId="2" xfId="0" applyNumberFormat="1" applyFont="1" applyBorder="1"/>
    <xf numFmtId="0" fontId="19" fillId="0" borderId="8" xfId="0" applyFont="1" applyBorder="1" applyAlignment="1">
      <alignment vertical="top"/>
    </xf>
    <xf numFmtId="0" fontId="19" fillId="0" borderId="2" xfId="0" applyFont="1" applyBorder="1" applyAlignment="1">
      <alignment wrapText="1"/>
    </xf>
    <xf numFmtId="0" fontId="19" fillId="0" borderId="9" xfId="0" applyFont="1" applyBorder="1"/>
    <xf numFmtId="0" fontId="19" fillId="0" borderId="10" xfId="0" applyFont="1" applyBorder="1"/>
    <xf numFmtId="164" fontId="19" fillId="0" borderId="14" xfId="0" applyNumberFormat="1" applyFont="1" applyBorder="1"/>
    <xf numFmtId="1" fontId="19" fillId="0" borderId="14" xfId="0" applyNumberFormat="1" applyFont="1" applyBorder="1"/>
    <xf numFmtId="0" fontId="17" fillId="0" borderId="2" xfId="0" applyFont="1" applyBorder="1" applyAlignment="1">
      <alignment vertical="top"/>
    </xf>
    <xf numFmtId="0" fontId="17" fillId="0" borderId="8" xfId="0" applyFont="1" applyBorder="1"/>
    <xf numFmtId="164" fontId="17" fillId="0" borderId="4" xfId="0" applyNumberFormat="1" applyFont="1" applyBorder="1"/>
    <xf numFmtId="164" fontId="20" fillId="0" borderId="18" xfId="0" applyNumberFormat="1" applyFont="1" applyBorder="1"/>
    <xf numFmtId="0" fontId="17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right"/>
    </xf>
    <xf numFmtId="0" fontId="17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6" xfId="0" applyFont="1" applyBorder="1"/>
    <xf numFmtId="0" fontId="17" fillId="0" borderId="6" xfId="0" applyFont="1" applyBorder="1" applyAlignment="1">
      <alignment horizontal="left"/>
    </xf>
    <xf numFmtId="0" fontId="17" fillId="0" borderId="2" xfId="0" applyFont="1" applyBorder="1" applyAlignment="1">
      <alignment horizontal="left" vertical="top"/>
    </xf>
    <xf numFmtId="164" fontId="17" fillId="0" borderId="8" xfId="0" applyNumberFormat="1" applyFont="1" applyBorder="1"/>
    <xf numFmtId="0" fontId="17" fillId="0" borderId="4" xfId="0" applyFont="1" applyBorder="1" applyAlignment="1">
      <alignment horizontal="left" vertical="top"/>
    </xf>
    <xf numFmtId="164" fontId="18" fillId="0" borderId="2" xfId="0" applyNumberFormat="1" applyFont="1" applyBorder="1" applyAlignment="1">
      <alignment horizontal="right"/>
    </xf>
    <xf numFmtId="0" fontId="17" fillId="3" borderId="2" xfId="0" applyFont="1" applyFill="1" applyBorder="1"/>
    <xf numFmtId="164" fontId="17" fillId="3" borderId="10" xfId="0" applyNumberFormat="1" applyFont="1" applyFill="1" applyBorder="1"/>
    <xf numFmtId="0" fontId="17" fillId="3" borderId="8" xfId="0" applyFont="1" applyFill="1" applyBorder="1"/>
    <xf numFmtId="164" fontId="17" fillId="3" borderId="2" xfId="0" applyNumberFormat="1" applyFont="1" applyFill="1" applyBorder="1"/>
    <xf numFmtId="0" fontId="17" fillId="3" borderId="21" xfId="0" applyFont="1" applyFill="1" applyBorder="1"/>
    <xf numFmtId="0" fontId="18" fillId="0" borderId="0" xfId="0" applyFont="1" applyAlignment="1">
      <alignment horizontal="left"/>
    </xf>
    <xf numFmtId="14" fontId="18" fillId="0" borderId="0" xfId="0" applyNumberFormat="1" applyFont="1" applyAlignment="1">
      <alignment horizontal="center"/>
    </xf>
    <xf numFmtId="14" fontId="17" fillId="0" borderId="6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166" fontId="18" fillId="0" borderId="2" xfId="0" applyNumberFormat="1" applyFont="1" applyBorder="1" applyAlignment="1">
      <alignment horizontal="right"/>
    </xf>
    <xf numFmtId="166" fontId="21" fillId="3" borderId="2" xfId="0" applyNumberFormat="1" applyFont="1" applyFill="1" applyBorder="1" applyAlignment="1">
      <alignment horizontal="right"/>
    </xf>
    <xf numFmtId="166" fontId="18" fillId="3" borderId="2" xfId="0" applyNumberFormat="1" applyFont="1" applyFill="1" applyBorder="1" applyAlignment="1">
      <alignment horizontal="right"/>
    </xf>
    <xf numFmtId="166" fontId="18" fillId="0" borderId="2" xfId="0" applyNumberFormat="1" applyFont="1" applyBorder="1"/>
    <xf numFmtId="166" fontId="17" fillId="0" borderId="2" xfId="0" applyNumberFormat="1" applyFont="1" applyBorder="1" applyAlignment="1">
      <alignment horizontal="right"/>
    </xf>
    <xf numFmtId="166" fontId="17" fillId="3" borderId="2" xfId="0" applyNumberFormat="1" applyFont="1" applyFill="1" applyBorder="1" applyAlignment="1">
      <alignment horizontal="right"/>
    </xf>
    <xf numFmtId="166" fontId="22" fillId="3" borderId="2" xfId="0" applyNumberFormat="1" applyFont="1" applyFill="1" applyBorder="1" applyAlignment="1">
      <alignment horizontal="right"/>
    </xf>
    <xf numFmtId="166" fontId="17" fillId="0" borderId="2" xfId="0" applyNumberFormat="1" applyFont="1" applyBorder="1"/>
    <xf numFmtId="164" fontId="17" fillId="3" borderId="2" xfId="7" applyNumberFormat="1" applyFont="1" applyFill="1" applyBorder="1" applyAlignment="1" applyProtection="1">
      <alignment horizontal="right" vertical="center"/>
      <protection locked="0"/>
    </xf>
    <xf numFmtId="164" fontId="22" fillId="3" borderId="2" xfId="7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left" vertical="center"/>
    </xf>
    <xf numFmtId="164" fontId="17" fillId="3" borderId="2" xfId="7" applyNumberFormat="1" applyFont="1" applyFill="1" applyBorder="1" applyAlignment="1" applyProtection="1">
      <alignment horizontal="right"/>
      <protection locked="0"/>
    </xf>
    <xf numFmtId="0" fontId="18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wrapText="1"/>
    </xf>
    <xf numFmtId="164" fontId="18" fillId="3" borderId="2" xfId="7" applyNumberFormat="1" applyFont="1" applyFill="1" applyBorder="1" applyAlignment="1" applyProtection="1">
      <alignment horizontal="right"/>
      <protection locked="0"/>
    </xf>
    <xf numFmtId="164" fontId="21" fillId="3" borderId="2" xfId="7" applyNumberFormat="1" applyFont="1" applyFill="1" applyBorder="1" applyAlignment="1">
      <alignment horizontal="right"/>
    </xf>
    <xf numFmtId="164" fontId="18" fillId="3" borderId="2" xfId="7" applyNumberFormat="1" applyFont="1" applyFill="1" applyBorder="1" applyAlignment="1" applyProtection="1">
      <alignment horizontal="right" vertical="center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 wrapText="1"/>
    </xf>
    <xf numFmtId="166" fontId="21" fillId="3" borderId="8" xfId="0" applyNumberFormat="1" applyFont="1" applyFill="1" applyBorder="1" applyAlignment="1">
      <alignment horizontal="right"/>
    </xf>
    <xf numFmtId="166" fontId="18" fillId="3" borderId="8" xfId="0" applyNumberFormat="1" applyFont="1" applyFill="1" applyBorder="1" applyAlignment="1">
      <alignment horizontal="right"/>
    </xf>
    <xf numFmtId="0" fontId="18" fillId="0" borderId="2" xfId="0" applyFont="1" applyBorder="1" applyAlignment="1">
      <alignment wrapText="1"/>
    </xf>
    <xf numFmtId="0" fontId="22" fillId="0" borderId="20" xfId="0" applyFont="1" applyBorder="1" applyAlignment="1">
      <alignment horizontal="left" vertical="center" wrapText="1"/>
    </xf>
    <xf numFmtId="165" fontId="18" fillId="0" borderId="2" xfId="0" applyNumberFormat="1" applyFont="1" applyBorder="1"/>
    <xf numFmtId="165" fontId="18" fillId="3" borderId="2" xfId="0" applyNumberFormat="1" applyFont="1" applyFill="1" applyBorder="1"/>
    <xf numFmtId="165" fontId="21" fillId="3" borderId="2" xfId="0" applyNumberFormat="1" applyFont="1" applyFill="1" applyBorder="1"/>
    <xf numFmtId="0" fontId="17" fillId="3" borderId="0" xfId="0" applyFont="1" applyFill="1"/>
    <xf numFmtId="0" fontId="18" fillId="0" borderId="0" xfId="0" applyFont="1"/>
    <xf numFmtId="0" fontId="18" fillId="0" borderId="7" xfId="0" applyFont="1" applyBorder="1" applyAlignment="1">
      <alignment horizontal="left"/>
    </xf>
    <xf numFmtId="164" fontId="20" fillId="0" borderId="19" xfId="0" applyNumberFormat="1" applyFont="1" applyBorder="1"/>
    <xf numFmtId="0" fontId="17" fillId="3" borderId="10" xfId="0" applyFont="1" applyFill="1" applyBorder="1"/>
    <xf numFmtId="0" fontId="17" fillId="3" borderId="2" xfId="0" applyFont="1" applyFill="1" applyBorder="1" applyAlignment="1">
      <alignment wrapText="1"/>
    </xf>
    <xf numFmtId="0" fontId="17" fillId="3" borderId="5" xfId="0" applyFont="1" applyFill="1" applyBorder="1"/>
    <xf numFmtId="0" fontId="17" fillId="3" borderId="14" xfId="0" applyFont="1" applyFill="1" applyBorder="1"/>
    <xf numFmtId="0" fontId="17" fillId="3" borderId="4" xfId="0" applyFont="1" applyFill="1" applyBorder="1"/>
    <xf numFmtId="0" fontId="17" fillId="3" borderId="6" xfId="0" applyFont="1" applyFill="1" applyBorder="1"/>
    <xf numFmtId="0" fontId="17" fillId="3" borderId="3" xfId="0" applyFont="1" applyFill="1" applyBorder="1"/>
    <xf numFmtId="0" fontId="17" fillId="3" borderId="9" xfId="0" applyFont="1" applyFill="1" applyBorder="1"/>
    <xf numFmtId="164" fontId="18" fillId="3" borderId="2" xfId="0" applyNumberFormat="1" applyFont="1" applyFill="1" applyBorder="1"/>
    <xf numFmtId="164" fontId="18" fillId="3" borderId="10" xfId="0" applyNumberFormat="1" applyFont="1" applyFill="1" applyBorder="1"/>
    <xf numFmtId="1" fontId="18" fillId="3" borderId="2" xfId="0" applyNumberFormat="1" applyFont="1" applyFill="1" applyBorder="1"/>
    <xf numFmtId="164" fontId="20" fillId="3" borderId="18" xfId="0" applyNumberFormat="1" applyFont="1" applyFill="1" applyBorder="1"/>
    <xf numFmtId="0" fontId="19" fillId="3" borderId="2" xfId="0" applyFont="1" applyFill="1" applyBorder="1"/>
    <xf numFmtId="0" fontId="19" fillId="3" borderId="14" xfId="0" applyFont="1" applyFill="1" applyBorder="1"/>
    <xf numFmtId="0" fontId="19" fillId="0" borderId="4" xfId="0" applyFont="1" applyBorder="1"/>
    <xf numFmtId="165" fontId="17" fillId="0" borderId="2" xfId="21" applyNumberFormat="1" applyFont="1" applyBorder="1"/>
    <xf numFmtId="165" fontId="17" fillId="3" borderId="2" xfId="21" applyNumberFormat="1" applyFont="1" applyFill="1" applyBorder="1"/>
    <xf numFmtId="165" fontId="22" fillId="3" borderId="2" xfId="21" applyNumberFormat="1" applyFont="1" applyFill="1" applyBorder="1"/>
    <xf numFmtId="165" fontId="18" fillId="0" borderId="2" xfId="21" applyNumberFormat="1" applyFont="1" applyBorder="1"/>
    <xf numFmtId="165" fontId="18" fillId="3" borderId="2" xfId="21" applyNumberFormat="1" applyFont="1" applyFill="1" applyBorder="1"/>
    <xf numFmtId="165" fontId="21" fillId="3" borderId="2" xfId="21" applyNumberFormat="1" applyFont="1" applyFill="1" applyBorder="1"/>
    <xf numFmtId="164" fontId="17" fillId="0" borderId="2" xfId="21" applyNumberFormat="1" applyFont="1" applyBorder="1" applyAlignment="1">
      <alignment wrapText="1"/>
    </xf>
    <xf numFmtId="164" fontId="17" fillId="3" borderId="2" xfId="21" applyNumberFormat="1" applyFont="1" applyFill="1" applyBorder="1" applyAlignment="1">
      <alignment wrapText="1"/>
    </xf>
    <xf numFmtId="0" fontId="18" fillId="3" borderId="2" xfId="0" applyFont="1" applyFill="1" applyBorder="1"/>
    <xf numFmtId="0" fontId="17" fillId="5" borderId="6" xfId="0" applyFont="1" applyFill="1" applyBorder="1" applyAlignment="1">
      <alignment horizontal="center" vertical="center" wrapText="1"/>
    </xf>
    <xf numFmtId="166" fontId="18" fillId="5" borderId="2" xfId="0" applyNumberFormat="1" applyFont="1" applyFill="1" applyBorder="1" applyAlignment="1">
      <alignment horizontal="right"/>
    </xf>
    <xf numFmtId="166" fontId="17" fillId="5" borderId="2" xfId="0" applyNumberFormat="1" applyFont="1" applyFill="1" applyBorder="1" applyAlignment="1">
      <alignment horizontal="right"/>
    </xf>
    <xf numFmtId="164" fontId="17" fillId="5" borderId="2" xfId="7" applyNumberFormat="1" applyFont="1" applyFill="1" applyBorder="1" applyAlignment="1" applyProtection="1">
      <alignment horizontal="right" vertical="center"/>
      <protection locked="0"/>
    </xf>
    <xf numFmtId="164" fontId="17" fillId="5" borderId="2" xfId="7" applyNumberFormat="1" applyFont="1" applyFill="1" applyBorder="1" applyAlignment="1" applyProtection="1">
      <alignment horizontal="right"/>
      <protection locked="0"/>
    </xf>
    <xf numFmtId="165" fontId="17" fillId="5" borderId="2" xfId="21" applyNumberFormat="1" applyFont="1" applyFill="1" applyBorder="1"/>
    <xf numFmtId="164" fontId="18" fillId="5" borderId="2" xfId="7" applyNumberFormat="1" applyFont="1" applyFill="1" applyBorder="1" applyAlignment="1" applyProtection="1">
      <alignment horizontal="right"/>
      <protection locked="0"/>
    </xf>
    <xf numFmtId="165" fontId="18" fillId="5" borderId="2" xfId="21" applyNumberFormat="1" applyFont="1" applyFill="1" applyBorder="1"/>
    <xf numFmtId="165" fontId="18" fillId="5" borderId="2" xfId="0" applyNumberFormat="1" applyFont="1" applyFill="1" applyBorder="1"/>
    <xf numFmtId="2" fontId="17" fillId="0" borderId="0" xfId="0" applyNumberFormat="1" applyFont="1"/>
    <xf numFmtId="0" fontId="19" fillId="0" borderId="14" xfId="0" applyFont="1" applyBorder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17" fillId="4" borderId="10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wrapText="1"/>
    </xf>
    <xf numFmtId="0" fontId="18" fillId="0" borderId="2" xfId="14" applyFont="1" applyFill="1" applyBorder="1" applyAlignment="1" applyProtection="1">
      <alignment horizontal="center" vertical="center" wrapText="1"/>
    </xf>
    <xf numFmtId="165" fontId="18" fillId="0" borderId="2" xfId="14" applyNumberFormat="1" applyFont="1" applyFill="1" applyBorder="1" applyAlignment="1">
      <alignment horizontal="right"/>
    </xf>
    <xf numFmtId="165" fontId="18" fillId="0" borderId="10" xfId="14" applyNumberFormat="1" applyFont="1" applyFill="1" applyBorder="1" applyAlignment="1">
      <alignment horizontal="right"/>
    </xf>
    <xf numFmtId="165" fontId="17" fillId="0" borderId="2" xfId="0" applyNumberFormat="1" applyFont="1" applyBorder="1" applyAlignment="1">
      <alignment horizontal="right"/>
    </xf>
    <xf numFmtId="0" fontId="17" fillId="0" borderId="2" xfId="0" applyFont="1" applyBorder="1" applyAlignment="1">
      <alignment horizontal="left" vertical="center" wrapText="1"/>
    </xf>
    <xf numFmtId="165" fontId="17" fillId="0" borderId="2" xfId="14" applyNumberFormat="1" applyFont="1" applyFill="1" applyBorder="1" applyAlignment="1">
      <alignment horizontal="right"/>
    </xf>
    <xf numFmtId="165" fontId="18" fillId="0" borderId="2" xfId="0" applyNumberFormat="1" applyFont="1" applyBorder="1" applyAlignment="1">
      <alignment horizontal="right"/>
    </xf>
    <xf numFmtId="0" fontId="26" fillId="0" borderId="2" xfId="0" applyFont="1" applyBorder="1" applyAlignment="1">
      <alignment horizontal="left" vertical="center" wrapText="1"/>
    </xf>
    <xf numFmtId="0" fontId="26" fillId="0" borderId="2" xfId="0" quotePrefix="1" applyFont="1" applyBorder="1" applyAlignment="1">
      <alignment horizontal="left" vertical="center" wrapText="1"/>
    </xf>
    <xf numFmtId="0" fontId="25" fillId="0" borderId="2" xfId="14" applyFont="1" applyFill="1" applyBorder="1" applyAlignment="1" applyProtection="1">
      <alignment horizontal="center" vertical="center" wrapText="1"/>
    </xf>
    <xf numFmtId="165" fontId="26" fillId="0" borderId="2" xfId="0" applyNumberFormat="1" applyFont="1" applyBorder="1" applyAlignment="1">
      <alignment horizontal="right"/>
    </xf>
    <xf numFmtId="0" fontId="23" fillId="0" borderId="9" xfId="0" applyFont="1" applyBorder="1"/>
    <xf numFmtId="0" fontId="18" fillId="0" borderId="0" xfId="0" applyFont="1" applyAlignment="1">
      <alignment vertical="center"/>
    </xf>
    <xf numFmtId="0" fontId="17" fillId="0" borderId="2" xfId="0" quotePrefix="1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7" fillId="0" borderId="9" xfId="0" applyFont="1" applyBorder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7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7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2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wrapText="1" shrinkToFit="1"/>
    </xf>
    <xf numFmtId="0" fontId="17" fillId="0" borderId="10" xfId="0" applyFont="1" applyBorder="1" applyAlignment="1">
      <alignment horizontal="center" vertical="center" wrapText="1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8" fillId="0" borderId="7" xfId="14" applyFont="1" applyFill="1" applyBorder="1" applyAlignment="1" applyProtection="1">
      <alignment horizontal="left" vertical="center" wrapText="1"/>
    </xf>
    <xf numFmtId="0" fontId="18" fillId="0" borderId="3" xfId="14" applyFont="1" applyFill="1" applyBorder="1" applyAlignment="1" applyProtection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5" xfId="14" applyFont="1" applyFill="1" applyBorder="1" applyAlignment="1" applyProtection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7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2" xfId="7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/>
    </xf>
    <xf numFmtId="0" fontId="17" fillId="0" borderId="2" xfId="7" applyFont="1" applyBorder="1" applyAlignment="1">
      <alignment horizontal="center" vertical="center" wrapText="1"/>
    </xf>
    <xf numFmtId="0" fontId="17" fillId="0" borderId="2" xfId="7" applyFont="1" applyBorder="1" applyAlignment="1">
      <alignment horizontal="center"/>
    </xf>
    <xf numFmtId="0" fontId="18" fillId="0" borderId="0" xfId="0" applyFont="1" applyAlignment="1">
      <alignment horizontal="center" shrinkToFit="1"/>
    </xf>
    <xf numFmtId="0" fontId="17" fillId="0" borderId="7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7" xfId="0" applyFont="1" applyBorder="1" applyAlignment="1">
      <alignment horizontal="center" wrapText="1" shrinkToFit="1"/>
    </xf>
    <xf numFmtId="0" fontId="17" fillId="0" borderId="3" xfId="0" applyFont="1" applyBorder="1" applyAlignment="1">
      <alignment horizontal="center" wrapText="1" shrinkToFit="1"/>
    </xf>
    <xf numFmtId="0" fontId="19" fillId="0" borderId="0" xfId="0" applyFont="1" applyAlignment="1">
      <alignment horizontal="right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19" fillId="0" borderId="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9" xfId="0" applyFont="1" applyBorder="1" applyAlignment="1">
      <alignment horizontal="right"/>
    </xf>
    <xf numFmtId="164" fontId="17" fillId="0" borderId="2" xfId="7" applyNumberFormat="1" applyFont="1" applyBorder="1" applyAlignment="1" applyProtection="1">
      <alignment horizontal="right"/>
      <protection locked="0"/>
    </xf>
    <xf numFmtId="164" fontId="22" fillId="3" borderId="2" xfId="7" applyNumberFormat="1" applyFont="1" applyFill="1" applyBorder="1" applyAlignment="1" applyProtection="1">
      <alignment horizontal="right"/>
      <protection locked="0"/>
    </xf>
    <xf numFmtId="164" fontId="17" fillId="0" borderId="2" xfId="0" applyNumberFormat="1" applyFont="1" applyBorder="1" applyAlignment="1"/>
    <xf numFmtId="166" fontId="17" fillId="0" borderId="2" xfId="0" applyNumberFormat="1" applyFont="1" applyBorder="1" applyAlignment="1"/>
  </cellXfs>
  <cellStyles count="28">
    <cellStyle name="Įprastas" xfId="0" builtinId="0"/>
    <cellStyle name="Įprastas 10" xfId="1" xr:uid="{00000000-0005-0000-0000-000001000000}"/>
    <cellStyle name="Įprastas 10 2" xfId="16" xr:uid="{C262B60A-9C55-4E24-AE56-6EA60A4E8143}"/>
    <cellStyle name="Įprastas 11" xfId="2" xr:uid="{00000000-0005-0000-0000-000002000000}"/>
    <cellStyle name="Įprastas 11 2" xfId="17" xr:uid="{695E989A-7759-4236-AE0C-2058254BB1AC}"/>
    <cellStyle name="Įprastas 12" xfId="3" xr:uid="{00000000-0005-0000-0000-000003000000}"/>
    <cellStyle name="Įprastas 12 2" xfId="18" xr:uid="{857A1D04-D5D8-4999-9B5E-F5CFD5765B5F}"/>
    <cellStyle name="Įprastas 13" xfId="4" xr:uid="{00000000-0005-0000-0000-000004000000}"/>
    <cellStyle name="Įprastas 13 2" xfId="19" xr:uid="{4F59331E-B64F-4949-B24E-0C51091C72CC}"/>
    <cellStyle name="Įprastas 2" xfId="5" xr:uid="{00000000-0005-0000-0000-000005000000}"/>
    <cellStyle name="Įprastas 2 2" xfId="6" xr:uid="{00000000-0005-0000-0000-000006000000}"/>
    <cellStyle name="Įprastas 2 2 2" xfId="21" xr:uid="{9C44E29A-0F66-4F32-9B02-FEA9984A0EBE}"/>
    <cellStyle name="Įprastas 2 3" xfId="20" xr:uid="{6040A0B9-F349-4BD3-848E-FA2CF094219D}"/>
    <cellStyle name="Įprastas 3" xfId="7" xr:uid="{00000000-0005-0000-0000-000007000000}"/>
    <cellStyle name="Įprastas 4" xfId="8" xr:uid="{00000000-0005-0000-0000-000008000000}"/>
    <cellStyle name="Įprastas 4 2" xfId="22" xr:uid="{ADCC27F4-9E06-4CBA-87EB-5EE99A6B501F}"/>
    <cellStyle name="Įprastas 5" xfId="9" xr:uid="{00000000-0005-0000-0000-000009000000}"/>
    <cellStyle name="Įprastas 5 2" xfId="23" xr:uid="{32B9890D-C0FE-467F-8C76-4AE9F2A5CDCD}"/>
    <cellStyle name="Įprastas 6" xfId="10" xr:uid="{00000000-0005-0000-0000-00000A000000}"/>
    <cellStyle name="Įprastas 6 2" xfId="24" xr:uid="{A42A7688-8D46-429C-9471-7A75089A53C9}"/>
    <cellStyle name="Įprastas 7" xfId="11" xr:uid="{00000000-0005-0000-0000-00000B000000}"/>
    <cellStyle name="Įprastas 7 2" xfId="25" xr:uid="{9386BEA6-3AAC-44B7-8514-794D419349F3}"/>
    <cellStyle name="Įprastas 8" xfId="12" xr:uid="{00000000-0005-0000-0000-00000C000000}"/>
    <cellStyle name="Įprastas 8 2" xfId="26" xr:uid="{E750DD54-7DEC-41D8-87BF-2B5738B2BD66}"/>
    <cellStyle name="Įprastas 9" xfId="13" xr:uid="{00000000-0005-0000-0000-00000D000000}"/>
    <cellStyle name="Įprastas 9 2" xfId="27" xr:uid="{C3608F94-A952-4A34-B2AA-920919C3E655}"/>
    <cellStyle name="Įvestis 2" xfId="14" xr:uid="{00000000-0005-0000-0000-00000E000000}"/>
    <cellStyle name="Paprastas 2" xfId="15" xr:uid="{00000000-0005-0000-0000-00000F000000}"/>
  </cellStyles>
  <dxfs count="4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zoomScaleNormal="100" workbookViewId="0">
      <selection sqref="A1:M1"/>
    </sheetView>
  </sheetViews>
  <sheetFormatPr defaultColWidth="10.28515625" defaultRowHeight="15"/>
  <cols>
    <col min="1" max="1" width="7.7109375" style="10" customWidth="1"/>
    <col min="2" max="2" width="46.28515625" style="10" customWidth="1"/>
    <col min="3" max="3" width="12.7109375" style="10" customWidth="1"/>
    <col min="4" max="4" width="12" style="10" customWidth="1"/>
    <col min="5" max="5" width="12.7109375" style="10" customWidth="1"/>
    <col min="6" max="6" width="13" style="10" customWidth="1"/>
    <col min="7" max="7" width="10.28515625" style="10"/>
    <col min="8" max="8" width="10.28515625" style="121"/>
    <col min="9" max="9" width="10.28515625" style="10"/>
    <col min="10" max="10" width="11.7109375" style="10" customWidth="1"/>
    <col min="11" max="16384" width="10.28515625" style="10"/>
  </cols>
  <sheetData>
    <row r="1" spans="1:16" ht="20.45" customHeight="1">
      <c r="A1" s="180" t="s">
        <v>320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6" ht="15" customHeight="1">
      <c r="A2" s="88"/>
      <c r="B2" s="12"/>
      <c r="H2" s="10"/>
      <c r="I2" s="89"/>
      <c r="J2" s="89"/>
      <c r="K2" s="89"/>
      <c r="L2" s="181" t="s">
        <v>151</v>
      </c>
      <c r="M2" s="181"/>
    </row>
    <row r="3" spans="1:16" ht="50.45" customHeight="1">
      <c r="A3" s="182" t="s">
        <v>136</v>
      </c>
      <c r="B3" s="184" t="s">
        <v>137</v>
      </c>
      <c r="C3" s="182" t="s">
        <v>221</v>
      </c>
      <c r="D3" s="182" t="s">
        <v>246</v>
      </c>
      <c r="E3" s="187" t="s">
        <v>247</v>
      </c>
      <c r="F3" s="188"/>
      <c r="G3" s="189"/>
      <c r="H3" s="190" t="s">
        <v>321</v>
      </c>
      <c r="I3" s="187" t="s">
        <v>8</v>
      </c>
      <c r="J3" s="188"/>
      <c r="K3" s="189"/>
      <c r="L3" s="187" t="s">
        <v>322</v>
      </c>
      <c r="M3" s="189"/>
    </row>
    <row r="4" spans="1:16" ht="61.9" customHeight="1">
      <c r="A4" s="183"/>
      <c r="B4" s="185"/>
      <c r="C4" s="183"/>
      <c r="D4" s="183"/>
      <c r="E4" s="13" t="s">
        <v>319</v>
      </c>
      <c r="F4" s="149" t="s">
        <v>323</v>
      </c>
      <c r="G4" s="15" t="s">
        <v>163</v>
      </c>
      <c r="H4" s="191"/>
      <c r="I4" s="90" t="s">
        <v>324</v>
      </c>
      <c r="J4" s="90" t="s">
        <v>325</v>
      </c>
      <c r="K4" s="13" t="s">
        <v>326</v>
      </c>
      <c r="L4" s="91" t="s">
        <v>138</v>
      </c>
      <c r="M4" s="92" t="s">
        <v>139</v>
      </c>
    </row>
    <row r="5" spans="1:16" ht="15.75">
      <c r="A5" s="93" t="s">
        <v>0</v>
      </c>
      <c r="B5" s="93" t="s">
        <v>183</v>
      </c>
      <c r="C5" s="94">
        <f>(C6+C7+C11)</f>
        <v>83449.899999999994</v>
      </c>
      <c r="D5" s="96">
        <f>(D6+D7+D11)</f>
        <v>94615</v>
      </c>
      <c r="E5" s="95">
        <f t="shared" ref="E5" si="0">(E6+E7+E11)</f>
        <v>65547</v>
      </c>
      <c r="F5" s="150">
        <f>(F6+F7+F11)</f>
        <v>65720.399999999994</v>
      </c>
      <c r="G5" s="94">
        <f>(G6+G7+G11)</f>
        <v>173.39999999999964</v>
      </c>
      <c r="H5" s="96">
        <f>(H6+H7+H11)</f>
        <v>57642.899999999994</v>
      </c>
      <c r="I5" s="94">
        <f>SUM(F5/E5*100)</f>
        <v>100.26454299967962</v>
      </c>
      <c r="J5" s="94">
        <f>SUM(H5/C5*100)</f>
        <v>69.074858088505792</v>
      </c>
      <c r="K5" s="51">
        <f>SUM(F5/D5*100)</f>
        <v>69.460867727104585</v>
      </c>
      <c r="L5" s="97">
        <f>F5-H5</f>
        <v>8077.5</v>
      </c>
      <c r="M5" s="97">
        <f>(F5/H5*100)-100</f>
        <v>14.013000733828449</v>
      </c>
    </row>
    <row r="6" spans="1:16">
      <c r="A6" s="16" t="s">
        <v>1</v>
      </c>
      <c r="B6" s="16" t="s">
        <v>130</v>
      </c>
      <c r="C6" s="98">
        <v>79898.5</v>
      </c>
      <c r="D6" s="99">
        <v>91005</v>
      </c>
      <c r="E6" s="100">
        <v>63147</v>
      </c>
      <c r="F6" s="151">
        <v>62839</v>
      </c>
      <c r="G6" s="98">
        <f>SUM(F6-E6)</f>
        <v>-308</v>
      </c>
      <c r="H6" s="99">
        <v>55279.199999999997</v>
      </c>
      <c r="I6" s="98">
        <f>SUM(F6/E6*100)</f>
        <v>99.512249196319701</v>
      </c>
      <c r="J6" s="98">
        <f>SUM(H6/C6*100)</f>
        <v>69.186780728048717</v>
      </c>
      <c r="K6" s="34">
        <f>SUM(F6/D6*100)</f>
        <v>69.050052194934338</v>
      </c>
      <c r="L6" s="101">
        <f>F6-H6</f>
        <v>7559.8000000000029</v>
      </c>
      <c r="M6" s="101">
        <f>(F6/H6*100)-100</f>
        <v>13.675668244113524</v>
      </c>
    </row>
    <row r="7" spans="1:16" ht="15.75">
      <c r="A7" s="93" t="s">
        <v>2</v>
      </c>
      <c r="B7" s="93" t="s">
        <v>184</v>
      </c>
      <c r="C7" s="94">
        <f>SUM(C8+C9+C10)</f>
        <v>3305.8999999999996</v>
      </c>
      <c r="D7" s="96">
        <f>SUM(D8+D9+D10)</f>
        <v>3340</v>
      </c>
      <c r="E7" s="95">
        <f t="shared" ref="E7" si="1">SUM(E8+E9+E10)</f>
        <v>2130</v>
      </c>
      <c r="F7" s="150">
        <f>SUM(F8+F9+F10)</f>
        <v>2609.3999999999996</v>
      </c>
      <c r="G7" s="94">
        <f>SUM(F7-E7)</f>
        <v>479.39999999999964</v>
      </c>
      <c r="H7" s="96">
        <f>SUM(H8+H9+H10)</f>
        <v>2123</v>
      </c>
      <c r="I7" s="94">
        <f>SUM(F7/E7*100)</f>
        <v>122.50704225352112</v>
      </c>
      <c r="J7" s="94">
        <f>SUM(H7/C7*100)</f>
        <v>64.218518406485387</v>
      </c>
      <c r="K7" s="51">
        <f>SUM(F7/D7*100)</f>
        <v>78.125748502994</v>
      </c>
      <c r="L7" s="96">
        <f>SUM(L8+L9+L10)</f>
        <v>486.39999999999981</v>
      </c>
      <c r="M7" s="97">
        <f>(F7/H7*100)-100</f>
        <v>22.910975035327354</v>
      </c>
    </row>
    <row r="8" spans="1:16">
      <c r="A8" s="16" t="s">
        <v>3</v>
      </c>
      <c r="B8" s="16" t="s">
        <v>131</v>
      </c>
      <c r="C8" s="140">
        <v>1221.8</v>
      </c>
      <c r="D8" s="102">
        <v>1200</v>
      </c>
      <c r="E8" s="103">
        <v>100</v>
      </c>
      <c r="F8" s="152">
        <v>65.7</v>
      </c>
      <c r="G8" s="98">
        <f>SUM(F8-E8)</f>
        <v>-34.299999999999997</v>
      </c>
      <c r="H8" s="99">
        <v>52</v>
      </c>
      <c r="I8" s="98">
        <f>SUM(F8/E8*100)</f>
        <v>65.7</v>
      </c>
      <c r="J8" s="98">
        <f>SUM(H8/C8*100)</f>
        <v>4.2560157145195614</v>
      </c>
      <c r="K8" s="34">
        <f>SUM(F8/D8*100)</f>
        <v>5.4749999999999996</v>
      </c>
      <c r="L8" s="101">
        <f>F8-H8</f>
        <v>13.700000000000003</v>
      </c>
      <c r="M8" s="101">
        <f t="shared" ref="M8:M25" si="2">(F8/H8*100)-100</f>
        <v>26.34615384615384</v>
      </c>
    </row>
    <row r="9" spans="1:16">
      <c r="A9" s="16" t="s">
        <v>4</v>
      </c>
      <c r="B9" s="16" t="s">
        <v>140</v>
      </c>
      <c r="C9" s="140">
        <v>51.5</v>
      </c>
      <c r="D9" s="102">
        <v>40</v>
      </c>
      <c r="E9" s="103">
        <v>30</v>
      </c>
      <c r="F9" s="152">
        <v>28.5</v>
      </c>
      <c r="G9" s="98">
        <f t="shared" ref="G9:G35" si="3">SUM(F9-E9)</f>
        <v>-1.5</v>
      </c>
      <c r="H9" s="99">
        <v>44</v>
      </c>
      <c r="I9" s="98">
        <f t="shared" ref="I9:I12" si="4">SUM(F9/E9*100)</f>
        <v>95</v>
      </c>
      <c r="J9" s="98">
        <f t="shared" ref="J9" si="5">SUM(H9/C9*100)</f>
        <v>85.436893203883486</v>
      </c>
      <c r="K9" s="34">
        <f t="shared" ref="K9:K22" si="6">SUM(F9/D9*100)</f>
        <v>71.25</v>
      </c>
      <c r="L9" s="101">
        <f t="shared" ref="L9:L10" si="7">F9-H9</f>
        <v>-15.5</v>
      </c>
      <c r="M9" s="101">
        <f t="shared" si="2"/>
        <v>-35.227272727272734</v>
      </c>
    </row>
    <row r="10" spans="1:16">
      <c r="A10" s="16" t="s">
        <v>5</v>
      </c>
      <c r="B10" s="16" t="s">
        <v>132</v>
      </c>
      <c r="C10" s="140">
        <v>2032.6</v>
      </c>
      <c r="D10" s="102">
        <v>2100</v>
      </c>
      <c r="E10" s="103">
        <v>2000</v>
      </c>
      <c r="F10" s="152">
        <v>2515.1999999999998</v>
      </c>
      <c r="G10" s="98">
        <f>SUM(F10-E10)</f>
        <v>515.19999999999982</v>
      </c>
      <c r="H10" s="99">
        <v>2027</v>
      </c>
      <c r="I10" s="98">
        <f>SUM(F10/E10*100)</f>
        <v>125.75999999999998</v>
      </c>
      <c r="J10" s="98">
        <f>SUM(H10/C10*100)</f>
        <v>99.724490799960648</v>
      </c>
      <c r="K10" s="34">
        <f t="shared" si="6"/>
        <v>119.77142857142857</v>
      </c>
      <c r="L10" s="101">
        <f t="shared" si="7"/>
        <v>488.19999999999982</v>
      </c>
      <c r="M10" s="101">
        <f t="shared" si="2"/>
        <v>24.084854464726192</v>
      </c>
    </row>
    <row r="11" spans="1:16" ht="15.75">
      <c r="A11" s="93" t="s">
        <v>6</v>
      </c>
      <c r="B11" s="93" t="s">
        <v>185</v>
      </c>
      <c r="C11" s="94">
        <f>(C12)</f>
        <v>245.5</v>
      </c>
      <c r="D11" s="96">
        <f>(D12)</f>
        <v>270</v>
      </c>
      <c r="E11" s="96">
        <f t="shared" ref="E11" si="8">(E12)</f>
        <v>270</v>
      </c>
      <c r="F11" s="150">
        <f>(F12)</f>
        <v>272</v>
      </c>
      <c r="G11" s="94">
        <f>SUM(F11-E11)</f>
        <v>2</v>
      </c>
      <c r="H11" s="96">
        <f>(H12)</f>
        <v>240.7</v>
      </c>
      <c r="I11" s="94">
        <f>SUM(F11/E11*100)</f>
        <v>100.74074074074073</v>
      </c>
      <c r="J11" s="94">
        <f>SUM(H11/C11*100)</f>
        <v>98.044806517311599</v>
      </c>
      <c r="K11" s="51">
        <f t="shared" si="6"/>
        <v>100.74074074074073</v>
      </c>
      <c r="L11" s="94">
        <f t="shared" ref="L11" si="9">(L12)</f>
        <v>31.300000000000011</v>
      </c>
      <c r="M11" s="97">
        <f>(F11/H11*100)-100</f>
        <v>13.003739094308273</v>
      </c>
    </row>
    <row r="12" spans="1:16">
      <c r="A12" s="16" t="s">
        <v>7</v>
      </c>
      <c r="B12" s="16" t="s">
        <v>141</v>
      </c>
      <c r="C12" s="98">
        <v>245.5</v>
      </c>
      <c r="D12" s="99">
        <f>240+30</f>
        <v>270</v>
      </c>
      <c r="E12" s="100">
        <f>240+30</f>
        <v>270</v>
      </c>
      <c r="F12" s="151">
        <v>272</v>
      </c>
      <c r="G12" s="98">
        <f>SUM(F12-E12)</f>
        <v>2</v>
      </c>
      <c r="H12" s="99">
        <v>240.7</v>
      </c>
      <c r="I12" s="98">
        <f t="shared" si="4"/>
        <v>100.74074074074073</v>
      </c>
      <c r="J12" s="98">
        <f t="shared" ref="J12" si="10">SUM(H12/C12*100)</f>
        <v>98.044806517311599</v>
      </c>
      <c r="K12" s="34">
        <f t="shared" si="6"/>
        <v>100.74074074074073</v>
      </c>
      <c r="L12" s="101">
        <f>F12-H12</f>
        <v>31.300000000000011</v>
      </c>
      <c r="M12" s="101">
        <f>(F12/H12*100)-100</f>
        <v>13.003739094308273</v>
      </c>
    </row>
    <row r="13" spans="1:16" ht="16.5" customHeight="1">
      <c r="A13" s="93" t="s">
        <v>18</v>
      </c>
      <c r="B13" s="93" t="s">
        <v>186</v>
      </c>
      <c r="C13" s="94">
        <f>SUM(C14+C23+C32+C33)</f>
        <v>11342</v>
      </c>
      <c r="D13" s="96">
        <f t="shared" ref="D13" si="11">SUM(D14+D23+D32+D33)</f>
        <v>12008.9</v>
      </c>
      <c r="E13" s="95">
        <f>SUM(E14+E23+E32+E33)</f>
        <v>8346.4</v>
      </c>
      <c r="F13" s="150">
        <f>SUM(F14+F23+F32+F33)</f>
        <v>8061.6999999999989</v>
      </c>
      <c r="G13" s="94">
        <f t="shared" si="3"/>
        <v>-284.70000000000073</v>
      </c>
      <c r="H13" s="96">
        <f>SUM(H14+H23+H32+H33)</f>
        <v>8151.5</v>
      </c>
      <c r="I13" s="94">
        <f>SUM(F13/E13*100)</f>
        <v>96.588948528706979</v>
      </c>
      <c r="J13" s="94">
        <f>SUM(H13/C13*100)</f>
        <v>71.870040557220946</v>
      </c>
      <c r="K13" s="51">
        <f t="shared" si="6"/>
        <v>67.131044475347451</v>
      </c>
      <c r="L13" s="97">
        <f>F13-H13</f>
        <v>-89.800000000001091</v>
      </c>
      <c r="M13" s="97">
        <f>(F13/H13*100)-100</f>
        <v>-1.1016377353861344</v>
      </c>
      <c r="P13" s="104"/>
    </row>
    <row r="14" spans="1:16" ht="16.5" customHeight="1">
      <c r="A14" s="93" t="s">
        <v>20</v>
      </c>
      <c r="B14" s="93" t="s">
        <v>187</v>
      </c>
      <c r="C14" s="94">
        <f>SUM(C15+C16+C17+C18)</f>
        <v>950.3</v>
      </c>
      <c r="D14" s="96">
        <f t="shared" ref="D14" si="12">SUM(D15+D16+D17+D18)</f>
        <v>920</v>
      </c>
      <c r="E14" s="95">
        <f>SUM(E15+E16+E17+E18)</f>
        <v>580</v>
      </c>
      <c r="F14" s="150">
        <f>SUM(F15+F16+F17+F18)</f>
        <v>642.20000000000005</v>
      </c>
      <c r="G14" s="95">
        <f>SUM(G15+G16+G17+G18)</f>
        <v>62.2</v>
      </c>
      <c r="H14" s="96">
        <f>SUM(H15+H16+H17+H18)</f>
        <v>537.30000000000007</v>
      </c>
      <c r="I14" s="94">
        <f>SUM(F14/E14*100)</f>
        <v>110.72413793103448</v>
      </c>
      <c r="J14" s="94">
        <f>SUM(H14/C14*100)</f>
        <v>56.540039987372417</v>
      </c>
      <c r="K14" s="51">
        <f t="shared" si="6"/>
        <v>69.804347826086968</v>
      </c>
      <c r="L14" s="97">
        <f>F14-H14</f>
        <v>104.89999999999998</v>
      </c>
      <c r="M14" s="97">
        <f>(F14/H14*100)-100</f>
        <v>19.523543644146656</v>
      </c>
    </row>
    <row r="15" spans="1:16" ht="16.5" customHeight="1">
      <c r="A15" s="16" t="s">
        <v>21</v>
      </c>
      <c r="B15" s="16" t="s">
        <v>10</v>
      </c>
      <c r="C15" s="140">
        <v>217.7</v>
      </c>
      <c r="D15" s="99">
        <v>132</v>
      </c>
      <c r="E15" s="103">
        <v>87</v>
      </c>
      <c r="F15" s="153">
        <v>122.1</v>
      </c>
      <c r="G15" s="98">
        <f t="shared" si="3"/>
        <v>35.099999999999994</v>
      </c>
      <c r="H15" s="99">
        <v>170.4</v>
      </c>
      <c r="I15" s="98">
        <f t="shared" ref="I15:I35" si="13">SUM(F15/E15*100)</f>
        <v>140.34482758620689</v>
      </c>
      <c r="J15" s="98">
        <f>SUM(H15/C15*100)</f>
        <v>78.272852549379891</v>
      </c>
      <c r="K15" s="34">
        <f t="shared" si="6"/>
        <v>92.5</v>
      </c>
      <c r="L15" s="101">
        <f>F15-H15</f>
        <v>-48.300000000000011</v>
      </c>
      <c r="M15" s="101">
        <f>(F15/H15*100)-100</f>
        <v>-28.345070422535215</v>
      </c>
    </row>
    <row r="16" spans="1:16" ht="15" customHeight="1">
      <c r="A16" s="16" t="s">
        <v>23</v>
      </c>
      <c r="B16" s="16" t="s">
        <v>171</v>
      </c>
      <c r="C16" s="140">
        <v>148.69999999999999</v>
      </c>
      <c r="D16" s="99">
        <v>148</v>
      </c>
      <c r="E16" s="100">
        <v>148</v>
      </c>
      <c r="F16" s="151">
        <v>148</v>
      </c>
      <c r="G16" s="98">
        <f t="shared" si="3"/>
        <v>0</v>
      </c>
      <c r="H16" s="99">
        <v>148.69999999999999</v>
      </c>
      <c r="I16" s="98">
        <v>0</v>
      </c>
      <c r="J16" s="98">
        <f t="shared" ref="J16:J22" si="14">SUM(H16/C16*100)</f>
        <v>100</v>
      </c>
      <c r="K16" s="34">
        <f t="shared" si="6"/>
        <v>100</v>
      </c>
      <c r="L16" s="101">
        <f t="shared" ref="L16:L22" si="15">F16-H16</f>
        <v>-0.69999999999998863</v>
      </c>
      <c r="M16" s="101">
        <v>0</v>
      </c>
    </row>
    <row r="17" spans="1:13" ht="15" customHeight="1">
      <c r="A17" s="16" t="s">
        <v>25</v>
      </c>
      <c r="B17" s="16" t="s">
        <v>142</v>
      </c>
      <c r="C17" s="140">
        <v>303.2</v>
      </c>
      <c r="D17" s="102">
        <v>280</v>
      </c>
      <c r="E17" s="103">
        <v>30</v>
      </c>
      <c r="F17" s="152">
        <v>15.8</v>
      </c>
      <c r="G17" s="98">
        <f t="shared" si="3"/>
        <v>-14.2</v>
      </c>
      <c r="H17" s="99">
        <v>12.2</v>
      </c>
      <c r="I17" s="98">
        <f t="shared" si="13"/>
        <v>52.666666666666671</v>
      </c>
      <c r="J17" s="98">
        <f t="shared" si="14"/>
        <v>4.0237467018469655</v>
      </c>
      <c r="K17" s="34">
        <f>SUM(F17/D17*100)</f>
        <v>5.6428571428571432</v>
      </c>
      <c r="L17" s="101">
        <f t="shared" si="15"/>
        <v>3.6000000000000014</v>
      </c>
      <c r="M17" s="101">
        <f>(F17/H17*100)-100</f>
        <v>29.508196721311492</v>
      </c>
    </row>
    <row r="18" spans="1:13" ht="33.6" customHeight="1">
      <c r="A18" s="16" t="s">
        <v>26</v>
      </c>
      <c r="B18" s="17" t="s">
        <v>188</v>
      </c>
      <c r="C18" s="140">
        <f>SUM(C19:C22)</f>
        <v>280.7</v>
      </c>
      <c r="D18" s="141">
        <f>SUM(D19:D22)</f>
        <v>360</v>
      </c>
      <c r="E18" s="142">
        <f t="shared" ref="E18" si="16">SUM(E19:E22)</f>
        <v>315</v>
      </c>
      <c r="F18" s="154">
        <f>SUM(F19:F22)</f>
        <v>356.3</v>
      </c>
      <c r="G18" s="140">
        <f>SUM(G19:G22)</f>
        <v>41.300000000000011</v>
      </c>
      <c r="H18" s="141">
        <f>SUM(H19:H22)</f>
        <v>206.00000000000003</v>
      </c>
      <c r="I18" s="98">
        <f t="shared" si="13"/>
        <v>113.11111111111111</v>
      </c>
      <c r="J18" s="98">
        <f t="shared" si="14"/>
        <v>73.387958674741725</v>
      </c>
      <c r="K18" s="34">
        <f t="shared" si="6"/>
        <v>98.972222222222229</v>
      </c>
      <c r="L18" s="101">
        <f t="shared" si="15"/>
        <v>150.29999999999998</v>
      </c>
      <c r="M18" s="101">
        <f t="shared" si="2"/>
        <v>72.961165048543677</v>
      </c>
    </row>
    <row r="19" spans="1:13" ht="16.899999999999999" customHeight="1">
      <c r="A19" s="16" t="s">
        <v>189</v>
      </c>
      <c r="B19" s="16" t="s">
        <v>143</v>
      </c>
      <c r="C19" s="140">
        <v>36.6</v>
      </c>
      <c r="D19" s="102">
        <v>40</v>
      </c>
      <c r="E19" s="103">
        <v>40</v>
      </c>
      <c r="F19" s="152">
        <v>38.200000000000003</v>
      </c>
      <c r="G19" s="98">
        <f t="shared" si="3"/>
        <v>-1.7999999999999972</v>
      </c>
      <c r="H19" s="99">
        <v>36.6</v>
      </c>
      <c r="I19" s="98">
        <f t="shared" si="13"/>
        <v>95.5</v>
      </c>
      <c r="J19" s="98">
        <f t="shared" si="14"/>
        <v>100</v>
      </c>
      <c r="K19" s="34">
        <f t="shared" si="6"/>
        <v>95.5</v>
      </c>
      <c r="L19" s="101">
        <f t="shared" si="15"/>
        <v>1.6000000000000014</v>
      </c>
      <c r="M19" s="101">
        <f t="shared" si="2"/>
        <v>4.3715846994535639</v>
      </c>
    </row>
    <row r="20" spans="1:13" ht="15.6" customHeight="1">
      <c r="A20" s="16" t="s">
        <v>190</v>
      </c>
      <c r="B20" s="17" t="s">
        <v>133</v>
      </c>
      <c r="C20" s="140">
        <v>113.3</v>
      </c>
      <c r="D20" s="102">
        <f>230+30</f>
        <v>260</v>
      </c>
      <c r="E20" s="103">
        <v>230</v>
      </c>
      <c r="F20" s="152">
        <v>264.3</v>
      </c>
      <c r="G20" s="98">
        <f t="shared" si="3"/>
        <v>34.300000000000011</v>
      </c>
      <c r="H20" s="99">
        <v>110.7</v>
      </c>
      <c r="I20" s="98">
        <f t="shared" si="13"/>
        <v>114.91304347826087</v>
      </c>
      <c r="J20" s="98">
        <f t="shared" si="14"/>
        <v>97.705207413945288</v>
      </c>
      <c r="K20" s="34">
        <f t="shared" si="6"/>
        <v>101.65384615384616</v>
      </c>
      <c r="L20" s="101">
        <f t="shared" si="15"/>
        <v>153.60000000000002</v>
      </c>
      <c r="M20" s="101">
        <f t="shared" si="2"/>
        <v>138.75338753387533</v>
      </c>
    </row>
    <row r="21" spans="1:13" ht="18" customHeight="1">
      <c r="A21" s="16" t="s">
        <v>191</v>
      </c>
      <c r="B21" s="16" t="s">
        <v>192</v>
      </c>
      <c r="C21" s="140">
        <v>86</v>
      </c>
      <c r="D21" s="99">
        <v>20</v>
      </c>
      <c r="E21" s="100">
        <v>15</v>
      </c>
      <c r="F21" s="151">
        <v>27.6</v>
      </c>
      <c r="G21" s="98">
        <f>SUM(F21-E21)</f>
        <v>12.600000000000001</v>
      </c>
      <c r="H21" s="99">
        <v>24.3</v>
      </c>
      <c r="I21" s="98">
        <f t="shared" si="13"/>
        <v>184</v>
      </c>
      <c r="J21" s="98">
        <f t="shared" si="14"/>
        <v>28.255813953488374</v>
      </c>
      <c r="K21" s="34">
        <f t="shared" si="6"/>
        <v>138</v>
      </c>
      <c r="L21" s="101">
        <f>F21-H21</f>
        <v>3.3000000000000007</v>
      </c>
      <c r="M21" s="101">
        <f>(F21/H21*100)-100</f>
        <v>13.58024691358024</v>
      </c>
    </row>
    <row r="22" spans="1:13" ht="15" customHeight="1">
      <c r="A22" s="16" t="s">
        <v>193</v>
      </c>
      <c r="B22" s="16" t="s">
        <v>164</v>
      </c>
      <c r="C22" s="140">
        <v>44.8</v>
      </c>
      <c r="D22" s="102">
        <v>40</v>
      </c>
      <c r="E22" s="103">
        <v>30</v>
      </c>
      <c r="F22" s="152">
        <v>26.2</v>
      </c>
      <c r="G22" s="98">
        <f>SUM(F22-E22)</f>
        <v>-3.8000000000000007</v>
      </c>
      <c r="H22" s="99">
        <v>34.4</v>
      </c>
      <c r="I22" s="98">
        <f t="shared" si="13"/>
        <v>87.333333333333329</v>
      </c>
      <c r="J22" s="98">
        <f t="shared" si="14"/>
        <v>76.785714285714292</v>
      </c>
      <c r="K22" s="34">
        <f t="shared" si="6"/>
        <v>65.5</v>
      </c>
      <c r="L22" s="101">
        <f t="shared" si="15"/>
        <v>-8.1999999999999993</v>
      </c>
      <c r="M22" s="101">
        <f t="shared" si="2"/>
        <v>-23.837209302325576</v>
      </c>
    </row>
    <row r="23" spans="1:13" ht="15.75">
      <c r="A23" s="93" t="s">
        <v>28</v>
      </c>
      <c r="B23" s="93" t="s">
        <v>194</v>
      </c>
      <c r="C23" s="94">
        <f>C24+C29+C30</f>
        <v>9039.8000000000011</v>
      </c>
      <c r="D23" s="96">
        <f t="shared" ref="D23" si="17">D24+D29+D30</f>
        <v>9861.9</v>
      </c>
      <c r="E23" s="95">
        <f>E24+E29+E30</f>
        <v>7205.4</v>
      </c>
      <c r="F23" s="150">
        <f>F24+F29+F30</f>
        <v>6975.9999999999991</v>
      </c>
      <c r="G23" s="94">
        <f>SUM(F23-E23)</f>
        <v>-229.40000000000055</v>
      </c>
      <c r="H23" s="96">
        <f>H24+H29+H30</f>
        <v>6585.5</v>
      </c>
      <c r="I23" s="94">
        <f>SUM(F23/E23*100)</f>
        <v>96.816276681377843</v>
      </c>
      <c r="J23" s="94">
        <f>SUM(H23/C23*100)</f>
        <v>72.850063054492338</v>
      </c>
      <c r="K23" s="51">
        <f>SUM(F23/D23*100)</f>
        <v>70.736876261166699</v>
      </c>
      <c r="L23" s="97">
        <f>F23-H23</f>
        <v>390.49999999999909</v>
      </c>
      <c r="M23" s="97">
        <f>(F23/H23*100)-100</f>
        <v>5.9296940247513419</v>
      </c>
    </row>
    <row r="24" spans="1:13" ht="33" customHeight="1">
      <c r="A24" s="16" t="s">
        <v>29</v>
      </c>
      <c r="B24" s="17" t="s">
        <v>195</v>
      </c>
      <c r="C24" s="256">
        <f>SUM(C25:C28)</f>
        <v>5768.1</v>
      </c>
      <c r="D24" s="106">
        <f>SUM(D25:D28)</f>
        <v>6521.9</v>
      </c>
      <c r="E24" s="257">
        <f>SUM(E25:E28)</f>
        <v>4535.3999999999996</v>
      </c>
      <c r="F24" s="153">
        <f>SUM(F25:F28)</f>
        <v>4299.4999999999991</v>
      </c>
      <c r="G24" s="98">
        <f>SUM(F24-E24)</f>
        <v>-235.90000000000055</v>
      </c>
      <c r="H24" s="106">
        <f>SUM(H25:H28)</f>
        <v>4119.2</v>
      </c>
      <c r="I24" s="98">
        <f>SUM(F24/E24*100)</f>
        <v>94.798694712704489</v>
      </c>
      <c r="J24" s="98">
        <f t="shared" ref="J24:J28" si="18">SUM(H24/C24*100)</f>
        <v>71.413463705552942</v>
      </c>
      <c r="K24" s="258">
        <f>SUM(F24/D24*100)</f>
        <v>65.924040540333323</v>
      </c>
      <c r="L24" s="259">
        <f>F24-H24</f>
        <v>180.29999999999927</v>
      </c>
      <c r="M24" s="259">
        <f t="shared" si="2"/>
        <v>4.3770635074771462</v>
      </c>
    </row>
    <row r="25" spans="1:13" ht="30" customHeight="1">
      <c r="A25" s="105" t="s">
        <v>196</v>
      </c>
      <c r="B25" s="17" t="s">
        <v>135</v>
      </c>
      <c r="C25" s="140">
        <v>243.8</v>
      </c>
      <c r="D25" s="106">
        <v>354.4</v>
      </c>
      <c r="E25" s="103">
        <v>220.5</v>
      </c>
      <c r="F25" s="153">
        <v>181.3</v>
      </c>
      <c r="G25" s="98">
        <f t="shared" si="3"/>
        <v>-39.199999999999989</v>
      </c>
      <c r="H25" s="99">
        <v>168</v>
      </c>
      <c r="I25" s="98">
        <f>SUM(F25/E25*100)</f>
        <v>82.222222222222229</v>
      </c>
      <c r="J25" s="98">
        <f t="shared" si="18"/>
        <v>68.908941755537327</v>
      </c>
      <c r="K25" s="34">
        <f t="shared" ref="K25:K31" si="19">SUM(F25/D25*100)</f>
        <v>51.156884875846508</v>
      </c>
      <c r="L25" s="101">
        <f>F25-H25</f>
        <v>13.300000000000011</v>
      </c>
      <c r="M25" s="101">
        <f t="shared" si="2"/>
        <v>7.9166666666666856</v>
      </c>
    </row>
    <row r="26" spans="1:13" ht="15" customHeight="1">
      <c r="A26" s="105" t="s">
        <v>197</v>
      </c>
      <c r="B26" s="16" t="s">
        <v>134</v>
      </c>
      <c r="C26" s="140">
        <v>1545.9</v>
      </c>
      <c r="D26" s="106">
        <v>2350.6</v>
      </c>
      <c r="E26" s="103">
        <v>1548</v>
      </c>
      <c r="F26" s="153">
        <v>1316.6</v>
      </c>
      <c r="G26" s="98">
        <f t="shared" si="3"/>
        <v>-231.40000000000009</v>
      </c>
      <c r="H26" s="99">
        <v>1056.5999999999999</v>
      </c>
      <c r="I26" s="98">
        <f t="shared" si="13"/>
        <v>85.051679586563296</v>
      </c>
      <c r="J26" s="98">
        <f t="shared" si="18"/>
        <v>68.348534834077228</v>
      </c>
      <c r="K26" s="34">
        <f t="shared" si="19"/>
        <v>56.011231175019141</v>
      </c>
      <c r="L26" s="101">
        <f>F26-H26</f>
        <v>260</v>
      </c>
      <c r="M26" s="101">
        <f>(F26/H26*100)-100</f>
        <v>24.607230740109799</v>
      </c>
    </row>
    <row r="27" spans="1:13" ht="30" customHeight="1">
      <c r="A27" s="105" t="s">
        <v>198</v>
      </c>
      <c r="B27" s="17" t="s">
        <v>144</v>
      </c>
      <c r="C27" s="140">
        <v>2815.5</v>
      </c>
      <c r="D27" s="106">
        <v>2966.9</v>
      </c>
      <c r="E27" s="103">
        <v>2166.9</v>
      </c>
      <c r="F27" s="153">
        <v>2294.1999999999998</v>
      </c>
      <c r="G27" s="98">
        <f t="shared" si="3"/>
        <v>127.29999999999973</v>
      </c>
      <c r="H27" s="99">
        <v>2060.1</v>
      </c>
      <c r="I27" s="98">
        <f>SUM(F27/E27*100)</f>
        <v>105.87475194979001</v>
      </c>
      <c r="J27" s="98">
        <f t="shared" si="18"/>
        <v>73.169952051145444</v>
      </c>
      <c r="K27" s="34">
        <f t="shared" si="19"/>
        <v>77.32650240992281</v>
      </c>
      <c r="L27" s="101">
        <f t="shared" ref="L27:L31" si="20">F27-H27</f>
        <v>234.09999999999991</v>
      </c>
      <c r="M27" s="101">
        <f>(F27/H27*100)-100</f>
        <v>11.363526042425121</v>
      </c>
    </row>
    <row r="28" spans="1:13" ht="19.149999999999999" customHeight="1">
      <c r="A28" s="16" t="s">
        <v>199</v>
      </c>
      <c r="B28" s="17" t="s">
        <v>174</v>
      </c>
      <c r="C28" s="140">
        <v>1162.9000000000001</v>
      </c>
      <c r="D28" s="99">
        <v>850</v>
      </c>
      <c r="E28" s="100">
        <v>600</v>
      </c>
      <c r="F28" s="151">
        <v>507.4</v>
      </c>
      <c r="G28" s="98">
        <f t="shared" si="3"/>
        <v>-92.600000000000023</v>
      </c>
      <c r="H28" s="99">
        <v>834.5</v>
      </c>
      <c r="I28" s="98">
        <v>0</v>
      </c>
      <c r="J28" s="98">
        <f t="shared" si="18"/>
        <v>71.760254536073603</v>
      </c>
      <c r="K28" s="34">
        <f>SUM(F28/D28*100)</f>
        <v>59.694117647058818</v>
      </c>
      <c r="L28" s="101">
        <f t="shared" si="20"/>
        <v>-327.10000000000002</v>
      </c>
      <c r="M28" s="101">
        <f>(F28/H28*100)-100</f>
        <v>-39.197124026363092</v>
      </c>
    </row>
    <row r="29" spans="1:13">
      <c r="A29" s="16" t="s">
        <v>31</v>
      </c>
      <c r="B29" s="16" t="s">
        <v>200</v>
      </c>
      <c r="C29" s="140">
        <v>132.30000000000001</v>
      </c>
      <c r="D29" s="102">
        <v>150</v>
      </c>
      <c r="E29" s="103">
        <v>110</v>
      </c>
      <c r="F29" s="152">
        <v>124.5</v>
      </c>
      <c r="G29" s="98">
        <f t="shared" si="3"/>
        <v>14.5</v>
      </c>
      <c r="H29" s="99">
        <v>99.8</v>
      </c>
      <c r="I29" s="98">
        <f t="shared" si="13"/>
        <v>113.18181818181819</v>
      </c>
      <c r="J29" s="98">
        <f t="shared" ref="J29:J35" si="21">SUM(H29/C29*100)</f>
        <v>75.43461829176114</v>
      </c>
      <c r="K29" s="34">
        <f t="shared" si="19"/>
        <v>83</v>
      </c>
      <c r="L29" s="101">
        <f t="shared" si="20"/>
        <v>24.700000000000003</v>
      </c>
      <c r="M29" s="101">
        <f t="shared" ref="M29:M31" si="22">(F29/H29*100)-100</f>
        <v>24.749498997995985</v>
      </c>
    </row>
    <row r="30" spans="1:13" ht="15.6" customHeight="1">
      <c r="A30" s="16" t="s">
        <v>33</v>
      </c>
      <c r="B30" s="16" t="s">
        <v>201</v>
      </c>
      <c r="C30" s="140">
        <v>3139.4</v>
      </c>
      <c r="D30" s="102">
        <v>3190</v>
      </c>
      <c r="E30" s="103">
        <v>2560</v>
      </c>
      <c r="F30" s="152">
        <v>2552</v>
      </c>
      <c r="G30" s="98">
        <f>SUM(F30-E30)</f>
        <v>-8</v>
      </c>
      <c r="H30" s="99">
        <v>2366.5</v>
      </c>
      <c r="I30" s="98">
        <f t="shared" si="13"/>
        <v>99.6875</v>
      </c>
      <c r="J30" s="98">
        <f t="shared" si="21"/>
        <v>75.380645983308909</v>
      </c>
      <c r="K30" s="34">
        <f t="shared" si="19"/>
        <v>80</v>
      </c>
      <c r="L30" s="101">
        <f t="shared" si="20"/>
        <v>185.5</v>
      </c>
      <c r="M30" s="101">
        <f>(F30/H30*100)-100</f>
        <v>7.8385801817029375</v>
      </c>
    </row>
    <row r="31" spans="1:13" ht="31.15" customHeight="1">
      <c r="A31" s="16" t="s">
        <v>202</v>
      </c>
      <c r="B31" s="17" t="s">
        <v>203</v>
      </c>
      <c r="C31" s="140">
        <v>3040</v>
      </c>
      <c r="D31" s="106">
        <v>3100</v>
      </c>
      <c r="E31" s="103">
        <v>2500</v>
      </c>
      <c r="F31" s="153">
        <v>2471</v>
      </c>
      <c r="G31" s="98">
        <f t="shared" si="3"/>
        <v>-29</v>
      </c>
      <c r="H31" s="99">
        <v>2304.4</v>
      </c>
      <c r="I31" s="98">
        <f t="shared" si="13"/>
        <v>98.839999999999989</v>
      </c>
      <c r="J31" s="98">
        <f t="shared" si="21"/>
        <v>75.80263157894737</v>
      </c>
      <c r="K31" s="34">
        <f t="shared" si="19"/>
        <v>79.709677419354847</v>
      </c>
      <c r="L31" s="101">
        <f t="shared" si="20"/>
        <v>166.59999999999991</v>
      </c>
      <c r="M31" s="101">
        <f t="shared" si="22"/>
        <v>7.2296476306196809</v>
      </c>
    </row>
    <row r="32" spans="1:13" ht="32.450000000000003" customHeight="1">
      <c r="A32" s="107" t="s">
        <v>34</v>
      </c>
      <c r="B32" s="108" t="s">
        <v>145</v>
      </c>
      <c r="C32" s="143">
        <v>186.9</v>
      </c>
      <c r="D32" s="109">
        <v>200</v>
      </c>
      <c r="E32" s="110">
        <v>141</v>
      </c>
      <c r="F32" s="155">
        <v>206.7</v>
      </c>
      <c r="G32" s="94">
        <f t="shared" si="3"/>
        <v>65.699999999999989</v>
      </c>
      <c r="H32" s="96">
        <v>136.30000000000001</v>
      </c>
      <c r="I32" s="94">
        <f t="shared" si="13"/>
        <v>146.59574468085106</v>
      </c>
      <c r="J32" s="94">
        <f>SUM(H32/C32*100)</f>
        <v>72.926698769395401</v>
      </c>
      <c r="K32" s="51">
        <f>SUM(F32/D32*100)</f>
        <v>103.34999999999998</v>
      </c>
      <c r="L32" s="97">
        <f>F32-H32</f>
        <v>70.399999999999977</v>
      </c>
      <c r="M32" s="97">
        <f>(F32/H32*100)-100</f>
        <v>51.650770359501081</v>
      </c>
    </row>
    <row r="33" spans="1:13" ht="15" customHeight="1">
      <c r="A33" s="93" t="s">
        <v>36</v>
      </c>
      <c r="B33" s="93" t="s">
        <v>146</v>
      </c>
      <c r="C33" s="143">
        <v>1165</v>
      </c>
      <c r="D33" s="111">
        <v>1027</v>
      </c>
      <c r="E33" s="110">
        <v>420</v>
      </c>
      <c r="F33" s="155">
        <v>236.8</v>
      </c>
      <c r="G33" s="94">
        <f t="shared" si="3"/>
        <v>-183.2</v>
      </c>
      <c r="H33" s="96">
        <v>892.4</v>
      </c>
      <c r="I33" s="94">
        <f t="shared" si="13"/>
        <v>56.380952380952387</v>
      </c>
      <c r="J33" s="94">
        <f t="shared" si="21"/>
        <v>76.600858369098717</v>
      </c>
      <c r="K33" s="51">
        <f>SUM(F33/D33*100)</f>
        <v>23.057448880233693</v>
      </c>
      <c r="L33" s="97">
        <f>F33-H33</f>
        <v>-655.59999999999991</v>
      </c>
      <c r="M33" s="97">
        <f>(F33/H33*100)-100</f>
        <v>-73.464813984760198</v>
      </c>
    </row>
    <row r="34" spans="1:13" ht="34.15" customHeight="1">
      <c r="A34" s="112" t="s">
        <v>38</v>
      </c>
      <c r="B34" s="113" t="s">
        <v>204</v>
      </c>
      <c r="C34" s="143">
        <v>321.3</v>
      </c>
      <c r="D34" s="109">
        <v>580</v>
      </c>
      <c r="E34" s="114">
        <v>485</v>
      </c>
      <c r="F34" s="155">
        <v>494.5</v>
      </c>
      <c r="G34" s="94">
        <f t="shared" si="3"/>
        <v>9.5</v>
      </c>
      <c r="H34" s="115">
        <v>243.9</v>
      </c>
      <c r="I34" s="94">
        <f t="shared" si="13"/>
        <v>101.95876288659792</v>
      </c>
      <c r="J34" s="94">
        <f t="shared" si="21"/>
        <v>75.910364145658264</v>
      </c>
      <c r="K34" s="51">
        <f>SUM(F34/D34*100)</f>
        <v>85.258620689655174</v>
      </c>
      <c r="L34" s="97">
        <f>F34-H34</f>
        <v>250.6</v>
      </c>
      <c r="M34" s="97">
        <f t="shared" ref="M34:M36" si="23">(F34/H34*100)-100</f>
        <v>102.7470274702747</v>
      </c>
    </row>
    <row r="35" spans="1:13" ht="13.5" customHeight="1">
      <c r="A35" s="16" t="s">
        <v>248</v>
      </c>
      <c r="B35" s="18" t="s">
        <v>165</v>
      </c>
      <c r="C35" s="140">
        <v>119.3</v>
      </c>
      <c r="D35" s="106">
        <v>360</v>
      </c>
      <c r="E35" s="103">
        <v>310</v>
      </c>
      <c r="F35" s="152">
        <v>322.7</v>
      </c>
      <c r="G35" s="98">
        <f t="shared" si="3"/>
        <v>12.699999999999989</v>
      </c>
      <c r="H35" s="99">
        <v>69.400000000000006</v>
      </c>
      <c r="I35" s="98">
        <f t="shared" si="13"/>
        <v>104.09677419354838</v>
      </c>
      <c r="J35" s="98">
        <f t="shared" si="21"/>
        <v>58.172673931265727</v>
      </c>
      <c r="K35" s="34">
        <f>SUM(F35/D35*100)</f>
        <v>89.638888888888886</v>
      </c>
      <c r="L35" s="101">
        <f>F35-H35</f>
        <v>253.29999999999998</v>
      </c>
      <c r="M35" s="101">
        <f>(F35/H35*100)-100</f>
        <v>364.9855907780979</v>
      </c>
    </row>
    <row r="36" spans="1:13" ht="36" customHeight="1">
      <c r="A36" s="107" t="s">
        <v>40</v>
      </c>
      <c r="B36" s="116" t="s">
        <v>205</v>
      </c>
      <c r="C36" s="143">
        <f>C5+C13+C34</f>
        <v>95113.2</v>
      </c>
      <c r="D36" s="144">
        <f t="shared" ref="D36" si="24">D5+D13+D34</f>
        <v>107203.9</v>
      </c>
      <c r="E36" s="145">
        <f>E5+E13+E34</f>
        <v>74378.399999999994</v>
      </c>
      <c r="F36" s="156">
        <f>F5+F13+F34</f>
        <v>74276.599999999991</v>
      </c>
      <c r="G36" s="94">
        <f t="shared" ref="G36" si="25">SUM(F36-E36)</f>
        <v>-101.80000000000291</v>
      </c>
      <c r="H36" s="144">
        <f>H5+H13+H34</f>
        <v>66038.299999999988</v>
      </c>
      <c r="I36" s="94">
        <f t="shared" ref="I36" si="26">SUM(F36/E36*100)</f>
        <v>99.86313230722898</v>
      </c>
      <c r="J36" s="94">
        <f t="shared" ref="J36" si="27">SUM(H36/C36*100)</f>
        <v>69.431267163758548</v>
      </c>
      <c r="K36" s="51">
        <f>SUM(F36/D36*100)</f>
        <v>69.285352491840314</v>
      </c>
      <c r="L36" s="97">
        <f>F36-H36</f>
        <v>8238.3000000000029</v>
      </c>
      <c r="M36" s="97">
        <f t="shared" si="23"/>
        <v>12.475033427571589</v>
      </c>
    </row>
    <row r="37" spans="1:13" ht="15.75">
      <c r="A37" s="93" t="s">
        <v>41</v>
      </c>
      <c r="B37" s="93" t="s">
        <v>206</v>
      </c>
      <c r="C37" s="94">
        <f>C38+C44</f>
        <v>43006.5</v>
      </c>
      <c r="D37" s="96">
        <f>D38+D44</f>
        <v>59606.3</v>
      </c>
      <c r="E37" s="95">
        <f>E38+E44</f>
        <v>46231.6</v>
      </c>
      <c r="F37" s="150">
        <f>F38+F44</f>
        <v>36886.9</v>
      </c>
      <c r="G37" s="94">
        <f>SUM(F37-E37)</f>
        <v>-9344.6999999999971</v>
      </c>
      <c r="H37" s="96">
        <f>H38+H44</f>
        <v>31059.299999999996</v>
      </c>
      <c r="I37" s="94">
        <f>SUM(F37/E37*100)</f>
        <v>79.787201827321582</v>
      </c>
      <c r="J37" s="94">
        <f>SUM(H37/C37*100)</f>
        <v>72.22001325381045</v>
      </c>
      <c r="K37" s="51">
        <f t="shared" ref="K37" si="28">SUM(F37/D37*100)</f>
        <v>61.884230358200384</v>
      </c>
      <c r="L37" s="97">
        <f t="shared" ref="L37" si="29">F37-H37</f>
        <v>5827.6000000000058</v>
      </c>
      <c r="M37" s="97">
        <f>(F37/H37*100)-100</f>
        <v>18.762818221917456</v>
      </c>
    </row>
    <row r="38" spans="1:13" ht="33" customHeight="1">
      <c r="A38" s="107" t="s">
        <v>42</v>
      </c>
      <c r="B38" s="108" t="s">
        <v>207</v>
      </c>
      <c r="C38" s="94">
        <f>C39+C40+C41+C42+C43</f>
        <v>40891.4</v>
      </c>
      <c r="D38" s="96">
        <f>D39+D40+D41+D42+D43</f>
        <v>47051.200000000004</v>
      </c>
      <c r="E38" s="95">
        <f t="shared" ref="E38" si="30">E39+E40+E41+E42+E43</f>
        <v>36764.199999999997</v>
      </c>
      <c r="F38" s="150">
        <f>F39+F40+F41+F42+F43</f>
        <v>34802</v>
      </c>
      <c r="G38" s="94">
        <f>SUM(F38-E38)</f>
        <v>-1962.1999999999971</v>
      </c>
      <c r="H38" s="96">
        <f>H39+H40+H41+H42+H43</f>
        <v>29275.699999999997</v>
      </c>
      <c r="I38" s="94">
        <f>SUM(F38/E38*100)</f>
        <v>94.662742559337616</v>
      </c>
      <c r="J38" s="94">
        <f>SUM(H38/C38*100)</f>
        <v>71.593782555745207</v>
      </c>
      <c r="K38" s="51">
        <f>SUM(F38/D38*100)</f>
        <v>73.966232529669796</v>
      </c>
      <c r="L38" s="97">
        <f>F38-H38</f>
        <v>5526.3000000000029</v>
      </c>
      <c r="M38" s="97">
        <f>(F38/H38*100)-100</f>
        <v>18.876747609792432</v>
      </c>
    </row>
    <row r="39" spans="1:13" ht="34.9" customHeight="1">
      <c r="A39" s="16" t="s">
        <v>43</v>
      </c>
      <c r="B39" s="117" t="s">
        <v>208</v>
      </c>
      <c r="C39" s="140">
        <v>7134.9</v>
      </c>
      <c r="D39" s="106">
        <f>8008.8-35-17.2</f>
        <v>7956.6</v>
      </c>
      <c r="E39" s="103">
        <v>6559.1</v>
      </c>
      <c r="F39" s="153">
        <v>6560.5</v>
      </c>
      <c r="G39" s="98">
        <f t="shared" ref="G39:G42" si="31">SUM(F39-E39)</f>
        <v>1.3999999999996362</v>
      </c>
      <c r="H39" s="99">
        <v>5627.1</v>
      </c>
      <c r="I39" s="98">
        <f t="shared" ref="I39" si="32">SUM(F39/E39*100)</f>
        <v>100.02134439176106</v>
      </c>
      <c r="J39" s="98">
        <f t="shared" ref="J39:J43" si="33">SUM(H39/C39*100)</f>
        <v>78.867258125551871</v>
      </c>
      <c r="K39" s="34">
        <f t="shared" ref="K39:K43" si="34">SUM(F39/D39*100)</f>
        <v>82.453560566070934</v>
      </c>
      <c r="L39" s="101">
        <f>F39-H39</f>
        <v>933.39999999999964</v>
      </c>
      <c r="M39" s="101">
        <f t="shared" ref="M39:M42" si="35">(F39/H39*100)-100</f>
        <v>16.587585079348145</v>
      </c>
    </row>
    <row r="40" spans="1:13" ht="16.5" customHeight="1">
      <c r="A40" s="16" t="s">
        <v>44</v>
      </c>
      <c r="B40" s="16" t="s">
        <v>209</v>
      </c>
      <c r="C40" s="140">
        <v>26898.3</v>
      </c>
      <c r="D40" s="102">
        <f>30866.2+105.5</f>
        <v>30971.7</v>
      </c>
      <c r="E40" s="103">
        <v>23230</v>
      </c>
      <c r="F40" s="152">
        <v>23230</v>
      </c>
      <c r="G40" s="98">
        <f t="shared" si="31"/>
        <v>0</v>
      </c>
      <c r="H40" s="99">
        <v>18714</v>
      </c>
      <c r="I40" s="98">
        <f t="shared" ref="I40:I41" si="36">SUM(F40/E40*100)</f>
        <v>100</v>
      </c>
      <c r="J40" s="98">
        <f t="shared" si="33"/>
        <v>69.573170051638954</v>
      </c>
      <c r="K40" s="34">
        <f t="shared" si="34"/>
        <v>75.003955223639636</v>
      </c>
      <c r="L40" s="101">
        <f>F40-H40</f>
        <v>4516</v>
      </c>
      <c r="M40" s="101">
        <f t="shared" si="35"/>
        <v>24.131666132307373</v>
      </c>
    </row>
    <row r="41" spans="1:13" ht="24" customHeight="1">
      <c r="A41" s="105" t="s">
        <v>46</v>
      </c>
      <c r="B41" s="17" t="s">
        <v>210</v>
      </c>
      <c r="C41" s="140">
        <v>367.8</v>
      </c>
      <c r="D41" s="141">
        <v>360.2</v>
      </c>
      <c r="E41" s="103">
        <v>270</v>
      </c>
      <c r="F41" s="153">
        <v>270</v>
      </c>
      <c r="G41" s="98">
        <f>SUM(F41-E41)</f>
        <v>0</v>
      </c>
      <c r="H41" s="99">
        <v>275.8</v>
      </c>
      <c r="I41" s="98">
        <f t="shared" si="36"/>
        <v>100</v>
      </c>
      <c r="J41" s="98">
        <f>SUM(H41/C41*100)</f>
        <v>74.98640565524741</v>
      </c>
      <c r="K41" s="34">
        <f>SUM(F41/D41*100)</f>
        <v>74.958356468628537</v>
      </c>
      <c r="L41" s="101">
        <f>F41-H41</f>
        <v>-5.8000000000000114</v>
      </c>
      <c r="M41" s="101">
        <f>(F41/H41*100)-100</f>
        <v>-2.1029731689630182</v>
      </c>
    </row>
    <row r="42" spans="1:13" ht="41.45" customHeight="1">
      <c r="A42" s="16" t="s">
        <v>47</v>
      </c>
      <c r="B42" s="117" t="s">
        <v>211</v>
      </c>
      <c r="C42" s="146">
        <v>112.5</v>
      </c>
      <c r="D42" s="147">
        <v>127.4</v>
      </c>
      <c r="E42" s="103">
        <v>96</v>
      </c>
      <c r="F42" s="153">
        <v>96</v>
      </c>
      <c r="G42" s="98">
        <f t="shared" si="31"/>
        <v>0</v>
      </c>
      <c r="H42" s="99">
        <v>84</v>
      </c>
      <c r="I42" s="98">
        <f>SUM(F42/E42*100)</f>
        <v>100</v>
      </c>
      <c r="J42" s="98">
        <f t="shared" si="33"/>
        <v>74.666666666666671</v>
      </c>
      <c r="K42" s="34">
        <f t="shared" si="34"/>
        <v>75.353218210361064</v>
      </c>
      <c r="L42" s="101">
        <f t="shared" ref="L42" si="37">F42-H42</f>
        <v>12</v>
      </c>
      <c r="M42" s="101">
        <f t="shared" si="35"/>
        <v>14.285714285714278</v>
      </c>
    </row>
    <row r="43" spans="1:13" ht="16.5" customHeight="1">
      <c r="A43" s="16" t="s">
        <v>49</v>
      </c>
      <c r="B43" s="16" t="s">
        <v>212</v>
      </c>
      <c r="C43" s="146">
        <v>6377.9</v>
      </c>
      <c r="D43" s="102">
        <v>7635.3</v>
      </c>
      <c r="E43" s="103">
        <v>6609.1</v>
      </c>
      <c r="F43" s="152">
        <v>4645.5</v>
      </c>
      <c r="G43" s="98">
        <f>SUM(F43-E43)</f>
        <v>-1963.6000000000004</v>
      </c>
      <c r="H43" s="99">
        <v>4574.8</v>
      </c>
      <c r="I43" s="98">
        <f>SUM(F43/E43*100)</f>
        <v>70.289449395530397</v>
      </c>
      <c r="J43" s="98">
        <f t="shared" si="33"/>
        <v>71.728938992458339</v>
      </c>
      <c r="K43" s="34">
        <f t="shared" si="34"/>
        <v>60.842403048996104</v>
      </c>
      <c r="L43" s="101">
        <f>F43-H43</f>
        <v>70.699999999999818</v>
      </c>
      <c r="M43" s="101">
        <f>(F43/H43*100)-100</f>
        <v>1.5454227507213432</v>
      </c>
    </row>
    <row r="44" spans="1:13" ht="46.9" customHeight="1">
      <c r="A44" s="107" t="s">
        <v>50</v>
      </c>
      <c r="B44" s="108" t="s">
        <v>213</v>
      </c>
      <c r="C44" s="94">
        <v>2115.1</v>
      </c>
      <c r="D44" s="96">
        <v>12555.1</v>
      </c>
      <c r="E44" s="95">
        <v>9467.4</v>
      </c>
      <c r="F44" s="150">
        <v>2084.9</v>
      </c>
      <c r="G44" s="94">
        <f t="shared" ref="G44:G45" si="38">SUM(F44-E44)</f>
        <v>-7382.5</v>
      </c>
      <c r="H44" s="96">
        <v>1783.6</v>
      </c>
      <c r="I44" s="94">
        <f>SUM(F44/E44*100)</f>
        <v>22.021885628578069</v>
      </c>
      <c r="J44" s="94">
        <f>SUM(H44/C44*100)</f>
        <v>84.326982175783655</v>
      </c>
      <c r="K44" s="51">
        <f>SUM(F44/D44*100)</f>
        <v>16.606000748699731</v>
      </c>
      <c r="L44" s="97">
        <f>F44-H44</f>
        <v>301.30000000000018</v>
      </c>
      <c r="M44" s="97">
        <f>(F44/H44*100)-100</f>
        <v>16.892801076474555</v>
      </c>
    </row>
    <row r="45" spans="1:13" ht="15.75">
      <c r="A45" s="19" t="s">
        <v>52</v>
      </c>
      <c r="B45" s="19" t="s">
        <v>214</v>
      </c>
      <c r="C45" s="118">
        <f>C36+C37</f>
        <v>138119.70000000001</v>
      </c>
      <c r="D45" s="119">
        <f t="shared" ref="D45:H45" si="39">D36+D37</f>
        <v>166810.20000000001</v>
      </c>
      <c r="E45" s="120">
        <f t="shared" si="39"/>
        <v>120610</v>
      </c>
      <c r="F45" s="157">
        <f>F36+F37</f>
        <v>111163.5</v>
      </c>
      <c r="G45" s="96">
        <f t="shared" si="38"/>
        <v>-9446.5</v>
      </c>
      <c r="H45" s="119">
        <f t="shared" si="39"/>
        <v>97097.599999999977</v>
      </c>
      <c r="I45" s="94">
        <f>SUM(F45/E45*100)</f>
        <v>92.167730702263498</v>
      </c>
      <c r="J45" s="94">
        <f t="shared" ref="J45" si="40">SUM(H45/C45*100)</f>
        <v>70.299602446283899</v>
      </c>
      <c r="K45" s="51">
        <f t="shared" ref="K45" si="41">SUM(F45/D45*100)</f>
        <v>66.640709021390776</v>
      </c>
      <c r="L45" s="97">
        <f>F45-H45</f>
        <v>14065.900000000023</v>
      </c>
      <c r="M45" s="97">
        <f>(F45/H45*100)-100</f>
        <v>14.486351876874437</v>
      </c>
    </row>
    <row r="46" spans="1:13">
      <c r="H46" s="10"/>
    </row>
    <row r="47" spans="1:13">
      <c r="F47" s="158"/>
      <c r="H47" s="10"/>
      <c r="K47" s="186"/>
      <c r="L47" s="186"/>
    </row>
    <row r="48" spans="1:13">
      <c r="E48" s="20"/>
      <c r="F48" s="20"/>
      <c r="H48" s="10"/>
    </row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</sheetData>
  <mergeCells count="11">
    <mergeCell ref="A1:M1"/>
    <mergeCell ref="L2:M2"/>
    <mergeCell ref="A3:A4"/>
    <mergeCell ref="B3:B4"/>
    <mergeCell ref="K47:L47"/>
    <mergeCell ref="C3:C4"/>
    <mergeCell ref="D3:D4"/>
    <mergeCell ref="E3:G3"/>
    <mergeCell ref="H3:H4"/>
    <mergeCell ref="I3:K3"/>
    <mergeCell ref="L3:M3"/>
  </mergeCells>
  <phoneticPr fontId="0" type="noConversion"/>
  <pageMargins left="0" right="0" top="0.27559055118110237" bottom="0" header="0.51181102362204722" footer="0"/>
  <pageSetup paperSize="9" fitToHeight="0" orientation="landscape" r:id="rId1"/>
  <headerFooter differentFirst="1"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3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19.42578125" customWidth="1"/>
    <col min="6" max="6" width="12.7109375" customWidth="1"/>
    <col min="7" max="7" width="12.42578125" customWidth="1"/>
    <col min="8" max="8" width="9.5703125" customWidth="1"/>
    <col min="9" max="9" width="8.7109375" customWidth="1"/>
    <col min="10" max="10" width="10.7109375" customWidth="1"/>
  </cols>
  <sheetData>
    <row r="1" spans="1:11" ht="15">
      <c r="A1" s="10"/>
      <c r="B1" s="10"/>
      <c r="C1" s="10"/>
      <c r="D1" s="10"/>
      <c r="E1" s="10"/>
      <c r="F1" s="10"/>
      <c r="G1" s="10"/>
      <c r="H1" s="10"/>
      <c r="I1" s="10"/>
      <c r="J1" s="11" t="s">
        <v>100</v>
      </c>
    </row>
    <row r="2" spans="1:11" ht="1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1" ht="15.75">
      <c r="A3" s="180" t="s">
        <v>314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1" ht="15.75">
      <c r="A4" s="180" t="s">
        <v>215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1" ht="15.7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1" ht="15">
      <c r="A6" s="10"/>
      <c r="B6" s="10"/>
      <c r="C6" s="10"/>
      <c r="D6" s="10"/>
      <c r="E6" s="10"/>
      <c r="F6" s="10"/>
      <c r="G6" s="10"/>
      <c r="H6" s="10"/>
      <c r="I6" s="181" t="s">
        <v>9</v>
      </c>
      <c r="J6" s="181"/>
    </row>
    <row r="7" spans="1:11" ht="15.75" customHeight="1">
      <c r="A7" s="207" t="s">
        <v>216</v>
      </c>
      <c r="B7" s="201" t="s">
        <v>11</v>
      </c>
      <c r="C7" s="202"/>
      <c r="D7" s="202"/>
      <c r="E7" s="203"/>
      <c r="F7" s="207" t="s">
        <v>12</v>
      </c>
      <c r="G7" s="207" t="s">
        <v>319</v>
      </c>
      <c r="H7" s="209" t="s">
        <v>13</v>
      </c>
      <c r="I7" s="211" t="s">
        <v>8</v>
      </c>
      <c r="J7" s="212"/>
    </row>
    <row r="8" spans="1:11" ht="30.75" customHeight="1">
      <c r="A8" s="208"/>
      <c r="B8" s="204"/>
      <c r="C8" s="205"/>
      <c r="D8" s="205"/>
      <c r="E8" s="206"/>
      <c r="F8" s="208"/>
      <c r="G8" s="208"/>
      <c r="H8" s="210"/>
      <c r="I8" s="24" t="s">
        <v>149</v>
      </c>
      <c r="J8" s="14" t="s">
        <v>345</v>
      </c>
    </row>
    <row r="9" spans="1:11" ht="15">
      <c r="A9" s="25" t="s">
        <v>0</v>
      </c>
      <c r="B9" s="192" t="s">
        <v>14</v>
      </c>
      <c r="C9" s="193"/>
      <c r="D9" s="193"/>
      <c r="E9" s="194"/>
      <c r="F9" s="25">
        <f>140</f>
        <v>140</v>
      </c>
      <c r="G9" s="25">
        <f>42.4+38+20.6</f>
        <v>101</v>
      </c>
      <c r="H9" s="83">
        <v>89.6</v>
      </c>
      <c r="I9" s="27">
        <f t="shared" ref="I9:I49" si="0">SUM(H9/F9*100)</f>
        <v>64</v>
      </c>
      <c r="J9" s="27">
        <f t="shared" ref="J9:J50" si="1">SUM(H9/G9*100)</f>
        <v>88.712871287128706</v>
      </c>
    </row>
    <row r="10" spans="1:11" ht="15">
      <c r="A10" s="25" t="s">
        <v>1</v>
      </c>
      <c r="B10" s="192" t="s">
        <v>15</v>
      </c>
      <c r="C10" s="193"/>
      <c r="D10" s="193"/>
      <c r="E10" s="194"/>
      <c r="F10" s="25">
        <v>98.6</v>
      </c>
      <c r="G10" s="25">
        <f>25+2+25+2+15+1.6</f>
        <v>70.599999999999994</v>
      </c>
      <c r="H10" s="83">
        <v>61.5</v>
      </c>
      <c r="I10" s="27">
        <f t="shared" si="0"/>
        <v>62.37322515212982</v>
      </c>
      <c r="J10" s="27">
        <f t="shared" si="1"/>
        <v>87.110481586402273</v>
      </c>
    </row>
    <row r="11" spans="1:11" ht="15">
      <c r="A11" s="25" t="s">
        <v>2</v>
      </c>
      <c r="B11" s="192" t="s">
        <v>175</v>
      </c>
      <c r="C11" s="193"/>
      <c r="D11" s="193"/>
      <c r="E11" s="194"/>
      <c r="F11" s="25">
        <v>95.4</v>
      </c>
      <c r="G11" s="25">
        <f>25+25+12.6+7.8</f>
        <v>70.400000000000006</v>
      </c>
      <c r="H11" s="83">
        <v>56</v>
      </c>
      <c r="I11" s="27">
        <f t="shared" si="0"/>
        <v>58.700209643605874</v>
      </c>
      <c r="J11" s="27">
        <f t="shared" si="1"/>
        <v>79.545454545454547</v>
      </c>
    </row>
    <row r="12" spans="1:11" ht="15">
      <c r="A12" s="25" t="s">
        <v>3</v>
      </c>
      <c r="B12" s="192" t="s">
        <v>16</v>
      </c>
      <c r="C12" s="193"/>
      <c r="D12" s="193"/>
      <c r="E12" s="194"/>
      <c r="F12" s="25">
        <v>46.9</v>
      </c>
      <c r="G12" s="25">
        <f>13+8+4.6+6+3</f>
        <v>34.6</v>
      </c>
      <c r="H12" s="83">
        <v>28</v>
      </c>
      <c r="I12" s="27">
        <f t="shared" si="0"/>
        <v>59.701492537313442</v>
      </c>
      <c r="J12" s="27">
        <f t="shared" si="1"/>
        <v>80.924855491329467</v>
      </c>
    </row>
    <row r="13" spans="1:11" ht="15">
      <c r="A13" s="25" t="s">
        <v>4</v>
      </c>
      <c r="B13" s="192" t="s">
        <v>176</v>
      </c>
      <c r="C13" s="193"/>
      <c r="D13" s="193"/>
      <c r="E13" s="194"/>
      <c r="F13" s="25">
        <v>123.1</v>
      </c>
      <c r="G13" s="25">
        <f>35+35+22</f>
        <v>92</v>
      </c>
      <c r="H13" s="83">
        <v>105.6</v>
      </c>
      <c r="I13" s="27">
        <f t="shared" si="0"/>
        <v>85.783915515840775</v>
      </c>
      <c r="J13" s="27">
        <f t="shared" si="1"/>
        <v>114.78260869565217</v>
      </c>
    </row>
    <row r="14" spans="1:11" ht="15">
      <c r="A14" s="25" t="s">
        <v>5</v>
      </c>
      <c r="B14" s="28" t="s">
        <v>17</v>
      </c>
      <c r="C14" s="10"/>
      <c r="D14" s="10"/>
      <c r="E14" s="29"/>
      <c r="F14" s="25">
        <v>168</v>
      </c>
      <c r="G14" s="25">
        <f>46+46+30</f>
        <v>122</v>
      </c>
      <c r="H14" s="83">
        <v>113.9</v>
      </c>
      <c r="I14" s="27">
        <f t="shared" si="0"/>
        <v>67.797619047619051</v>
      </c>
      <c r="J14" s="27">
        <f t="shared" si="1"/>
        <v>93.360655737704917</v>
      </c>
      <c r="K14" s="3"/>
    </row>
    <row r="15" spans="1:11" ht="15">
      <c r="A15" s="25" t="s">
        <v>6</v>
      </c>
      <c r="B15" s="192" t="s">
        <v>177</v>
      </c>
      <c r="C15" s="193"/>
      <c r="D15" s="193"/>
      <c r="E15" s="194"/>
      <c r="F15" s="25">
        <v>52.2</v>
      </c>
      <c r="G15" s="25">
        <f>14.5+3.4+11+2+8</f>
        <v>38.9</v>
      </c>
      <c r="H15" s="83">
        <v>33.799999999999997</v>
      </c>
      <c r="I15" s="27">
        <f t="shared" si="0"/>
        <v>64.750957854406124</v>
      </c>
      <c r="J15" s="27">
        <f t="shared" si="1"/>
        <v>86.889460154241632</v>
      </c>
    </row>
    <row r="16" spans="1:11" ht="15">
      <c r="A16" s="25" t="s">
        <v>7</v>
      </c>
      <c r="B16" s="192" t="s">
        <v>217</v>
      </c>
      <c r="C16" s="193"/>
      <c r="D16" s="193"/>
      <c r="E16" s="194"/>
      <c r="F16" s="25">
        <v>13.8</v>
      </c>
      <c r="G16" s="25">
        <f>4+4+2.8</f>
        <v>10.8</v>
      </c>
      <c r="H16" s="83">
        <v>5.5</v>
      </c>
      <c r="I16" s="27">
        <f t="shared" si="0"/>
        <v>39.855072463768117</v>
      </c>
      <c r="J16" s="27">
        <f t="shared" si="1"/>
        <v>50.925925925925917</v>
      </c>
    </row>
    <row r="17" spans="1:11" ht="15">
      <c r="A17" s="25" t="s">
        <v>18</v>
      </c>
      <c r="B17" s="192" t="s">
        <v>19</v>
      </c>
      <c r="C17" s="193"/>
      <c r="D17" s="193"/>
      <c r="E17" s="194"/>
      <c r="F17" s="25">
        <v>117.8</v>
      </c>
      <c r="G17" s="25">
        <f>32+32+12+10.3</f>
        <v>86.3</v>
      </c>
      <c r="H17" s="83">
        <v>74.599999999999994</v>
      </c>
      <c r="I17" s="27">
        <f t="shared" si="0"/>
        <v>63.327674023769099</v>
      </c>
      <c r="J17" s="27">
        <f t="shared" si="1"/>
        <v>86.442641946697563</v>
      </c>
    </row>
    <row r="18" spans="1:11" ht="15">
      <c r="A18" s="25" t="s">
        <v>20</v>
      </c>
      <c r="B18" s="192" t="s">
        <v>22</v>
      </c>
      <c r="C18" s="193"/>
      <c r="D18" s="193"/>
      <c r="E18" s="194"/>
      <c r="F18" s="25">
        <v>63</v>
      </c>
      <c r="G18" s="25">
        <f>16.2+16.1+13+0.1</f>
        <v>45.4</v>
      </c>
      <c r="H18" s="83">
        <v>38.200000000000003</v>
      </c>
      <c r="I18" s="27">
        <f t="shared" si="0"/>
        <v>60.63492063492064</v>
      </c>
      <c r="J18" s="27">
        <f t="shared" si="1"/>
        <v>84.140969162995603</v>
      </c>
    </row>
    <row r="19" spans="1:11" ht="15">
      <c r="A19" s="25" t="s">
        <v>21</v>
      </c>
      <c r="B19" s="192" t="s">
        <v>24</v>
      </c>
      <c r="C19" s="193"/>
      <c r="D19" s="193"/>
      <c r="E19" s="194"/>
      <c r="F19" s="25">
        <v>128.5</v>
      </c>
      <c r="G19" s="25">
        <f>34.4+34.4+11+14.2</f>
        <v>94</v>
      </c>
      <c r="H19" s="83">
        <v>86.2</v>
      </c>
      <c r="I19" s="27">
        <f t="shared" si="0"/>
        <v>67.081712062256813</v>
      </c>
      <c r="J19" s="27">
        <f t="shared" si="1"/>
        <v>91.702127659574472</v>
      </c>
    </row>
    <row r="20" spans="1:11" ht="15">
      <c r="A20" s="25" t="s">
        <v>23</v>
      </c>
      <c r="B20" s="192" t="s">
        <v>27</v>
      </c>
      <c r="C20" s="193"/>
      <c r="D20" s="193"/>
      <c r="E20" s="194"/>
      <c r="F20" s="25">
        <v>123.1</v>
      </c>
      <c r="G20" s="25">
        <f>33+33+11.6+12.5</f>
        <v>90.1</v>
      </c>
      <c r="H20" s="83">
        <v>82.1</v>
      </c>
      <c r="I20" s="27">
        <f t="shared" si="0"/>
        <v>66.693744922826966</v>
      </c>
      <c r="J20" s="27">
        <f t="shared" si="1"/>
        <v>91.120976692563815</v>
      </c>
    </row>
    <row r="21" spans="1:11" ht="15">
      <c r="A21" s="25" t="s">
        <v>25</v>
      </c>
      <c r="B21" s="192" t="s">
        <v>30</v>
      </c>
      <c r="C21" s="193"/>
      <c r="D21" s="193"/>
      <c r="E21" s="194"/>
      <c r="F21" s="25">
        <v>126</v>
      </c>
      <c r="G21" s="25">
        <f>33+13+21+9+17</f>
        <v>93</v>
      </c>
      <c r="H21" s="83">
        <v>88.3</v>
      </c>
      <c r="I21" s="27">
        <f t="shared" si="0"/>
        <v>70.079365079365076</v>
      </c>
      <c r="J21" s="27">
        <f t="shared" si="1"/>
        <v>94.946236559139791</v>
      </c>
    </row>
    <row r="22" spans="1:11" ht="15">
      <c r="A22" s="25" t="s">
        <v>26</v>
      </c>
      <c r="B22" s="192" t="s">
        <v>32</v>
      </c>
      <c r="C22" s="193"/>
      <c r="D22" s="193"/>
      <c r="E22" s="194"/>
      <c r="F22" s="25">
        <v>131.19999999999999</v>
      </c>
      <c r="G22" s="25">
        <f>35+35+7.7+18.5</f>
        <v>96.2</v>
      </c>
      <c r="H22" s="83">
        <v>101.6</v>
      </c>
      <c r="I22" s="27">
        <f t="shared" si="0"/>
        <v>77.439024390243901</v>
      </c>
      <c r="J22" s="27">
        <f t="shared" si="1"/>
        <v>105.6133056133056</v>
      </c>
    </row>
    <row r="23" spans="1:11" ht="15">
      <c r="A23" s="25" t="s">
        <v>28</v>
      </c>
      <c r="B23" s="192" t="s">
        <v>243</v>
      </c>
      <c r="C23" s="193"/>
      <c r="D23" s="193"/>
      <c r="E23" s="194"/>
      <c r="F23" s="25">
        <v>80.7</v>
      </c>
      <c r="G23" s="25">
        <v>20</v>
      </c>
      <c r="H23" s="83">
        <v>11.8</v>
      </c>
      <c r="I23" s="27">
        <f t="shared" ref="I23" si="2">SUM(H23/F23*100)</f>
        <v>14.622057001239158</v>
      </c>
      <c r="J23" s="27">
        <f t="shared" si="1"/>
        <v>59.000000000000007</v>
      </c>
    </row>
    <row r="24" spans="1:11" ht="15">
      <c r="A24" s="25" t="s">
        <v>29</v>
      </c>
      <c r="B24" s="192" t="s">
        <v>35</v>
      </c>
      <c r="C24" s="193"/>
      <c r="D24" s="193"/>
      <c r="E24" s="194"/>
      <c r="F24" s="25">
        <v>125.8</v>
      </c>
      <c r="G24" s="25">
        <f>35+35+20.8</f>
        <v>90.8</v>
      </c>
      <c r="H24" s="83">
        <v>87.8</v>
      </c>
      <c r="I24" s="27">
        <f t="shared" si="0"/>
        <v>69.793322734499213</v>
      </c>
      <c r="J24" s="27">
        <f t="shared" si="1"/>
        <v>96.696035242290748</v>
      </c>
    </row>
    <row r="25" spans="1:11" ht="15">
      <c r="A25" s="25" t="s">
        <v>31</v>
      </c>
      <c r="B25" s="192" t="s">
        <v>37</v>
      </c>
      <c r="C25" s="193"/>
      <c r="D25" s="193"/>
      <c r="E25" s="194"/>
      <c r="F25" s="25">
        <v>144.69999999999999</v>
      </c>
      <c r="G25" s="25">
        <f>40+40+24.7</f>
        <v>104.7</v>
      </c>
      <c r="H25" s="83">
        <v>85.5</v>
      </c>
      <c r="I25" s="27">
        <f t="shared" si="0"/>
        <v>59.087767795438836</v>
      </c>
      <c r="J25" s="27">
        <f t="shared" si="1"/>
        <v>81.661891117478504</v>
      </c>
    </row>
    <row r="26" spans="1:11" ht="15">
      <c r="A26" s="25" t="s">
        <v>33</v>
      </c>
      <c r="B26" s="192" t="s">
        <v>39</v>
      </c>
      <c r="C26" s="193"/>
      <c r="D26" s="193"/>
      <c r="E26" s="194"/>
      <c r="F26" s="25">
        <v>114.2</v>
      </c>
      <c r="G26" s="25">
        <f>31+31+21.2</f>
        <v>83.2</v>
      </c>
      <c r="H26" s="83">
        <v>80</v>
      </c>
      <c r="I26" s="27">
        <f t="shared" si="0"/>
        <v>70.052539404553414</v>
      </c>
      <c r="J26" s="27">
        <f t="shared" si="1"/>
        <v>96.153846153846146</v>
      </c>
    </row>
    <row r="27" spans="1:11" ht="15">
      <c r="A27" s="25" t="s">
        <v>34</v>
      </c>
      <c r="B27" s="192" t="s">
        <v>45</v>
      </c>
      <c r="C27" s="193"/>
      <c r="D27" s="193"/>
      <c r="E27" s="194"/>
      <c r="F27" s="25">
        <v>113.8</v>
      </c>
      <c r="G27" s="25">
        <f>31+31+20.8</f>
        <v>82.8</v>
      </c>
      <c r="H27" s="83">
        <v>63.6</v>
      </c>
      <c r="I27" s="27">
        <f t="shared" si="0"/>
        <v>55.887521968365562</v>
      </c>
      <c r="J27" s="27">
        <f t="shared" si="1"/>
        <v>76.811594202898561</v>
      </c>
    </row>
    <row r="28" spans="1:11" ht="15">
      <c r="A28" s="25" t="s">
        <v>36</v>
      </c>
      <c r="B28" s="192" t="s">
        <v>48</v>
      </c>
      <c r="C28" s="193"/>
      <c r="D28" s="193"/>
      <c r="E28" s="194"/>
      <c r="F28" s="25">
        <v>151</v>
      </c>
      <c r="G28" s="25">
        <f>43+43+22</f>
        <v>108</v>
      </c>
      <c r="H28" s="83">
        <v>82.5</v>
      </c>
      <c r="I28" s="27">
        <f t="shared" si="0"/>
        <v>54.635761589403977</v>
      </c>
      <c r="J28" s="27">
        <f t="shared" si="1"/>
        <v>76.388888888888886</v>
      </c>
      <c r="K28" s="3"/>
    </row>
    <row r="29" spans="1:11" ht="15">
      <c r="A29" s="25" t="s">
        <v>38</v>
      </c>
      <c r="B29" s="192" t="s">
        <v>51</v>
      </c>
      <c r="C29" s="193"/>
      <c r="D29" s="193"/>
      <c r="E29" s="194"/>
      <c r="F29" s="25">
        <v>100.8</v>
      </c>
      <c r="G29" s="25">
        <f>28+31+10.8</f>
        <v>69.8</v>
      </c>
      <c r="H29" s="83">
        <v>60.3</v>
      </c>
      <c r="I29" s="27">
        <f t="shared" si="0"/>
        <v>59.821428571428569</v>
      </c>
      <c r="J29" s="27">
        <f t="shared" si="1"/>
        <v>86.389684813753576</v>
      </c>
    </row>
    <row r="30" spans="1:11" ht="15">
      <c r="A30" s="25" t="s">
        <v>40</v>
      </c>
      <c r="B30" s="192" t="s">
        <v>55</v>
      </c>
      <c r="C30" s="193"/>
      <c r="D30" s="193"/>
      <c r="E30" s="194"/>
      <c r="F30" s="25">
        <v>26</v>
      </c>
      <c r="G30" s="25">
        <f>9+8+3</f>
        <v>20</v>
      </c>
      <c r="H30" s="83">
        <v>17.100000000000001</v>
      </c>
      <c r="I30" s="27">
        <f t="shared" si="0"/>
        <v>65.769230769230774</v>
      </c>
      <c r="J30" s="27">
        <f t="shared" si="1"/>
        <v>85.500000000000014</v>
      </c>
    </row>
    <row r="31" spans="1:11" ht="15">
      <c r="A31" s="25" t="s">
        <v>41</v>
      </c>
      <c r="B31" s="192" t="s">
        <v>57</v>
      </c>
      <c r="C31" s="193"/>
      <c r="D31" s="193"/>
      <c r="E31" s="194"/>
      <c r="F31" s="25">
        <v>77.7</v>
      </c>
      <c r="G31" s="25">
        <f>10+23+20</f>
        <v>53</v>
      </c>
      <c r="H31" s="83">
        <v>54.4</v>
      </c>
      <c r="I31" s="27">
        <f t="shared" si="0"/>
        <v>70.01287001287001</v>
      </c>
      <c r="J31" s="27">
        <f>SUM(H31/G31*100)</f>
        <v>102.64150943396227</v>
      </c>
    </row>
    <row r="32" spans="1:11" ht="15">
      <c r="A32" s="25" t="s">
        <v>42</v>
      </c>
      <c r="B32" s="192" t="s">
        <v>293</v>
      </c>
      <c r="C32" s="193"/>
      <c r="D32" s="193"/>
      <c r="E32" s="194"/>
      <c r="F32" s="25">
        <v>1</v>
      </c>
      <c r="G32" s="25">
        <f>0.2+0.4+0.2</f>
        <v>0.8</v>
      </c>
      <c r="H32" s="83">
        <v>0</v>
      </c>
      <c r="I32" s="27">
        <f t="shared" si="0"/>
        <v>0</v>
      </c>
      <c r="J32" s="27">
        <f t="shared" si="1"/>
        <v>0</v>
      </c>
    </row>
    <row r="33" spans="1:10" ht="27.75" customHeight="1">
      <c r="A33" s="25" t="s">
        <v>43</v>
      </c>
      <c r="B33" s="195" t="s">
        <v>60</v>
      </c>
      <c r="C33" s="196"/>
      <c r="D33" s="196"/>
      <c r="E33" s="197"/>
      <c r="F33" s="25">
        <f>160+15+25</f>
        <v>200</v>
      </c>
      <c r="G33" s="25">
        <f>19+47+15+47+15</f>
        <v>143</v>
      </c>
      <c r="H33" s="83">
        <v>149.9</v>
      </c>
      <c r="I33" s="27">
        <f t="shared" si="0"/>
        <v>74.95</v>
      </c>
      <c r="J33" s="27">
        <f t="shared" si="1"/>
        <v>104.82517482517484</v>
      </c>
    </row>
    <row r="34" spans="1:10" ht="27" customHeight="1">
      <c r="A34" s="25" t="s">
        <v>44</v>
      </c>
      <c r="B34" s="198" t="s">
        <v>62</v>
      </c>
      <c r="C34" s="199"/>
      <c r="D34" s="199"/>
      <c r="E34" s="200"/>
      <c r="F34" s="25">
        <v>4</v>
      </c>
      <c r="G34" s="25">
        <f>1+1+1</f>
        <v>3</v>
      </c>
      <c r="H34" s="83">
        <v>3.2</v>
      </c>
      <c r="I34" s="27">
        <f t="shared" si="0"/>
        <v>80</v>
      </c>
      <c r="J34" s="27">
        <f t="shared" si="1"/>
        <v>106.66666666666667</v>
      </c>
    </row>
    <row r="35" spans="1:10" ht="14.45" customHeight="1">
      <c r="A35" s="25" t="s">
        <v>46</v>
      </c>
      <c r="B35" s="192" t="s">
        <v>64</v>
      </c>
      <c r="C35" s="193"/>
      <c r="D35" s="193"/>
      <c r="E35" s="194"/>
      <c r="F35" s="25">
        <f>59.4+2</f>
        <v>61.4</v>
      </c>
      <c r="G35" s="25">
        <f>14+14+14</f>
        <v>42</v>
      </c>
      <c r="H35" s="83">
        <v>44.4</v>
      </c>
      <c r="I35" s="27">
        <f t="shared" si="0"/>
        <v>72.312703583061889</v>
      </c>
      <c r="J35" s="27">
        <f t="shared" si="1"/>
        <v>105.71428571428572</v>
      </c>
    </row>
    <row r="36" spans="1:10" ht="13.5" customHeight="1">
      <c r="A36" s="25" t="s">
        <v>47</v>
      </c>
      <c r="B36" s="192" t="s">
        <v>66</v>
      </c>
      <c r="C36" s="193"/>
      <c r="D36" s="193"/>
      <c r="E36" s="194"/>
      <c r="F36" s="25">
        <v>82.6</v>
      </c>
      <c r="G36" s="25">
        <f>18+21+22.6</f>
        <v>61.6</v>
      </c>
      <c r="H36" s="83">
        <v>54.9</v>
      </c>
      <c r="I36" s="27">
        <f t="shared" si="0"/>
        <v>66.464891041162232</v>
      </c>
      <c r="J36" s="27">
        <f t="shared" si="1"/>
        <v>89.123376623376615</v>
      </c>
    </row>
    <row r="37" spans="1:10" ht="13.5" customHeight="1">
      <c r="A37" s="25" t="s">
        <v>49</v>
      </c>
      <c r="B37" s="192" t="s">
        <v>67</v>
      </c>
      <c r="C37" s="193"/>
      <c r="D37" s="193"/>
      <c r="E37" s="194"/>
      <c r="F37" s="25">
        <v>60</v>
      </c>
      <c r="G37" s="25">
        <f>15+15+15</f>
        <v>45</v>
      </c>
      <c r="H37" s="83">
        <v>42.5</v>
      </c>
      <c r="I37" s="27">
        <f t="shared" si="0"/>
        <v>70.833333333333343</v>
      </c>
      <c r="J37" s="27">
        <f t="shared" si="1"/>
        <v>94.444444444444443</v>
      </c>
    </row>
    <row r="38" spans="1:10" ht="13.5" customHeight="1">
      <c r="A38" s="25" t="s">
        <v>50</v>
      </c>
      <c r="B38" s="192" t="s">
        <v>68</v>
      </c>
      <c r="C38" s="193"/>
      <c r="D38" s="193"/>
      <c r="E38" s="194"/>
      <c r="F38" s="25">
        <v>1623</v>
      </c>
      <c r="G38" s="25">
        <f>444.4+438.9+328.6</f>
        <v>1211.9000000000001</v>
      </c>
      <c r="H38" s="83">
        <v>1463.3</v>
      </c>
      <c r="I38" s="27">
        <f t="shared" si="0"/>
        <v>90.160197165742446</v>
      </c>
      <c r="J38" s="27">
        <f t="shared" si="1"/>
        <v>120.74428583216437</v>
      </c>
    </row>
    <row r="39" spans="1:10" ht="13.5" customHeight="1">
      <c r="A39" s="25" t="s">
        <v>52</v>
      </c>
      <c r="B39" s="192" t="s">
        <v>69</v>
      </c>
      <c r="C39" s="193"/>
      <c r="D39" s="193"/>
      <c r="E39" s="194"/>
      <c r="F39" s="25">
        <v>8</v>
      </c>
      <c r="G39" s="25">
        <f>2+2+2</f>
        <v>6</v>
      </c>
      <c r="H39" s="83">
        <v>5.3</v>
      </c>
      <c r="I39" s="27">
        <f t="shared" si="0"/>
        <v>66.25</v>
      </c>
      <c r="J39" s="27">
        <f t="shared" si="1"/>
        <v>88.333333333333329</v>
      </c>
    </row>
    <row r="40" spans="1:10" ht="15">
      <c r="A40" s="25" t="s">
        <v>53</v>
      </c>
      <c r="B40" s="192" t="s">
        <v>70</v>
      </c>
      <c r="C40" s="193"/>
      <c r="D40" s="193"/>
      <c r="E40" s="194"/>
      <c r="F40" s="25">
        <v>15</v>
      </c>
      <c r="G40" s="25">
        <f>4+4+4</f>
        <v>12</v>
      </c>
      <c r="H40" s="83">
        <v>10.9</v>
      </c>
      <c r="I40" s="27">
        <f t="shared" si="0"/>
        <v>72.666666666666671</v>
      </c>
      <c r="J40" s="27">
        <f t="shared" si="1"/>
        <v>90.833333333333329</v>
      </c>
    </row>
    <row r="41" spans="1:10" ht="15">
      <c r="A41" s="25" t="s">
        <v>54</v>
      </c>
      <c r="B41" s="192" t="s">
        <v>71</v>
      </c>
      <c r="C41" s="193"/>
      <c r="D41" s="193"/>
      <c r="E41" s="194"/>
      <c r="F41" s="25">
        <f>344.8+15</f>
        <v>359.8</v>
      </c>
      <c r="G41" s="25">
        <f>90+85+10+73</f>
        <v>258</v>
      </c>
      <c r="H41" s="83">
        <v>176.8</v>
      </c>
      <c r="I41" s="27">
        <f t="shared" si="0"/>
        <v>49.138410227904394</v>
      </c>
      <c r="J41" s="27">
        <f t="shared" si="1"/>
        <v>68.527131782945744</v>
      </c>
    </row>
    <row r="42" spans="1:10" ht="15">
      <c r="A42" s="25" t="s">
        <v>56</v>
      </c>
      <c r="B42" s="192" t="s">
        <v>218</v>
      </c>
      <c r="C42" s="193"/>
      <c r="D42" s="193"/>
      <c r="E42" s="194"/>
      <c r="F42" s="25">
        <v>3.2</v>
      </c>
      <c r="G42" s="25">
        <f>0.8+0.8+0.8</f>
        <v>2.4000000000000004</v>
      </c>
      <c r="H42" s="83">
        <v>0.4</v>
      </c>
      <c r="I42" s="27">
        <f t="shared" si="0"/>
        <v>12.5</v>
      </c>
      <c r="J42" s="27">
        <f t="shared" si="1"/>
        <v>16.666666666666664</v>
      </c>
    </row>
    <row r="43" spans="1:10" ht="15">
      <c r="A43" s="25" t="s">
        <v>58</v>
      </c>
      <c r="B43" s="192" t="s">
        <v>72</v>
      </c>
      <c r="C43" s="193"/>
      <c r="D43" s="193"/>
      <c r="E43" s="194"/>
      <c r="F43" s="25">
        <v>3</v>
      </c>
      <c r="G43" s="25">
        <f>1+1+0.5</f>
        <v>2.5</v>
      </c>
      <c r="H43" s="83">
        <v>0.3</v>
      </c>
      <c r="I43" s="27">
        <f t="shared" si="0"/>
        <v>10</v>
      </c>
      <c r="J43" s="27">
        <f t="shared" si="1"/>
        <v>12</v>
      </c>
    </row>
    <row r="44" spans="1:10" ht="15">
      <c r="A44" s="25" t="s">
        <v>59</v>
      </c>
      <c r="B44" s="192" t="s">
        <v>219</v>
      </c>
      <c r="C44" s="193"/>
      <c r="D44" s="193"/>
      <c r="E44" s="194"/>
      <c r="F44" s="25">
        <v>21.2</v>
      </c>
      <c r="G44" s="25">
        <f>4+3+6.5+3+1.7</f>
        <v>18.2</v>
      </c>
      <c r="H44" s="83">
        <v>13.1</v>
      </c>
      <c r="I44" s="27">
        <f t="shared" si="0"/>
        <v>61.79245283018868</v>
      </c>
      <c r="J44" s="27">
        <f t="shared" si="1"/>
        <v>71.978021978021971</v>
      </c>
    </row>
    <row r="45" spans="1:10" ht="15">
      <c r="A45" s="25" t="s">
        <v>61</v>
      </c>
      <c r="B45" s="192" t="s">
        <v>73</v>
      </c>
      <c r="C45" s="193"/>
      <c r="D45" s="193"/>
      <c r="E45" s="194"/>
      <c r="F45" s="25">
        <v>7</v>
      </c>
      <c r="G45" s="25">
        <f>1+2+2</f>
        <v>5</v>
      </c>
      <c r="H45" s="83">
        <v>0.3</v>
      </c>
      <c r="I45" s="27">
        <f t="shared" si="0"/>
        <v>4.2857142857142856</v>
      </c>
      <c r="J45" s="27">
        <f t="shared" si="1"/>
        <v>6</v>
      </c>
    </row>
    <row r="46" spans="1:10" ht="15">
      <c r="A46" s="25" t="s">
        <v>63</v>
      </c>
      <c r="B46" s="192" t="s">
        <v>74</v>
      </c>
      <c r="C46" s="193"/>
      <c r="D46" s="193"/>
      <c r="E46" s="194"/>
      <c r="F46" s="25">
        <f>5.7+8+0.8</f>
        <v>14.5</v>
      </c>
      <c r="G46" s="25">
        <f>1+1.6+3+1.5+0.8</f>
        <v>7.8999999999999995</v>
      </c>
      <c r="H46" s="83">
        <v>6</v>
      </c>
      <c r="I46" s="27">
        <f t="shared" si="0"/>
        <v>41.379310344827587</v>
      </c>
      <c r="J46" s="30">
        <f t="shared" si="1"/>
        <v>75.949367088607602</v>
      </c>
    </row>
    <row r="47" spans="1:10" ht="15">
      <c r="A47" s="25" t="s">
        <v>65</v>
      </c>
      <c r="B47" s="192" t="s">
        <v>75</v>
      </c>
      <c r="C47" s="193"/>
      <c r="D47" s="193"/>
      <c r="E47" s="194"/>
      <c r="F47" s="25">
        <f>116.3+350+15</f>
        <v>481.3</v>
      </c>
      <c r="G47" s="25">
        <f>40+15+10+12+81+12+15</f>
        <v>185</v>
      </c>
      <c r="H47" s="83">
        <v>127.8</v>
      </c>
      <c r="I47" s="27">
        <f t="shared" si="0"/>
        <v>26.553085393725329</v>
      </c>
      <c r="J47" s="30">
        <f t="shared" si="1"/>
        <v>69.081081081081081</v>
      </c>
    </row>
    <row r="48" spans="1:10" ht="15">
      <c r="A48" s="83" t="s">
        <v>244</v>
      </c>
      <c r="B48" s="192" t="s">
        <v>76</v>
      </c>
      <c r="C48" s="193"/>
      <c r="D48" s="193"/>
      <c r="E48" s="194"/>
      <c r="F48" s="25">
        <v>1</v>
      </c>
      <c r="G48" s="25">
        <v>1</v>
      </c>
      <c r="H48" s="83">
        <v>0.3</v>
      </c>
      <c r="I48" s="27">
        <f t="shared" ref="I48" si="3">SUM(H48/F48*100)</f>
        <v>30</v>
      </c>
      <c r="J48" s="30">
        <f t="shared" ref="J48" si="4">SUM(H48/G48*100)</f>
        <v>30</v>
      </c>
    </row>
    <row r="49" spans="1:10" ht="15">
      <c r="A49" s="25" t="s">
        <v>245</v>
      </c>
      <c r="B49" s="192" t="s">
        <v>77</v>
      </c>
      <c r="C49" s="193"/>
      <c r="D49" s="193"/>
      <c r="E49" s="194"/>
      <c r="F49" s="25">
        <v>859.2</v>
      </c>
      <c r="G49" s="25">
        <f>181.6+207.8+242.6</f>
        <v>632</v>
      </c>
      <c r="H49" s="83">
        <v>510.9</v>
      </c>
      <c r="I49" s="27">
        <f t="shared" si="0"/>
        <v>59.462290502793294</v>
      </c>
      <c r="J49" s="30">
        <f t="shared" si="1"/>
        <v>80.838607594936704</v>
      </c>
    </row>
    <row r="50" spans="1:10" ht="15.75">
      <c r="A50" s="31"/>
      <c r="B50" s="213" t="s">
        <v>78</v>
      </c>
      <c r="C50" s="213"/>
      <c r="D50" s="213"/>
      <c r="E50" s="214"/>
      <c r="F50" s="34">
        <f>SUM(F9:F49)</f>
        <v>6167.5</v>
      </c>
      <c r="G50" s="34">
        <f>SUM(G9:G49)</f>
        <v>4314.8999999999996</v>
      </c>
      <c r="H50" s="86">
        <f>SUM(H9:H49)</f>
        <v>4118.2000000000016</v>
      </c>
      <c r="I50" s="27">
        <f>SUM(H50/F50*100)</f>
        <v>66.772598297527381</v>
      </c>
      <c r="J50" s="27">
        <f t="shared" si="1"/>
        <v>95.44137755220288</v>
      </c>
    </row>
    <row r="53" spans="1:10">
      <c r="F53" s="2"/>
      <c r="G53" s="2"/>
    </row>
  </sheetData>
  <mergeCells count="50">
    <mergeCell ref="B50:E50"/>
    <mergeCell ref="B46:E46"/>
    <mergeCell ref="B47:E47"/>
    <mergeCell ref="B49:E49"/>
    <mergeCell ref="B41:E41"/>
    <mergeCell ref="B42:E42"/>
    <mergeCell ref="B43:E43"/>
    <mergeCell ref="B44:E44"/>
    <mergeCell ref="B45:E45"/>
    <mergeCell ref="B48:E48"/>
    <mergeCell ref="B36:E36"/>
    <mergeCell ref="B37:E37"/>
    <mergeCell ref="B38:E38"/>
    <mergeCell ref="B39:E39"/>
    <mergeCell ref="B40:E40"/>
    <mergeCell ref="B15:E15"/>
    <mergeCell ref="B16:E16"/>
    <mergeCell ref="B19:E19"/>
    <mergeCell ref="B24:E24"/>
    <mergeCell ref="B25:E25"/>
    <mergeCell ref="B23:E23"/>
    <mergeCell ref="B9:E9"/>
    <mergeCell ref="B10:E10"/>
    <mergeCell ref="B11:E11"/>
    <mergeCell ref="B12:E12"/>
    <mergeCell ref="B13:E13"/>
    <mergeCell ref="A3:J3"/>
    <mergeCell ref="A4:J4"/>
    <mergeCell ref="B7:E8"/>
    <mergeCell ref="F7:F8"/>
    <mergeCell ref="G7:G8"/>
    <mergeCell ref="H7:H8"/>
    <mergeCell ref="I7:J7"/>
    <mergeCell ref="I6:J6"/>
    <mergeCell ref="A7:A8"/>
    <mergeCell ref="B30:E30"/>
    <mergeCell ref="B35:E35"/>
    <mergeCell ref="B21:E21"/>
    <mergeCell ref="B22:E22"/>
    <mergeCell ref="B17:E17"/>
    <mergeCell ref="B18:E18"/>
    <mergeCell ref="B20:E20"/>
    <mergeCell ref="B26:E26"/>
    <mergeCell ref="B27:E27"/>
    <mergeCell ref="B28:E28"/>
    <mergeCell ref="B29:E29"/>
    <mergeCell ref="B31:E31"/>
    <mergeCell ref="B32:E32"/>
    <mergeCell ref="B33:E33"/>
    <mergeCell ref="B34:E34"/>
  </mergeCells>
  <phoneticPr fontId="2" type="noConversion"/>
  <pageMargins left="1.1023622047244095" right="0.55118110236220474" top="0.6692913385826772" bottom="0.59055118110236227" header="0.31496062992125984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9EBA-E4E7-4E3A-B128-9BD22E3AA475}">
  <dimension ref="A1:J40"/>
  <sheetViews>
    <sheetView zoomScaleNormal="100" workbookViewId="0"/>
  </sheetViews>
  <sheetFormatPr defaultRowHeight="12.75"/>
  <cols>
    <col min="1" max="1" width="5.140625" customWidth="1"/>
    <col min="4" max="4" width="7.42578125" customWidth="1"/>
    <col min="5" max="5" width="17.85546875" customWidth="1"/>
    <col min="6" max="6" width="13" customWidth="1"/>
    <col min="7" max="7" width="11.85546875" customWidth="1"/>
    <col min="8" max="8" width="9.85546875" customWidth="1"/>
    <col min="9" max="9" width="9.28515625" customWidth="1"/>
    <col min="10" max="10" width="10.28515625" customWidth="1"/>
  </cols>
  <sheetData>
    <row r="1" spans="1:10" ht="15">
      <c r="A1" s="10"/>
      <c r="B1" s="10"/>
      <c r="C1" s="10"/>
      <c r="D1" s="10"/>
      <c r="E1" s="10"/>
      <c r="F1" s="10"/>
      <c r="G1" s="10"/>
      <c r="H1" s="10"/>
      <c r="I1" s="10"/>
      <c r="J1" s="10" t="s">
        <v>101</v>
      </c>
    </row>
    <row r="2" spans="1:10" ht="1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>
      <c r="A3" s="180" t="s">
        <v>315</v>
      </c>
      <c r="B3" s="180"/>
      <c r="C3" s="180"/>
      <c r="D3" s="180"/>
      <c r="E3" s="180"/>
      <c r="F3" s="180"/>
      <c r="G3" s="180"/>
      <c r="H3" s="180"/>
      <c r="I3" s="180"/>
      <c r="J3" s="180"/>
    </row>
    <row r="4" spans="1:10" ht="15.75">
      <c r="A4" s="180" t="s">
        <v>79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15.7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 ht="15">
      <c r="A6" s="10"/>
      <c r="B6" s="10"/>
      <c r="C6" s="10"/>
      <c r="D6" s="10"/>
      <c r="E6" s="10"/>
      <c r="F6" s="10"/>
      <c r="G6" s="10"/>
      <c r="H6" s="10"/>
      <c r="I6" s="181" t="s">
        <v>80</v>
      </c>
      <c r="J6" s="181"/>
    </row>
    <row r="7" spans="1:10" ht="23.25" customHeight="1">
      <c r="A7" s="22" t="s">
        <v>147</v>
      </c>
      <c r="B7" s="201" t="s">
        <v>11</v>
      </c>
      <c r="C7" s="202"/>
      <c r="D7" s="202"/>
      <c r="E7" s="203"/>
      <c r="F7" s="207" t="s">
        <v>12</v>
      </c>
      <c r="G7" s="207" t="s">
        <v>319</v>
      </c>
      <c r="H7" s="209" t="s">
        <v>13</v>
      </c>
      <c r="I7" s="211" t="s">
        <v>8</v>
      </c>
      <c r="J7" s="212"/>
    </row>
    <row r="8" spans="1:10" ht="22.15" customHeight="1">
      <c r="A8" s="23" t="s">
        <v>148</v>
      </c>
      <c r="B8" s="204"/>
      <c r="C8" s="205"/>
      <c r="D8" s="205"/>
      <c r="E8" s="206"/>
      <c r="F8" s="208"/>
      <c r="G8" s="208"/>
      <c r="H8" s="210"/>
      <c r="I8" s="24" t="s">
        <v>367</v>
      </c>
      <c r="J8" s="14" t="s">
        <v>345</v>
      </c>
    </row>
    <row r="9" spans="1:10" ht="15">
      <c r="A9" s="25" t="s">
        <v>0</v>
      </c>
      <c r="B9" s="31" t="s">
        <v>14</v>
      </c>
      <c r="C9" s="32"/>
      <c r="D9" s="32"/>
      <c r="E9" s="33"/>
      <c r="F9" s="25">
        <v>4.5</v>
      </c>
      <c r="G9" s="25">
        <v>3.5</v>
      </c>
      <c r="H9" s="25">
        <v>2.5</v>
      </c>
      <c r="I9" s="27">
        <f t="shared" ref="I9:I37" si="0">SUM(H9/F9*100)</f>
        <v>55.555555555555557</v>
      </c>
      <c r="J9" s="27">
        <f t="shared" ref="J9:J37" si="1">SUM(H9/G9*100)</f>
        <v>71.428571428571431</v>
      </c>
    </row>
    <row r="10" spans="1:10" ht="15">
      <c r="A10" s="25" t="s">
        <v>1</v>
      </c>
      <c r="B10" s="31" t="s">
        <v>15</v>
      </c>
      <c r="C10" s="32"/>
      <c r="D10" s="32"/>
      <c r="E10" s="33"/>
      <c r="F10" s="25">
        <v>5.4</v>
      </c>
      <c r="G10" s="25">
        <v>4.2</v>
      </c>
      <c r="H10" s="25">
        <v>5.5</v>
      </c>
      <c r="I10" s="27">
        <f t="shared" si="0"/>
        <v>101.85185185185183</v>
      </c>
      <c r="J10" s="27">
        <f t="shared" si="1"/>
        <v>130.95238095238096</v>
      </c>
    </row>
    <row r="11" spans="1:10" ht="15">
      <c r="A11" s="25" t="s">
        <v>2</v>
      </c>
      <c r="B11" s="31" t="s">
        <v>81</v>
      </c>
      <c r="C11" s="32"/>
      <c r="D11" s="32"/>
      <c r="E11" s="33"/>
      <c r="F11" s="25">
        <v>2.2000000000000002</v>
      </c>
      <c r="G11" s="25">
        <v>1.7</v>
      </c>
      <c r="H11" s="25">
        <v>1.7</v>
      </c>
      <c r="I11" s="27">
        <f t="shared" si="0"/>
        <v>77.272727272727266</v>
      </c>
      <c r="J11" s="27">
        <f t="shared" si="1"/>
        <v>100</v>
      </c>
    </row>
    <row r="12" spans="1:10" ht="15">
      <c r="A12" s="25" t="s">
        <v>3</v>
      </c>
      <c r="B12" s="192" t="s">
        <v>16</v>
      </c>
      <c r="C12" s="193"/>
      <c r="D12" s="193"/>
      <c r="E12" s="194"/>
      <c r="F12" s="25">
        <v>0.6</v>
      </c>
      <c r="G12" s="25">
        <v>0.5</v>
      </c>
      <c r="H12" s="25">
        <v>0.2</v>
      </c>
      <c r="I12" s="27">
        <f t="shared" si="0"/>
        <v>33.333333333333336</v>
      </c>
      <c r="J12" s="27">
        <f t="shared" si="1"/>
        <v>40</v>
      </c>
    </row>
    <row r="13" spans="1:10" ht="15">
      <c r="A13" s="25" t="s">
        <v>4</v>
      </c>
      <c r="B13" s="192" t="s">
        <v>17</v>
      </c>
      <c r="C13" s="193"/>
      <c r="D13" s="193"/>
      <c r="E13" s="194"/>
      <c r="F13" s="25">
        <v>15</v>
      </c>
      <c r="G13" s="25">
        <v>11.4</v>
      </c>
      <c r="H13" s="25">
        <v>5.9</v>
      </c>
      <c r="I13" s="27">
        <f t="shared" si="0"/>
        <v>39.333333333333336</v>
      </c>
      <c r="J13" s="27">
        <f t="shared" si="1"/>
        <v>51.754385964912288</v>
      </c>
    </row>
    <row r="14" spans="1:10" ht="15">
      <c r="A14" s="25" t="s">
        <v>5</v>
      </c>
      <c r="B14" s="192" t="s">
        <v>176</v>
      </c>
      <c r="C14" s="193"/>
      <c r="D14" s="193"/>
      <c r="E14" s="194"/>
      <c r="F14" s="25">
        <v>11</v>
      </c>
      <c r="G14" s="25">
        <v>8.5</v>
      </c>
      <c r="H14" s="25">
        <v>6.2</v>
      </c>
      <c r="I14" s="27">
        <f t="shared" si="0"/>
        <v>56.36363636363636</v>
      </c>
      <c r="J14" s="27">
        <f t="shared" si="1"/>
        <v>72.941176470588246</v>
      </c>
    </row>
    <row r="15" spans="1:10" ht="15">
      <c r="A15" s="25" t="s">
        <v>6</v>
      </c>
      <c r="B15" s="192" t="s">
        <v>177</v>
      </c>
      <c r="C15" s="193"/>
      <c r="D15" s="193"/>
      <c r="E15" s="194"/>
      <c r="F15" s="25">
        <v>2.5</v>
      </c>
      <c r="G15" s="25">
        <v>1.9</v>
      </c>
      <c r="H15" s="25">
        <v>0.5</v>
      </c>
      <c r="I15" s="27">
        <f>SUM(H15/F15*100)</f>
        <v>20</v>
      </c>
      <c r="J15" s="27">
        <f t="shared" si="1"/>
        <v>26.315789473684209</v>
      </c>
    </row>
    <row r="16" spans="1:10" ht="15">
      <c r="A16" s="25" t="s">
        <v>7</v>
      </c>
      <c r="B16" s="192" t="s">
        <v>217</v>
      </c>
      <c r="C16" s="193"/>
      <c r="D16" s="193"/>
      <c r="E16" s="194"/>
      <c r="F16" s="25">
        <v>3.5</v>
      </c>
      <c r="G16" s="25">
        <v>2.6</v>
      </c>
      <c r="H16" s="25">
        <v>1.1000000000000001</v>
      </c>
      <c r="I16" s="27">
        <f>SUM(H16/F16*100)</f>
        <v>31.428571428571434</v>
      </c>
      <c r="J16" s="27">
        <f t="shared" ref="J16" si="2">SUM(H16/G16*100)</f>
        <v>42.307692307692307</v>
      </c>
    </row>
    <row r="17" spans="1:10" ht="15">
      <c r="A17" s="25" t="s">
        <v>18</v>
      </c>
      <c r="B17" s="192" t="s">
        <v>19</v>
      </c>
      <c r="C17" s="193"/>
      <c r="D17" s="193"/>
      <c r="E17" s="194"/>
      <c r="F17" s="25">
        <v>4</v>
      </c>
      <c r="G17" s="25">
        <v>3</v>
      </c>
      <c r="H17" s="25">
        <v>3.3</v>
      </c>
      <c r="I17" s="27">
        <f t="shared" si="0"/>
        <v>82.5</v>
      </c>
      <c r="J17" s="27">
        <f t="shared" si="1"/>
        <v>109.99999999999999</v>
      </c>
    </row>
    <row r="18" spans="1:10" ht="15">
      <c r="A18" s="25" t="s">
        <v>20</v>
      </c>
      <c r="B18" s="192" t="s">
        <v>22</v>
      </c>
      <c r="C18" s="193"/>
      <c r="D18" s="193"/>
      <c r="E18" s="194"/>
      <c r="F18" s="25">
        <v>8.1999999999999993</v>
      </c>
      <c r="G18" s="25">
        <v>6.1</v>
      </c>
      <c r="H18" s="25">
        <v>3.8</v>
      </c>
      <c r="I18" s="27">
        <f t="shared" si="0"/>
        <v>46.341463414634148</v>
      </c>
      <c r="J18" s="27">
        <f t="shared" si="1"/>
        <v>62.295081967213115</v>
      </c>
    </row>
    <row r="19" spans="1:10" ht="15">
      <c r="A19" s="25" t="s">
        <v>21</v>
      </c>
      <c r="B19" s="192" t="s">
        <v>24</v>
      </c>
      <c r="C19" s="193"/>
      <c r="D19" s="193"/>
      <c r="E19" s="194"/>
      <c r="F19" s="25">
        <f>3+3</f>
        <v>6</v>
      </c>
      <c r="G19" s="25">
        <v>5.2</v>
      </c>
      <c r="H19" s="25">
        <v>3.4</v>
      </c>
      <c r="I19" s="27">
        <f t="shared" si="0"/>
        <v>56.666666666666664</v>
      </c>
      <c r="J19" s="27">
        <f t="shared" si="1"/>
        <v>65.384615384615387</v>
      </c>
    </row>
    <row r="20" spans="1:10" ht="15">
      <c r="A20" s="25" t="s">
        <v>23</v>
      </c>
      <c r="B20" s="192" t="s">
        <v>27</v>
      </c>
      <c r="C20" s="193"/>
      <c r="D20" s="193"/>
      <c r="E20" s="194"/>
      <c r="F20" s="25">
        <v>0.7</v>
      </c>
      <c r="G20" s="25">
        <v>0.5</v>
      </c>
      <c r="H20" s="25">
        <v>0.6</v>
      </c>
      <c r="I20" s="27">
        <f t="shared" si="0"/>
        <v>85.714285714285722</v>
      </c>
      <c r="J20" s="27">
        <f t="shared" si="1"/>
        <v>120</v>
      </c>
    </row>
    <row r="21" spans="1:10" ht="15">
      <c r="A21" s="25" t="s">
        <v>25</v>
      </c>
      <c r="B21" s="192" t="s">
        <v>30</v>
      </c>
      <c r="C21" s="193"/>
      <c r="D21" s="193"/>
      <c r="E21" s="194"/>
      <c r="F21" s="25">
        <v>7.5</v>
      </c>
      <c r="G21" s="25">
        <v>5.6</v>
      </c>
      <c r="H21" s="25">
        <v>4.5</v>
      </c>
      <c r="I21" s="27">
        <f t="shared" si="0"/>
        <v>60</v>
      </c>
      <c r="J21" s="27">
        <f t="shared" si="1"/>
        <v>80.357142857142861</v>
      </c>
    </row>
    <row r="22" spans="1:10" ht="15">
      <c r="A22" s="25" t="s">
        <v>26</v>
      </c>
      <c r="B22" s="192" t="s">
        <v>32</v>
      </c>
      <c r="C22" s="193"/>
      <c r="D22" s="193"/>
      <c r="E22" s="194"/>
      <c r="F22" s="25">
        <v>3.5</v>
      </c>
      <c r="G22" s="25">
        <v>2.6</v>
      </c>
      <c r="H22" s="25">
        <v>1.9</v>
      </c>
      <c r="I22" s="27">
        <f t="shared" si="0"/>
        <v>54.285714285714285</v>
      </c>
      <c r="J22" s="27">
        <f t="shared" si="1"/>
        <v>73.076923076923066</v>
      </c>
    </row>
    <row r="23" spans="1:10" ht="15">
      <c r="A23" s="25" t="s">
        <v>28</v>
      </c>
      <c r="B23" s="192" t="s">
        <v>178</v>
      </c>
      <c r="C23" s="193"/>
      <c r="D23" s="193"/>
      <c r="E23" s="194"/>
      <c r="F23" s="25">
        <v>1.5</v>
      </c>
      <c r="G23" s="25">
        <v>1.1000000000000001</v>
      </c>
      <c r="H23" s="25">
        <v>1</v>
      </c>
      <c r="I23" s="27">
        <f>SUM(H23/F23*100)</f>
        <v>66.666666666666657</v>
      </c>
      <c r="J23" s="27">
        <f>SUM(H23/G23*100)</f>
        <v>90.909090909090907</v>
      </c>
    </row>
    <row r="24" spans="1:10" ht="15">
      <c r="A24" s="25" t="s">
        <v>29</v>
      </c>
      <c r="B24" s="192" t="s">
        <v>179</v>
      </c>
      <c r="C24" s="193"/>
      <c r="D24" s="193"/>
      <c r="E24" s="194"/>
      <c r="F24" s="25">
        <v>0.9</v>
      </c>
      <c r="G24" s="25">
        <v>0.7</v>
      </c>
      <c r="H24" s="25">
        <v>0.1</v>
      </c>
      <c r="I24" s="27">
        <f>SUM(H24/F24*100)</f>
        <v>11.111111111111112</v>
      </c>
      <c r="J24" s="27">
        <f>SUM(H24/G24*100)</f>
        <v>14.285714285714288</v>
      </c>
    </row>
    <row r="25" spans="1:10" ht="15">
      <c r="A25" s="25" t="s">
        <v>31</v>
      </c>
      <c r="B25" s="192" t="s">
        <v>242</v>
      </c>
      <c r="C25" s="193"/>
      <c r="D25" s="193"/>
      <c r="E25" s="194"/>
      <c r="F25" s="25">
        <v>0.7</v>
      </c>
      <c r="G25" s="25">
        <v>0.5</v>
      </c>
      <c r="H25" s="25">
        <v>0.3</v>
      </c>
      <c r="I25" s="27">
        <f>SUM(H25/F25*100)</f>
        <v>42.857142857142861</v>
      </c>
      <c r="J25" s="27">
        <f>SUM(H25/G25*100)</f>
        <v>60</v>
      </c>
    </row>
    <row r="26" spans="1:10" ht="15">
      <c r="A26" s="25" t="s">
        <v>33</v>
      </c>
      <c r="B26" s="192" t="s">
        <v>180</v>
      </c>
      <c r="C26" s="193"/>
      <c r="D26" s="193"/>
      <c r="E26" s="194"/>
      <c r="F26" s="25">
        <v>1.8</v>
      </c>
      <c r="G26" s="25">
        <v>1.3</v>
      </c>
      <c r="H26" s="25">
        <v>1.3</v>
      </c>
      <c r="I26" s="27">
        <f t="shared" ref="I26:I27" si="3">SUM(H26/F26*100)</f>
        <v>72.222222222222214</v>
      </c>
      <c r="J26" s="27">
        <f t="shared" ref="J26" si="4">SUM(H26/G26*100)</f>
        <v>100</v>
      </c>
    </row>
    <row r="27" spans="1:10" ht="15">
      <c r="A27" s="25" t="s">
        <v>34</v>
      </c>
      <c r="B27" s="192" t="s">
        <v>48</v>
      </c>
      <c r="C27" s="193"/>
      <c r="D27" s="193"/>
      <c r="E27" s="194"/>
      <c r="F27" s="25">
        <v>1.2</v>
      </c>
      <c r="G27" s="25">
        <v>0.9</v>
      </c>
      <c r="H27" s="25">
        <v>0.7</v>
      </c>
      <c r="I27" s="27">
        <f t="shared" si="3"/>
        <v>58.333333333333336</v>
      </c>
      <c r="J27" s="27">
        <f>SUM(H27/G27*100)</f>
        <v>77.777777777777771</v>
      </c>
    </row>
    <row r="28" spans="1:10" ht="15" customHeight="1">
      <c r="A28" s="25" t="s">
        <v>36</v>
      </c>
      <c r="B28" s="192" t="s">
        <v>55</v>
      </c>
      <c r="C28" s="193"/>
      <c r="D28" s="193"/>
      <c r="E28" s="194"/>
      <c r="F28" s="25">
        <v>0.8</v>
      </c>
      <c r="G28" s="25">
        <v>0.6</v>
      </c>
      <c r="H28" s="25">
        <v>0</v>
      </c>
      <c r="I28" s="27">
        <f t="shared" si="0"/>
        <v>0</v>
      </c>
      <c r="J28" s="27">
        <f t="shared" si="1"/>
        <v>0</v>
      </c>
    </row>
    <row r="29" spans="1:10" ht="15">
      <c r="A29" s="25" t="s">
        <v>38</v>
      </c>
      <c r="B29" s="192" t="s">
        <v>69</v>
      </c>
      <c r="C29" s="193"/>
      <c r="D29" s="193"/>
      <c r="E29" s="194"/>
      <c r="F29" s="25">
        <v>7</v>
      </c>
      <c r="G29" s="25">
        <v>4.8</v>
      </c>
      <c r="H29" s="25">
        <v>3.3</v>
      </c>
      <c r="I29" s="27">
        <f t="shared" si="0"/>
        <v>47.142857142857139</v>
      </c>
      <c r="J29" s="27">
        <f t="shared" si="1"/>
        <v>68.75</v>
      </c>
    </row>
    <row r="30" spans="1:10" ht="15">
      <c r="A30" s="25" t="s">
        <v>40</v>
      </c>
      <c r="B30" s="192" t="s">
        <v>71</v>
      </c>
      <c r="C30" s="193"/>
      <c r="D30" s="193"/>
      <c r="E30" s="194"/>
      <c r="F30" s="25">
        <v>24</v>
      </c>
      <c r="G30" s="25">
        <v>13.2</v>
      </c>
      <c r="H30" s="25">
        <v>4.4000000000000004</v>
      </c>
      <c r="I30" s="27">
        <f t="shared" si="0"/>
        <v>18.333333333333336</v>
      </c>
      <c r="J30" s="27">
        <f t="shared" si="1"/>
        <v>33.333333333333336</v>
      </c>
    </row>
    <row r="31" spans="1:10" ht="15">
      <c r="A31" s="25" t="s">
        <v>41</v>
      </c>
      <c r="B31" s="192" t="s">
        <v>218</v>
      </c>
      <c r="C31" s="193"/>
      <c r="D31" s="193"/>
      <c r="E31" s="194"/>
      <c r="F31" s="25">
        <v>0.5</v>
      </c>
      <c r="G31" s="25">
        <v>0.4</v>
      </c>
      <c r="H31" s="83">
        <v>0.5</v>
      </c>
      <c r="I31" s="27">
        <f t="shared" si="0"/>
        <v>100</v>
      </c>
      <c r="J31" s="27">
        <v>0</v>
      </c>
    </row>
    <row r="32" spans="1:10" ht="15">
      <c r="A32" s="25" t="s">
        <v>42</v>
      </c>
      <c r="B32" s="192" t="s">
        <v>72</v>
      </c>
      <c r="C32" s="193"/>
      <c r="D32" s="193"/>
      <c r="E32" s="194"/>
      <c r="F32" s="25">
        <v>4</v>
      </c>
      <c r="G32" s="25">
        <v>3</v>
      </c>
      <c r="H32" s="25">
        <v>2.1</v>
      </c>
      <c r="I32" s="27">
        <f t="shared" si="0"/>
        <v>52.5</v>
      </c>
      <c r="J32" s="27">
        <f t="shared" si="1"/>
        <v>70</v>
      </c>
    </row>
    <row r="33" spans="1:10" ht="15">
      <c r="A33" s="25" t="s">
        <v>43</v>
      </c>
      <c r="B33" s="192" t="s">
        <v>219</v>
      </c>
      <c r="C33" s="193"/>
      <c r="D33" s="193"/>
      <c r="E33" s="194"/>
      <c r="F33" s="25">
        <v>3</v>
      </c>
      <c r="G33" s="25">
        <v>2.2999999999999998</v>
      </c>
      <c r="H33" s="25">
        <v>1</v>
      </c>
      <c r="I33" s="27">
        <f t="shared" si="0"/>
        <v>33.333333333333329</v>
      </c>
      <c r="J33" s="27">
        <f t="shared" si="1"/>
        <v>43.478260869565219</v>
      </c>
    </row>
    <row r="34" spans="1:10" ht="15">
      <c r="A34" s="25" t="s">
        <v>44</v>
      </c>
      <c r="B34" s="192" t="s">
        <v>73</v>
      </c>
      <c r="C34" s="193"/>
      <c r="D34" s="193"/>
      <c r="E34" s="194"/>
      <c r="F34" s="25">
        <v>1</v>
      </c>
      <c r="G34" s="25">
        <v>0.7</v>
      </c>
      <c r="H34" s="25">
        <v>0.4</v>
      </c>
      <c r="I34" s="27">
        <f t="shared" si="0"/>
        <v>40</v>
      </c>
      <c r="J34" s="27">
        <f t="shared" si="1"/>
        <v>57.142857142857153</v>
      </c>
    </row>
    <row r="35" spans="1:10" ht="15">
      <c r="A35" s="25" t="s">
        <v>46</v>
      </c>
      <c r="B35" s="192" t="s">
        <v>74</v>
      </c>
      <c r="C35" s="193"/>
      <c r="D35" s="193"/>
      <c r="E35" s="194"/>
      <c r="F35" s="25">
        <v>4</v>
      </c>
      <c r="G35" s="25">
        <v>3</v>
      </c>
      <c r="H35" s="25">
        <v>1.4</v>
      </c>
      <c r="I35" s="27">
        <f t="shared" si="0"/>
        <v>35</v>
      </c>
      <c r="J35" s="27">
        <f t="shared" si="1"/>
        <v>46.666666666666664</v>
      </c>
    </row>
    <row r="36" spans="1:10" ht="15">
      <c r="A36" s="25" t="s">
        <v>47</v>
      </c>
      <c r="B36" s="192" t="s">
        <v>75</v>
      </c>
      <c r="C36" s="193"/>
      <c r="D36" s="193"/>
      <c r="E36" s="194"/>
      <c r="F36" s="25">
        <v>93.7</v>
      </c>
      <c r="G36" s="25">
        <v>35</v>
      </c>
      <c r="H36" s="25">
        <v>27.9</v>
      </c>
      <c r="I36" s="27">
        <f t="shared" si="0"/>
        <v>29.775880469583775</v>
      </c>
      <c r="J36" s="27">
        <f t="shared" si="1"/>
        <v>79.714285714285722</v>
      </c>
    </row>
    <row r="37" spans="1:10" ht="15">
      <c r="A37" s="25" t="s">
        <v>49</v>
      </c>
      <c r="B37" s="192" t="s">
        <v>77</v>
      </c>
      <c r="C37" s="193"/>
      <c r="D37" s="193"/>
      <c r="E37" s="194"/>
      <c r="F37" s="25">
        <v>135.69999999999999</v>
      </c>
      <c r="G37" s="25">
        <v>95.7</v>
      </c>
      <c r="H37" s="25">
        <v>95.8</v>
      </c>
      <c r="I37" s="27">
        <f t="shared" si="0"/>
        <v>70.596904937361828</v>
      </c>
      <c r="J37" s="27">
        <f t="shared" si="1"/>
        <v>100.10449320794149</v>
      </c>
    </row>
    <row r="38" spans="1:10" ht="15.75">
      <c r="A38" s="31"/>
      <c r="B38" s="213" t="s">
        <v>78</v>
      </c>
      <c r="C38" s="213"/>
      <c r="D38" s="213"/>
      <c r="E38" s="214"/>
      <c r="F38" s="34">
        <f>SUM(F9:F37)</f>
        <v>354.4</v>
      </c>
      <c r="G38" s="34">
        <f>SUM(G9:G37)</f>
        <v>220.5</v>
      </c>
      <c r="H38" s="86">
        <f>SUM(H9:H37)</f>
        <v>181.3</v>
      </c>
      <c r="I38" s="27">
        <f>SUM(H38/F38*100)</f>
        <v>51.156884875846508</v>
      </c>
      <c r="J38" s="27">
        <f>SUM(H38/G38*100)</f>
        <v>82.222222222222229</v>
      </c>
    </row>
    <row r="40" spans="1:10">
      <c r="F40" s="2"/>
      <c r="G40" s="2"/>
    </row>
  </sheetData>
  <mergeCells count="35">
    <mergeCell ref="B31:E31"/>
    <mergeCell ref="B30:E30"/>
    <mergeCell ref="B20:E20"/>
    <mergeCell ref="B18:E18"/>
    <mergeCell ref="B19:E19"/>
    <mergeCell ref="A3:J3"/>
    <mergeCell ref="A4:J4"/>
    <mergeCell ref="F7:F8"/>
    <mergeCell ref="G7:G8"/>
    <mergeCell ref="H7:H8"/>
    <mergeCell ref="I6:J6"/>
    <mergeCell ref="B12:E12"/>
    <mergeCell ref="B15:E15"/>
    <mergeCell ref="I7:J7"/>
    <mergeCell ref="B7:E8"/>
    <mergeCell ref="B17:E17"/>
    <mergeCell ref="B14:E14"/>
    <mergeCell ref="B16:E16"/>
    <mergeCell ref="B13:E13"/>
    <mergeCell ref="B36:E36"/>
    <mergeCell ref="B37:E37"/>
    <mergeCell ref="B38:E38"/>
    <mergeCell ref="B21:E21"/>
    <mergeCell ref="B22:E22"/>
    <mergeCell ref="B23:E23"/>
    <mergeCell ref="B24:E24"/>
    <mergeCell ref="B35:E35"/>
    <mergeCell ref="B32:E32"/>
    <mergeCell ref="B33:E33"/>
    <mergeCell ref="B34:E34"/>
    <mergeCell ref="B26:E26"/>
    <mergeCell ref="B27:E27"/>
    <mergeCell ref="B28:E28"/>
    <mergeCell ref="B29:E29"/>
    <mergeCell ref="B25:E25"/>
  </mergeCells>
  <pageMargins left="0.9055118110236221" right="0.55118110236220474" top="7.874015748031496E-2" bottom="0" header="0.31496062992125984" footer="0.19685039370078741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79"/>
  <sheetViews>
    <sheetView showZeros="0" zoomScaleNormal="100" workbookViewId="0"/>
  </sheetViews>
  <sheetFormatPr defaultColWidth="8.85546875" defaultRowHeight="12"/>
  <cols>
    <col min="1" max="1" width="11.28515625" style="160" customWidth="1"/>
    <col min="2" max="2" width="13.140625" style="160" customWidth="1"/>
    <col min="3" max="3" width="7.7109375" style="160" customWidth="1"/>
    <col min="4" max="4" width="13.28515625" style="160" customWidth="1"/>
    <col min="5" max="5" width="12.85546875" style="160" customWidth="1"/>
    <col min="6" max="6" width="13" style="160" customWidth="1"/>
    <col min="7" max="7" width="10.85546875" style="160" customWidth="1"/>
    <col min="8" max="8" width="12.5703125" style="160" customWidth="1"/>
    <col min="9" max="9" width="12" style="160" customWidth="1"/>
    <col min="10" max="10" width="14.140625" style="160" customWidth="1"/>
    <col min="11" max="11" width="10.28515625" style="160" customWidth="1"/>
    <col min="12" max="12" width="12" style="160" customWidth="1"/>
    <col min="13" max="13" width="10.7109375" style="160" customWidth="1"/>
    <col min="14" max="14" width="13" style="160" customWidth="1"/>
    <col min="15" max="15" width="10.42578125" style="160" customWidth="1"/>
    <col min="16" max="16" width="8.7109375" style="160" customWidth="1"/>
    <col min="17" max="17" width="7.85546875" style="160" customWidth="1"/>
    <col min="18" max="16384" width="8.85546875" style="160"/>
  </cols>
  <sheetData>
    <row r="1" spans="1:17" ht="15">
      <c r="P1" s="186" t="s">
        <v>312</v>
      </c>
      <c r="Q1" s="186"/>
    </row>
    <row r="2" spans="1:17">
      <c r="A2" s="163"/>
      <c r="B2" s="163"/>
      <c r="C2" s="163"/>
      <c r="D2" s="163"/>
      <c r="E2" s="163"/>
      <c r="F2" s="163"/>
      <c r="G2" s="163"/>
      <c r="H2" s="163"/>
      <c r="I2" s="163"/>
      <c r="J2" s="161"/>
      <c r="K2" s="161"/>
      <c r="L2" s="162"/>
      <c r="M2" s="162"/>
      <c r="N2" s="162"/>
      <c r="O2" s="162"/>
    </row>
    <row r="3" spans="1:17" ht="15.75">
      <c r="A3" s="180" t="s">
        <v>342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7" ht="14.25" customHeight="1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122"/>
      <c r="O4" s="10"/>
      <c r="P4" s="215" t="s">
        <v>368</v>
      </c>
      <c r="Q4" s="215"/>
    </row>
    <row r="5" spans="1:17" ht="34.9" customHeight="1">
      <c r="A5" s="233" t="s">
        <v>255</v>
      </c>
      <c r="B5" s="233" t="s">
        <v>355</v>
      </c>
      <c r="C5" s="233" t="s">
        <v>256</v>
      </c>
      <c r="D5" s="230" t="s">
        <v>152</v>
      </c>
      <c r="E5" s="230"/>
      <c r="F5" s="230"/>
      <c r="G5" s="230"/>
      <c r="H5" s="230" t="s">
        <v>329</v>
      </c>
      <c r="I5" s="230"/>
      <c r="J5" s="230"/>
      <c r="K5" s="230"/>
      <c r="L5" s="230" t="s">
        <v>257</v>
      </c>
      <c r="M5" s="230"/>
      <c r="N5" s="230"/>
      <c r="O5" s="230"/>
      <c r="P5" s="229" t="s">
        <v>258</v>
      </c>
      <c r="Q5" s="229"/>
    </row>
    <row r="6" spans="1:17" ht="15" customHeight="1">
      <c r="A6" s="233"/>
      <c r="B6" s="233"/>
      <c r="C6" s="233"/>
      <c r="D6" s="230" t="s">
        <v>259</v>
      </c>
      <c r="E6" s="230" t="s">
        <v>260</v>
      </c>
      <c r="F6" s="230"/>
      <c r="G6" s="230"/>
      <c r="H6" s="230" t="s">
        <v>259</v>
      </c>
      <c r="I6" s="230" t="s">
        <v>260</v>
      </c>
      <c r="J6" s="230"/>
      <c r="K6" s="230"/>
      <c r="L6" s="230" t="s">
        <v>259</v>
      </c>
      <c r="M6" s="230" t="s">
        <v>260</v>
      </c>
      <c r="N6" s="230"/>
      <c r="O6" s="230"/>
      <c r="P6" s="231" t="s">
        <v>371</v>
      </c>
      <c r="Q6" s="231" t="s">
        <v>372</v>
      </c>
    </row>
    <row r="7" spans="1:17" ht="14.25" customHeight="1">
      <c r="A7" s="233"/>
      <c r="B7" s="233"/>
      <c r="C7" s="233"/>
      <c r="D7" s="230"/>
      <c r="E7" s="230" t="s">
        <v>261</v>
      </c>
      <c r="F7" s="230"/>
      <c r="G7" s="230" t="s">
        <v>262</v>
      </c>
      <c r="H7" s="230"/>
      <c r="I7" s="230" t="s">
        <v>261</v>
      </c>
      <c r="J7" s="230"/>
      <c r="K7" s="230" t="s">
        <v>262</v>
      </c>
      <c r="L7" s="230"/>
      <c r="M7" s="230" t="s">
        <v>261</v>
      </c>
      <c r="N7" s="230"/>
      <c r="O7" s="230" t="s">
        <v>262</v>
      </c>
      <c r="P7" s="231"/>
      <c r="Q7" s="231"/>
    </row>
    <row r="8" spans="1:17" ht="62.45" customHeight="1">
      <c r="A8" s="233"/>
      <c r="B8" s="233"/>
      <c r="C8" s="233"/>
      <c r="D8" s="230"/>
      <c r="E8" s="15" t="s">
        <v>259</v>
      </c>
      <c r="F8" s="15" t="s">
        <v>263</v>
      </c>
      <c r="G8" s="230"/>
      <c r="H8" s="230"/>
      <c r="I8" s="15" t="s">
        <v>259</v>
      </c>
      <c r="J8" s="15" t="s">
        <v>263</v>
      </c>
      <c r="K8" s="230"/>
      <c r="L8" s="230"/>
      <c r="M8" s="15" t="s">
        <v>259</v>
      </c>
      <c r="N8" s="15" t="s">
        <v>263</v>
      </c>
      <c r="O8" s="230"/>
      <c r="P8" s="231"/>
      <c r="Q8" s="231"/>
    </row>
    <row r="9" spans="1:17" ht="18" customHeight="1">
      <c r="A9" s="164">
        <v>1</v>
      </c>
      <c r="B9" s="164">
        <v>2</v>
      </c>
      <c r="C9" s="164">
        <v>4</v>
      </c>
      <c r="D9" s="165">
        <v>5</v>
      </c>
      <c r="E9" s="165">
        <v>6</v>
      </c>
      <c r="F9" s="165">
        <v>7</v>
      </c>
      <c r="G9" s="165">
        <v>8</v>
      </c>
      <c r="H9" s="165">
        <v>9</v>
      </c>
      <c r="I9" s="165">
        <v>10</v>
      </c>
      <c r="J9" s="165">
        <v>11</v>
      </c>
      <c r="K9" s="165">
        <v>12</v>
      </c>
      <c r="L9" s="165">
        <v>13</v>
      </c>
      <c r="M9" s="165">
        <v>14</v>
      </c>
      <c r="N9" s="165">
        <v>15</v>
      </c>
      <c r="O9" s="165">
        <v>16</v>
      </c>
      <c r="P9" s="165">
        <v>17</v>
      </c>
      <c r="Q9" s="165">
        <v>18</v>
      </c>
    </row>
    <row r="10" spans="1:17" ht="46.15" customHeight="1">
      <c r="A10" s="216" t="s">
        <v>264</v>
      </c>
      <c r="B10" s="217"/>
      <c r="C10" s="166"/>
      <c r="D10" s="167">
        <f t="shared" ref="D10:O10" si="0">SUBTOTAL(9,D11:D65)</f>
        <v>95569.099999999991</v>
      </c>
      <c r="E10" s="167">
        <f t="shared" si="0"/>
        <v>54113.900000000009</v>
      </c>
      <c r="F10" s="167">
        <f t="shared" si="0"/>
        <v>12454.9</v>
      </c>
      <c r="G10" s="167">
        <f t="shared" si="0"/>
        <v>41455.199999999997</v>
      </c>
      <c r="H10" s="167">
        <f t="shared" si="0"/>
        <v>82567.000000000015</v>
      </c>
      <c r="I10" s="167">
        <f t="shared" si="0"/>
        <v>45347.700000000012</v>
      </c>
      <c r="J10" s="167">
        <f t="shared" si="0"/>
        <v>10021.899999999998</v>
      </c>
      <c r="K10" s="167">
        <f t="shared" si="0"/>
        <v>37219.300000000003</v>
      </c>
      <c r="L10" s="167">
        <f t="shared" si="0"/>
        <v>57787.6</v>
      </c>
      <c r="M10" s="167">
        <f t="shared" si="0"/>
        <v>35286.100000000006</v>
      </c>
      <c r="N10" s="167">
        <f t="shared" si="0"/>
        <v>8559.1</v>
      </c>
      <c r="O10" s="167">
        <f t="shared" si="0"/>
        <v>22501.5</v>
      </c>
      <c r="P10" s="168">
        <f>SUM(L10/D10*100)</f>
        <v>60.466824528011678</v>
      </c>
      <c r="Q10" s="168">
        <f>SUM(L10/H10*100)</f>
        <v>69.988736420119409</v>
      </c>
    </row>
    <row r="11" spans="1:17" ht="15">
      <c r="A11" s="182"/>
      <c r="B11" s="218" t="s">
        <v>354</v>
      </c>
      <c r="C11" s="174" t="s">
        <v>265</v>
      </c>
      <c r="D11" s="169">
        <v>3674</v>
      </c>
      <c r="E11" s="169">
        <v>810.1</v>
      </c>
      <c r="F11" s="169">
        <v>282.10000000000002</v>
      </c>
      <c r="G11" s="169">
        <v>2863.9</v>
      </c>
      <c r="H11" s="169">
        <v>2319.1</v>
      </c>
      <c r="I11" s="169">
        <v>790.2</v>
      </c>
      <c r="J11" s="169">
        <v>281.39999999999998</v>
      </c>
      <c r="K11" s="169">
        <v>1528.9</v>
      </c>
      <c r="L11" s="169">
        <v>434.8</v>
      </c>
      <c r="M11" s="169">
        <v>111.3</v>
      </c>
      <c r="N11" s="169">
        <v>58.8</v>
      </c>
      <c r="O11" s="169">
        <v>323.5</v>
      </c>
      <c r="P11" s="169"/>
      <c r="Q11" s="25"/>
    </row>
    <row r="12" spans="1:17" ht="15">
      <c r="A12" s="220"/>
      <c r="B12" s="222"/>
      <c r="C12" s="174" t="s">
        <v>266</v>
      </c>
      <c r="D12" s="169">
        <v>3298.3</v>
      </c>
      <c r="E12" s="169">
        <v>3298.3</v>
      </c>
      <c r="F12" s="169">
        <v>0</v>
      </c>
      <c r="G12" s="169">
        <v>0</v>
      </c>
      <c r="H12" s="169">
        <v>2354.4</v>
      </c>
      <c r="I12" s="169">
        <v>2354.4</v>
      </c>
      <c r="J12" s="169">
        <v>0</v>
      </c>
      <c r="K12" s="169">
        <v>0</v>
      </c>
      <c r="L12" s="169">
        <v>2340.6</v>
      </c>
      <c r="M12" s="169">
        <v>2340.6</v>
      </c>
      <c r="N12" s="169">
        <v>0</v>
      </c>
      <c r="O12" s="169">
        <v>0</v>
      </c>
      <c r="P12" s="169"/>
      <c r="Q12" s="25"/>
    </row>
    <row r="13" spans="1:17" ht="28.5">
      <c r="A13" s="220"/>
      <c r="B13" s="222"/>
      <c r="C13" s="174" t="s">
        <v>267</v>
      </c>
      <c r="D13" s="169">
        <v>9.1999999999999993</v>
      </c>
      <c r="E13" s="169">
        <v>9.1999999999999993</v>
      </c>
      <c r="F13" s="169">
        <v>0</v>
      </c>
      <c r="G13" s="169">
        <v>0</v>
      </c>
      <c r="H13" s="169">
        <v>9.1999999999999993</v>
      </c>
      <c r="I13" s="169">
        <v>9.1999999999999993</v>
      </c>
      <c r="J13" s="169">
        <v>0</v>
      </c>
      <c r="K13" s="169">
        <v>0</v>
      </c>
      <c r="L13" s="169">
        <v>9.1999999999999993</v>
      </c>
      <c r="M13" s="169">
        <v>9.1999999999999993</v>
      </c>
      <c r="N13" s="169">
        <v>0</v>
      </c>
      <c r="O13" s="169">
        <v>0</v>
      </c>
      <c r="P13" s="169"/>
      <c r="Q13" s="25"/>
    </row>
    <row r="14" spans="1:17" ht="15">
      <c r="A14" s="220"/>
      <c r="B14" s="222"/>
      <c r="C14" s="174" t="s">
        <v>268</v>
      </c>
      <c r="D14" s="169">
        <v>8854.1</v>
      </c>
      <c r="E14" s="169">
        <v>6494.1</v>
      </c>
      <c r="F14" s="169">
        <v>28.7</v>
      </c>
      <c r="G14" s="169">
        <v>2360</v>
      </c>
      <c r="H14" s="169">
        <v>7798.2</v>
      </c>
      <c r="I14" s="169">
        <v>5554.5</v>
      </c>
      <c r="J14" s="169">
        <v>28.7</v>
      </c>
      <c r="K14" s="169">
        <v>2243.6999999999998</v>
      </c>
      <c r="L14" s="169">
        <v>5681.2</v>
      </c>
      <c r="M14" s="169">
        <v>4479.5</v>
      </c>
      <c r="N14" s="169">
        <v>9.4</v>
      </c>
      <c r="O14" s="169">
        <v>1201.7</v>
      </c>
      <c r="P14" s="169"/>
      <c r="Q14" s="25"/>
    </row>
    <row r="15" spans="1:17" ht="28.5">
      <c r="A15" s="220"/>
      <c r="B15" s="222"/>
      <c r="C15" s="174" t="s">
        <v>269</v>
      </c>
      <c r="D15" s="169">
        <v>642.6</v>
      </c>
      <c r="E15" s="169">
        <v>0</v>
      </c>
      <c r="F15" s="169">
        <v>0</v>
      </c>
      <c r="G15" s="169">
        <v>642.6</v>
      </c>
      <c r="H15" s="169">
        <v>471</v>
      </c>
      <c r="I15" s="169">
        <v>0</v>
      </c>
      <c r="J15" s="169">
        <v>0</v>
      </c>
      <c r="K15" s="169">
        <v>471</v>
      </c>
      <c r="L15" s="169">
        <v>45.3</v>
      </c>
      <c r="M15" s="169">
        <v>0</v>
      </c>
      <c r="N15" s="169">
        <v>0</v>
      </c>
      <c r="O15" s="169">
        <v>45.3</v>
      </c>
      <c r="P15" s="169"/>
      <c r="Q15" s="25"/>
    </row>
    <row r="16" spans="1:17" ht="15">
      <c r="A16" s="220"/>
      <c r="B16" s="222"/>
      <c r="C16" s="174" t="s">
        <v>270</v>
      </c>
      <c r="D16" s="169">
        <v>852.3</v>
      </c>
      <c r="E16" s="169">
        <v>473.2</v>
      </c>
      <c r="F16" s="169">
        <v>14.6</v>
      </c>
      <c r="G16" s="169">
        <v>379.1</v>
      </c>
      <c r="H16" s="169">
        <v>744.3</v>
      </c>
      <c r="I16" s="169">
        <v>365.2</v>
      </c>
      <c r="J16" s="169">
        <v>11.5</v>
      </c>
      <c r="K16" s="169">
        <v>379.1</v>
      </c>
      <c r="L16" s="169">
        <v>635.1</v>
      </c>
      <c r="M16" s="169">
        <v>305</v>
      </c>
      <c r="N16" s="169">
        <v>7.5</v>
      </c>
      <c r="O16" s="169">
        <v>330.1</v>
      </c>
      <c r="P16" s="169"/>
      <c r="Q16" s="25"/>
    </row>
    <row r="17" spans="1:17" ht="15">
      <c r="A17" s="220"/>
      <c r="B17" s="219"/>
      <c r="C17" s="174" t="s">
        <v>271</v>
      </c>
      <c r="D17" s="169">
        <v>349.2</v>
      </c>
      <c r="E17" s="169">
        <v>326.8</v>
      </c>
      <c r="F17" s="169">
        <v>57.3</v>
      </c>
      <c r="G17" s="169">
        <v>22.4</v>
      </c>
      <c r="H17" s="169">
        <v>344.3</v>
      </c>
      <c r="I17" s="169">
        <v>321.89999999999998</v>
      </c>
      <c r="J17" s="169">
        <v>57.1</v>
      </c>
      <c r="K17" s="169">
        <v>22.4</v>
      </c>
      <c r="L17" s="169">
        <v>118.4</v>
      </c>
      <c r="M17" s="169">
        <v>118.4</v>
      </c>
      <c r="N17" s="169">
        <v>5.5</v>
      </c>
      <c r="O17" s="169">
        <v>0</v>
      </c>
      <c r="P17" s="169"/>
      <c r="Q17" s="25"/>
    </row>
    <row r="18" spans="1:17" ht="15">
      <c r="A18" s="220"/>
      <c r="B18" s="218" t="s">
        <v>353</v>
      </c>
      <c r="C18" s="174" t="s">
        <v>265</v>
      </c>
      <c r="D18" s="169">
        <v>1264.3</v>
      </c>
      <c r="E18" s="169">
        <v>198.5</v>
      </c>
      <c r="F18" s="169">
        <v>0</v>
      </c>
      <c r="G18" s="169">
        <v>1065.8</v>
      </c>
      <c r="H18" s="169">
        <v>1064.3</v>
      </c>
      <c r="I18" s="169">
        <v>198.5</v>
      </c>
      <c r="J18" s="169">
        <v>0</v>
      </c>
      <c r="K18" s="169">
        <v>865.8</v>
      </c>
      <c r="L18" s="169">
        <v>280.2</v>
      </c>
      <c r="M18" s="169">
        <v>0</v>
      </c>
      <c r="N18" s="169">
        <v>0</v>
      </c>
      <c r="O18" s="169">
        <v>280.2</v>
      </c>
      <c r="P18" s="169"/>
      <c r="Q18" s="25"/>
    </row>
    <row r="19" spans="1:17" ht="15">
      <c r="A19" s="220"/>
      <c r="B19" s="222"/>
      <c r="C19" s="174" t="s">
        <v>268</v>
      </c>
      <c r="D19" s="169">
        <v>2012.2</v>
      </c>
      <c r="E19" s="169">
        <v>557.20000000000005</v>
      </c>
      <c r="F19" s="169">
        <v>0</v>
      </c>
      <c r="G19" s="169">
        <v>1455</v>
      </c>
      <c r="H19" s="169">
        <v>1847.7</v>
      </c>
      <c r="I19" s="169">
        <v>510.7</v>
      </c>
      <c r="J19" s="169">
        <v>0</v>
      </c>
      <c r="K19" s="169">
        <v>1337</v>
      </c>
      <c r="L19" s="169">
        <v>645.29999999999995</v>
      </c>
      <c r="M19" s="169">
        <v>269.3</v>
      </c>
      <c r="N19" s="169">
        <v>0</v>
      </c>
      <c r="O19" s="169">
        <v>376</v>
      </c>
      <c r="P19" s="169"/>
      <c r="Q19" s="25"/>
    </row>
    <row r="20" spans="1:17" ht="28.5">
      <c r="A20" s="220"/>
      <c r="B20" s="222"/>
      <c r="C20" s="174" t="s">
        <v>269</v>
      </c>
      <c r="D20" s="169">
        <v>200</v>
      </c>
      <c r="E20" s="169">
        <v>0</v>
      </c>
      <c r="F20" s="169">
        <v>0</v>
      </c>
      <c r="G20" s="169">
        <v>200</v>
      </c>
      <c r="H20" s="169">
        <v>200</v>
      </c>
      <c r="I20" s="169">
        <v>0</v>
      </c>
      <c r="J20" s="169">
        <v>0</v>
      </c>
      <c r="K20" s="169">
        <v>200</v>
      </c>
      <c r="L20" s="169">
        <v>165.2</v>
      </c>
      <c r="M20" s="169">
        <v>0</v>
      </c>
      <c r="N20" s="169">
        <v>0</v>
      </c>
      <c r="O20" s="169">
        <v>165.2</v>
      </c>
      <c r="P20" s="169"/>
      <c r="Q20" s="25"/>
    </row>
    <row r="21" spans="1:17" ht="15">
      <c r="A21" s="220"/>
      <c r="B21" s="222"/>
      <c r="C21" s="174" t="s">
        <v>270</v>
      </c>
      <c r="D21" s="169">
        <v>458.8</v>
      </c>
      <c r="E21" s="169">
        <v>458.8</v>
      </c>
      <c r="F21" s="169">
        <v>0</v>
      </c>
      <c r="G21" s="169">
        <v>0</v>
      </c>
      <c r="H21" s="169">
        <v>390.2</v>
      </c>
      <c r="I21" s="169">
        <v>390.2</v>
      </c>
      <c r="J21" s="169">
        <v>0</v>
      </c>
      <c r="K21" s="169">
        <v>0</v>
      </c>
      <c r="L21" s="169">
        <v>358.7</v>
      </c>
      <c r="M21" s="169">
        <v>358.7</v>
      </c>
      <c r="N21" s="169">
        <v>0</v>
      </c>
      <c r="O21" s="169">
        <v>0</v>
      </c>
      <c r="P21" s="169"/>
      <c r="Q21" s="25"/>
    </row>
    <row r="22" spans="1:17" ht="15">
      <c r="A22" s="220"/>
      <c r="B22" s="222"/>
      <c r="C22" s="174" t="s">
        <v>271</v>
      </c>
      <c r="D22" s="169">
        <v>46</v>
      </c>
      <c r="E22" s="169">
        <v>4.7</v>
      </c>
      <c r="F22" s="169">
        <v>0</v>
      </c>
      <c r="G22" s="169">
        <v>41.3</v>
      </c>
      <c r="H22" s="169">
        <v>46</v>
      </c>
      <c r="I22" s="169">
        <v>4.7</v>
      </c>
      <c r="J22" s="169">
        <v>0</v>
      </c>
      <c r="K22" s="169">
        <v>41.3</v>
      </c>
      <c r="L22" s="169">
        <v>2.5</v>
      </c>
      <c r="M22" s="169">
        <v>1.1000000000000001</v>
      </c>
      <c r="N22" s="169">
        <v>0</v>
      </c>
      <c r="O22" s="169">
        <v>1.4</v>
      </c>
      <c r="P22" s="169"/>
      <c r="Q22" s="25"/>
    </row>
    <row r="23" spans="1:17" ht="15">
      <c r="A23" s="220"/>
      <c r="B23" s="219"/>
      <c r="C23" s="174" t="s">
        <v>272</v>
      </c>
      <c r="D23" s="169">
        <v>67.400000000000006</v>
      </c>
      <c r="E23" s="169">
        <v>0</v>
      </c>
      <c r="F23" s="169">
        <v>0</v>
      </c>
      <c r="G23" s="169">
        <v>67.400000000000006</v>
      </c>
      <c r="H23" s="169">
        <v>67.400000000000006</v>
      </c>
      <c r="I23" s="169">
        <v>0</v>
      </c>
      <c r="J23" s="169">
        <v>0</v>
      </c>
      <c r="K23" s="169">
        <v>67.400000000000006</v>
      </c>
      <c r="L23" s="169">
        <v>38.4</v>
      </c>
      <c r="M23" s="169">
        <v>0</v>
      </c>
      <c r="N23" s="169">
        <v>0</v>
      </c>
      <c r="O23" s="169">
        <v>38.4</v>
      </c>
      <c r="P23" s="169"/>
      <c r="Q23" s="25"/>
    </row>
    <row r="24" spans="1:17" ht="15">
      <c r="A24" s="220"/>
      <c r="B24" s="218" t="s">
        <v>352</v>
      </c>
      <c r="C24" s="174" t="s">
        <v>273</v>
      </c>
      <c r="D24" s="169">
        <v>496</v>
      </c>
      <c r="E24" s="169">
        <v>448</v>
      </c>
      <c r="F24" s="169">
        <v>0</v>
      </c>
      <c r="G24" s="169">
        <v>48</v>
      </c>
      <c r="H24" s="169">
        <v>426</v>
      </c>
      <c r="I24" s="169">
        <v>378</v>
      </c>
      <c r="J24" s="169">
        <v>0</v>
      </c>
      <c r="K24" s="169">
        <v>48</v>
      </c>
      <c r="L24" s="169">
        <v>183.4</v>
      </c>
      <c r="M24" s="169">
        <v>139.69999999999999</v>
      </c>
      <c r="N24" s="169">
        <v>0</v>
      </c>
      <c r="O24" s="169">
        <v>43.7</v>
      </c>
      <c r="P24" s="169"/>
      <c r="Q24" s="25"/>
    </row>
    <row r="25" spans="1:17" ht="15">
      <c r="A25" s="220"/>
      <c r="B25" s="222"/>
      <c r="C25" s="174" t="s">
        <v>265</v>
      </c>
      <c r="D25" s="169">
        <v>210</v>
      </c>
      <c r="E25" s="169">
        <v>9</v>
      </c>
      <c r="F25" s="169">
        <v>8.8000000000000007</v>
      </c>
      <c r="G25" s="169">
        <v>201</v>
      </c>
      <c r="H25" s="169">
        <v>150</v>
      </c>
      <c r="I25" s="169">
        <v>9</v>
      </c>
      <c r="J25" s="169">
        <v>8.8000000000000007</v>
      </c>
      <c r="K25" s="169">
        <v>141</v>
      </c>
      <c r="L25" s="169">
        <v>8.9</v>
      </c>
      <c r="M25" s="169">
        <v>8.9</v>
      </c>
      <c r="N25" s="169">
        <v>8.6999999999999993</v>
      </c>
      <c r="O25" s="169">
        <v>0</v>
      </c>
      <c r="P25" s="169"/>
      <c r="Q25" s="25"/>
    </row>
    <row r="26" spans="1:17" ht="15">
      <c r="A26" s="220"/>
      <c r="B26" s="222"/>
      <c r="C26" s="174" t="s">
        <v>274</v>
      </c>
      <c r="D26" s="169">
        <v>3100</v>
      </c>
      <c r="E26" s="169">
        <v>3100</v>
      </c>
      <c r="F26" s="169">
        <v>0</v>
      </c>
      <c r="G26" s="169">
        <v>0</v>
      </c>
      <c r="H26" s="169">
        <v>2320</v>
      </c>
      <c r="I26" s="169">
        <v>2320</v>
      </c>
      <c r="J26" s="169">
        <v>0</v>
      </c>
      <c r="K26" s="169">
        <v>0</v>
      </c>
      <c r="L26" s="169">
        <v>2250</v>
      </c>
      <c r="M26" s="169">
        <v>2250</v>
      </c>
      <c r="N26" s="169">
        <v>0</v>
      </c>
      <c r="O26" s="169">
        <v>0</v>
      </c>
      <c r="P26" s="169"/>
      <c r="Q26" s="25"/>
    </row>
    <row r="27" spans="1:17" ht="15">
      <c r="A27" s="220"/>
      <c r="B27" s="222"/>
      <c r="C27" s="174" t="s">
        <v>275</v>
      </c>
      <c r="D27" s="169">
        <v>39.200000000000003</v>
      </c>
      <c r="E27" s="169">
        <v>39.200000000000003</v>
      </c>
      <c r="F27" s="169">
        <v>0</v>
      </c>
      <c r="G27" s="169">
        <v>0</v>
      </c>
      <c r="H27" s="169">
        <v>39.200000000000003</v>
      </c>
      <c r="I27" s="169">
        <v>39.200000000000003</v>
      </c>
      <c r="J27" s="169">
        <v>0</v>
      </c>
      <c r="K27" s="169">
        <v>0</v>
      </c>
      <c r="L27" s="169">
        <v>39.200000000000003</v>
      </c>
      <c r="M27" s="169">
        <v>39.200000000000003</v>
      </c>
      <c r="N27" s="169">
        <v>0</v>
      </c>
      <c r="O27" s="169">
        <v>0</v>
      </c>
      <c r="P27" s="169"/>
      <c r="Q27" s="25"/>
    </row>
    <row r="28" spans="1:17" ht="15">
      <c r="A28" s="220"/>
      <c r="B28" s="222"/>
      <c r="C28" s="174" t="s">
        <v>276</v>
      </c>
      <c r="D28" s="169">
        <v>29</v>
      </c>
      <c r="E28" s="169">
        <v>29</v>
      </c>
      <c r="F28" s="169">
        <v>0</v>
      </c>
      <c r="G28" s="169">
        <v>0</v>
      </c>
      <c r="H28" s="169">
        <v>29</v>
      </c>
      <c r="I28" s="169">
        <v>29</v>
      </c>
      <c r="J28" s="169">
        <v>0</v>
      </c>
      <c r="K28" s="169">
        <v>0</v>
      </c>
      <c r="L28" s="169">
        <v>29</v>
      </c>
      <c r="M28" s="169">
        <v>29</v>
      </c>
      <c r="N28" s="169">
        <v>0</v>
      </c>
      <c r="O28" s="169">
        <v>0</v>
      </c>
      <c r="P28" s="169"/>
      <c r="Q28" s="25"/>
    </row>
    <row r="29" spans="1:17" ht="15">
      <c r="A29" s="220"/>
      <c r="B29" s="222"/>
      <c r="C29" s="174" t="s">
        <v>277</v>
      </c>
      <c r="D29" s="169">
        <v>0.7</v>
      </c>
      <c r="E29" s="169">
        <v>0.7</v>
      </c>
      <c r="F29" s="169">
        <v>0</v>
      </c>
      <c r="G29" s="169">
        <v>0</v>
      </c>
      <c r="H29" s="169">
        <v>0.7</v>
      </c>
      <c r="I29" s="169">
        <v>0.7</v>
      </c>
      <c r="J29" s="169">
        <v>0</v>
      </c>
      <c r="K29" s="169">
        <v>0</v>
      </c>
      <c r="L29" s="169">
        <v>0.5</v>
      </c>
      <c r="M29" s="169">
        <v>0.5</v>
      </c>
      <c r="N29" s="169">
        <v>0</v>
      </c>
      <c r="O29" s="169">
        <v>0</v>
      </c>
      <c r="P29" s="169"/>
      <c r="Q29" s="25"/>
    </row>
    <row r="30" spans="1:17" ht="15">
      <c r="A30" s="220"/>
      <c r="B30" s="222"/>
      <c r="C30" s="174" t="s">
        <v>278</v>
      </c>
      <c r="D30" s="169">
        <v>9.1999999999999993</v>
      </c>
      <c r="E30" s="169">
        <v>9.1999999999999993</v>
      </c>
      <c r="F30" s="169">
        <v>0</v>
      </c>
      <c r="G30" s="169">
        <v>0</v>
      </c>
      <c r="H30" s="169">
        <v>7.5</v>
      </c>
      <c r="I30" s="169">
        <v>7.5</v>
      </c>
      <c r="J30" s="169">
        <v>0</v>
      </c>
      <c r="K30" s="169">
        <v>0</v>
      </c>
      <c r="L30" s="169">
        <v>3.6</v>
      </c>
      <c r="M30" s="169">
        <v>3.6</v>
      </c>
      <c r="N30" s="169">
        <v>0</v>
      </c>
      <c r="O30" s="169">
        <v>0</v>
      </c>
      <c r="P30" s="169"/>
      <c r="Q30" s="25"/>
    </row>
    <row r="31" spans="1:17" ht="15">
      <c r="A31" s="220"/>
      <c r="B31" s="222"/>
      <c r="C31" s="174" t="s">
        <v>268</v>
      </c>
      <c r="D31" s="169">
        <v>2902.9</v>
      </c>
      <c r="E31" s="169">
        <v>2361</v>
      </c>
      <c r="F31" s="169">
        <v>1186.2</v>
      </c>
      <c r="G31" s="169">
        <v>541.9</v>
      </c>
      <c r="H31" s="169">
        <v>2524.9</v>
      </c>
      <c r="I31" s="169">
        <v>1983</v>
      </c>
      <c r="J31" s="169">
        <v>936.2</v>
      </c>
      <c r="K31" s="169">
        <v>541.9</v>
      </c>
      <c r="L31" s="169">
        <v>1849.4</v>
      </c>
      <c r="M31" s="169">
        <v>1455.4</v>
      </c>
      <c r="N31" s="169">
        <v>727</v>
      </c>
      <c r="O31" s="169">
        <v>394</v>
      </c>
      <c r="P31" s="169"/>
      <c r="Q31" s="25"/>
    </row>
    <row r="32" spans="1:17" ht="15">
      <c r="A32" s="220"/>
      <c r="B32" s="222"/>
      <c r="C32" s="174" t="s">
        <v>270</v>
      </c>
      <c r="D32" s="169">
        <v>57.9</v>
      </c>
      <c r="E32" s="169">
        <v>57.9</v>
      </c>
      <c r="F32" s="169">
        <v>0</v>
      </c>
      <c r="G32" s="169">
        <v>0</v>
      </c>
      <c r="H32" s="169">
        <v>57.9</v>
      </c>
      <c r="I32" s="169">
        <v>57.9</v>
      </c>
      <c r="J32" s="169">
        <v>0</v>
      </c>
      <c r="K32" s="169">
        <v>0</v>
      </c>
      <c r="L32" s="169">
        <v>29.9</v>
      </c>
      <c r="M32" s="169">
        <v>29.9</v>
      </c>
      <c r="N32" s="169">
        <v>0</v>
      </c>
      <c r="O32" s="169">
        <v>0</v>
      </c>
      <c r="P32" s="169"/>
      <c r="Q32" s="25"/>
    </row>
    <row r="33" spans="1:17" ht="15">
      <c r="A33" s="220"/>
      <c r="B33" s="219"/>
      <c r="C33" s="174" t="s">
        <v>271</v>
      </c>
      <c r="D33" s="169">
        <v>28</v>
      </c>
      <c r="E33" s="169">
        <v>0</v>
      </c>
      <c r="F33" s="169">
        <v>0</v>
      </c>
      <c r="G33" s="169">
        <v>28</v>
      </c>
      <c r="H33" s="169">
        <v>28</v>
      </c>
      <c r="I33" s="169">
        <v>0</v>
      </c>
      <c r="J33" s="169">
        <v>0</v>
      </c>
      <c r="K33" s="169">
        <v>28</v>
      </c>
      <c r="L33" s="169">
        <v>0</v>
      </c>
      <c r="M33" s="169">
        <v>0</v>
      </c>
      <c r="N33" s="169">
        <v>0</v>
      </c>
      <c r="O33" s="169">
        <v>0</v>
      </c>
      <c r="P33" s="169"/>
      <c r="Q33" s="25"/>
    </row>
    <row r="34" spans="1:17" ht="15">
      <c r="A34" s="220"/>
      <c r="B34" s="218" t="s">
        <v>351</v>
      </c>
      <c r="C34" s="174" t="s">
        <v>273</v>
      </c>
      <c r="D34" s="169">
        <v>63.1</v>
      </c>
      <c r="E34" s="169">
        <v>63.1</v>
      </c>
      <c r="F34" s="169">
        <v>0</v>
      </c>
      <c r="G34" s="169">
        <v>0</v>
      </c>
      <c r="H34" s="169">
        <v>57</v>
      </c>
      <c r="I34" s="169">
        <v>57</v>
      </c>
      <c r="J34" s="169">
        <v>0</v>
      </c>
      <c r="K34" s="169">
        <v>0</v>
      </c>
      <c r="L34" s="169">
        <v>18.399999999999999</v>
      </c>
      <c r="M34" s="169">
        <v>18.399999999999999</v>
      </c>
      <c r="N34" s="169">
        <v>0</v>
      </c>
      <c r="O34" s="169">
        <v>0</v>
      </c>
      <c r="P34" s="169"/>
      <c r="Q34" s="25"/>
    </row>
    <row r="35" spans="1:17" ht="15">
      <c r="A35" s="220"/>
      <c r="B35" s="222"/>
      <c r="C35" s="174" t="s">
        <v>265</v>
      </c>
      <c r="D35" s="169">
        <v>2084.8000000000002</v>
      </c>
      <c r="E35" s="169">
        <v>898.8</v>
      </c>
      <c r="F35" s="169">
        <v>76.400000000000006</v>
      </c>
      <c r="G35" s="169">
        <v>1186</v>
      </c>
      <c r="H35" s="169">
        <v>1948.1</v>
      </c>
      <c r="I35" s="169">
        <v>762.1</v>
      </c>
      <c r="J35" s="169">
        <v>76.400000000000006</v>
      </c>
      <c r="K35" s="169">
        <v>1186</v>
      </c>
      <c r="L35" s="169">
        <v>777.8</v>
      </c>
      <c r="M35" s="169">
        <v>333.8</v>
      </c>
      <c r="N35" s="169">
        <v>0</v>
      </c>
      <c r="O35" s="169">
        <v>444</v>
      </c>
      <c r="P35" s="169"/>
      <c r="Q35" s="25"/>
    </row>
    <row r="36" spans="1:17" ht="15">
      <c r="A36" s="220"/>
      <c r="B36" s="222"/>
      <c r="C36" s="174" t="s">
        <v>268</v>
      </c>
      <c r="D36" s="169">
        <v>622.6</v>
      </c>
      <c r="E36" s="169">
        <v>550.20000000000005</v>
      </c>
      <c r="F36" s="169">
        <v>142.6</v>
      </c>
      <c r="G36" s="169">
        <v>72.400000000000006</v>
      </c>
      <c r="H36" s="169">
        <v>509.4</v>
      </c>
      <c r="I36" s="169">
        <v>437</v>
      </c>
      <c r="J36" s="169">
        <v>107</v>
      </c>
      <c r="K36" s="169">
        <v>72.400000000000006</v>
      </c>
      <c r="L36" s="169">
        <v>400.2</v>
      </c>
      <c r="M36" s="169">
        <v>376.7</v>
      </c>
      <c r="N36" s="169">
        <v>101.4</v>
      </c>
      <c r="O36" s="169">
        <v>23.5</v>
      </c>
      <c r="P36" s="169"/>
      <c r="Q36" s="25"/>
    </row>
    <row r="37" spans="1:17" ht="15">
      <c r="A37" s="220"/>
      <c r="B37" s="219"/>
      <c r="C37" s="174" t="s">
        <v>271</v>
      </c>
      <c r="D37" s="169">
        <v>349.1</v>
      </c>
      <c r="E37" s="169">
        <v>159.19999999999999</v>
      </c>
      <c r="F37" s="169">
        <v>13.5</v>
      </c>
      <c r="G37" s="169">
        <v>189.9</v>
      </c>
      <c r="H37" s="169">
        <v>334.9</v>
      </c>
      <c r="I37" s="169">
        <v>145</v>
      </c>
      <c r="J37" s="169">
        <v>13.5</v>
      </c>
      <c r="K37" s="169">
        <v>189.9</v>
      </c>
      <c r="L37" s="169">
        <v>138</v>
      </c>
      <c r="M37" s="169">
        <v>59.7</v>
      </c>
      <c r="N37" s="169">
        <v>0</v>
      </c>
      <c r="O37" s="169">
        <v>78.3</v>
      </c>
      <c r="P37" s="169"/>
      <c r="Q37" s="25"/>
    </row>
    <row r="38" spans="1:17" ht="15">
      <c r="A38" s="220"/>
      <c r="B38" s="218" t="s">
        <v>350</v>
      </c>
      <c r="C38" s="174" t="s">
        <v>265</v>
      </c>
      <c r="D38" s="169">
        <v>1128.3</v>
      </c>
      <c r="E38" s="169">
        <v>50</v>
      </c>
      <c r="F38" s="169">
        <v>0</v>
      </c>
      <c r="G38" s="169">
        <v>1078.3</v>
      </c>
      <c r="H38" s="169">
        <v>835</v>
      </c>
      <c r="I38" s="169">
        <v>50</v>
      </c>
      <c r="J38" s="169">
        <v>0</v>
      </c>
      <c r="K38" s="169">
        <v>785</v>
      </c>
      <c r="L38" s="169">
        <v>73.900000000000006</v>
      </c>
      <c r="M38" s="169">
        <v>0</v>
      </c>
      <c r="N38" s="169">
        <v>0</v>
      </c>
      <c r="O38" s="169">
        <v>73.900000000000006</v>
      </c>
      <c r="P38" s="169"/>
      <c r="Q38" s="25"/>
    </row>
    <row r="39" spans="1:17" ht="15">
      <c r="A39" s="220"/>
      <c r="B39" s="222"/>
      <c r="C39" s="174" t="s">
        <v>277</v>
      </c>
      <c r="D39" s="169">
        <v>7.3</v>
      </c>
      <c r="E39" s="169">
        <v>7.3</v>
      </c>
      <c r="F39" s="169">
        <v>0</v>
      </c>
      <c r="G39" s="169">
        <v>0</v>
      </c>
      <c r="H39" s="169">
        <v>7.3</v>
      </c>
      <c r="I39" s="169">
        <v>7.3</v>
      </c>
      <c r="J39" s="169">
        <v>0</v>
      </c>
      <c r="K39" s="169">
        <v>0</v>
      </c>
      <c r="L39" s="169">
        <v>7.3</v>
      </c>
      <c r="M39" s="169">
        <v>7.3</v>
      </c>
      <c r="N39" s="169">
        <v>0</v>
      </c>
      <c r="O39" s="169">
        <v>0</v>
      </c>
      <c r="P39" s="169"/>
      <c r="Q39" s="25"/>
    </row>
    <row r="40" spans="1:17" ht="15">
      <c r="A40" s="220"/>
      <c r="B40" s="222"/>
      <c r="C40" s="174" t="s">
        <v>278</v>
      </c>
      <c r="D40" s="169">
        <v>26</v>
      </c>
      <c r="E40" s="169">
        <v>26</v>
      </c>
      <c r="F40" s="169">
        <v>0</v>
      </c>
      <c r="G40" s="169">
        <v>0</v>
      </c>
      <c r="H40" s="169">
        <v>21</v>
      </c>
      <c r="I40" s="169">
        <v>21</v>
      </c>
      <c r="J40" s="169">
        <v>0</v>
      </c>
      <c r="K40" s="169">
        <v>0</v>
      </c>
      <c r="L40" s="169">
        <v>14.5</v>
      </c>
      <c r="M40" s="169">
        <v>14.5</v>
      </c>
      <c r="N40" s="169">
        <v>0</v>
      </c>
      <c r="O40" s="169">
        <v>0</v>
      </c>
      <c r="P40" s="169"/>
      <c r="Q40" s="25"/>
    </row>
    <row r="41" spans="1:17" ht="15">
      <c r="A41" s="220"/>
      <c r="B41" s="222"/>
      <c r="C41" s="174" t="s">
        <v>268</v>
      </c>
      <c r="D41" s="169">
        <v>5649.1</v>
      </c>
      <c r="E41" s="169">
        <v>5547.8</v>
      </c>
      <c r="F41" s="169">
        <v>0</v>
      </c>
      <c r="G41" s="169">
        <v>101.3</v>
      </c>
      <c r="H41" s="169">
        <v>4976</v>
      </c>
      <c r="I41" s="169">
        <v>4874.7</v>
      </c>
      <c r="J41" s="169">
        <v>0</v>
      </c>
      <c r="K41" s="169">
        <v>101.3</v>
      </c>
      <c r="L41" s="169">
        <v>3938.7</v>
      </c>
      <c r="M41" s="169">
        <v>3861.7</v>
      </c>
      <c r="N41" s="169">
        <v>0</v>
      </c>
      <c r="O41" s="169">
        <v>77</v>
      </c>
      <c r="P41" s="169"/>
      <c r="Q41" s="25"/>
    </row>
    <row r="42" spans="1:17" ht="28.5">
      <c r="A42" s="220"/>
      <c r="B42" s="222"/>
      <c r="C42" s="174" t="s">
        <v>269</v>
      </c>
      <c r="D42" s="169">
        <v>190.6</v>
      </c>
      <c r="E42" s="169">
        <v>0</v>
      </c>
      <c r="F42" s="169">
        <v>0</v>
      </c>
      <c r="G42" s="169">
        <v>190.6</v>
      </c>
      <c r="H42" s="169">
        <v>190.6</v>
      </c>
      <c r="I42" s="169">
        <v>0</v>
      </c>
      <c r="J42" s="169">
        <v>0</v>
      </c>
      <c r="K42" s="169">
        <v>190.6</v>
      </c>
      <c r="L42" s="169">
        <v>0</v>
      </c>
      <c r="M42" s="169">
        <v>0</v>
      </c>
      <c r="N42" s="169">
        <v>0</v>
      </c>
      <c r="O42" s="169">
        <v>0</v>
      </c>
      <c r="P42" s="169"/>
      <c r="Q42" s="25"/>
    </row>
    <row r="43" spans="1:17" ht="15">
      <c r="A43" s="220"/>
      <c r="B43" s="222"/>
      <c r="C43" s="174" t="s">
        <v>270</v>
      </c>
      <c r="D43" s="169">
        <v>4747.5</v>
      </c>
      <c r="E43" s="169">
        <v>4747.5</v>
      </c>
      <c r="F43" s="169">
        <v>38.700000000000003</v>
      </c>
      <c r="G43" s="169">
        <v>0</v>
      </c>
      <c r="H43" s="169">
        <v>4102.7</v>
      </c>
      <c r="I43" s="169">
        <v>4102.7</v>
      </c>
      <c r="J43" s="169">
        <v>30.1</v>
      </c>
      <c r="K43" s="169">
        <v>0</v>
      </c>
      <c r="L43" s="169">
        <v>3217.3</v>
      </c>
      <c r="M43" s="169">
        <v>3217.3</v>
      </c>
      <c r="N43" s="169">
        <v>26.1</v>
      </c>
      <c r="O43" s="169">
        <v>0</v>
      </c>
      <c r="P43" s="169"/>
      <c r="Q43" s="25"/>
    </row>
    <row r="44" spans="1:17" ht="28.5">
      <c r="A44" s="220"/>
      <c r="B44" s="219"/>
      <c r="C44" s="174" t="s">
        <v>279</v>
      </c>
      <c r="D44" s="169">
        <v>44.9</v>
      </c>
      <c r="E44" s="169">
        <v>44.9</v>
      </c>
      <c r="F44" s="169">
        <v>0</v>
      </c>
      <c r="G44" s="169">
        <v>0</v>
      </c>
      <c r="H44" s="169">
        <v>44.9</v>
      </c>
      <c r="I44" s="169">
        <v>44.9</v>
      </c>
      <c r="J44" s="169">
        <v>0</v>
      </c>
      <c r="K44" s="169">
        <v>0</v>
      </c>
      <c r="L44" s="169">
        <v>43.9</v>
      </c>
      <c r="M44" s="169">
        <v>43.9</v>
      </c>
      <c r="N44" s="169">
        <v>0</v>
      </c>
      <c r="O44" s="169">
        <v>0</v>
      </c>
      <c r="P44" s="169"/>
      <c r="Q44" s="25"/>
    </row>
    <row r="45" spans="1:17" ht="15">
      <c r="A45" s="220"/>
      <c r="B45" s="218" t="s">
        <v>349</v>
      </c>
      <c r="C45" s="174" t="s">
        <v>265</v>
      </c>
      <c r="D45" s="169">
        <v>953.6</v>
      </c>
      <c r="E45" s="169">
        <v>0</v>
      </c>
      <c r="F45" s="169">
        <v>0</v>
      </c>
      <c r="G45" s="169">
        <v>953.6</v>
      </c>
      <c r="H45" s="169">
        <v>753.6</v>
      </c>
      <c r="I45" s="169">
        <v>0</v>
      </c>
      <c r="J45" s="169">
        <v>0</v>
      </c>
      <c r="K45" s="169">
        <v>753.6</v>
      </c>
      <c r="L45" s="169">
        <v>0</v>
      </c>
      <c r="M45" s="169">
        <v>0</v>
      </c>
      <c r="N45" s="169">
        <v>0</v>
      </c>
      <c r="O45" s="169">
        <v>0</v>
      </c>
      <c r="P45" s="169"/>
      <c r="Q45" s="25"/>
    </row>
    <row r="46" spans="1:17" ht="15">
      <c r="A46" s="220"/>
      <c r="B46" s="222"/>
      <c r="C46" s="174" t="s">
        <v>280</v>
      </c>
      <c r="D46" s="169">
        <v>3852.9</v>
      </c>
      <c r="E46" s="169">
        <v>0</v>
      </c>
      <c r="F46" s="169">
        <v>0</v>
      </c>
      <c r="G46" s="169">
        <v>3852.9</v>
      </c>
      <c r="H46" s="169">
        <v>3400</v>
      </c>
      <c r="I46" s="169">
        <v>0</v>
      </c>
      <c r="J46" s="169">
        <v>0</v>
      </c>
      <c r="K46" s="169">
        <v>3400</v>
      </c>
      <c r="L46" s="169">
        <v>1617.9</v>
      </c>
      <c r="M46" s="169">
        <v>0</v>
      </c>
      <c r="N46" s="169">
        <v>0</v>
      </c>
      <c r="O46" s="169">
        <v>1617.9</v>
      </c>
      <c r="P46" s="169"/>
      <c r="Q46" s="25"/>
    </row>
    <row r="47" spans="1:17" ht="15">
      <c r="A47" s="220"/>
      <c r="B47" s="222"/>
      <c r="C47" s="174" t="s">
        <v>277</v>
      </c>
      <c r="D47" s="169">
        <v>137.1</v>
      </c>
      <c r="E47" s="169">
        <v>0</v>
      </c>
      <c r="F47" s="169">
        <v>0</v>
      </c>
      <c r="G47" s="169">
        <v>137.1</v>
      </c>
      <c r="H47" s="169">
        <v>137.1</v>
      </c>
      <c r="I47" s="169">
        <v>0</v>
      </c>
      <c r="J47" s="169">
        <v>0</v>
      </c>
      <c r="K47" s="169">
        <v>137.1</v>
      </c>
      <c r="L47" s="169">
        <v>111.3</v>
      </c>
      <c r="M47" s="169">
        <v>0</v>
      </c>
      <c r="N47" s="169">
        <v>0</v>
      </c>
      <c r="O47" s="169">
        <v>111.3</v>
      </c>
      <c r="P47" s="169"/>
      <c r="Q47" s="25"/>
    </row>
    <row r="48" spans="1:17" ht="15">
      <c r="A48" s="220"/>
      <c r="B48" s="222"/>
      <c r="C48" s="174" t="s">
        <v>278</v>
      </c>
      <c r="D48" s="169">
        <v>857.2</v>
      </c>
      <c r="E48" s="169">
        <v>7.2</v>
      </c>
      <c r="F48" s="169">
        <v>0</v>
      </c>
      <c r="G48" s="169">
        <v>850</v>
      </c>
      <c r="H48" s="169">
        <v>805.4</v>
      </c>
      <c r="I48" s="169">
        <v>5.4</v>
      </c>
      <c r="J48" s="169">
        <v>0</v>
      </c>
      <c r="K48" s="169">
        <v>800</v>
      </c>
      <c r="L48" s="169">
        <v>327</v>
      </c>
      <c r="M48" s="169">
        <v>2.6</v>
      </c>
      <c r="N48" s="169">
        <v>0</v>
      </c>
      <c r="O48" s="169">
        <v>324.39999999999998</v>
      </c>
      <c r="P48" s="169"/>
      <c r="Q48" s="25"/>
    </row>
    <row r="49" spans="1:17" ht="15">
      <c r="A49" s="220"/>
      <c r="B49" s="222"/>
      <c r="C49" s="174" t="s">
        <v>268</v>
      </c>
      <c r="D49" s="169">
        <v>10342.1</v>
      </c>
      <c r="E49" s="169">
        <v>3439.7</v>
      </c>
      <c r="F49" s="169">
        <v>0</v>
      </c>
      <c r="G49" s="169">
        <v>6902.4</v>
      </c>
      <c r="H49" s="169">
        <v>9298.7000000000007</v>
      </c>
      <c r="I49" s="169">
        <v>3147.8</v>
      </c>
      <c r="J49" s="169">
        <v>0</v>
      </c>
      <c r="K49" s="169">
        <v>6150.9</v>
      </c>
      <c r="L49" s="169">
        <v>6420.9</v>
      </c>
      <c r="M49" s="169">
        <v>2444.8000000000002</v>
      </c>
      <c r="N49" s="169">
        <v>0</v>
      </c>
      <c r="O49" s="169">
        <v>3976.1</v>
      </c>
      <c r="P49" s="169"/>
      <c r="Q49" s="25"/>
    </row>
    <row r="50" spans="1:17" ht="28.5">
      <c r="A50" s="220"/>
      <c r="B50" s="222"/>
      <c r="C50" s="174" t="s">
        <v>269</v>
      </c>
      <c r="D50" s="169">
        <v>85</v>
      </c>
      <c r="E50" s="169">
        <v>0</v>
      </c>
      <c r="F50" s="169">
        <v>0</v>
      </c>
      <c r="G50" s="169">
        <v>85</v>
      </c>
      <c r="H50" s="169">
        <v>85</v>
      </c>
      <c r="I50" s="169">
        <v>0</v>
      </c>
      <c r="J50" s="169">
        <v>0</v>
      </c>
      <c r="K50" s="169">
        <v>85</v>
      </c>
      <c r="L50" s="169">
        <v>0</v>
      </c>
      <c r="M50" s="169">
        <v>0</v>
      </c>
      <c r="N50" s="169">
        <v>0</v>
      </c>
      <c r="O50" s="169">
        <v>0</v>
      </c>
      <c r="P50" s="169"/>
      <c r="Q50" s="25"/>
    </row>
    <row r="51" spans="1:17" ht="15">
      <c r="A51" s="220"/>
      <c r="B51" s="222"/>
      <c r="C51" s="174" t="s">
        <v>270</v>
      </c>
      <c r="D51" s="169">
        <v>1060</v>
      </c>
      <c r="E51" s="169">
        <v>1060</v>
      </c>
      <c r="F51" s="169">
        <v>0</v>
      </c>
      <c r="G51" s="169">
        <v>0</v>
      </c>
      <c r="H51" s="169">
        <v>932</v>
      </c>
      <c r="I51" s="169">
        <v>932</v>
      </c>
      <c r="J51" s="169">
        <v>0</v>
      </c>
      <c r="K51" s="169">
        <v>0</v>
      </c>
      <c r="L51" s="169">
        <v>872</v>
      </c>
      <c r="M51" s="169">
        <v>872</v>
      </c>
      <c r="N51" s="169">
        <v>0</v>
      </c>
      <c r="O51" s="169">
        <v>0</v>
      </c>
      <c r="P51" s="169"/>
      <c r="Q51" s="25"/>
    </row>
    <row r="52" spans="1:17" ht="15">
      <c r="A52" s="220"/>
      <c r="B52" s="219"/>
      <c r="C52" s="174" t="s">
        <v>281</v>
      </c>
      <c r="D52" s="169">
        <v>2161.6999999999998</v>
      </c>
      <c r="E52" s="169">
        <v>2052</v>
      </c>
      <c r="F52" s="169">
        <v>0</v>
      </c>
      <c r="G52" s="169">
        <v>109.7</v>
      </c>
      <c r="H52" s="169">
        <v>2030.4</v>
      </c>
      <c r="I52" s="169">
        <v>1920.7</v>
      </c>
      <c r="J52" s="169">
        <v>0</v>
      </c>
      <c r="K52" s="169">
        <v>109.7</v>
      </c>
      <c r="L52" s="169">
        <v>1441.3</v>
      </c>
      <c r="M52" s="169">
        <v>1406.6</v>
      </c>
      <c r="N52" s="169">
        <v>0</v>
      </c>
      <c r="O52" s="169">
        <v>34.700000000000003</v>
      </c>
      <c r="P52" s="169"/>
      <c r="Q52" s="25"/>
    </row>
    <row r="53" spans="1:17" ht="84" customHeight="1">
      <c r="A53" s="220"/>
      <c r="B53" s="173" t="s">
        <v>346</v>
      </c>
      <c r="C53" s="174" t="s">
        <v>268</v>
      </c>
      <c r="D53" s="169">
        <v>3551.4</v>
      </c>
      <c r="E53" s="169">
        <v>905</v>
      </c>
      <c r="F53" s="169">
        <v>0</v>
      </c>
      <c r="G53" s="169">
        <v>2646.4</v>
      </c>
      <c r="H53" s="169">
        <v>3396.8</v>
      </c>
      <c r="I53" s="169">
        <v>750.4</v>
      </c>
      <c r="J53" s="169">
        <v>0</v>
      </c>
      <c r="K53" s="169">
        <v>2646.4</v>
      </c>
      <c r="L53" s="169">
        <v>2649.6</v>
      </c>
      <c r="M53" s="169">
        <v>478.4</v>
      </c>
      <c r="N53" s="169">
        <v>0</v>
      </c>
      <c r="O53" s="169">
        <v>2171.1999999999998</v>
      </c>
      <c r="P53" s="169"/>
      <c r="Q53" s="25"/>
    </row>
    <row r="54" spans="1:17" ht="15">
      <c r="A54" s="220"/>
      <c r="B54" s="218" t="s">
        <v>348</v>
      </c>
      <c r="C54" s="174" t="s">
        <v>282</v>
      </c>
      <c r="D54" s="169">
        <v>2069</v>
      </c>
      <c r="E54" s="169">
        <v>0</v>
      </c>
      <c r="F54" s="169">
        <v>0</v>
      </c>
      <c r="G54" s="169">
        <v>2069</v>
      </c>
      <c r="H54" s="169">
        <v>2069</v>
      </c>
      <c r="I54" s="169">
        <v>0</v>
      </c>
      <c r="J54" s="169">
        <v>0</v>
      </c>
      <c r="K54" s="169">
        <v>2069</v>
      </c>
      <c r="L54" s="169">
        <v>2069</v>
      </c>
      <c r="M54" s="169">
        <v>0</v>
      </c>
      <c r="N54" s="169">
        <v>0</v>
      </c>
      <c r="O54" s="169">
        <v>2069</v>
      </c>
      <c r="P54" s="169"/>
      <c r="Q54" s="25"/>
    </row>
    <row r="55" spans="1:17" ht="15">
      <c r="A55" s="220"/>
      <c r="B55" s="222"/>
      <c r="C55" s="174" t="s">
        <v>268</v>
      </c>
      <c r="D55" s="169">
        <v>4687</v>
      </c>
      <c r="E55" s="169">
        <v>1464.1</v>
      </c>
      <c r="F55" s="169">
        <v>368.8</v>
      </c>
      <c r="G55" s="169">
        <v>3222.9</v>
      </c>
      <c r="H55" s="169">
        <v>4431.5</v>
      </c>
      <c r="I55" s="169">
        <v>1208.5999999999999</v>
      </c>
      <c r="J55" s="169">
        <v>277.10000000000002</v>
      </c>
      <c r="K55" s="169">
        <v>3222.9</v>
      </c>
      <c r="L55" s="169">
        <v>4126.7</v>
      </c>
      <c r="M55" s="169">
        <v>904.8</v>
      </c>
      <c r="N55" s="169">
        <v>268</v>
      </c>
      <c r="O55" s="169">
        <v>3221.9</v>
      </c>
      <c r="P55" s="169"/>
      <c r="Q55" s="25"/>
    </row>
    <row r="56" spans="1:17" ht="15">
      <c r="A56" s="220"/>
      <c r="B56" s="222"/>
      <c r="C56" s="174" t="s">
        <v>283</v>
      </c>
      <c r="D56" s="169">
        <v>4000</v>
      </c>
      <c r="E56" s="169">
        <v>0</v>
      </c>
      <c r="F56" s="169">
        <v>0</v>
      </c>
      <c r="G56" s="169">
        <v>4000</v>
      </c>
      <c r="H56" s="169">
        <v>4000</v>
      </c>
      <c r="I56" s="169">
        <v>0</v>
      </c>
      <c r="J56" s="169">
        <v>0</v>
      </c>
      <c r="K56" s="169">
        <v>4000</v>
      </c>
      <c r="L56" s="169">
        <v>4000</v>
      </c>
      <c r="M56" s="169">
        <v>0</v>
      </c>
      <c r="N56" s="169">
        <v>0</v>
      </c>
      <c r="O56" s="169">
        <v>4000</v>
      </c>
      <c r="P56" s="169"/>
      <c r="Q56" s="25"/>
    </row>
    <row r="57" spans="1:17" ht="15">
      <c r="A57" s="220"/>
      <c r="B57" s="219"/>
      <c r="C57" s="174" t="s">
        <v>272</v>
      </c>
      <c r="D57" s="169">
        <v>292.60000000000002</v>
      </c>
      <c r="E57" s="169">
        <v>0</v>
      </c>
      <c r="F57" s="169">
        <v>0</v>
      </c>
      <c r="G57" s="169">
        <v>292.60000000000002</v>
      </c>
      <c r="H57" s="169">
        <v>292.60000000000002</v>
      </c>
      <c r="I57" s="169">
        <v>0</v>
      </c>
      <c r="J57" s="169">
        <v>0</v>
      </c>
      <c r="K57" s="169">
        <v>292.60000000000002</v>
      </c>
      <c r="L57" s="169">
        <v>292.60000000000002</v>
      </c>
      <c r="M57" s="169">
        <v>0</v>
      </c>
      <c r="N57" s="169">
        <v>0</v>
      </c>
      <c r="O57" s="169">
        <v>292.60000000000002</v>
      </c>
      <c r="P57" s="169"/>
      <c r="Q57" s="25"/>
    </row>
    <row r="58" spans="1:17" ht="15">
      <c r="A58" s="220"/>
      <c r="B58" s="218" t="s">
        <v>347</v>
      </c>
      <c r="C58" s="174" t="s">
        <v>265</v>
      </c>
      <c r="D58" s="169">
        <v>2081.6999999999998</v>
      </c>
      <c r="E58" s="169">
        <v>67.599999999999994</v>
      </c>
      <c r="F58" s="169">
        <v>66.599999999999994</v>
      </c>
      <c r="G58" s="169">
        <v>2014.1</v>
      </c>
      <c r="H58" s="169">
        <v>1614.4</v>
      </c>
      <c r="I58" s="169">
        <v>52.3</v>
      </c>
      <c r="J58" s="169">
        <v>51.4</v>
      </c>
      <c r="K58" s="169">
        <v>1562.1</v>
      </c>
      <c r="L58" s="169">
        <v>211.7</v>
      </c>
      <c r="M58" s="169">
        <v>45.2</v>
      </c>
      <c r="N58" s="169">
        <v>44.5</v>
      </c>
      <c r="O58" s="169">
        <v>166.5</v>
      </c>
      <c r="P58" s="169"/>
      <c r="Q58" s="25"/>
    </row>
    <row r="59" spans="1:17" ht="15">
      <c r="A59" s="220"/>
      <c r="B59" s="222"/>
      <c r="C59" s="174" t="s">
        <v>282</v>
      </c>
      <c r="D59" s="169">
        <v>209.8</v>
      </c>
      <c r="E59" s="169">
        <v>0</v>
      </c>
      <c r="F59" s="169">
        <v>0</v>
      </c>
      <c r="G59" s="169">
        <v>209.8</v>
      </c>
      <c r="H59" s="169">
        <v>209.8</v>
      </c>
      <c r="I59" s="169">
        <v>0</v>
      </c>
      <c r="J59" s="169">
        <v>0</v>
      </c>
      <c r="K59" s="169">
        <v>209.8</v>
      </c>
      <c r="L59" s="169">
        <v>42.2</v>
      </c>
      <c r="M59" s="169">
        <v>0</v>
      </c>
      <c r="N59" s="169">
        <v>0</v>
      </c>
      <c r="O59" s="169">
        <v>42.2</v>
      </c>
      <c r="P59" s="169"/>
      <c r="Q59" s="25"/>
    </row>
    <row r="60" spans="1:17" ht="15">
      <c r="A60" s="220"/>
      <c r="B60" s="222"/>
      <c r="C60" s="174" t="s">
        <v>284</v>
      </c>
      <c r="D60" s="169">
        <v>24</v>
      </c>
      <c r="E60" s="169">
        <v>24</v>
      </c>
      <c r="F60" s="169">
        <v>0</v>
      </c>
      <c r="G60" s="169">
        <v>0</v>
      </c>
      <c r="H60" s="169">
        <v>24</v>
      </c>
      <c r="I60" s="169">
        <v>24</v>
      </c>
      <c r="J60" s="169">
        <v>0</v>
      </c>
      <c r="K60" s="169">
        <v>0</v>
      </c>
      <c r="L60" s="169">
        <v>24</v>
      </c>
      <c r="M60" s="169">
        <v>24</v>
      </c>
      <c r="N60" s="169">
        <v>0</v>
      </c>
      <c r="O60" s="169">
        <v>0</v>
      </c>
      <c r="P60" s="169"/>
      <c r="Q60" s="25"/>
    </row>
    <row r="61" spans="1:17" ht="15">
      <c r="A61" s="220"/>
      <c r="B61" s="222"/>
      <c r="C61" s="174" t="s">
        <v>278</v>
      </c>
      <c r="D61" s="169">
        <v>102.5</v>
      </c>
      <c r="E61" s="169">
        <v>102.5</v>
      </c>
      <c r="F61" s="169">
        <v>0</v>
      </c>
      <c r="G61" s="169">
        <v>0</v>
      </c>
      <c r="H61" s="169">
        <v>78</v>
      </c>
      <c r="I61" s="169">
        <v>78</v>
      </c>
      <c r="J61" s="169">
        <v>0</v>
      </c>
      <c r="K61" s="169">
        <v>0</v>
      </c>
      <c r="L61" s="169">
        <v>59.2</v>
      </c>
      <c r="M61" s="169">
        <v>59.2</v>
      </c>
      <c r="N61" s="169">
        <v>0</v>
      </c>
      <c r="O61" s="169">
        <v>0</v>
      </c>
      <c r="P61" s="169"/>
      <c r="Q61" s="25"/>
    </row>
    <row r="62" spans="1:17" ht="15.75">
      <c r="A62" s="220"/>
      <c r="B62" s="222"/>
      <c r="C62" s="174" t="s">
        <v>268</v>
      </c>
      <c r="D62" s="169">
        <v>14767.7</v>
      </c>
      <c r="E62" s="169">
        <v>13401.3</v>
      </c>
      <c r="F62" s="169">
        <v>9391.7000000000007</v>
      </c>
      <c r="G62" s="169">
        <v>1366.4</v>
      </c>
      <c r="H62" s="169">
        <v>12113.3</v>
      </c>
      <c r="I62" s="169">
        <v>10782.2</v>
      </c>
      <c r="J62" s="169">
        <v>7543.2</v>
      </c>
      <c r="K62" s="169">
        <v>1331.1</v>
      </c>
      <c r="L62" s="169">
        <v>9216.2000000000007</v>
      </c>
      <c r="M62" s="169">
        <v>8638.7000000000007</v>
      </c>
      <c r="N62" s="169">
        <v>6790.3</v>
      </c>
      <c r="O62" s="169">
        <v>577.5</v>
      </c>
      <c r="P62" s="168"/>
      <c r="Q62" s="168"/>
    </row>
    <row r="63" spans="1:17" ht="15">
      <c r="A63" s="220"/>
      <c r="B63" s="222"/>
      <c r="C63" s="174" t="s">
        <v>270</v>
      </c>
      <c r="D63" s="169">
        <v>804.5</v>
      </c>
      <c r="E63" s="169">
        <v>796.1</v>
      </c>
      <c r="F63" s="169">
        <v>764.5</v>
      </c>
      <c r="G63" s="169">
        <v>8.4</v>
      </c>
      <c r="H63" s="169">
        <v>616.70000000000005</v>
      </c>
      <c r="I63" s="169">
        <v>608.29999999999995</v>
      </c>
      <c r="J63" s="169">
        <v>587.29999999999995</v>
      </c>
      <c r="K63" s="169">
        <v>8.4</v>
      </c>
      <c r="L63" s="169">
        <v>515.9</v>
      </c>
      <c r="M63" s="169">
        <v>515.9</v>
      </c>
      <c r="N63" s="169">
        <v>500.8</v>
      </c>
      <c r="O63" s="169">
        <v>0</v>
      </c>
      <c r="P63" s="169"/>
      <c r="Q63" s="25"/>
    </row>
    <row r="64" spans="1:17" ht="16.149999999999999" customHeight="1">
      <c r="A64" s="220"/>
      <c r="B64" s="222"/>
      <c r="C64" s="174" t="s">
        <v>279</v>
      </c>
      <c r="D64" s="169">
        <v>0.3</v>
      </c>
      <c r="E64" s="169">
        <v>0.3</v>
      </c>
      <c r="F64" s="169">
        <v>0.3</v>
      </c>
      <c r="G64" s="169">
        <v>0</v>
      </c>
      <c r="H64" s="169">
        <v>0.3</v>
      </c>
      <c r="I64" s="169">
        <v>0.3</v>
      </c>
      <c r="J64" s="169">
        <v>0.3</v>
      </c>
      <c r="K64" s="169">
        <v>0</v>
      </c>
      <c r="L64" s="169">
        <v>0</v>
      </c>
      <c r="M64" s="169">
        <v>0</v>
      </c>
      <c r="N64" s="169">
        <v>0</v>
      </c>
      <c r="O64" s="169">
        <v>0</v>
      </c>
      <c r="P64" s="169"/>
      <c r="Q64" s="25"/>
    </row>
    <row r="65" spans="1:17" ht="15.75">
      <c r="A65" s="183"/>
      <c r="B65" s="219"/>
      <c r="C65" s="174" t="s">
        <v>271</v>
      </c>
      <c r="D65" s="169">
        <v>14.4</v>
      </c>
      <c r="E65" s="169">
        <v>14.4</v>
      </c>
      <c r="F65" s="169">
        <v>14.1</v>
      </c>
      <c r="G65" s="169">
        <v>0</v>
      </c>
      <c r="H65" s="169">
        <v>12.2</v>
      </c>
      <c r="I65" s="169">
        <v>12.2</v>
      </c>
      <c r="J65" s="169">
        <v>11.9</v>
      </c>
      <c r="K65" s="169">
        <v>0</v>
      </c>
      <c r="L65" s="169">
        <v>11.3</v>
      </c>
      <c r="M65" s="169">
        <v>11.3</v>
      </c>
      <c r="N65" s="169">
        <v>11.1</v>
      </c>
      <c r="O65" s="169">
        <v>0</v>
      </c>
      <c r="P65" s="168"/>
      <c r="Q65" s="168"/>
    </row>
    <row r="66" spans="1:17" ht="31.15" customHeight="1">
      <c r="A66" s="216" t="s">
        <v>285</v>
      </c>
      <c r="B66" s="217"/>
      <c r="C66" s="175"/>
      <c r="D66" s="167">
        <f t="shared" ref="D66:O66" si="1">SUBTOTAL(9,D67:D70)</f>
        <v>1814</v>
      </c>
      <c r="E66" s="167">
        <f t="shared" si="1"/>
        <v>1646.5</v>
      </c>
      <c r="F66" s="167">
        <f t="shared" si="1"/>
        <v>1438.7</v>
      </c>
      <c r="G66" s="167">
        <f t="shared" si="1"/>
        <v>167.5</v>
      </c>
      <c r="H66" s="167">
        <f t="shared" si="1"/>
        <v>1400.9999999999998</v>
      </c>
      <c r="I66" s="167">
        <f t="shared" si="1"/>
        <v>1255.1999999999998</v>
      </c>
      <c r="J66" s="167">
        <f t="shared" si="1"/>
        <v>1080</v>
      </c>
      <c r="K66" s="167">
        <f t="shared" si="1"/>
        <v>145.80000000000001</v>
      </c>
      <c r="L66" s="167">
        <f t="shared" si="1"/>
        <v>1304.8999999999999</v>
      </c>
      <c r="M66" s="167">
        <f t="shared" si="1"/>
        <v>1161.0999999999999</v>
      </c>
      <c r="N66" s="167">
        <f t="shared" si="1"/>
        <v>1017.1</v>
      </c>
      <c r="O66" s="167">
        <f t="shared" si="1"/>
        <v>143.80000000000001</v>
      </c>
      <c r="P66" s="168">
        <f>SUM(L66/D66*100)</f>
        <v>71.934950385887532</v>
      </c>
      <c r="Q66" s="168">
        <f>SUM(L66/H66*100)</f>
        <v>93.140613847251956</v>
      </c>
    </row>
    <row r="67" spans="1:17" ht="32.450000000000003" customHeight="1">
      <c r="A67" s="182"/>
      <c r="B67" s="218" t="s">
        <v>346</v>
      </c>
      <c r="C67" s="174" t="s">
        <v>278</v>
      </c>
      <c r="D67" s="169">
        <v>15</v>
      </c>
      <c r="E67" s="169">
        <v>15</v>
      </c>
      <c r="F67" s="169">
        <v>0</v>
      </c>
      <c r="G67" s="169">
        <v>0</v>
      </c>
      <c r="H67" s="169">
        <v>12.6</v>
      </c>
      <c r="I67" s="169">
        <v>12.6</v>
      </c>
      <c r="J67" s="169">
        <v>0</v>
      </c>
      <c r="K67" s="169">
        <v>0</v>
      </c>
      <c r="L67" s="169">
        <v>6.6</v>
      </c>
      <c r="M67" s="169">
        <v>6.6</v>
      </c>
      <c r="N67" s="169">
        <v>0</v>
      </c>
      <c r="O67" s="169">
        <v>0</v>
      </c>
      <c r="P67" s="168"/>
      <c r="Q67" s="168"/>
    </row>
    <row r="68" spans="1:17" ht="25.15" customHeight="1">
      <c r="A68" s="220"/>
      <c r="B68" s="222"/>
      <c r="C68" s="174" t="s">
        <v>268</v>
      </c>
      <c r="D68" s="169">
        <v>1682.2</v>
      </c>
      <c r="E68" s="169">
        <v>1631.5</v>
      </c>
      <c r="F68" s="169">
        <v>1438.7</v>
      </c>
      <c r="G68" s="169">
        <v>50.7</v>
      </c>
      <c r="H68" s="169">
        <v>1293.3</v>
      </c>
      <c r="I68" s="169">
        <v>1242.5999999999999</v>
      </c>
      <c r="J68" s="169">
        <v>1080</v>
      </c>
      <c r="K68" s="169">
        <v>50.7</v>
      </c>
      <c r="L68" s="169">
        <v>1203.2</v>
      </c>
      <c r="M68" s="169">
        <v>1154.5</v>
      </c>
      <c r="N68" s="169">
        <v>1017.1</v>
      </c>
      <c r="O68" s="169">
        <v>48.7</v>
      </c>
      <c r="P68" s="169"/>
      <c r="Q68" s="25"/>
    </row>
    <row r="69" spans="1:17" ht="34.9" customHeight="1">
      <c r="A69" s="220"/>
      <c r="B69" s="219"/>
      <c r="C69" s="174" t="s">
        <v>270</v>
      </c>
      <c r="D69" s="169">
        <v>86.8</v>
      </c>
      <c r="E69" s="169">
        <v>0</v>
      </c>
      <c r="F69" s="169">
        <v>0</v>
      </c>
      <c r="G69" s="169">
        <v>86.8</v>
      </c>
      <c r="H69" s="169">
        <v>65.099999999999994</v>
      </c>
      <c r="I69" s="169">
        <v>0</v>
      </c>
      <c r="J69" s="169">
        <v>0</v>
      </c>
      <c r="K69" s="169">
        <v>65.099999999999994</v>
      </c>
      <c r="L69" s="169">
        <v>65.099999999999994</v>
      </c>
      <c r="M69" s="169">
        <v>0</v>
      </c>
      <c r="N69" s="169">
        <v>0</v>
      </c>
      <c r="O69" s="169">
        <v>65.099999999999994</v>
      </c>
      <c r="P69" s="169"/>
      <c r="Q69" s="25"/>
    </row>
    <row r="70" spans="1:17" ht="84" customHeight="1">
      <c r="A70" s="183"/>
      <c r="B70" s="173" t="s">
        <v>347</v>
      </c>
      <c r="C70" s="174" t="s">
        <v>268</v>
      </c>
      <c r="D70" s="169">
        <v>30</v>
      </c>
      <c r="E70" s="169">
        <v>0</v>
      </c>
      <c r="F70" s="169">
        <v>0</v>
      </c>
      <c r="G70" s="169">
        <v>30</v>
      </c>
      <c r="H70" s="169">
        <v>30</v>
      </c>
      <c r="I70" s="169">
        <v>0</v>
      </c>
      <c r="J70" s="169">
        <v>0</v>
      </c>
      <c r="K70" s="169">
        <v>30</v>
      </c>
      <c r="L70" s="169">
        <v>30</v>
      </c>
      <c r="M70" s="169">
        <v>0</v>
      </c>
      <c r="N70" s="169">
        <v>0</v>
      </c>
      <c r="O70" s="169">
        <v>30</v>
      </c>
      <c r="P70" s="168"/>
      <c r="Q70" s="168"/>
    </row>
    <row r="71" spans="1:17" ht="46.15" customHeight="1">
      <c r="A71" s="216" t="s">
        <v>286</v>
      </c>
      <c r="B71" s="217"/>
      <c r="C71" s="175"/>
      <c r="D71" s="167">
        <f t="shared" ref="D71:O71" si="2">SUBTOTAL(9,D72:D76)</f>
        <v>3404</v>
      </c>
      <c r="E71" s="167">
        <f t="shared" si="2"/>
        <v>3392.1000000000004</v>
      </c>
      <c r="F71" s="167">
        <f t="shared" si="2"/>
        <v>2934.2999999999997</v>
      </c>
      <c r="G71" s="167">
        <f t="shared" si="2"/>
        <v>11.9</v>
      </c>
      <c r="H71" s="167">
        <f t="shared" si="2"/>
        <v>2663.1</v>
      </c>
      <c r="I71" s="167">
        <f t="shared" si="2"/>
        <v>2651.2</v>
      </c>
      <c r="J71" s="167">
        <f t="shared" si="2"/>
        <v>2274.6</v>
      </c>
      <c r="K71" s="167">
        <f t="shared" si="2"/>
        <v>11.9</v>
      </c>
      <c r="L71" s="167">
        <f t="shared" si="2"/>
        <v>2112.3000000000002</v>
      </c>
      <c r="M71" s="167">
        <f t="shared" si="2"/>
        <v>2100.4</v>
      </c>
      <c r="N71" s="167">
        <f t="shared" si="2"/>
        <v>1842.2</v>
      </c>
      <c r="O71" s="167">
        <f t="shared" si="2"/>
        <v>11.9</v>
      </c>
      <c r="P71" s="168">
        <f>SUM(L71/D71*100)</f>
        <v>62.053466509988255</v>
      </c>
      <c r="Q71" s="168">
        <f>SUM(L71/H71*100)</f>
        <v>79.317336938154796</v>
      </c>
    </row>
    <row r="72" spans="1:17" ht="15.75">
      <c r="A72" s="182"/>
      <c r="B72" s="218" t="s">
        <v>354</v>
      </c>
      <c r="C72" s="174" t="s">
        <v>266</v>
      </c>
      <c r="D72" s="169">
        <v>2597.6999999999998</v>
      </c>
      <c r="E72" s="169">
        <v>2597.6999999999998</v>
      </c>
      <c r="F72" s="169">
        <v>2433.8000000000002</v>
      </c>
      <c r="G72" s="169">
        <v>0</v>
      </c>
      <c r="H72" s="169">
        <v>2020.1</v>
      </c>
      <c r="I72" s="169">
        <v>2020.1</v>
      </c>
      <c r="J72" s="169">
        <v>1883.8</v>
      </c>
      <c r="K72" s="169">
        <v>0</v>
      </c>
      <c r="L72" s="169">
        <v>1585.1</v>
      </c>
      <c r="M72" s="169">
        <v>1585.1</v>
      </c>
      <c r="N72" s="169">
        <v>1510.5</v>
      </c>
      <c r="O72" s="169">
        <v>0</v>
      </c>
      <c r="P72" s="168"/>
      <c r="Q72" s="168"/>
    </row>
    <row r="73" spans="1:17" ht="28.5">
      <c r="A73" s="220"/>
      <c r="B73" s="222"/>
      <c r="C73" s="174" t="s">
        <v>267</v>
      </c>
      <c r="D73" s="169">
        <v>2.4</v>
      </c>
      <c r="E73" s="169">
        <v>2.4</v>
      </c>
      <c r="F73" s="169">
        <v>2.4</v>
      </c>
      <c r="G73" s="169">
        <v>0</v>
      </c>
      <c r="H73" s="169">
        <v>2.4</v>
      </c>
      <c r="I73" s="169">
        <v>2.4</v>
      </c>
      <c r="J73" s="169">
        <v>2.4</v>
      </c>
      <c r="K73" s="169">
        <v>0</v>
      </c>
      <c r="L73" s="169">
        <v>2.4</v>
      </c>
      <c r="M73" s="169">
        <v>2.4</v>
      </c>
      <c r="N73" s="169">
        <v>2.4</v>
      </c>
      <c r="O73" s="169">
        <v>0</v>
      </c>
      <c r="P73" s="169"/>
      <c r="Q73" s="25"/>
    </row>
    <row r="74" spans="1:17" ht="15.75">
      <c r="A74" s="220"/>
      <c r="B74" s="222"/>
      <c r="C74" s="174" t="s">
        <v>278</v>
      </c>
      <c r="D74" s="169">
        <v>144.5</v>
      </c>
      <c r="E74" s="169">
        <v>144.5</v>
      </c>
      <c r="F74" s="169">
        <v>18.7</v>
      </c>
      <c r="G74" s="169">
        <v>0</v>
      </c>
      <c r="H74" s="169">
        <v>115.9</v>
      </c>
      <c r="I74" s="169">
        <v>115.9</v>
      </c>
      <c r="J74" s="169">
        <v>14.1</v>
      </c>
      <c r="K74" s="169">
        <v>0</v>
      </c>
      <c r="L74" s="169">
        <v>86.6</v>
      </c>
      <c r="M74" s="169">
        <v>86.6</v>
      </c>
      <c r="N74" s="169">
        <v>11.3</v>
      </c>
      <c r="O74" s="169">
        <v>0</v>
      </c>
      <c r="P74" s="168"/>
      <c r="Q74" s="168"/>
    </row>
    <row r="75" spans="1:17" ht="15.75">
      <c r="A75" s="220"/>
      <c r="B75" s="222"/>
      <c r="C75" s="174" t="s">
        <v>268</v>
      </c>
      <c r="D75" s="169">
        <v>627.6</v>
      </c>
      <c r="E75" s="169">
        <v>615.70000000000005</v>
      </c>
      <c r="F75" s="169">
        <v>448.2</v>
      </c>
      <c r="G75" s="169">
        <v>11.9</v>
      </c>
      <c r="H75" s="169">
        <v>498.1</v>
      </c>
      <c r="I75" s="169">
        <v>486.2</v>
      </c>
      <c r="J75" s="169">
        <v>348.2</v>
      </c>
      <c r="K75" s="169">
        <v>11.9</v>
      </c>
      <c r="L75" s="169">
        <v>419.9</v>
      </c>
      <c r="M75" s="169">
        <v>408</v>
      </c>
      <c r="N75" s="169">
        <v>300</v>
      </c>
      <c r="O75" s="169">
        <v>11.9</v>
      </c>
      <c r="P75" s="168"/>
      <c r="Q75" s="168"/>
    </row>
    <row r="76" spans="1:17" ht="15.75">
      <c r="A76" s="183"/>
      <c r="B76" s="219"/>
      <c r="C76" s="174" t="s">
        <v>270</v>
      </c>
      <c r="D76" s="169">
        <v>31.8</v>
      </c>
      <c r="E76" s="169">
        <v>31.8</v>
      </c>
      <c r="F76" s="169">
        <v>31.2</v>
      </c>
      <c r="G76" s="169">
        <v>0</v>
      </c>
      <c r="H76" s="169">
        <v>26.6</v>
      </c>
      <c r="I76" s="169">
        <v>26.6</v>
      </c>
      <c r="J76" s="169">
        <v>26.1</v>
      </c>
      <c r="K76" s="169">
        <v>0</v>
      </c>
      <c r="L76" s="169">
        <v>18.3</v>
      </c>
      <c r="M76" s="169">
        <v>18.3</v>
      </c>
      <c r="N76" s="169">
        <v>18</v>
      </c>
      <c r="O76" s="169">
        <v>0</v>
      </c>
      <c r="P76" s="168"/>
      <c r="Q76" s="168"/>
    </row>
    <row r="77" spans="1:17" ht="36.6" customHeight="1">
      <c r="A77" s="216" t="s">
        <v>17</v>
      </c>
      <c r="B77" s="217"/>
      <c r="C77" s="175"/>
      <c r="D77" s="167">
        <f t="shared" ref="D77:O77" si="3">SUBTOTAL(9,D78:D82)</f>
        <v>4359.3</v>
      </c>
      <c r="E77" s="167">
        <f t="shared" si="3"/>
        <v>4333</v>
      </c>
      <c r="F77" s="167">
        <f t="shared" si="3"/>
        <v>3804.8</v>
      </c>
      <c r="G77" s="167">
        <f t="shared" si="3"/>
        <v>26.3</v>
      </c>
      <c r="H77" s="167">
        <f t="shared" si="3"/>
        <v>3485.8</v>
      </c>
      <c r="I77" s="167">
        <f t="shared" si="3"/>
        <v>3459.5</v>
      </c>
      <c r="J77" s="167">
        <f t="shared" si="3"/>
        <v>3052</v>
      </c>
      <c r="K77" s="167">
        <f t="shared" si="3"/>
        <v>26.3</v>
      </c>
      <c r="L77" s="167">
        <f t="shared" si="3"/>
        <v>2733.6</v>
      </c>
      <c r="M77" s="167">
        <f t="shared" si="3"/>
        <v>2707.3</v>
      </c>
      <c r="N77" s="167">
        <f t="shared" si="3"/>
        <v>2399.3000000000002</v>
      </c>
      <c r="O77" s="167">
        <f t="shared" si="3"/>
        <v>26.3</v>
      </c>
      <c r="P77" s="168">
        <f>SUM(L77/D77*100)</f>
        <v>62.707315394673458</v>
      </c>
      <c r="Q77" s="168">
        <f>SUM(L77/H77*100)</f>
        <v>78.421022433874569</v>
      </c>
    </row>
    <row r="78" spans="1:17" ht="15.75">
      <c r="A78" s="182"/>
      <c r="B78" s="218" t="s">
        <v>354</v>
      </c>
      <c r="C78" s="174" t="s">
        <v>266</v>
      </c>
      <c r="D78" s="169">
        <v>2962.6</v>
      </c>
      <c r="E78" s="169">
        <v>2958.4</v>
      </c>
      <c r="F78" s="169">
        <v>2820.3</v>
      </c>
      <c r="G78" s="169">
        <v>4.2</v>
      </c>
      <c r="H78" s="169">
        <v>2415</v>
      </c>
      <c r="I78" s="169">
        <v>2410.8000000000002</v>
      </c>
      <c r="J78" s="169">
        <v>2293</v>
      </c>
      <c r="K78" s="169">
        <v>4.2</v>
      </c>
      <c r="L78" s="169">
        <v>1825.1</v>
      </c>
      <c r="M78" s="169">
        <v>1820.9</v>
      </c>
      <c r="N78" s="169">
        <v>1745.4</v>
      </c>
      <c r="O78" s="169">
        <v>4.2</v>
      </c>
      <c r="P78" s="168"/>
      <c r="Q78" s="168"/>
    </row>
    <row r="79" spans="1:17" ht="28.5">
      <c r="A79" s="220"/>
      <c r="B79" s="222"/>
      <c r="C79" s="174" t="s">
        <v>267</v>
      </c>
      <c r="D79" s="169">
        <v>12.2</v>
      </c>
      <c r="E79" s="169">
        <v>12.2</v>
      </c>
      <c r="F79" s="169">
        <v>12</v>
      </c>
      <c r="G79" s="169">
        <v>0</v>
      </c>
      <c r="H79" s="169">
        <v>12.2</v>
      </c>
      <c r="I79" s="169">
        <v>12.2</v>
      </c>
      <c r="J79" s="169">
        <v>12</v>
      </c>
      <c r="K79" s="169">
        <v>0</v>
      </c>
      <c r="L79" s="169">
        <v>12.2</v>
      </c>
      <c r="M79" s="169">
        <v>12.2</v>
      </c>
      <c r="N79" s="169">
        <v>12</v>
      </c>
      <c r="O79" s="169">
        <v>0</v>
      </c>
      <c r="P79" s="168"/>
      <c r="Q79" s="168"/>
    </row>
    <row r="80" spans="1:17" ht="15.75">
      <c r="A80" s="220"/>
      <c r="B80" s="222"/>
      <c r="C80" s="174" t="s">
        <v>278</v>
      </c>
      <c r="D80" s="169">
        <v>183</v>
      </c>
      <c r="E80" s="169">
        <v>183</v>
      </c>
      <c r="F80" s="169">
        <v>16.7</v>
      </c>
      <c r="G80" s="169">
        <v>0</v>
      </c>
      <c r="H80" s="169">
        <v>130.9</v>
      </c>
      <c r="I80" s="169">
        <v>130.9</v>
      </c>
      <c r="J80" s="169">
        <v>11.1</v>
      </c>
      <c r="K80" s="169">
        <v>0</v>
      </c>
      <c r="L80" s="169">
        <v>108.7</v>
      </c>
      <c r="M80" s="169">
        <v>108.7</v>
      </c>
      <c r="N80" s="169">
        <v>10.9</v>
      </c>
      <c r="O80" s="169">
        <v>0</v>
      </c>
      <c r="P80" s="168"/>
      <c r="Q80" s="168"/>
    </row>
    <row r="81" spans="1:17" ht="15">
      <c r="A81" s="220"/>
      <c r="B81" s="222"/>
      <c r="C81" s="174" t="s">
        <v>268</v>
      </c>
      <c r="D81" s="169">
        <v>1099.2</v>
      </c>
      <c r="E81" s="169">
        <v>1077.0999999999999</v>
      </c>
      <c r="F81" s="169">
        <v>855</v>
      </c>
      <c r="G81" s="169">
        <v>22.1</v>
      </c>
      <c r="H81" s="169">
        <v>831.4</v>
      </c>
      <c r="I81" s="169">
        <v>809.3</v>
      </c>
      <c r="J81" s="169">
        <v>641</v>
      </c>
      <c r="K81" s="169">
        <v>22.1</v>
      </c>
      <c r="L81" s="169">
        <v>715.9</v>
      </c>
      <c r="M81" s="169">
        <v>693.8</v>
      </c>
      <c r="N81" s="169">
        <v>560.4</v>
      </c>
      <c r="O81" s="169">
        <v>22.1</v>
      </c>
      <c r="P81" s="169"/>
      <c r="Q81" s="25"/>
    </row>
    <row r="82" spans="1:17" ht="15.75">
      <c r="A82" s="183"/>
      <c r="B82" s="219"/>
      <c r="C82" s="174" t="s">
        <v>270</v>
      </c>
      <c r="D82" s="169">
        <v>102.3</v>
      </c>
      <c r="E82" s="169">
        <v>102.3</v>
      </c>
      <c r="F82" s="169">
        <v>100.8</v>
      </c>
      <c r="G82" s="169">
        <v>0</v>
      </c>
      <c r="H82" s="169">
        <v>96.3</v>
      </c>
      <c r="I82" s="169">
        <v>96.3</v>
      </c>
      <c r="J82" s="169">
        <v>94.9</v>
      </c>
      <c r="K82" s="169">
        <v>0</v>
      </c>
      <c r="L82" s="169">
        <v>71.7</v>
      </c>
      <c r="M82" s="169">
        <v>71.7</v>
      </c>
      <c r="N82" s="169">
        <v>70.599999999999994</v>
      </c>
      <c r="O82" s="169">
        <v>0</v>
      </c>
      <c r="P82" s="168"/>
      <c r="Q82" s="168"/>
    </row>
    <row r="83" spans="1:17" ht="30.6" customHeight="1">
      <c r="A83" s="216" t="s">
        <v>176</v>
      </c>
      <c r="B83" s="217"/>
      <c r="C83" s="175"/>
      <c r="D83" s="167">
        <f t="shared" ref="D83:O83" si="4">SUBTOTAL(9,D84:D88)</f>
        <v>3702.0999999999995</v>
      </c>
      <c r="E83" s="167">
        <f t="shared" si="4"/>
        <v>3672.2999999999997</v>
      </c>
      <c r="F83" s="167">
        <f t="shared" si="4"/>
        <v>3249.6</v>
      </c>
      <c r="G83" s="167">
        <f t="shared" si="4"/>
        <v>29.8</v>
      </c>
      <c r="H83" s="167">
        <f t="shared" si="4"/>
        <v>2806.9999999999995</v>
      </c>
      <c r="I83" s="167">
        <f t="shared" si="4"/>
        <v>2777.2</v>
      </c>
      <c r="J83" s="167">
        <f t="shared" si="4"/>
        <v>2437.8000000000002</v>
      </c>
      <c r="K83" s="167">
        <f t="shared" si="4"/>
        <v>29.8</v>
      </c>
      <c r="L83" s="167">
        <f t="shared" si="4"/>
        <v>2435.1999999999998</v>
      </c>
      <c r="M83" s="167">
        <f t="shared" si="4"/>
        <v>2405.3999999999996</v>
      </c>
      <c r="N83" s="167">
        <f t="shared" si="4"/>
        <v>2137.8000000000002</v>
      </c>
      <c r="O83" s="167">
        <f t="shared" si="4"/>
        <v>29.8</v>
      </c>
      <c r="P83" s="168">
        <f>SUM(L83/D83*100)</f>
        <v>65.778882256016857</v>
      </c>
      <c r="Q83" s="168">
        <f>SUM(L83/H83*100)</f>
        <v>86.754542215888847</v>
      </c>
    </row>
    <row r="84" spans="1:17" ht="15.75">
      <c r="A84" s="182"/>
      <c r="B84" s="218" t="s">
        <v>356</v>
      </c>
      <c r="C84" s="174" t="s">
        <v>266</v>
      </c>
      <c r="D84" s="169">
        <v>2492.6999999999998</v>
      </c>
      <c r="E84" s="169">
        <v>2486.6999999999998</v>
      </c>
      <c r="F84" s="169">
        <v>2379.3000000000002</v>
      </c>
      <c r="G84" s="169">
        <v>6</v>
      </c>
      <c r="H84" s="169">
        <v>1869.3</v>
      </c>
      <c r="I84" s="169">
        <v>1863.3</v>
      </c>
      <c r="J84" s="169">
        <v>1782</v>
      </c>
      <c r="K84" s="169">
        <v>6</v>
      </c>
      <c r="L84" s="169">
        <v>1661.3</v>
      </c>
      <c r="M84" s="169">
        <v>1655.3</v>
      </c>
      <c r="N84" s="169">
        <v>1604.9</v>
      </c>
      <c r="O84" s="169">
        <v>6</v>
      </c>
      <c r="P84" s="168"/>
      <c r="Q84" s="168"/>
    </row>
    <row r="85" spans="1:17" ht="28.5">
      <c r="A85" s="220"/>
      <c r="B85" s="222"/>
      <c r="C85" s="174" t="s">
        <v>267</v>
      </c>
      <c r="D85" s="169">
        <v>9.8000000000000007</v>
      </c>
      <c r="E85" s="169">
        <v>9.8000000000000007</v>
      </c>
      <c r="F85" s="169">
        <v>9.6999999999999993</v>
      </c>
      <c r="G85" s="169">
        <v>0</v>
      </c>
      <c r="H85" s="169">
        <v>9.8000000000000007</v>
      </c>
      <c r="I85" s="169">
        <v>9.8000000000000007</v>
      </c>
      <c r="J85" s="169">
        <v>9.6999999999999993</v>
      </c>
      <c r="K85" s="169">
        <v>0</v>
      </c>
      <c r="L85" s="169">
        <v>9.8000000000000007</v>
      </c>
      <c r="M85" s="169">
        <v>9.8000000000000007</v>
      </c>
      <c r="N85" s="169">
        <v>9.6999999999999993</v>
      </c>
      <c r="O85" s="169">
        <v>0</v>
      </c>
      <c r="P85" s="169"/>
      <c r="Q85" s="25"/>
    </row>
    <row r="86" spans="1:17" ht="15.75">
      <c r="A86" s="220"/>
      <c r="B86" s="222"/>
      <c r="C86" s="174" t="s">
        <v>278</v>
      </c>
      <c r="D86" s="169">
        <v>134.1</v>
      </c>
      <c r="E86" s="169">
        <v>134.1</v>
      </c>
      <c r="F86" s="169">
        <v>16.399999999999999</v>
      </c>
      <c r="G86" s="169">
        <v>0</v>
      </c>
      <c r="H86" s="169">
        <v>112.3</v>
      </c>
      <c r="I86" s="169">
        <v>112.3</v>
      </c>
      <c r="J86" s="169">
        <v>12.3</v>
      </c>
      <c r="K86" s="169">
        <v>0</v>
      </c>
      <c r="L86" s="169">
        <v>105.2</v>
      </c>
      <c r="M86" s="169">
        <v>105.2</v>
      </c>
      <c r="N86" s="169">
        <v>9.9</v>
      </c>
      <c r="O86" s="169">
        <v>0</v>
      </c>
      <c r="P86" s="168"/>
      <c r="Q86" s="168"/>
    </row>
    <row r="87" spans="1:17" ht="15.75">
      <c r="A87" s="220"/>
      <c r="B87" s="222"/>
      <c r="C87" s="174" t="s">
        <v>268</v>
      </c>
      <c r="D87" s="169">
        <v>1046.3</v>
      </c>
      <c r="E87" s="169">
        <v>1022.5</v>
      </c>
      <c r="F87" s="169">
        <v>825.3</v>
      </c>
      <c r="G87" s="169">
        <v>23.8</v>
      </c>
      <c r="H87" s="169">
        <v>800.4</v>
      </c>
      <c r="I87" s="169">
        <v>776.6</v>
      </c>
      <c r="J87" s="169">
        <v>618.9</v>
      </c>
      <c r="K87" s="169">
        <v>23.8</v>
      </c>
      <c r="L87" s="169">
        <v>648.20000000000005</v>
      </c>
      <c r="M87" s="169">
        <v>624.4</v>
      </c>
      <c r="N87" s="169">
        <v>502.8</v>
      </c>
      <c r="O87" s="169">
        <v>23.8</v>
      </c>
      <c r="P87" s="168"/>
      <c r="Q87" s="168"/>
    </row>
    <row r="88" spans="1:17" ht="15.75">
      <c r="A88" s="183"/>
      <c r="B88" s="219"/>
      <c r="C88" s="174" t="s">
        <v>270</v>
      </c>
      <c r="D88" s="169">
        <v>19.2</v>
      </c>
      <c r="E88" s="169">
        <v>19.2</v>
      </c>
      <c r="F88" s="169">
        <v>18.899999999999999</v>
      </c>
      <c r="G88" s="169">
        <v>0</v>
      </c>
      <c r="H88" s="169">
        <v>15.2</v>
      </c>
      <c r="I88" s="169">
        <v>15.2</v>
      </c>
      <c r="J88" s="169">
        <v>14.9</v>
      </c>
      <c r="K88" s="169">
        <v>0</v>
      </c>
      <c r="L88" s="169">
        <v>10.7</v>
      </c>
      <c r="M88" s="169">
        <v>10.7</v>
      </c>
      <c r="N88" s="169">
        <v>10.5</v>
      </c>
      <c r="O88" s="169">
        <v>0</v>
      </c>
      <c r="P88" s="168"/>
      <c r="Q88" s="168"/>
    </row>
    <row r="89" spans="1:17" ht="51.6" customHeight="1">
      <c r="A89" s="216" t="s">
        <v>287</v>
      </c>
      <c r="B89" s="217"/>
      <c r="C89" s="175"/>
      <c r="D89" s="167">
        <f t="shared" ref="D89:O89" si="5">SUBTOTAL(9,D90:D94)</f>
        <v>4616.0999999999995</v>
      </c>
      <c r="E89" s="167">
        <f t="shared" si="5"/>
        <v>4604.4000000000005</v>
      </c>
      <c r="F89" s="167">
        <f t="shared" si="5"/>
        <v>4110</v>
      </c>
      <c r="G89" s="167">
        <f t="shared" si="5"/>
        <v>11.700000000000001</v>
      </c>
      <c r="H89" s="167">
        <f t="shared" si="5"/>
        <v>3498.2000000000007</v>
      </c>
      <c r="I89" s="167">
        <f t="shared" si="5"/>
        <v>3486.5000000000005</v>
      </c>
      <c r="J89" s="167">
        <f t="shared" si="5"/>
        <v>3083.9</v>
      </c>
      <c r="K89" s="167">
        <f t="shared" si="5"/>
        <v>11.700000000000001</v>
      </c>
      <c r="L89" s="167">
        <f t="shared" si="5"/>
        <v>2941.6</v>
      </c>
      <c r="M89" s="167">
        <f t="shared" si="5"/>
        <v>2930.3</v>
      </c>
      <c r="N89" s="167">
        <f t="shared" si="5"/>
        <v>2634.2</v>
      </c>
      <c r="O89" s="167">
        <f t="shared" si="5"/>
        <v>11.3</v>
      </c>
      <c r="P89" s="168">
        <f>SUM(L89/D89*100)</f>
        <v>63.724789324321407</v>
      </c>
      <c r="Q89" s="168">
        <f>SUM(L89/H89*100)</f>
        <v>84.088960036590223</v>
      </c>
    </row>
    <row r="90" spans="1:17" ht="15.75">
      <c r="A90" s="182"/>
      <c r="B90" s="218" t="s">
        <v>356</v>
      </c>
      <c r="C90" s="174" t="s">
        <v>266</v>
      </c>
      <c r="D90" s="169">
        <v>3101.2</v>
      </c>
      <c r="E90" s="169">
        <v>3092.9</v>
      </c>
      <c r="F90" s="169">
        <v>2942.4</v>
      </c>
      <c r="G90" s="169">
        <v>8.3000000000000007</v>
      </c>
      <c r="H90" s="169">
        <v>2346.3000000000002</v>
      </c>
      <c r="I90" s="169">
        <v>2338</v>
      </c>
      <c r="J90" s="169">
        <v>2207.4</v>
      </c>
      <c r="K90" s="169">
        <v>8.3000000000000007</v>
      </c>
      <c r="L90" s="169">
        <v>2014.1</v>
      </c>
      <c r="M90" s="169">
        <v>2006.2</v>
      </c>
      <c r="N90" s="169">
        <v>1922.2</v>
      </c>
      <c r="O90" s="169">
        <v>7.9</v>
      </c>
      <c r="P90" s="168"/>
      <c r="Q90" s="168"/>
    </row>
    <row r="91" spans="1:17" ht="15.75">
      <c r="A91" s="220"/>
      <c r="B91" s="222"/>
      <c r="C91" s="174" t="s">
        <v>278</v>
      </c>
      <c r="D91" s="169">
        <v>104</v>
      </c>
      <c r="E91" s="169">
        <v>104</v>
      </c>
      <c r="F91" s="169">
        <v>0</v>
      </c>
      <c r="G91" s="169">
        <v>0</v>
      </c>
      <c r="H91" s="169">
        <v>86.4</v>
      </c>
      <c r="I91" s="169">
        <v>86.4</v>
      </c>
      <c r="J91" s="169">
        <v>0</v>
      </c>
      <c r="K91" s="169">
        <v>0</v>
      </c>
      <c r="L91" s="169">
        <v>65.599999999999994</v>
      </c>
      <c r="M91" s="169">
        <v>65.599999999999994</v>
      </c>
      <c r="N91" s="169">
        <v>0</v>
      </c>
      <c r="O91" s="169">
        <v>0</v>
      </c>
      <c r="P91" s="168"/>
      <c r="Q91" s="168"/>
    </row>
    <row r="92" spans="1:17" ht="15">
      <c r="A92" s="220"/>
      <c r="B92" s="222"/>
      <c r="C92" s="174" t="s">
        <v>268</v>
      </c>
      <c r="D92" s="169">
        <v>1247.2</v>
      </c>
      <c r="E92" s="169">
        <v>1244.2</v>
      </c>
      <c r="F92" s="169">
        <v>1007.1</v>
      </c>
      <c r="G92" s="169">
        <v>3</v>
      </c>
      <c r="H92" s="169">
        <v>941.2</v>
      </c>
      <c r="I92" s="169">
        <v>938.2</v>
      </c>
      <c r="J92" s="169">
        <v>755</v>
      </c>
      <c r="K92" s="169">
        <v>3</v>
      </c>
      <c r="L92" s="169">
        <v>759.9</v>
      </c>
      <c r="M92" s="169">
        <v>756.9</v>
      </c>
      <c r="N92" s="169">
        <v>612.29999999999995</v>
      </c>
      <c r="O92" s="169">
        <v>3</v>
      </c>
      <c r="P92" s="169"/>
      <c r="Q92" s="25"/>
    </row>
    <row r="93" spans="1:17" ht="15">
      <c r="A93" s="220"/>
      <c r="B93" s="219"/>
      <c r="C93" s="174" t="s">
        <v>270</v>
      </c>
      <c r="D93" s="169">
        <v>163.30000000000001</v>
      </c>
      <c r="E93" s="169">
        <v>163.30000000000001</v>
      </c>
      <c r="F93" s="169">
        <v>160.5</v>
      </c>
      <c r="G93" s="169">
        <v>0</v>
      </c>
      <c r="H93" s="169">
        <v>123.9</v>
      </c>
      <c r="I93" s="169">
        <v>123.9</v>
      </c>
      <c r="J93" s="169">
        <v>121.5</v>
      </c>
      <c r="K93" s="169">
        <v>0</v>
      </c>
      <c r="L93" s="169">
        <v>101.6</v>
      </c>
      <c r="M93" s="169">
        <v>101.6</v>
      </c>
      <c r="N93" s="169">
        <v>99.7</v>
      </c>
      <c r="O93" s="169">
        <v>0</v>
      </c>
      <c r="P93" s="169"/>
      <c r="Q93" s="25"/>
    </row>
    <row r="94" spans="1:17" ht="71.25">
      <c r="A94" s="183"/>
      <c r="B94" s="173" t="s">
        <v>349</v>
      </c>
      <c r="C94" s="174" t="s">
        <v>288</v>
      </c>
      <c r="D94" s="169">
        <v>0.4</v>
      </c>
      <c r="E94" s="169">
        <v>0</v>
      </c>
      <c r="F94" s="169">
        <v>0</v>
      </c>
      <c r="G94" s="169">
        <v>0.4</v>
      </c>
      <c r="H94" s="169">
        <v>0.4</v>
      </c>
      <c r="I94" s="169">
        <v>0</v>
      </c>
      <c r="J94" s="169">
        <v>0</v>
      </c>
      <c r="K94" s="169">
        <v>0.4</v>
      </c>
      <c r="L94" s="169">
        <v>0.4</v>
      </c>
      <c r="M94" s="169">
        <v>0</v>
      </c>
      <c r="N94" s="169">
        <v>0</v>
      </c>
      <c r="O94" s="169">
        <v>0.4</v>
      </c>
      <c r="P94" s="168"/>
      <c r="Q94" s="168"/>
    </row>
    <row r="95" spans="1:17" ht="40.9" customHeight="1">
      <c r="A95" s="216" t="s">
        <v>81</v>
      </c>
      <c r="B95" s="217"/>
      <c r="C95" s="175"/>
      <c r="D95" s="167">
        <f t="shared" ref="D95:O95" si="6">SUBTOTAL(9,D96:D100)</f>
        <v>3432.9</v>
      </c>
      <c r="E95" s="167">
        <f t="shared" si="6"/>
        <v>3384.7000000000003</v>
      </c>
      <c r="F95" s="167">
        <f t="shared" si="6"/>
        <v>2995.2000000000003</v>
      </c>
      <c r="G95" s="167">
        <f t="shared" si="6"/>
        <v>48.2</v>
      </c>
      <c r="H95" s="167">
        <f t="shared" si="6"/>
        <v>2693.9</v>
      </c>
      <c r="I95" s="167">
        <f t="shared" si="6"/>
        <v>2645.7000000000003</v>
      </c>
      <c r="J95" s="167">
        <f t="shared" si="6"/>
        <v>2308.7999999999997</v>
      </c>
      <c r="K95" s="167">
        <f t="shared" si="6"/>
        <v>48.2</v>
      </c>
      <c r="L95" s="167">
        <f t="shared" si="6"/>
        <v>2272.5</v>
      </c>
      <c r="M95" s="167">
        <f t="shared" si="6"/>
        <v>2224.2999999999997</v>
      </c>
      <c r="N95" s="167">
        <f t="shared" si="6"/>
        <v>1968.3</v>
      </c>
      <c r="O95" s="167">
        <f t="shared" si="6"/>
        <v>48.2</v>
      </c>
      <c r="P95" s="168">
        <f>SUM(L95/D95*100)</f>
        <v>66.19767543476361</v>
      </c>
      <c r="Q95" s="168">
        <f>SUM(L95/H95*100)</f>
        <v>84.357251568358137</v>
      </c>
    </row>
    <row r="96" spans="1:17" ht="15">
      <c r="A96" s="182"/>
      <c r="B96" s="226" t="s">
        <v>354</v>
      </c>
      <c r="C96" s="174" t="s">
        <v>266</v>
      </c>
      <c r="D96" s="169">
        <v>1866.2</v>
      </c>
      <c r="E96" s="169">
        <v>1866.2</v>
      </c>
      <c r="F96" s="169">
        <v>1787.1</v>
      </c>
      <c r="G96" s="169">
        <v>0</v>
      </c>
      <c r="H96" s="169">
        <v>1442.4</v>
      </c>
      <c r="I96" s="169">
        <v>1442.4</v>
      </c>
      <c r="J96" s="169">
        <v>1372.1</v>
      </c>
      <c r="K96" s="169">
        <v>0</v>
      </c>
      <c r="L96" s="169">
        <v>1234.8</v>
      </c>
      <c r="M96" s="169">
        <v>1234.8</v>
      </c>
      <c r="N96" s="169">
        <v>1180.4000000000001</v>
      </c>
      <c r="O96" s="169">
        <v>0</v>
      </c>
      <c r="P96" s="169"/>
      <c r="Q96" s="25"/>
    </row>
    <row r="97" spans="1:17" ht="28.5">
      <c r="A97" s="220"/>
      <c r="B97" s="227"/>
      <c r="C97" s="174" t="s">
        <v>267</v>
      </c>
      <c r="D97" s="169">
        <v>14.2</v>
      </c>
      <c r="E97" s="169">
        <v>14.2</v>
      </c>
      <c r="F97" s="169">
        <v>14</v>
      </c>
      <c r="G97" s="169">
        <v>0</v>
      </c>
      <c r="H97" s="169">
        <v>14.2</v>
      </c>
      <c r="I97" s="169">
        <v>14.2</v>
      </c>
      <c r="J97" s="169">
        <v>14</v>
      </c>
      <c r="K97" s="169">
        <v>0</v>
      </c>
      <c r="L97" s="169">
        <v>14.2</v>
      </c>
      <c r="M97" s="169">
        <v>14.2</v>
      </c>
      <c r="N97" s="169">
        <v>14</v>
      </c>
      <c r="O97" s="169">
        <v>0</v>
      </c>
      <c r="P97" s="169"/>
      <c r="Q97" s="25"/>
    </row>
    <row r="98" spans="1:17" ht="15.75">
      <c r="A98" s="220"/>
      <c r="B98" s="227"/>
      <c r="C98" s="174" t="s">
        <v>278</v>
      </c>
      <c r="D98" s="169">
        <v>97.6</v>
      </c>
      <c r="E98" s="169">
        <v>97.6</v>
      </c>
      <c r="F98" s="169">
        <v>9.8000000000000007</v>
      </c>
      <c r="G98" s="169">
        <v>0</v>
      </c>
      <c r="H98" s="169">
        <v>78.099999999999994</v>
      </c>
      <c r="I98" s="169">
        <v>78.099999999999994</v>
      </c>
      <c r="J98" s="169">
        <v>8.5</v>
      </c>
      <c r="K98" s="169">
        <v>0</v>
      </c>
      <c r="L98" s="169">
        <v>52.5</v>
      </c>
      <c r="M98" s="169">
        <v>52.5</v>
      </c>
      <c r="N98" s="169">
        <v>5.0999999999999996</v>
      </c>
      <c r="O98" s="169">
        <v>0</v>
      </c>
      <c r="P98" s="168"/>
      <c r="Q98" s="168"/>
    </row>
    <row r="99" spans="1:17" ht="15.75">
      <c r="A99" s="220"/>
      <c r="B99" s="227"/>
      <c r="C99" s="174" t="s">
        <v>268</v>
      </c>
      <c r="D99" s="169">
        <v>1423</v>
      </c>
      <c r="E99" s="169">
        <v>1374.8</v>
      </c>
      <c r="F99" s="169">
        <v>1152.9000000000001</v>
      </c>
      <c r="G99" s="169">
        <v>48.2</v>
      </c>
      <c r="H99" s="169">
        <v>1134.5999999999999</v>
      </c>
      <c r="I99" s="169">
        <v>1086.4000000000001</v>
      </c>
      <c r="J99" s="169">
        <v>890</v>
      </c>
      <c r="K99" s="169">
        <v>48.2</v>
      </c>
      <c r="L99" s="169">
        <v>949.9</v>
      </c>
      <c r="M99" s="169">
        <v>901.7</v>
      </c>
      <c r="N99" s="169">
        <v>748</v>
      </c>
      <c r="O99" s="169">
        <v>48.2</v>
      </c>
      <c r="P99" s="168"/>
      <c r="Q99" s="168"/>
    </row>
    <row r="100" spans="1:17" ht="15.75">
      <c r="A100" s="183"/>
      <c r="B100" s="228"/>
      <c r="C100" s="174" t="s">
        <v>270</v>
      </c>
      <c r="D100" s="169">
        <v>31.9</v>
      </c>
      <c r="E100" s="169">
        <v>31.9</v>
      </c>
      <c r="F100" s="169">
        <v>31.4</v>
      </c>
      <c r="G100" s="169">
        <v>0</v>
      </c>
      <c r="H100" s="169">
        <v>24.6</v>
      </c>
      <c r="I100" s="169">
        <v>24.6</v>
      </c>
      <c r="J100" s="169">
        <v>24.2</v>
      </c>
      <c r="K100" s="169">
        <v>0</v>
      </c>
      <c r="L100" s="169">
        <v>21.1</v>
      </c>
      <c r="M100" s="169">
        <v>21.1</v>
      </c>
      <c r="N100" s="169">
        <v>20.8</v>
      </c>
      <c r="O100" s="169">
        <v>0</v>
      </c>
      <c r="P100" s="168"/>
      <c r="Q100" s="168"/>
    </row>
    <row r="101" spans="1:17" ht="35.450000000000003" customHeight="1">
      <c r="A101" s="216" t="s">
        <v>177</v>
      </c>
      <c r="B101" s="217"/>
      <c r="C101" s="175"/>
      <c r="D101" s="167">
        <f t="shared" ref="D101:O101" si="7">SUBTOTAL(9,D102:D106)</f>
        <v>1113.5</v>
      </c>
      <c r="E101" s="167">
        <f t="shared" si="7"/>
        <v>1113.5</v>
      </c>
      <c r="F101" s="167">
        <f t="shared" si="7"/>
        <v>942.19999999999993</v>
      </c>
      <c r="G101" s="167">
        <f t="shared" si="7"/>
        <v>0</v>
      </c>
      <c r="H101" s="167">
        <f t="shared" si="7"/>
        <v>978</v>
      </c>
      <c r="I101" s="167">
        <f t="shared" si="7"/>
        <v>978</v>
      </c>
      <c r="J101" s="167">
        <f t="shared" si="7"/>
        <v>824.19999999999993</v>
      </c>
      <c r="K101" s="167">
        <f t="shared" si="7"/>
        <v>0</v>
      </c>
      <c r="L101" s="167">
        <f t="shared" si="7"/>
        <v>849.80000000000007</v>
      </c>
      <c r="M101" s="167">
        <f t="shared" si="7"/>
        <v>849.80000000000007</v>
      </c>
      <c r="N101" s="167">
        <f t="shared" si="7"/>
        <v>740.09999999999991</v>
      </c>
      <c r="O101" s="167">
        <f t="shared" si="7"/>
        <v>0</v>
      </c>
      <c r="P101" s="168">
        <f>SUM(L101/D101*100)</f>
        <v>76.317916479568936</v>
      </c>
      <c r="Q101" s="168">
        <f>SUM(L101/H101*100)</f>
        <v>86.891615541922292</v>
      </c>
    </row>
    <row r="102" spans="1:17" ht="15">
      <c r="A102" s="182"/>
      <c r="B102" s="218" t="s">
        <v>356</v>
      </c>
      <c r="C102" s="174" t="s">
        <v>266</v>
      </c>
      <c r="D102" s="169">
        <v>443.1</v>
      </c>
      <c r="E102" s="169">
        <v>443.1</v>
      </c>
      <c r="F102" s="169">
        <v>430</v>
      </c>
      <c r="G102" s="169">
        <v>0</v>
      </c>
      <c r="H102" s="169">
        <v>399.1</v>
      </c>
      <c r="I102" s="169">
        <v>399.1</v>
      </c>
      <c r="J102" s="169">
        <v>387.9</v>
      </c>
      <c r="K102" s="169">
        <v>0</v>
      </c>
      <c r="L102" s="169">
        <v>344.3</v>
      </c>
      <c r="M102" s="169">
        <v>344.3</v>
      </c>
      <c r="N102" s="169">
        <v>337</v>
      </c>
      <c r="O102" s="169">
        <v>0</v>
      </c>
      <c r="P102" s="169"/>
      <c r="Q102" s="25"/>
    </row>
    <row r="103" spans="1:17" ht="28.5">
      <c r="A103" s="220"/>
      <c r="B103" s="222"/>
      <c r="C103" s="174" t="s">
        <v>267</v>
      </c>
      <c r="D103" s="169">
        <v>2.4</v>
      </c>
      <c r="E103" s="169">
        <v>2.4</v>
      </c>
      <c r="F103" s="169">
        <v>2.4</v>
      </c>
      <c r="G103" s="169">
        <v>0</v>
      </c>
      <c r="H103" s="169">
        <v>2.4</v>
      </c>
      <c r="I103" s="169">
        <v>2.4</v>
      </c>
      <c r="J103" s="169">
        <v>2.4</v>
      </c>
      <c r="K103" s="169">
        <v>0</v>
      </c>
      <c r="L103" s="169">
        <v>2.4</v>
      </c>
      <c r="M103" s="169">
        <v>2.4</v>
      </c>
      <c r="N103" s="169">
        <v>2.4</v>
      </c>
      <c r="O103" s="169">
        <v>0</v>
      </c>
      <c r="P103" s="168"/>
      <c r="Q103" s="168"/>
    </row>
    <row r="104" spans="1:17" ht="15.75">
      <c r="A104" s="220"/>
      <c r="B104" s="222"/>
      <c r="C104" s="174" t="s">
        <v>278</v>
      </c>
      <c r="D104" s="169">
        <v>54.7</v>
      </c>
      <c r="E104" s="169">
        <v>54.7</v>
      </c>
      <c r="F104" s="169">
        <v>6.3</v>
      </c>
      <c r="G104" s="169">
        <v>0</v>
      </c>
      <c r="H104" s="169">
        <v>46.5</v>
      </c>
      <c r="I104" s="169">
        <v>46.5</v>
      </c>
      <c r="J104" s="169">
        <v>5</v>
      </c>
      <c r="K104" s="169">
        <v>0</v>
      </c>
      <c r="L104" s="169">
        <v>29.8</v>
      </c>
      <c r="M104" s="169">
        <v>29.8</v>
      </c>
      <c r="N104" s="169">
        <v>4.3</v>
      </c>
      <c r="O104" s="169">
        <v>0</v>
      </c>
      <c r="P104" s="168"/>
      <c r="Q104" s="168"/>
    </row>
    <row r="105" spans="1:17" ht="15">
      <c r="A105" s="220"/>
      <c r="B105" s="222"/>
      <c r="C105" s="174" t="s">
        <v>268</v>
      </c>
      <c r="D105" s="169">
        <v>603.29999999999995</v>
      </c>
      <c r="E105" s="169">
        <v>603.29999999999995</v>
      </c>
      <c r="F105" s="169">
        <v>493.6</v>
      </c>
      <c r="G105" s="169">
        <v>0</v>
      </c>
      <c r="H105" s="169">
        <v>522.4</v>
      </c>
      <c r="I105" s="169">
        <v>522.4</v>
      </c>
      <c r="J105" s="169">
        <v>421.4</v>
      </c>
      <c r="K105" s="169">
        <v>0</v>
      </c>
      <c r="L105" s="169">
        <v>465.7</v>
      </c>
      <c r="M105" s="169">
        <v>465.7</v>
      </c>
      <c r="N105" s="169">
        <v>388.9</v>
      </c>
      <c r="O105" s="169">
        <v>0</v>
      </c>
      <c r="P105" s="169"/>
      <c r="Q105" s="25"/>
    </row>
    <row r="106" spans="1:17" ht="15.75">
      <c r="A106" s="183"/>
      <c r="B106" s="219"/>
      <c r="C106" s="174" t="s">
        <v>270</v>
      </c>
      <c r="D106" s="169">
        <v>10</v>
      </c>
      <c r="E106" s="169">
        <v>10</v>
      </c>
      <c r="F106" s="169">
        <v>9.9</v>
      </c>
      <c r="G106" s="169">
        <v>0</v>
      </c>
      <c r="H106" s="169">
        <v>7.6</v>
      </c>
      <c r="I106" s="169">
        <v>7.6</v>
      </c>
      <c r="J106" s="169">
        <v>7.5</v>
      </c>
      <c r="K106" s="169">
        <v>0</v>
      </c>
      <c r="L106" s="169">
        <v>7.6</v>
      </c>
      <c r="M106" s="169">
        <v>7.6</v>
      </c>
      <c r="N106" s="169">
        <v>7.5</v>
      </c>
      <c r="O106" s="169">
        <v>0</v>
      </c>
      <c r="P106" s="168"/>
      <c r="Q106" s="168"/>
    </row>
    <row r="107" spans="1:17" ht="34.9" customHeight="1">
      <c r="A107" s="216" t="s">
        <v>330</v>
      </c>
      <c r="B107" s="217"/>
      <c r="C107" s="175"/>
      <c r="D107" s="167">
        <f t="shared" ref="D107:O107" si="8">SUBTOTAL(9,D108:D112)</f>
        <v>3563.1</v>
      </c>
      <c r="E107" s="167">
        <f t="shared" si="8"/>
        <v>3511.9999999999995</v>
      </c>
      <c r="F107" s="167">
        <f t="shared" si="8"/>
        <v>3179.5</v>
      </c>
      <c r="G107" s="167">
        <f t="shared" si="8"/>
        <v>51.099999999999994</v>
      </c>
      <c r="H107" s="167">
        <f t="shared" si="8"/>
        <v>2707.4</v>
      </c>
      <c r="I107" s="167">
        <f t="shared" si="8"/>
        <v>2656.3</v>
      </c>
      <c r="J107" s="167">
        <f t="shared" si="8"/>
        <v>2382.3000000000002</v>
      </c>
      <c r="K107" s="167">
        <f t="shared" si="8"/>
        <v>51.099999999999994</v>
      </c>
      <c r="L107" s="167">
        <f t="shared" si="8"/>
        <v>2227.8000000000002</v>
      </c>
      <c r="M107" s="167">
        <f t="shared" si="8"/>
        <v>2215.6</v>
      </c>
      <c r="N107" s="167">
        <f t="shared" si="8"/>
        <v>2000.5000000000002</v>
      </c>
      <c r="O107" s="167">
        <f t="shared" si="8"/>
        <v>12.2</v>
      </c>
      <c r="P107" s="168">
        <f>SUM(L107/D107*100)</f>
        <v>62.524206449440101</v>
      </c>
      <c r="Q107" s="168">
        <f>SUM(L107/H107*100)</f>
        <v>82.28558764866662</v>
      </c>
    </row>
    <row r="108" spans="1:17" ht="15.75">
      <c r="A108" s="182"/>
      <c r="B108" s="218" t="s">
        <v>354</v>
      </c>
      <c r="C108" s="174" t="s">
        <v>266</v>
      </c>
      <c r="D108" s="169">
        <v>1861.9</v>
      </c>
      <c r="E108" s="169">
        <v>1856.6</v>
      </c>
      <c r="F108" s="169">
        <v>1790.3</v>
      </c>
      <c r="G108" s="169">
        <v>5.3</v>
      </c>
      <c r="H108" s="169">
        <v>1374</v>
      </c>
      <c r="I108" s="169">
        <v>1368.7</v>
      </c>
      <c r="J108" s="169">
        <v>1313.6</v>
      </c>
      <c r="K108" s="169">
        <v>5.3</v>
      </c>
      <c r="L108" s="169">
        <v>1122.8</v>
      </c>
      <c r="M108" s="169">
        <v>1117.8</v>
      </c>
      <c r="N108" s="169">
        <v>1077</v>
      </c>
      <c r="O108" s="169">
        <v>5</v>
      </c>
      <c r="P108" s="168"/>
      <c r="Q108" s="168"/>
    </row>
    <row r="109" spans="1:17" ht="28.5">
      <c r="A109" s="220"/>
      <c r="B109" s="222"/>
      <c r="C109" s="174" t="s">
        <v>267</v>
      </c>
      <c r="D109" s="169">
        <v>26.9</v>
      </c>
      <c r="E109" s="169">
        <v>26.9</v>
      </c>
      <c r="F109" s="169">
        <v>26.5</v>
      </c>
      <c r="G109" s="169">
        <v>0</v>
      </c>
      <c r="H109" s="169">
        <v>26.9</v>
      </c>
      <c r="I109" s="169">
        <v>26.9</v>
      </c>
      <c r="J109" s="169">
        <v>26.5</v>
      </c>
      <c r="K109" s="169">
        <v>0</v>
      </c>
      <c r="L109" s="169">
        <v>26.9</v>
      </c>
      <c r="M109" s="169">
        <v>26.9</v>
      </c>
      <c r="N109" s="169">
        <v>26.5</v>
      </c>
      <c r="O109" s="169">
        <v>0</v>
      </c>
      <c r="P109" s="168"/>
      <c r="Q109" s="168"/>
    </row>
    <row r="110" spans="1:17" ht="15.75">
      <c r="A110" s="220"/>
      <c r="B110" s="222"/>
      <c r="C110" s="174" t="s">
        <v>278</v>
      </c>
      <c r="D110" s="169">
        <v>121.8</v>
      </c>
      <c r="E110" s="169">
        <v>121.8</v>
      </c>
      <c r="F110" s="169">
        <v>12.4</v>
      </c>
      <c r="G110" s="169">
        <v>0</v>
      </c>
      <c r="H110" s="169">
        <v>95.4</v>
      </c>
      <c r="I110" s="169">
        <v>95.4</v>
      </c>
      <c r="J110" s="169">
        <v>9.3000000000000007</v>
      </c>
      <c r="K110" s="169">
        <v>0</v>
      </c>
      <c r="L110" s="169">
        <v>72.400000000000006</v>
      </c>
      <c r="M110" s="169">
        <v>72.400000000000006</v>
      </c>
      <c r="N110" s="169">
        <v>5.4</v>
      </c>
      <c r="O110" s="169">
        <v>0</v>
      </c>
      <c r="P110" s="168"/>
      <c r="Q110" s="168"/>
    </row>
    <row r="111" spans="1:17" ht="15">
      <c r="A111" s="220"/>
      <c r="B111" s="222"/>
      <c r="C111" s="174" t="s">
        <v>268</v>
      </c>
      <c r="D111" s="169">
        <v>1453.9</v>
      </c>
      <c r="E111" s="169">
        <v>1408.1</v>
      </c>
      <c r="F111" s="169">
        <v>1253.0999999999999</v>
      </c>
      <c r="G111" s="169">
        <v>45.8</v>
      </c>
      <c r="H111" s="169">
        <v>1117.9000000000001</v>
      </c>
      <c r="I111" s="169">
        <v>1072.0999999999999</v>
      </c>
      <c r="J111" s="169">
        <v>941.1</v>
      </c>
      <c r="K111" s="169">
        <v>45.8</v>
      </c>
      <c r="L111" s="169">
        <v>912.6</v>
      </c>
      <c r="M111" s="169">
        <v>905.4</v>
      </c>
      <c r="N111" s="169">
        <v>799.9</v>
      </c>
      <c r="O111" s="169">
        <v>7.2</v>
      </c>
      <c r="P111" s="169"/>
      <c r="Q111" s="25"/>
    </row>
    <row r="112" spans="1:17" ht="15.75">
      <c r="A112" s="183"/>
      <c r="B112" s="219"/>
      <c r="C112" s="174" t="s">
        <v>270</v>
      </c>
      <c r="D112" s="169">
        <v>98.6</v>
      </c>
      <c r="E112" s="169">
        <v>98.6</v>
      </c>
      <c r="F112" s="169">
        <v>97.2</v>
      </c>
      <c r="G112" s="169">
        <v>0</v>
      </c>
      <c r="H112" s="169">
        <v>93.2</v>
      </c>
      <c r="I112" s="169">
        <v>93.2</v>
      </c>
      <c r="J112" s="169">
        <v>91.8</v>
      </c>
      <c r="K112" s="169">
        <v>0</v>
      </c>
      <c r="L112" s="169">
        <v>93.1</v>
      </c>
      <c r="M112" s="169">
        <v>93.1</v>
      </c>
      <c r="N112" s="169">
        <v>91.7</v>
      </c>
      <c r="O112" s="169">
        <v>0</v>
      </c>
      <c r="P112" s="168"/>
      <c r="Q112" s="168"/>
    </row>
    <row r="113" spans="1:17" ht="33" customHeight="1">
      <c r="A113" s="216" t="s">
        <v>22</v>
      </c>
      <c r="B113" s="217"/>
      <c r="C113" s="175"/>
      <c r="D113" s="167">
        <f t="shared" ref="D113:O113" si="9">SUBTOTAL(9,D114:D118)</f>
        <v>1754.3</v>
      </c>
      <c r="E113" s="167">
        <f t="shared" si="9"/>
        <v>1715.9000000000003</v>
      </c>
      <c r="F113" s="167">
        <f t="shared" si="9"/>
        <v>1512.3</v>
      </c>
      <c r="G113" s="167">
        <f t="shared" si="9"/>
        <v>38.4</v>
      </c>
      <c r="H113" s="167">
        <f t="shared" si="9"/>
        <v>1403.3</v>
      </c>
      <c r="I113" s="167">
        <f t="shared" si="9"/>
        <v>1364.9</v>
      </c>
      <c r="J113" s="167">
        <f t="shared" si="9"/>
        <v>1197.3</v>
      </c>
      <c r="K113" s="167">
        <f t="shared" si="9"/>
        <v>38.4</v>
      </c>
      <c r="L113" s="167">
        <f t="shared" si="9"/>
        <v>1098.3</v>
      </c>
      <c r="M113" s="167">
        <f t="shared" si="9"/>
        <v>1082.4000000000001</v>
      </c>
      <c r="N113" s="167">
        <f t="shared" si="9"/>
        <v>980.90000000000009</v>
      </c>
      <c r="O113" s="167">
        <f t="shared" si="9"/>
        <v>15.9</v>
      </c>
      <c r="P113" s="168">
        <f>SUM(L113/D113*100)</f>
        <v>62.606167702217405</v>
      </c>
      <c r="Q113" s="168">
        <f>SUM(L113/H113*100)</f>
        <v>78.265516995653101</v>
      </c>
    </row>
    <row r="114" spans="1:17" ht="15.75">
      <c r="A114" s="182"/>
      <c r="B114" s="218" t="s">
        <v>354</v>
      </c>
      <c r="C114" s="174" t="s">
        <v>266</v>
      </c>
      <c r="D114" s="169">
        <v>1135.8</v>
      </c>
      <c r="E114" s="169">
        <v>1128.2</v>
      </c>
      <c r="F114" s="169">
        <v>1072.0999999999999</v>
      </c>
      <c r="G114" s="169">
        <v>7.6</v>
      </c>
      <c r="H114" s="169">
        <v>903.6</v>
      </c>
      <c r="I114" s="169">
        <v>896</v>
      </c>
      <c r="J114" s="169">
        <v>848.3</v>
      </c>
      <c r="K114" s="169">
        <v>7.6</v>
      </c>
      <c r="L114" s="169">
        <v>713.9</v>
      </c>
      <c r="M114" s="169">
        <v>713.9</v>
      </c>
      <c r="N114" s="169">
        <v>689</v>
      </c>
      <c r="O114" s="169">
        <v>0</v>
      </c>
      <c r="P114" s="168"/>
      <c r="Q114" s="168"/>
    </row>
    <row r="115" spans="1:17" ht="28.5">
      <c r="A115" s="220"/>
      <c r="B115" s="222"/>
      <c r="C115" s="174" t="s">
        <v>267</v>
      </c>
      <c r="D115" s="169">
        <v>2.2000000000000002</v>
      </c>
      <c r="E115" s="169">
        <v>2.2000000000000002</v>
      </c>
      <c r="F115" s="169">
        <v>2.2000000000000002</v>
      </c>
      <c r="G115" s="169">
        <v>0</v>
      </c>
      <c r="H115" s="169">
        <v>2.2000000000000002</v>
      </c>
      <c r="I115" s="169">
        <v>2.2000000000000002</v>
      </c>
      <c r="J115" s="169">
        <v>2.2000000000000002</v>
      </c>
      <c r="K115" s="169">
        <v>0</v>
      </c>
      <c r="L115" s="169">
        <v>2.2000000000000002</v>
      </c>
      <c r="M115" s="169">
        <v>2.2000000000000002</v>
      </c>
      <c r="N115" s="169">
        <v>2.2000000000000002</v>
      </c>
      <c r="O115" s="169">
        <v>0</v>
      </c>
      <c r="P115" s="169"/>
      <c r="Q115" s="25"/>
    </row>
    <row r="116" spans="1:17" ht="15.75">
      <c r="A116" s="220"/>
      <c r="B116" s="222"/>
      <c r="C116" s="174" t="s">
        <v>278</v>
      </c>
      <c r="D116" s="169">
        <v>71.2</v>
      </c>
      <c r="E116" s="169">
        <v>71.2</v>
      </c>
      <c r="F116" s="169">
        <v>0</v>
      </c>
      <c r="G116" s="169">
        <v>0</v>
      </c>
      <c r="H116" s="169">
        <v>55.7</v>
      </c>
      <c r="I116" s="169">
        <v>55.7</v>
      </c>
      <c r="J116" s="169">
        <v>0</v>
      </c>
      <c r="K116" s="169">
        <v>0</v>
      </c>
      <c r="L116" s="169">
        <v>37.1</v>
      </c>
      <c r="M116" s="169">
        <v>37.1</v>
      </c>
      <c r="N116" s="169">
        <v>0</v>
      </c>
      <c r="O116" s="169">
        <v>0</v>
      </c>
      <c r="P116" s="168"/>
      <c r="Q116" s="168"/>
    </row>
    <row r="117" spans="1:17" ht="15">
      <c r="A117" s="220"/>
      <c r="B117" s="222"/>
      <c r="C117" s="174" t="s">
        <v>268</v>
      </c>
      <c r="D117" s="169">
        <v>542.4</v>
      </c>
      <c r="E117" s="169">
        <v>511.6</v>
      </c>
      <c r="F117" s="169">
        <v>435.3</v>
      </c>
      <c r="G117" s="169">
        <v>30.8</v>
      </c>
      <c r="H117" s="169">
        <v>439.7</v>
      </c>
      <c r="I117" s="169">
        <v>408.9</v>
      </c>
      <c r="J117" s="169">
        <v>344.7</v>
      </c>
      <c r="K117" s="169">
        <v>30.8</v>
      </c>
      <c r="L117" s="169">
        <v>343</v>
      </c>
      <c r="M117" s="169">
        <v>327.10000000000002</v>
      </c>
      <c r="N117" s="169">
        <v>287.60000000000002</v>
      </c>
      <c r="O117" s="169">
        <v>15.9</v>
      </c>
      <c r="P117" s="169"/>
      <c r="Q117" s="25"/>
    </row>
    <row r="118" spans="1:17" ht="15.75">
      <c r="A118" s="183"/>
      <c r="B118" s="219"/>
      <c r="C118" s="174" t="s">
        <v>270</v>
      </c>
      <c r="D118" s="169">
        <v>2.7</v>
      </c>
      <c r="E118" s="169">
        <v>2.7</v>
      </c>
      <c r="F118" s="169">
        <v>2.7</v>
      </c>
      <c r="G118" s="169">
        <v>0</v>
      </c>
      <c r="H118" s="169">
        <v>2.1</v>
      </c>
      <c r="I118" s="169">
        <v>2.1</v>
      </c>
      <c r="J118" s="169">
        <v>2.1</v>
      </c>
      <c r="K118" s="169">
        <v>0</v>
      </c>
      <c r="L118" s="169">
        <v>2.1</v>
      </c>
      <c r="M118" s="169">
        <v>2.1</v>
      </c>
      <c r="N118" s="169">
        <v>2.1</v>
      </c>
      <c r="O118" s="169">
        <v>0</v>
      </c>
      <c r="P118" s="168"/>
      <c r="Q118" s="168"/>
    </row>
    <row r="119" spans="1:17" ht="39.6" customHeight="1">
      <c r="A119" s="216" t="s">
        <v>24</v>
      </c>
      <c r="B119" s="217"/>
      <c r="C119" s="175"/>
      <c r="D119" s="167">
        <f t="shared" ref="D119:O119" si="10">SUBTOTAL(9,D120:D123)</f>
        <v>3089.8</v>
      </c>
      <c r="E119" s="167">
        <f t="shared" si="10"/>
        <v>3061.7</v>
      </c>
      <c r="F119" s="167">
        <f t="shared" si="10"/>
        <v>2615.5</v>
      </c>
      <c r="G119" s="167">
        <f t="shared" si="10"/>
        <v>28.1</v>
      </c>
      <c r="H119" s="167">
        <f t="shared" si="10"/>
        <v>2425</v>
      </c>
      <c r="I119" s="167">
        <f t="shared" si="10"/>
        <v>2396.9</v>
      </c>
      <c r="J119" s="167">
        <f t="shared" si="10"/>
        <v>2004.1999999999998</v>
      </c>
      <c r="K119" s="167">
        <f t="shared" si="10"/>
        <v>28.1</v>
      </c>
      <c r="L119" s="167">
        <f t="shared" si="10"/>
        <v>1998.6</v>
      </c>
      <c r="M119" s="167">
        <f t="shared" si="10"/>
        <v>1970.5</v>
      </c>
      <c r="N119" s="167">
        <f t="shared" si="10"/>
        <v>1684.8</v>
      </c>
      <c r="O119" s="167">
        <f t="shared" si="10"/>
        <v>28.1</v>
      </c>
      <c r="P119" s="168">
        <f>SUM(L119/D119*100)</f>
        <v>64.683798304097351</v>
      </c>
      <c r="Q119" s="168">
        <f>SUM(L119/H119*100)</f>
        <v>82.416494845360816</v>
      </c>
    </row>
    <row r="120" spans="1:17" ht="15">
      <c r="A120" s="182"/>
      <c r="B120" s="218" t="s">
        <v>356</v>
      </c>
      <c r="C120" s="174" t="s">
        <v>266</v>
      </c>
      <c r="D120" s="169">
        <v>1519</v>
      </c>
      <c r="E120" s="169">
        <v>1516</v>
      </c>
      <c r="F120" s="169">
        <v>1443.6</v>
      </c>
      <c r="G120" s="169">
        <v>3</v>
      </c>
      <c r="H120" s="169">
        <v>1173</v>
      </c>
      <c r="I120" s="169">
        <v>1170</v>
      </c>
      <c r="J120" s="169">
        <v>1105.5999999999999</v>
      </c>
      <c r="K120" s="169">
        <v>3</v>
      </c>
      <c r="L120" s="169">
        <v>978.3</v>
      </c>
      <c r="M120" s="169">
        <v>975.3</v>
      </c>
      <c r="N120" s="169">
        <v>938.7</v>
      </c>
      <c r="O120" s="169">
        <v>3</v>
      </c>
      <c r="P120" s="169"/>
      <c r="Q120" s="25"/>
    </row>
    <row r="121" spans="1:17" ht="15">
      <c r="A121" s="220"/>
      <c r="B121" s="222"/>
      <c r="C121" s="174" t="s">
        <v>278</v>
      </c>
      <c r="D121" s="169">
        <v>134.5</v>
      </c>
      <c r="E121" s="169">
        <v>134.5</v>
      </c>
      <c r="F121" s="169">
        <v>14.7</v>
      </c>
      <c r="G121" s="169">
        <v>0</v>
      </c>
      <c r="H121" s="169">
        <v>111.3</v>
      </c>
      <c r="I121" s="169">
        <v>111.3</v>
      </c>
      <c r="J121" s="169">
        <v>12</v>
      </c>
      <c r="K121" s="169">
        <v>0</v>
      </c>
      <c r="L121" s="169">
        <v>79.599999999999994</v>
      </c>
      <c r="M121" s="169">
        <v>79.599999999999994</v>
      </c>
      <c r="N121" s="169">
        <v>7.7</v>
      </c>
      <c r="O121" s="169">
        <v>0</v>
      </c>
      <c r="P121" s="169"/>
      <c r="Q121" s="25"/>
    </row>
    <row r="122" spans="1:17" ht="15.75">
      <c r="A122" s="220"/>
      <c r="B122" s="222"/>
      <c r="C122" s="174" t="s">
        <v>268</v>
      </c>
      <c r="D122" s="169">
        <v>1412.8</v>
      </c>
      <c r="E122" s="169">
        <v>1387.7</v>
      </c>
      <c r="F122" s="169">
        <v>1138.5</v>
      </c>
      <c r="G122" s="169">
        <v>25.1</v>
      </c>
      <c r="H122" s="169">
        <v>1121.8</v>
      </c>
      <c r="I122" s="169">
        <v>1096.7</v>
      </c>
      <c r="J122" s="169">
        <v>872.5</v>
      </c>
      <c r="K122" s="169">
        <v>25.1</v>
      </c>
      <c r="L122" s="169">
        <v>926.3</v>
      </c>
      <c r="M122" s="169">
        <v>901.2</v>
      </c>
      <c r="N122" s="169">
        <v>724.3</v>
      </c>
      <c r="O122" s="169">
        <v>25.1</v>
      </c>
      <c r="P122" s="168"/>
      <c r="Q122" s="168"/>
    </row>
    <row r="123" spans="1:17" ht="15.75">
      <c r="A123" s="183"/>
      <c r="B123" s="219"/>
      <c r="C123" s="174" t="s">
        <v>270</v>
      </c>
      <c r="D123" s="169">
        <v>23.5</v>
      </c>
      <c r="E123" s="169">
        <v>23.5</v>
      </c>
      <c r="F123" s="169">
        <v>18.7</v>
      </c>
      <c r="G123" s="169">
        <v>0</v>
      </c>
      <c r="H123" s="169">
        <v>18.899999999999999</v>
      </c>
      <c r="I123" s="169">
        <v>18.899999999999999</v>
      </c>
      <c r="J123" s="169">
        <v>14.1</v>
      </c>
      <c r="K123" s="169">
        <v>0</v>
      </c>
      <c r="L123" s="169">
        <v>14.4</v>
      </c>
      <c r="M123" s="169">
        <v>14.4</v>
      </c>
      <c r="N123" s="169">
        <v>14.1</v>
      </c>
      <c r="O123" s="169">
        <v>0</v>
      </c>
      <c r="P123" s="168"/>
      <c r="Q123" s="168"/>
    </row>
    <row r="124" spans="1:17" ht="54.6" customHeight="1">
      <c r="A124" s="216" t="s">
        <v>331</v>
      </c>
      <c r="B124" s="217"/>
      <c r="C124" s="175"/>
      <c r="D124" s="167">
        <f t="shared" ref="D124:O124" si="11">SUBTOTAL(9,D125:D129)</f>
        <v>2746.7999999999997</v>
      </c>
      <c r="E124" s="167">
        <f t="shared" si="11"/>
        <v>2696.4999999999995</v>
      </c>
      <c r="F124" s="167">
        <f t="shared" si="11"/>
        <v>2363.9</v>
      </c>
      <c r="G124" s="167">
        <f t="shared" si="11"/>
        <v>50.3</v>
      </c>
      <c r="H124" s="167">
        <f t="shared" si="11"/>
        <v>1911.2999999999997</v>
      </c>
      <c r="I124" s="167">
        <f t="shared" si="11"/>
        <v>1861</v>
      </c>
      <c r="J124" s="167">
        <f t="shared" si="11"/>
        <v>1585.8</v>
      </c>
      <c r="K124" s="167">
        <f t="shared" si="11"/>
        <v>50.3</v>
      </c>
      <c r="L124" s="167">
        <f t="shared" si="11"/>
        <v>1798.6999999999998</v>
      </c>
      <c r="M124" s="167">
        <f t="shared" si="11"/>
        <v>1755.8999999999999</v>
      </c>
      <c r="N124" s="167">
        <f t="shared" si="11"/>
        <v>1532.8</v>
      </c>
      <c r="O124" s="167">
        <f t="shared" si="11"/>
        <v>42.8</v>
      </c>
      <c r="P124" s="168">
        <f>SUM(L124/D124*100)</f>
        <v>65.483471676132226</v>
      </c>
      <c r="Q124" s="168">
        <f>SUM(L124/H124*100)</f>
        <v>94.108721812379017</v>
      </c>
    </row>
    <row r="125" spans="1:17" ht="15">
      <c r="A125" s="182"/>
      <c r="B125" s="218" t="s">
        <v>354</v>
      </c>
      <c r="C125" s="174" t="s">
        <v>266</v>
      </c>
      <c r="D125" s="169">
        <v>1556</v>
      </c>
      <c r="E125" s="169">
        <v>1549.6</v>
      </c>
      <c r="F125" s="169">
        <v>1483.6</v>
      </c>
      <c r="G125" s="169">
        <v>6.4</v>
      </c>
      <c r="H125" s="169">
        <v>1050.5999999999999</v>
      </c>
      <c r="I125" s="169">
        <v>1044.2</v>
      </c>
      <c r="J125" s="169">
        <v>989.2</v>
      </c>
      <c r="K125" s="169">
        <v>6.4</v>
      </c>
      <c r="L125" s="169">
        <v>993.3</v>
      </c>
      <c r="M125" s="169">
        <v>993.3</v>
      </c>
      <c r="N125" s="169">
        <v>954.1</v>
      </c>
      <c r="O125" s="169">
        <v>0</v>
      </c>
      <c r="P125" s="169"/>
      <c r="Q125" s="25"/>
    </row>
    <row r="126" spans="1:17" ht="15.75">
      <c r="A126" s="220"/>
      <c r="B126" s="222"/>
      <c r="C126" s="174" t="s">
        <v>278</v>
      </c>
      <c r="D126" s="169">
        <v>123.8</v>
      </c>
      <c r="E126" s="169">
        <v>122.8</v>
      </c>
      <c r="F126" s="169">
        <v>13</v>
      </c>
      <c r="G126" s="169">
        <v>1</v>
      </c>
      <c r="H126" s="169">
        <v>98.6</v>
      </c>
      <c r="I126" s="169">
        <v>97.6</v>
      </c>
      <c r="J126" s="169">
        <v>8.8000000000000007</v>
      </c>
      <c r="K126" s="169">
        <v>1</v>
      </c>
      <c r="L126" s="169">
        <v>78.5</v>
      </c>
      <c r="M126" s="169">
        <v>77.5</v>
      </c>
      <c r="N126" s="169">
        <v>7.6</v>
      </c>
      <c r="O126" s="169">
        <v>1</v>
      </c>
      <c r="P126" s="168"/>
      <c r="Q126" s="168"/>
    </row>
    <row r="127" spans="1:17" ht="15.75">
      <c r="A127" s="220"/>
      <c r="B127" s="222"/>
      <c r="C127" s="174" t="s">
        <v>268</v>
      </c>
      <c r="D127" s="169">
        <v>1048.9000000000001</v>
      </c>
      <c r="E127" s="169">
        <v>1006</v>
      </c>
      <c r="F127" s="169">
        <v>849.5</v>
      </c>
      <c r="G127" s="169">
        <v>42.9</v>
      </c>
      <c r="H127" s="169">
        <v>750</v>
      </c>
      <c r="I127" s="169">
        <v>707.1</v>
      </c>
      <c r="J127" s="169">
        <v>576</v>
      </c>
      <c r="K127" s="169">
        <v>42.9</v>
      </c>
      <c r="L127" s="169">
        <v>714.8</v>
      </c>
      <c r="M127" s="169">
        <v>673</v>
      </c>
      <c r="N127" s="169">
        <v>559.29999999999995</v>
      </c>
      <c r="O127" s="169">
        <v>41.8</v>
      </c>
      <c r="P127" s="168"/>
      <c r="Q127" s="168"/>
    </row>
    <row r="128" spans="1:17" ht="15">
      <c r="A128" s="220"/>
      <c r="B128" s="219"/>
      <c r="C128" s="174" t="s">
        <v>270</v>
      </c>
      <c r="D128" s="169">
        <v>18.100000000000001</v>
      </c>
      <c r="E128" s="169">
        <v>18.100000000000001</v>
      </c>
      <c r="F128" s="169">
        <v>17.8</v>
      </c>
      <c r="G128" s="169">
        <v>0</v>
      </c>
      <c r="H128" s="169">
        <v>12.1</v>
      </c>
      <c r="I128" s="169">
        <v>12.1</v>
      </c>
      <c r="J128" s="169">
        <v>11.8</v>
      </c>
      <c r="K128" s="169">
        <v>0</v>
      </c>
      <c r="L128" s="169">
        <v>12.1</v>
      </c>
      <c r="M128" s="169">
        <v>12.1</v>
      </c>
      <c r="N128" s="169">
        <v>11.8</v>
      </c>
      <c r="O128" s="169">
        <v>0</v>
      </c>
      <c r="P128" s="169"/>
      <c r="Q128" s="25"/>
    </row>
    <row r="129" spans="1:17" ht="28.5">
      <c r="A129" s="183"/>
      <c r="B129" s="173" t="s">
        <v>357</v>
      </c>
      <c r="C129" s="174" t="s">
        <v>266</v>
      </c>
      <c r="D129" s="169">
        <v>0</v>
      </c>
      <c r="E129" s="169">
        <v>0</v>
      </c>
      <c r="F129" s="169">
        <v>0</v>
      </c>
      <c r="G129" s="169">
        <v>0</v>
      </c>
      <c r="H129" s="169">
        <v>0</v>
      </c>
      <c r="I129" s="169">
        <v>0</v>
      </c>
      <c r="J129" s="169">
        <v>0</v>
      </c>
      <c r="K129" s="169">
        <v>0</v>
      </c>
      <c r="L129" s="169">
        <v>0</v>
      </c>
      <c r="M129" s="169">
        <v>0</v>
      </c>
      <c r="N129" s="169">
        <v>0</v>
      </c>
      <c r="O129" s="169">
        <v>0</v>
      </c>
      <c r="P129" s="168"/>
      <c r="Q129" s="168"/>
    </row>
    <row r="130" spans="1:17" ht="28.9" customHeight="1">
      <c r="A130" s="216" t="s">
        <v>51</v>
      </c>
      <c r="B130" s="217"/>
      <c r="C130" s="175"/>
      <c r="D130" s="167">
        <f t="shared" ref="D130:O130" si="12">SUBTOTAL(9,D131:D134)</f>
        <v>1926.8999999999999</v>
      </c>
      <c r="E130" s="167">
        <f t="shared" si="12"/>
        <v>1923.5</v>
      </c>
      <c r="F130" s="167">
        <f t="shared" si="12"/>
        <v>1782.3000000000002</v>
      </c>
      <c r="G130" s="167">
        <f t="shared" si="12"/>
        <v>3.4</v>
      </c>
      <c r="H130" s="167">
        <f t="shared" si="12"/>
        <v>1497.4</v>
      </c>
      <c r="I130" s="167">
        <f t="shared" si="12"/>
        <v>1494</v>
      </c>
      <c r="J130" s="167">
        <f t="shared" si="12"/>
        <v>1386.3</v>
      </c>
      <c r="K130" s="167">
        <f t="shared" si="12"/>
        <v>3.4</v>
      </c>
      <c r="L130" s="167">
        <f t="shared" si="12"/>
        <v>1287.5999999999999</v>
      </c>
      <c r="M130" s="167">
        <f t="shared" si="12"/>
        <v>1285.0999999999999</v>
      </c>
      <c r="N130" s="167">
        <f t="shared" si="12"/>
        <v>1207.2</v>
      </c>
      <c r="O130" s="167">
        <f t="shared" si="12"/>
        <v>2.5</v>
      </c>
      <c r="P130" s="168">
        <f>SUM(L130/D130*100)</f>
        <v>66.82235715397789</v>
      </c>
      <c r="Q130" s="168">
        <f>SUM(L130/H130*100)</f>
        <v>85.989047682649911</v>
      </c>
    </row>
    <row r="131" spans="1:17" ht="15.75">
      <c r="A131" s="182"/>
      <c r="B131" s="218" t="s">
        <v>354</v>
      </c>
      <c r="C131" s="174" t="s">
        <v>266</v>
      </c>
      <c r="D131" s="169">
        <v>109.5</v>
      </c>
      <c r="E131" s="169">
        <v>109.5</v>
      </c>
      <c r="F131" s="169">
        <v>107.9</v>
      </c>
      <c r="G131" s="169">
        <v>0</v>
      </c>
      <c r="H131" s="169">
        <v>82.1</v>
      </c>
      <c r="I131" s="169">
        <v>82.1</v>
      </c>
      <c r="J131" s="169">
        <v>80.900000000000006</v>
      </c>
      <c r="K131" s="169">
        <v>0</v>
      </c>
      <c r="L131" s="169">
        <v>82.1</v>
      </c>
      <c r="M131" s="169">
        <v>82.1</v>
      </c>
      <c r="N131" s="169">
        <v>80.900000000000006</v>
      </c>
      <c r="O131" s="169">
        <v>0</v>
      </c>
      <c r="P131" s="168"/>
      <c r="Q131" s="168"/>
    </row>
    <row r="132" spans="1:17" ht="15">
      <c r="A132" s="220"/>
      <c r="B132" s="222"/>
      <c r="C132" s="174" t="s">
        <v>278</v>
      </c>
      <c r="D132" s="169">
        <v>100.8</v>
      </c>
      <c r="E132" s="169">
        <v>100.8</v>
      </c>
      <c r="F132" s="169">
        <v>69.599999999999994</v>
      </c>
      <c r="G132" s="169">
        <v>0</v>
      </c>
      <c r="H132" s="169">
        <v>75.900000000000006</v>
      </c>
      <c r="I132" s="169">
        <v>75.900000000000006</v>
      </c>
      <c r="J132" s="169">
        <v>52.2</v>
      </c>
      <c r="K132" s="169">
        <v>0</v>
      </c>
      <c r="L132" s="169">
        <v>52.8</v>
      </c>
      <c r="M132" s="169">
        <v>52.8</v>
      </c>
      <c r="N132" s="169">
        <v>44.1</v>
      </c>
      <c r="O132" s="169">
        <v>0</v>
      </c>
      <c r="P132" s="169"/>
      <c r="Q132" s="25"/>
    </row>
    <row r="133" spans="1:17" ht="15.75">
      <c r="A133" s="220"/>
      <c r="B133" s="222"/>
      <c r="C133" s="174" t="s">
        <v>268</v>
      </c>
      <c r="D133" s="169">
        <v>1710.1</v>
      </c>
      <c r="E133" s="169">
        <v>1706.7</v>
      </c>
      <c r="F133" s="169">
        <v>1598.4</v>
      </c>
      <c r="G133" s="169">
        <v>3.4</v>
      </c>
      <c r="H133" s="169">
        <v>1334.5</v>
      </c>
      <c r="I133" s="169">
        <v>1331.1</v>
      </c>
      <c r="J133" s="169">
        <v>1248.4000000000001</v>
      </c>
      <c r="K133" s="169">
        <v>3.4</v>
      </c>
      <c r="L133" s="169">
        <v>1147.8</v>
      </c>
      <c r="M133" s="169">
        <v>1145.3</v>
      </c>
      <c r="N133" s="169">
        <v>1077.4000000000001</v>
      </c>
      <c r="O133" s="169">
        <v>2.5</v>
      </c>
      <c r="P133" s="168"/>
      <c r="Q133" s="168"/>
    </row>
    <row r="134" spans="1:17" ht="15.75">
      <c r="A134" s="183"/>
      <c r="B134" s="219"/>
      <c r="C134" s="174" t="s">
        <v>270</v>
      </c>
      <c r="D134" s="169">
        <v>6.5</v>
      </c>
      <c r="E134" s="169">
        <v>6.5</v>
      </c>
      <c r="F134" s="169">
        <v>6.4</v>
      </c>
      <c r="G134" s="169">
        <v>0</v>
      </c>
      <c r="H134" s="169">
        <v>4.9000000000000004</v>
      </c>
      <c r="I134" s="169">
        <v>4.9000000000000004</v>
      </c>
      <c r="J134" s="169">
        <v>4.8</v>
      </c>
      <c r="K134" s="169">
        <v>0</v>
      </c>
      <c r="L134" s="169">
        <v>4.9000000000000004</v>
      </c>
      <c r="M134" s="169">
        <v>4.9000000000000004</v>
      </c>
      <c r="N134" s="169">
        <v>4.8</v>
      </c>
      <c r="O134" s="169">
        <v>0</v>
      </c>
      <c r="P134" s="168"/>
      <c r="Q134" s="168"/>
    </row>
    <row r="135" spans="1:17" ht="46.5" customHeight="1">
      <c r="A135" s="216" t="s">
        <v>35</v>
      </c>
      <c r="B135" s="217"/>
      <c r="C135" s="175"/>
      <c r="D135" s="167">
        <f t="shared" ref="D135:O135" si="13">SUBTOTAL(9,D136:D139)</f>
        <v>2116.6999999999998</v>
      </c>
      <c r="E135" s="167">
        <f t="shared" si="13"/>
        <v>2104.1</v>
      </c>
      <c r="F135" s="167">
        <f t="shared" si="13"/>
        <v>1832.1</v>
      </c>
      <c r="G135" s="167">
        <f t="shared" si="13"/>
        <v>12.6</v>
      </c>
      <c r="H135" s="167">
        <f t="shared" si="13"/>
        <v>1551.7999999999997</v>
      </c>
      <c r="I135" s="167">
        <f t="shared" si="13"/>
        <v>1539.1999999999998</v>
      </c>
      <c r="J135" s="167">
        <f t="shared" si="13"/>
        <v>1320.1000000000001</v>
      </c>
      <c r="K135" s="167">
        <f t="shared" si="13"/>
        <v>12.6</v>
      </c>
      <c r="L135" s="167">
        <f t="shared" si="13"/>
        <v>1493.6</v>
      </c>
      <c r="M135" s="167">
        <f t="shared" si="13"/>
        <v>1481</v>
      </c>
      <c r="N135" s="167">
        <f t="shared" si="13"/>
        <v>1310.5000000000002</v>
      </c>
      <c r="O135" s="167">
        <f t="shared" si="13"/>
        <v>12.6</v>
      </c>
      <c r="P135" s="168">
        <f>SUM(L135/D135*100)</f>
        <v>70.562668304436144</v>
      </c>
      <c r="Q135" s="168">
        <f>SUM(L135/H135*100)</f>
        <v>96.249516690295152</v>
      </c>
    </row>
    <row r="136" spans="1:17" ht="15">
      <c r="A136" s="182"/>
      <c r="B136" s="218" t="s">
        <v>356</v>
      </c>
      <c r="C136" s="174" t="s">
        <v>266</v>
      </c>
      <c r="D136" s="169">
        <v>764.8</v>
      </c>
      <c r="E136" s="169">
        <v>764.8</v>
      </c>
      <c r="F136" s="169">
        <v>736.3</v>
      </c>
      <c r="G136" s="169">
        <v>0</v>
      </c>
      <c r="H136" s="169">
        <v>518.5</v>
      </c>
      <c r="I136" s="169">
        <v>518.5</v>
      </c>
      <c r="J136" s="169">
        <v>496.3</v>
      </c>
      <c r="K136" s="169">
        <v>0</v>
      </c>
      <c r="L136" s="169">
        <v>505.9</v>
      </c>
      <c r="M136" s="169">
        <v>505.9</v>
      </c>
      <c r="N136" s="169">
        <v>490.1</v>
      </c>
      <c r="O136" s="169">
        <v>0</v>
      </c>
      <c r="P136" s="169"/>
      <c r="Q136" s="25"/>
    </row>
    <row r="137" spans="1:17" ht="15.75">
      <c r="A137" s="220"/>
      <c r="B137" s="222"/>
      <c r="C137" s="174" t="s">
        <v>278</v>
      </c>
      <c r="D137" s="169">
        <v>127.3</v>
      </c>
      <c r="E137" s="169">
        <v>122.3</v>
      </c>
      <c r="F137" s="169">
        <v>16.7</v>
      </c>
      <c r="G137" s="169">
        <v>5</v>
      </c>
      <c r="H137" s="169">
        <v>102.3</v>
      </c>
      <c r="I137" s="169">
        <v>97.3</v>
      </c>
      <c r="J137" s="169">
        <v>11.1</v>
      </c>
      <c r="K137" s="169">
        <v>5</v>
      </c>
      <c r="L137" s="169">
        <v>84.6</v>
      </c>
      <c r="M137" s="169">
        <v>79.599999999999994</v>
      </c>
      <c r="N137" s="169">
        <v>11.1</v>
      </c>
      <c r="O137" s="169">
        <v>5</v>
      </c>
      <c r="P137" s="168"/>
      <c r="Q137" s="168"/>
    </row>
    <row r="138" spans="1:17" ht="15.75">
      <c r="A138" s="220"/>
      <c r="B138" s="222"/>
      <c r="C138" s="174" t="s">
        <v>268</v>
      </c>
      <c r="D138" s="169">
        <v>1190.5999999999999</v>
      </c>
      <c r="E138" s="169">
        <v>1183</v>
      </c>
      <c r="F138" s="169">
        <v>1045.5999999999999</v>
      </c>
      <c r="G138" s="169">
        <v>7.6</v>
      </c>
      <c r="H138" s="169">
        <v>905.4</v>
      </c>
      <c r="I138" s="169">
        <v>897.8</v>
      </c>
      <c r="J138" s="169">
        <v>787.5</v>
      </c>
      <c r="K138" s="169">
        <v>7.6</v>
      </c>
      <c r="L138" s="169">
        <v>877.5</v>
      </c>
      <c r="M138" s="169">
        <v>869.9</v>
      </c>
      <c r="N138" s="169">
        <v>784.1</v>
      </c>
      <c r="O138" s="169">
        <v>7.6</v>
      </c>
      <c r="P138" s="168"/>
      <c r="Q138" s="168"/>
    </row>
    <row r="139" spans="1:17" ht="15.75">
      <c r="A139" s="183"/>
      <c r="B139" s="219"/>
      <c r="C139" s="174" t="s">
        <v>270</v>
      </c>
      <c r="D139" s="169">
        <v>34</v>
      </c>
      <c r="E139" s="169">
        <v>34</v>
      </c>
      <c r="F139" s="169">
        <v>33.5</v>
      </c>
      <c r="G139" s="169">
        <v>0</v>
      </c>
      <c r="H139" s="169">
        <v>25.6</v>
      </c>
      <c r="I139" s="169">
        <v>25.6</v>
      </c>
      <c r="J139" s="169">
        <v>25.2</v>
      </c>
      <c r="K139" s="169">
        <v>0</v>
      </c>
      <c r="L139" s="169">
        <v>25.6</v>
      </c>
      <c r="M139" s="169">
        <v>25.6</v>
      </c>
      <c r="N139" s="169">
        <v>25.2</v>
      </c>
      <c r="O139" s="169">
        <v>0</v>
      </c>
      <c r="P139" s="168"/>
      <c r="Q139" s="168"/>
    </row>
    <row r="140" spans="1:17" ht="36" customHeight="1">
      <c r="A140" s="216" t="s">
        <v>37</v>
      </c>
      <c r="B140" s="217"/>
      <c r="C140" s="175"/>
      <c r="D140" s="167">
        <f t="shared" ref="D140:O140" si="14">SUBTOTAL(9,D141:D145)</f>
        <v>2031.3</v>
      </c>
      <c r="E140" s="167">
        <f t="shared" si="14"/>
        <v>2015.8</v>
      </c>
      <c r="F140" s="167">
        <f t="shared" si="14"/>
        <v>1754.3</v>
      </c>
      <c r="G140" s="167">
        <f t="shared" si="14"/>
        <v>15.5</v>
      </c>
      <c r="H140" s="167">
        <f t="shared" si="14"/>
        <v>1661</v>
      </c>
      <c r="I140" s="167">
        <f t="shared" si="14"/>
        <v>1645.5</v>
      </c>
      <c r="J140" s="167">
        <f t="shared" si="14"/>
        <v>1442.1000000000001</v>
      </c>
      <c r="K140" s="167">
        <f t="shared" si="14"/>
        <v>15.5</v>
      </c>
      <c r="L140" s="167">
        <f t="shared" si="14"/>
        <v>1362.6</v>
      </c>
      <c r="M140" s="167">
        <f t="shared" si="14"/>
        <v>1351.1</v>
      </c>
      <c r="N140" s="167">
        <f t="shared" si="14"/>
        <v>1195.4000000000001</v>
      </c>
      <c r="O140" s="167">
        <f t="shared" si="14"/>
        <v>11.5</v>
      </c>
      <c r="P140" s="168">
        <f>SUM(L140/D140*100)</f>
        <v>67.080194949047396</v>
      </c>
      <c r="Q140" s="168">
        <f>SUM(L140/H140*100)</f>
        <v>82.034918723660439</v>
      </c>
    </row>
    <row r="141" spans="1:17" ht="15">
      <c r="A141" s="182"/>
      <c r="B141" s="218" t="s">
        <v>356</v>
      </c>
      <c r="C141" s="174" t="s">
        <v>266</v>
      </c>
      <c r="D141" s="169">
        <v>670.6</v>
      </c>
      <c r="E141" s="169">
        <v>670.6</v>
      </c>
      <c r="F141" s="169">
        <v>645.5</v>
      </c>
      <c r="G141" s="169">
        <v>0</v>
      </c>
      <c r="H141" s="169">
        <v>541.29999999999995</v>
      </c>
      <c r="I141" s="169">
        <v>541.29999999999995</v>
      </c>
      <c r="J141" s="169">
        <v>521.6</v>
      </c>
      <c r="K141" s="169">
        <v>0</v>
      </c>
      <c r="L141" s="169">
        <v>406.9</v>
      </c>
      <c r="M141" s="169">
        <v>406.9</v>
      </c>
      <c r="N141" s="169">
        <v>391.3</v>
      </c>
      <c r="O141" s="169">
        <v>0</v>
      </c>
      <c r="P141" s="169"/>
      <c r="Q141" s="25"/>
    </row>
    <row r="142" spans="1:17" ht="28.5">
      <c r="A142" s="220"/>
      <c r="B142" s="222"/>
      <c r="C142" s="174" t="s">
        <v>267</v>
      </c>
      <c r="D142" s="169">
        <v>6.5</v>
      </c>
      <c r="E142" s="169">
        <v>6.5</v>
      </c>
      <c r="F142" s="169">
        <v>6.4</v>
      </c>
      <c r="G142" s="169">
        <v>0</v>
      </c>
      <c r="H142" s="169">
        <v>6.5</v>
      </c>
      <c r="I142" s="169">
        <v>6.5</v>
      </c>
      <c r="J142" s="169">
        <v>6.4</v>
      </c>
      <c r="K142" s="169">
        <v>0</v>
      </c>
      <c r="L142" s="169">
        <v>6.5</v>
      </c>
      <c r="M142" s="169">
        <v>6.5</v>
      </c>
      <c r="N142" s="169">
        <v>6.4</v>
      </c>
      <c r="O142" s="169">
        <v>0</v>
      </c>
      <c r="P142" s="169"/>
      <c r="Q142" s="25"/>
    </row>
    <row r="143" spans="1:17" ht="15.75">
      <c r="A143" s="220"/>
      <c r="B143" s="222"/>
      <c r="C143" s="174" t="s">
        <v>278</v>
      </c>
      <c r="D143" s="169">
        <v>145.6</v>
      </c>
      <c r="E143" s="169">
        <v>132.6</v>
      </c>
      <c r="F143" s="169">
        <v>17.100000000000001</v>
      </c>
      <c r="G143" s="169">
        <v>13</v>
      </c>
      <c r="H143" s="169">
        <v>112.5</v>
      </c>
      <c r="I143" s="169">
        <v>99.5</v>
      </c>
      <c r="J143" s="169">
        <v>12.8</v>
      </c>
      <c r="K143" s="169">
        <v>13</v>
      </c>
      <c r="L143" s="169">
        <v>80.7</v>
      </c>
      <c r="M143" s="169">
        <v>71.7</v>
      </c>
      <c r="N143" s="169">
        <v>7.4</v>
      </c>
      <c r="O143" s="169">
        <v>9</v>
      </c>
      <c r="P143" s="168"/>
      <c r="Q143" s="168"/>
    </row>
    <row r="144" spans="1:17" ht="15">
      <c r="A144" s="220"/>
      <c r="B144" s="222"/>
      <c r="C144" s="174" t="s">
        <v>268</v>
      </c>
      <c r="D144" s="169">
        <v>1178.5999999999999</v>
      </c>
      <c r="E144" s="169">
        <v>1176.0999999999999</v>
      </c>
      <c r="F144" s="169">
        <v>1055.7</v>
      </c>
      <c r="G144" s="169">
        <v>2.5</v>
      </c>
      <c r="H144" s="169">
        <v>978.2</v>
      </c>
      <c r="I144" s="169">
        <v>975.7</v>
      </c>
      <c r="J144" s="169">
        <v>879.1</v>
      </c>
      <c r="K144" s="169">
        <v>2.5</v>
      </c>
      <c r="L144" s="169">
        <v>846</v>
      </c>
      <c r="M144" s="169">
        <v>843.5</v>
      </c>
      <c r="N144" s="169">
        <v>768.1</v>
      </c>
      <c r="O144" s="169">
        <v>2.5</v>
      </c>
      <c r="P144" s="169"/>
      <c r="Q144" s="25"/>
    </row>
    <row r="145" spans="1:17" ht="15.75">
      <c r="A145" s="183"/>
      <c r="B145" s="219"/>
      <c r="C145" s="174" t="s">
        <v>270</v>
      </c>
      <c r="D145" s="169">
        <v>30</v>
      </c>
      <c r="E145" s="169">
        <v>30</v>
      </c>
      <c r="F145" s="169">
        <v>29.6</v>
      </c>
      <c r="G145" s="169">
        <v>0</v>
      </c>
      <c r="H145" s="169">
        <v>22.5</v>
      </c>
      <c r="I145" s="169">
        <v>22.5</v>
      </c>
      <c r="J145" s="169">
        <v>22.2</v>
      </c>
      <c r="K145" s="169">
        <v>0</v>
      </c>
      <c r="L145" s="169">
        <v>22.5</v>
      </c>
      <c r="M145" s="169">
        <v>22.5</v>
      </c>
      <c r="N145" s="169">
        <v>22.2</v>
      </c>
      <c r="O145" s="169">
        <v>0</v>
      </c>
      <c r="P145" s="168"/>
      <c r="Q145" s="168"/>
    </row>
    <row r="146" spans="1:17" ht="31.9" customHeight="1">
      <c r="A146" s="216" t="s">
        <v>373</v>
      </c>
      <c r="B146" s="217"/>
      <c r="C146" s="175"/>
      <c r="D146" s="167">
        <f t="shared" ref="D146:O146" si="15">SUBTOTAL(9,D147:D151)</f>
        <v>1785.6</v>
      </c>
      <c r="E146" s="167">
        <f t="shared" si="15"/>
        <v>1752.5</v>
      </c>
      <c r="F146" s="167">
        <f t="shared" si="15"/>
        <v>1523.5</v>
      </c>
      <c r="G146" s="167">
        <f t="shared" si="15"/>
        <v>33.1</v>
      </c>
      <c r="H146" s="167">
        <f t="shared" si="15"/>
        <v>1345</v>
      </c>
      <c r="I146" s="167">
        <f t="shared" si="15"/>
        <v>1320.6000000000001</v>
      </c>
      <c r="J146" s="167">
        <f t="shared" si="15"/>
        <v>1142.5</v>
      </c>
      <c r="K146" s="167">
        <f t="shared" si="15"/>
        <v>24.4</v>
      </c>
      <c r="L146" s="167">
        <f t="shared" si="15"/>
        <v>1219.7</v>
      </c>
      <c r="M146" s="167">
        <f t="shared" si="15"/>
        <v>1202.5</v>
      </c>
      <c r="N146" s="167">
        <f t="shared" si="15"/>
        <v>1060.5</v>
      </c>
      <c r="O146" s="167">
        <f t="shared" si="15"/>
        <v>17.2</v>
      </c>
      <c r="P146" s="168">
        <f>SUM(L146/D146*100)</f>
        <v>68.307571684587813</v>
      </c>
      <c r="Q146" s="168">
        <f>SUM(L146/H146*100)</f>
        <v>90.684014869888472</v>
      </c>
    </row>
    <row r="147" spans="1:17" ht="15.75">
      <c r="A147" s="182"/>
      <c r="B147" s="218" t="s">
        <v>356</v>
      </c>
      <c r="C147" s="174" t="s">
        <v>266</v>
      </c>
      <c r="D147" s="169">
        <v>650.20000000000005</v>
      </c>
      <c r="E147" s="169">
        <v>650.20000000000005</v>
      </c>
      <c r="F147" s="169">
        <v>627.6</v>
      </c>
      <c r="G147" s="169">
        <v>0</v>
      </c>
      <c r="H147" s="169">
        <v>485.3</v>
      </c>
      <c r="I147" s="169">
        <v>485.3</v>
      </c>
      <c r="J147" s="169">
        <v>467.5</v>
      </c>
      <c r="K147" s="169">
        <v>0</v>
      </c>
      <c r="L147" s="169">
        <v>402.7</v>
      </c>
      <c r="M147" s="169">
        <v>402.7</v>
      </c>
      <c r="N147" s="169">
        <v>390.6</v>
      </c>
      <c r="O147" s="169">
        <v>0</v>
      </c>
      <c r="P147" s="168"/>
      <c r="Q147" s="168"/>
    </row>
    <row r="148" spans="1:17" ht="28.5">
      <c r="A148" s="220"/>
      <c r="B148" s="222"/>
      <c r="C148" s="174" t="s">
        <v>267</v>
      </c>
      <c r="D148" s="169">
        <v>13.1</v>
      </c>
      <c r="E148" s="169">
        <v>13.1</v>
      </c>
      <c r="F148" s="169">
        <v>12.9</v>
      </c>
      <c r="G148" s="169">
        <v>0</v>
      </c>
      <c r="H148" s="169">
        <v>13.1</v>
      </c>
      <c r="I148" s="169">
        <v>13.1</v>
      </c>
      <c r="J148" s="169">
        <v>12.9</v>
      </c>
      <c r="K148" s="169">
        <v>0</v>
      </c>
      <c r="L148" s="169">
        <v>13.1</v>
      </c>
      <c r="M148" s="169">
        <v>13.1</v>
      </c>
      <c r="N148" s="169">
        <v>12.9</v>
      </c>
      <c r="O148" s="169">
        <v>0</v>
      </c>
      <c r="P148" s="168"/>
      <c r="Q148" s="168"/>
    </row>
    <row r="149" spans="1:17" ht="15">
      <c r="A149" s="220"/>
      <c r="B149" s="222"/>
      <c r="C149" s="174" t="s">
        <v>278</v>
      </c>
      <c r="D149" s="169">
        <v>114.9</v>
      </c>
      <c r="E149" s="169">
        <v>107.9</v>
      </c>
      <c r="F149" s="169">
        <v>15</v>
      </c>
      <c r="G149" s="169">
        <v>7</v>
      </c>
      <c r="H149" s="169">
        <v>94.5</v>
      </c>
      <c r="I149" s="169">
        <v>87.5</v>
      </c>
      <c r="J149" s="169">
        <v>11.2</v>
      </c>
      <c r="K149" s="169">
        <v>7</v>
      </c>
      <c r="L149" s="169">
        <v>78.7</v>
      </c>
      <c r="M149" s="169">
        <v>78.7</v>
      </c>
      <c r="N149" s="169">
        <v>7.4</v>
      </c>
      <c r="O149" s="169">
        <v>0</v>
      </c>
      <c r="P149" s="169"/>
      <c r="Q149" s="25"/>
    </row>
    <row r="150" spans="1:17" ht="15">
      <c r="A150" s="220"/>
      <c r="B150" s="222"/>
      <c r="C150" s="174" t="s">
        <v>268</v>
      </c>
      <c r="D150" s="169">
        <v>977.4</v>
      </c>
      <c r="E150" s="169">
        <v>951.3</v>
      </c>
      <c r="F150" s="169">
        <v>838.4</v>
      </c>
      <c r="G150" s="169">
        <v>26.1</v>
      </c>
      <c r="H150" s="169">
        <v>729.6</v>
      </c>
      <c r="I150" s="169">
        <v>712.2</v>
      </c>
      <c r="J150" s="169">
        <v>628.70000000000005</v>
      </c>
      <c r="K150" s="169">
        <v>17.399999999999999</v>
      </c>
      <c r="L150" s="169">
        <v>702.7</v>
      </c>
      <c r="M150" s="169">
        <v>685.5</v>
      </c>
      <c r="N150" s="169">
        <v>627.4</v>
      </c>
      <c r="O150" s="169">
        <v>17.2</v>
      </c>
      <c r="P150" s="169"/>
      <c r="Q150" s="25"/>
    </row>
    <row r="151" spans="1:17" ht="15.75">
      <c r="A151" s="183"/>
      <c r="B151" s="219"/>
      <c r="C151" s="174" t="s">
        <v>270</v>
      </c>
      <c r="D151" s="169">
        <v>30</v>
      </c>
      <c r="E151" s="169">
        <v>30</v>
      </c>
      <c r="F151" s="169">
        <v>29.6</v>
      </c>
      <c r="G151" s="169">
        <v>0</v>
      </c>
      <c r="H151" s="169">
        <v>22.5</v>
      </c>
      <c r="I151" s="169">
        <v>22.5</v>
      </c>
      <c r="J151" s="169">
        <v>22.2</v>
      </c>
      <c r="K151" s="169">
        <v>0</v>
      </c>
      <c r="L151" s="169">
        <v>22.5</v>
      </c>
      <c r="M151" s="169">
        <v>22.5</v>
      </c>
      <c r="N151" s="169">
        <v>22.2</v>
      </c>
      <c r="O151" s="169">
        <v>0</v>
      </c>
      <c r="P151" s="168"/>
      <c r="Q151" s="168"/>
    </row>
    <row r="152" spans="1:17" ht="45" customHeight="1">
      <c r="A152" s="216" t="s">
        <v>45</v>
      </c>
      <c r="B152" s="217"/>
      <c r="C152" s="175"/>
      <c r="D152" s="167">
        <f t="shared" ref="D152:O152" si="16">SUBTOTAL(9,D153:D157)</f>
        <v>2121.8999999999996</v>
      </c>
      <c r="E152" s="167">
        <f t="shared" si="16"/>
        <v>2113.2999999999997</v>
      </c>
      <c r="F152" s="167">
        <f t="shared" si="16"/>
        <v>1759.8000000000002</v>
      </c>
      <c r="G152" s="167">
        <f t="shared" si="16"/>
        <v>8.6000000000000014</v>
      </c>
      <c r="H152" s="167">
        <f t="shared" si="16"/>
        <v>1660.2</v>
      </c>
      <c r="I152" s="167">
        <f t="shared" si="16"/>
        <v>1651.6</v>
      </c>
      <c r="J152" s="167">
        <f t="shared" si="16"/>
        <v>1362</v>
      </c>
      <c r="K152" s="167">
        <f t="shared" si="16"/>
        <v>8.6000000000000014</v>
      </c>
      <c r="L152" s="167">
        <f t="shared" si="16"/>
        <v>1415.1</v>
      </c>
      <c r="M152" s="167">
        <f t="shared" si="16"/>
        <v>1409</v>
      </c>
      <c r="N152" s="167">
        <f t="shared" si="16"/>
        <v>1188.3</v>
      </c>
      <c r="O152" s="167">
        <f t="shared" si="16"/>
        <v>6.1</v>
      </c>
      <c r="P152" s="168">
        <f>SUM(L152/D152*100)</f>
        <v>66.690230453838552</v>
      </c>
      <c r="Q152" s="168">
        <f>SUM(L152/H152*100)</f>
        <v>85.236718467654498</v>
      </c>
    </row>
    <row r="153" spans="1:17" ht="15">
      <c r="A153" s="182"/>
      <c r="B153" s="218" t="s">
        <v>354</v>
      </c>
      <c r="C153" s="174" t="s">
        <v>266</v>
      </c>
      <c r="D153" s="169">
        <v>669.8</v>
      </c>
      <c r="E153" s="169">
        <v>664.4</v>
      </c>
      <c r="F153" s="169">
        <v>631.5</v>
      </c>
      <c r="G153" s="169">
        <v>5.4</v>
      </c>
      <c r="H153" s="169">
        <v>502.1</v>
      </c>
      <c r="I153" s="169">
        <v>496.7</v>
      </c>
      <c r="J153" s="169">
        <v>469.5</v>
      </c>
      <c r="K153" s="169">
        <v>5.4</v>
      </c>
      <c r="L153" s="169">
        <v>470.6</v>
      </c>
      <c r="M153" s="169">
        <v>467.7</v>
      </c>
      <c r="N153" s="169">
        <v>443.8</v>
      </c>
      <c r="O153" s="169">
        <v>2.9</v>
      </c>
      <c r="P153" s="169"/>
      <c r="Q153" s="25"/>
    </row>
    <row r="154" spans="1:17" ht="28.5">
      <c r="A154" s="220"/>
      <c r="B154" s="222"/>
      <c r="C154" s="174" t="s">
        <v>267</v>
      </c>
      <c r="D154" s="169">
        <v>4.4000000000000004</v>
      </c>
      <c r="E154" s="169">
        <v>4.4000000000000004</v>
      </c>
      <c r="F154" s="169">
        <v>4.4000000000000004</v>
      </c>
      <c r="G154" s="169">
        <v>0</v>
      </c>
      <c r="H154" s="169">
        <v>4.4000000000000004</v>
      </c>
      <c r="I154" s="169">
        <v>4.4000000000000004</v>
      </c>
      <c r="J154" s="169">
        <v>4.4000000000000004</v>
      </c>
      <c r="K154" s="169">
        <v>0</v>
      </c>
      <c r="L154" s="169">
        <v>4.4000000000000004</v>
      </c>
      <c r="M154" s="169">
        <v>4.4000000000000004</v>
      </c>
      <c r="N154" s="169">
        <v>4.4000000000000004</v>
      </c>
      <c r="O154" s="169">
        <v>0</v>
      </c>
      <c r="P154" s="168"/>
      <c r="Q154" s="168"/>
    </row>
    <row r="155" spans="1:17" ht="15">
      <c r="A155" s="220"/>
      <c r="B155" s="222"/>
      <c r="C155" s="174" t="s">
        <v>278</v>
      </c>
      <c r="D155" s="169">
        <v>115.6</v>
      </c>
      <c r="E155" s="169">
        <v>115.6</v>
      </c>
      <c r="F155" s="169">
        <v>14</v>
      </c>
      <c r="G155" s="169">
        <v>0</v>
      </c>
      <c r="H155" s="169">
        <v>85.2</v>
      </c>
      <c r="I155" s="169">
        <v>85.2</v>
      </c>
      <c r="J155" s="169">
        <v>11.1</v>
      </c>
      <c r="K155" s="169">
        <v>0</v>
      </c>
      <c r="L155" s="169">
        <v>60.8</v>
      </c>
      <c r="M155" s="169">
        <v>60.8</v>
      </c>
      <c r="N155" s="169">
        <v>11.1</v>
      </c>
      <c r="O155" s="169">
        <v>0</v>
      </c>
      <c r="P155" s="169"/>
      <c r="Q155" s="25"/>
    </row>
    <row r="156" spans="1:17" ht="15.75">
      <c r="A156" s="220"/>
      <c r="B156" s="222"/>
      <c r="C156" s="174" t="s">
        <v>268</v>
      </c>
      <c r="D156" s="169">
        <v>1289.9000000000001</v>
      </c>
      <c r="E156" s="169">
        <v>1286.7</v>
      </c>
      <c r="F156" s="169">
        <v>1081.5</v>
      </c>
      <c r="G156" s="169">
        <v>3.2</v>
      </c>
      <c r="H156" s="169">
        <v>1033.5</v>
      </c>
      <c r="I156" s="169">
        <v>1030.3</v>
      </c>
      <c r="J156" s="169">
        <v>855.7</v>
      </c>
      <c r="K156" s="169">
        <v>3.2</v>
      </c>
      <c r="L156" s="169">
        <v>844.3</v>
      </c>
      <c r="M156" s="169">
        <v>841.1</v>
      </c>
      <c r="N156" s="169">
        <v>707.7</v>
      </c>
      <c r="O156" s="169">
        <v>3.2</v>
      </c>
      <c r="P156" s="168"/>
      <c r="Q156" s="168"/>
    </row>
    <row r="157" spans="1:17" ht="15.75">
      <c r="A157" s="183"/>
      <c r="B157" s="219"/>
      <c r="C157" s="174" t="s">
        <v>270</v>
      </c>
      <c r="D157" s="169">
        <v>42.2</v>
      </c>
      <c r="E157" s="169">
        <v>42.2</v>
      </c>
      <c r="F157" s="169">
        <v>28.4</v>
      </c>
      <c r="G157" s="169">
        <v>0</v>
      </c>
      <c r="H157" s="169">
        <v>35</v>
      </c>
      <c r="I157" s="169">
        <v>35</v>
      </c>
      <c r="J157" s="169">
        <v>21.3</v>
      </c>
      <c r="K157" s="169">
        <v>0</v>
      </c>
      <c r="L157" s="169">
        <v>35</v>
      </c>
      <c r="M157" s="169">
        <v>35</v>
      </c>
      <c r="N157" s="169">
        <v>21.3</v>
      </c>
      <c r="O157" s="169">
        <v>0</v>
      </c>
      <c r="P157" s="168"/>
      <c r="Q157" s="168"/>
    </row>
    <row r="158" spans="1:17" ht="28.15" customHeight="1">
      <c r="A158" s="216" t="s">
        <v>71</v>
      </c>
      <c r="B158" s="217"/>
      <c r="C158" s="175"/>
      <c r="D158" s="167">
        <f t="shared" ref="D158:O158" si="17">SUBTOTAL(9,D159:D160)</f>
        <v>1513.7</v>
      </c>
      <c r="E158" s="167">
        <f t="shared" si="17"/>
        <v>1433</v>
      </c>
      <c r="F158" s="167">
        <f t="shared" si="17"/>
        <v>1009.2</v>
      </c>
      <c r="G158" s="167">
        <f t="shared" si="17"/>
        <v>80.7</v>
      </c>
      <c r="H158" s="167">
        <f t="shared" si="17"/>
        <v>1218.3</v>
      </c>
      <c r="I158" s="167">
        <f t="shared" si="17"/>
        <v>1137.5999999999999</v>
      </c>
      <c r="J158" s="167">
        <f t="shared" si="17"/>
        <v>800.3</v>
      </c>
      <c r="K158" s="167">
        <f t="shared" si="17"/>
        <v>80.7</v>
      </c>
      <c r="L158" s="167">
        <f t="shared" si="17"/>
        <v>1013.2</v>
      </c>
      <c r="M158" s="167">
        <f t="shared" si="17"/>
        <v>953.8</v>
      </c>
      <c r="N158" s="167">
        <f t="shared" si="17"/>
        <v>704.4</v>
      </c>
      <c r="O158" s="167">
        <f t="shared" si="17"/>
        <v>59.4</v>
      </c>
      <c r="P158" s="168">
        <f>SUM(L158/D158*100)</f>
        <v>66.935324040430729</v>
      </c>
      <c r="Q158" s="168">
        <f>SUM(L158/H158*100)</f>
        <v>83.165066075679235</v>
      </c>
    </row>
    <row r="159" spans="1:17" ht="43.9" customHeight="1">
      <c r="A159" s="182"/>
      <c r="B159" s="218" t="s">
        <v>346</v>
      </c>
      <c r="C159" s="174" t="s">
        <v>278</v>
      </c>
      <c r="D159" s="169">
        <v>383.8</v>
      </c>
      <c r="E159" s="169">
        <v>383.8</v>
      </c>
      <c r="F159" s="169">
        <v>168.8</v>
      </c>
      <c r="G159" s="169">
        <v>0</v>
      </c>
      <c r="H159" s="169">
        <v>291</v>
      </c>
      <c r="I159" s="169">
        <v>291</v>
      </c>
      <c r="J159" s="169">
        <v>130.69999999999999</v>
      </c>
      <c r="K159" s="169">
        <v>0</v>
      </c>
      <c r="L159" s="169">
        <v>169.2</v>
      </c>
      <c r="M159" s="169">
        <v>169.2</v>
      </c>
      <c r="N159" s="169">
        <v>71.3</v>
      </c>
      <c r="O159" s="169">
        <v>0</v>
      </c>
      <c r="P159" s="168"/>
      <c r="Q159" s="168"/>
    </row>
    <row r="160" spans="1:17" ht="39" customHeight="1">
      <c r="A160" s="183"/>
      <c r="B160" s="219"/>
      <c r="C160" s="174" t="s">
        <v>268</v>
      </c>
      <c r="D160" s="169">
        <v>1129.9000000000001</v>
      </c>
      <c r="E160" s="169">
        <v>1049.2</v>
      </c>
      <c r="F160" s="169">
        <v>840.4</v>
      </c>
      <c r="G160" s="169">
        <v>80.7</v>
      </c>
      <c r="H160" s="169">
        <v>927.3</v>
      </c>
      <c r="I160" s="169">
        <v>846.6</v>
      </c>
      <c r="J160" s="169">
        <v>669.6</v>
      </c>
      <c r="K160" s="169">
        <v>80.7</v>
      </c>
      <c r="L160" s="169">
        <v>844</v>
      </c>
      <c r="M160" s="169">
        <v>784.6</v>
      </c>
      <c r="N160" s="169">
        <v>633.1</v>
      </c>
      <c r="O160" s="169">
        <v>59.4</v>
      </c>
      <c r="P160" s="168"/>
      <c r="Q160" s="168"/>
    </row>
    <row r="161" spans="1:17" ht="34.15" customHeight="1">
      <c r="A161" s="216" t="s">
        <v>60</v>
      </c>
      <c r="B161" s="221"/>
      <c r="C161" s="217"/>
      <c r="D161" s="167">
        <f t="shared" ref="D161:O161" si="18">SUBTOTAL(9,D162:D165)</f>
        <v>760</v>
      </c>
      <c r="E161" s="167">
        <f t="shared" si="18"/>
        <v>495.9</v>
      </c>
      <c r="F161" s="167">
        <f t="shared" si="18"/>
        <v>245.3</v>
      </c>
      <c r="G161" s="167">
        <f t="shared" si="18"/>
        <v>264.10000000000002</v>
      </c>
      <c r="H161" s="167">
        <f t="shared" si="18"/>
        <v>677.59999999999991</v>
      </c>
      <c r="I161" s="167">
        <f t="shared" si="18"/>
        <v>413.5</v>
      </c>
      <c r="J161" s="167">
        <f t="shared" si="18"/>
        <v>184.3</v>
      </c>
      <c r="K161" s="167">
        <f t="shared" si="18"/>
        <v>264.10000000000002</v>
      </c>
      <c r="L161" s="167">
        <f t="shared" si="18"/>
        <v>386.5</v>
      </c>
      <c r="M161" s="167">
        <f t="shared" si="18"/>
        <v>292.2</v>
      </c>
      <c r="N161" s="167">
        <f t="shared" si="18"/>
        <v>149.4</v>
      </c>
      <c r="O161" s="167">
        <f t="shared" si="18"/>
        <v>94.3</v>
      </c>
      <c r="P161" s="168">
        <f>SUM(L161/D161*100)</f>
        <v>50.85526315789474</v>
      </c>
      <c r="Q161" s="168">
        <f>SUM(L161/H161*100)</f>
        <v>57.039551357733188</v>
      </c>
    </row>
    <row r="162" spans="1:17" ht="42.75">
      <c r="A162" s="182"/>
      <c r="B162" s="173" t="s">
        <v>354</v>
      </c>
      <c r="C162" s="174" t="s">
        <v>278</v>
      </c>
      <c r="D162" s="169">
        <v>0</v>
      </c>
      <c r="E162" s="169">
        <v>0</v>
      </c>
      <c r="F162" s="169">
        <v>0</v>
      </c>
      <c r="G162" s="169">
        <v>0</v>
      </c>
      <c r="H162" s="169">
        <v>0</v>
      </c>
      <c r="I162" s="169">
        <v>0</v>
      </c>
      <c r="J162" s="169">
        <v>0</v>
      </c>
      <c r="K162" s="169">
        <v>0</v>
      </c>
      <c r="L162" s="169">
        <v>0</v>
      </c>
      <c r="M162" s="169">
        <v>0</v>
      </c>
      <c r="N162" s="169">
        <v>0</v>
      </c>
      <c r="O162" s="169">
        <v>0</v>
      </c>
      <c r="P162" s="168"/>
      <c r="Q162" s="168"/>
    </row>
    <row r="163" spans="1:17" ht="24.6" customHeight="1">
      <c r="A163" s="220"/>
      <c r="B163" s="218" t="s">
        <v>353</v>
      </c>
      <c r="C163" s="174" t="s">
        <v>265</v>
      </c>
      <c r="D163" s="169">
        <v>116.7</v>
      </c>
      <c r="E163" s="169">
        <v>40</v>
      </c>
      <c r="F163" s="169">
        <v>13.1</v>
      </c>
      <c r="G163" s="169">
        <v>76.7</v>
      </c>
      <c r="H163" s="169">
        <v>112.8</v>
      </c>
      <c r="I163" s="169">
        <v>36.1</v>
      </c>
      <c r="J163" s="169">
        <v>9.8000000000000007</v>
      </c>
      <c r="K163" s="169">
        <v>76.7</v>
      </c>
      <c r="L163" s="169">
        <v>27.5</v>
      </c>
      <c r="M163" s="169">
        <v>13.2</v>
      </c>
      <c r="N163" s="169">
        <v>1.9</v>
      </c>
      <c r="O163" s="169">
        <v>14.3</v>
      </c>
      <c r="P163" s="168"/>
      <c r="Q163" s="168"/>
    </row>
    <row r="164" spans="1:17" ht="24.6" customHeight="1">
      <c r="A164" s="220"/>
      <c r="B164" s="222"/>
      <c r="C164" s="174" t="s">
        <v>278</v>
      </c>
      <c r="D164" s="169">
        <v>200</v>
      </c>
      <c r="E164" s="169">
        <v>190</v>
      </c>
      <c r="F164" s="169">
        <v>68.3</v>
      </c>
      <c r="G164" s="169">
        <v>10</v>
      </c>
      <c r="H164" s="169">
        <v>172.9</v>
      </c>
      <c r="I164" s="169">
        <v>162.9</v>
      </c>
      <c r="J164" s="169">
        <v>51.9</v>
      </c>
      <c r="K164" s="169">
        <v>10</v>
      </c>
      <c r="L164" s="169">
        <v>122</v>
      </c>
      <c r="M164" s="169">
        <v>122</v>
      </c>
      <c r="N164" s="169">
        <v>40</v>
      </c>
      <c r="O164" s="169">
        <v>0</v>
      </c>
      <c r="P164" s="168"/>
      <c r="Q164" s="168"/>
    </row>
    <row r="165" spans="1:17" ht="22.15" customHeight="1">
      <c r="A165" s="183"/>
      <c r="B165" s="219"/>
      <c r="C165" s="174" t="s">
        <v>268</v>
      </c>
      <c r="D165" s="169">
        <v>443.3</v>
      </c>
      <c r="E165" s="169">
        <v>265.89999999999998</v>
      </c>
      <c r="F165" s="169">
        <v>163.9</v>
      </c>
      <c r="G165" s="169">
        <v>177.4</v>
      </c>
      <c r="H165" s="169">
        <v>391.9</v>
      </c>
      <c r="I165" s="169">
        <v>214.5</v>
      </c>
      <c r="J165" s="169">
        <v>122.6</v>
      </c>
      <c r="K165" s="169">
        <v>177.4</v>
      </c>
      <c r="L165" s="169">
        <v>237</v>
      </c>
      <c r="M165" s="169">
        <v>157</v>
      </c>
      <c r="N165" s="169">
        <v>107.5</v>
      </c>
      <c r="O165" s="169">
        <v>80</v>
      </c>
      <c r="P165" s="168"/>
      <c r="Q165" s="168"/>
    </row>
    <row r="166" spans="1:17" ht="35.450000000000003" customHeight="1">
      <c r="A166" s="216" t="s">
        <v>64</v>
      </c>
      <c r="B166" s="217"/>
      <c r="C166" s="175"/>
      <c r="D166" s="167">
        <f t="shared" ref="D166:O166" si="19">SUBTOTAL(9,D167:D169)</f>
        <v>2616.7000000000003</v>
      </c>
      <c r="E166" s="167">
        <f t="shared" si="19"/>
        <v>2607</v>
      </c>
      <c r="F166" s="167">
        <f t="shared" si="19"/>
        <v>2017.9</v>
      </c>
      <c r="G166" s="167">
        <f t="shared" si="19"/>
        <v>9.6999999999999993</v>
      </c>
      <c r="H166" s="167">
        <f t="shared" si="19"/>
        <v>1994.4999999999998</v>
      </c>
      <c r="I166" s="167">
        <f t="shared" si="19"/>
        <v>1984.8</v>
      </c>
      <c r="J166" s="167">
        <f t="shared" si="19"/>
        <v>1513.3999999999999</v>
      </c>
      <c r="K166" s="167">
        <f t="shared" si="19"/>
        <v>9.6999999999999993</v>
      </c>
      <c r="L166" s="167">
        <f t="shared" si="19"/>
        <v>1698.6</v>
      </c>
      <c r="M166" s="167">
        <f t="shared" si="19"/>
        <v>1697.4</v>
      </c>
      <c r="N166" s="167">
        <f t="shared" si="19"/>
        <v>1375.1999999999998</v>
      </c>
      <c r="O166" s="167">
        <f t="shared" si="19"/>
        <v>1.2</v>
      </c>
      <c r="P166" s="168">
        <f>SUM(L166/D166*100)</f>
        <v>64.913822753850255</v>
      </c>
      <c r="Q166" s="168">
        <f>SUM(L166/H166*100)</f>
        <v>85.164201554274257</v>
      </c>
    </row>
    <row r="167" spans="1:17" ht="15.75">
      <c r="A167" s="182"/>
      <c r="B167" s="226" t="s">
        <v>357</v>
      </c>
      <c r="C167" s="174" t="s">
        <v>278</v>
      </c>
      <c r="D167" s="169">
        <v>61.4</v>
      </c>
      <c r="E167" s="169">
        <v>60.2</v>
      </c>
      <c r="F167" s="169">
        <v>15.4</v>
      </c>
      <c r="G167" s="169">
        <v>1.2</v>
      </c>
      <c r="H167" s="169">
        <v>45.6</v>
      </c>
      <c r="I167" s="169">
        <v>44.4</v>
      </c>
      <c r="J167" s="169">
        <v>11.5</v>
      </c>
      <c r="K167" s="169">
        <v>1.2</v>
      </c>
      <c r="L167" s="169">
        <v>34.6</v>
      </c>
      <c r="M167" s="169">
        <v>33.4</v>
      </c>
      <c r="N167" s="169">
        <v>10.6</v>
      </c>
      <c r="O167" s="169">
        <v>1.2</v>
      </c>
      <c r="P167" s="168"/>
      <c r="Q167" s="168"/>
    </row>
    <row r="168" spans="1:17" ht="15.75">
      <c r="A168" s="220"/>
      <c r="B168" s="227"/>
      <c r="C168" s="174" t="s">
        <v>268</v>
      </c>
      <c r="D168" s="169">
        <v>2457.8000000000002</v>
      </c>
      <c r="E168" s="169">
        <v>2449.3000000000002</v>
      </c>
      <c r="F168" s="169">
        <v>1906.4</v>
      </c>
      <c r="G168" s="169">
        <v>8.5</v>
      </c>
      <c r="H168" s="169">
        <v>1875.8</v>
      </c>
      <c r="I168" s="169">
        <v>1867.3</v>
      </c>
      <c r="J168" s="169">
        <v>1429.8</v>
      </c>
      <c r="K168" s="169">
        <v>8.5</v>
      </c>
      <c r="L168" s="169">
        <v>1590.9</v>
      </c>
      <c r="M168" s="169">
        <v>1590.9</v>
      </c>
      <c r="N168" s="169">
        <v>1292.5</v>
      </c>
      <c r="O168" s="169">
        <v>0</v>
      </c>
      <c r="P168" s="168"/>
      <c r="Q168" s="168"/>
    </row>
    <row r="169" spans="1:17" ht="15.75">
      <c r="A169" s="183"/>
      <c r="B169" s="228"/>
      <c r="C169" s="174" t="s">
        <v>270</v>
      </c>
      <c r="D169" s="169">
        <v>97.5</v>
      </c>
      <c r="E169" s="169">
        <v>97.5</v>
      </c>
      <c r="F169" s="169">
        <v>96.1</v>
      </c>
      <c r="G169" s="169">
        <v>0</v>
      </c>
      <c r="H169" s="169">
        <v>73.099999999999994</v>
      </c>
      <c r="I169" s="169">
        <v>73.099999999999994</v>
      </c>
      <c r="J169" s="169">
        <v>72.099999999999994</v>
      </c>
      <c r="K169" s="169">
        <v>0</v>
      </c>
      <c r="L169" s="169">
        <v>73.099999999999994</v>
      </c>
      <c r="M169" s="169">
        <v>73.099999999999994</v>
      </c>
      <c r="N169" s="169">
        <v>72.099999999999994</v>
      </c>
      <c r="O169" s="169">
        <v>0</v>
      </c>
      <c r="P169" s="168"/>
      <c r="Q169" s="168"/>
    </row>
    <row r="170" spans="1:17" ht="20.45" customHeight="1">
      <c r="A170" s="216" t="s">
        <v>289</v>
      </c>
      <c r="B170" s="217"/>
      <c r="C170" s="175"/>
      <c r="D170" s="167">
        <f t="shared" ref="D170:O170" si="20">SUBTOTAL(9,D171:D171)</f>
        <v>360.8</v>
      </c>
      <c r="E170" s="167">
        <f t="shared" si="20"/>
        <v>114.2</v>
      </c>
      <c r="F170" s="167">
        <f t="shared" si="20"/>
        <v>0</v>
      </c>
      <c r="G170" s="167">
        <f t="shared" si="20"/>
        <v>246.6</v>
      </c>
      <c r="H170" s="167">
        <f t="shared" si="20"/>
        <v>266.39999999999998</v>
      </c>
      <c r="I170" s="167">
        <f t="shared" si="20"/>
        <v>81.400000000000006</v>
      </c>
      <c r="J170" s="167">
        <f t="shared" si="20"/>
        <v>0</v>
      </c>
      <c r="K170" s="167">
        <f t="shared" si="20"/>
        <v>185</v>
      </c>
      <c r="L170" s="167">
        <f t="shared" si="20"/>
        <v>243.6</v>
      </c>
      <c r="M170" s="167">
        <f t="shared" si="20"/>
        <v>58.7</v>
      </c>
      <c r="N170" s="167">
        <f t="shared" si="20"/>
        <v>0</v>
      </c>
      <c r="O170" s="167">
        <f t="shared" si="20"/>
        <v>184.9</v>
      </c>
      <c r="P170" s="168">
        <f>SUM(L170/D170*100)</f>
        <v>67.516629711751662</v>
      </c>
      <c r="Q170" s="168">
        <f>SUM(L170/H170*100)</f>
        <v>91.441441441441455</v>
      </c>
    </row>
    <row r="171" spans="1:17" ht="85.5">
      <c r="A171" s="170"/>
      <c r="B171" s="173" t="s">
        <v>347</v>
      </c>
      <c r="C171" s="174" t="s">
        <v>268</v>
      </c>
      <c r="D171" s="169">
        <v>360.8</v>
      </c>
      <c r="E171" s="169">
        <v>114.2</v>
      </c>
      <c r="F171" s="169">
        <v>0</v>
      </c>
      <c r="G171" s="169">
        <v>246.6</v>
      </c>
      <c r="H171" s="169">
        <v>266.39999999999998</v>
      </c>
      <c r="I171" s="169">
        <v>81.400000000000006</v>
      </c>
      <c r="J171" s="169">
        <v>0</v>
      </c>
      <c r="K171" s="169">
        <v>185</v>
      </c>
      <c r="L171" s="169">
        <v>243.6</v>
      </c>
      <c r="M171" s="169">
        <v>58.7</v>
      </c>
      <c r="N171" s="169">
        <v>0</v>
      </c>
      <c r="O171" s="169">
        <v>184.9</v>
      </c>
      <c r="P171" s="168"/>
      <c r="Q171" s="168"/>
    </row>
    <row r="172" spans="1:17" ht="21.6" customHeight="1">
      <c r="A172" s="216" t="s">
        <v>290</v>
      </c>
      <c r="B172" s="221"/>
      <c r="C172" s="217"/>
      <c r="D172" s="167">
        <f t="shared" ref="D172:O172" si="21">SUBTOTAL(9,D173:D173)</f>
        <v>1159.3</v>
      </c>
      <c r="E172" s="167">
        <f t="shared" si="21"/>
        <v>220</v>
      </c>
      <c r="F172" s="167">
        <f t="shared" si="21"/>
        <v>0</v>
      </c>
      <c r="G172" s="167">
        <f t="shared" si="21"/>
        <v>939.3</v>
      </c>
      <c r="H172" s="167">
        <f t="shared" si="21"/>
        <v>871.2</v>
      </c>
      <c r="I172" s="167">
        <f t="shared" si="21"/>
        <v>188</v>
      </c>
      <c r="J172" s="167">
        <f t="shared" si="21"/>
        <v>0</v>
      </c>
      <c r="K172" s="167">
        <f t="shared" si="21"/>
        <v>683.2</v>
      </c>
      <c r="L172" s="167">
        <f t="shared" si="21"/>
        <v>853.9</v>
      </c>
      <c r="M172" s="167">
        <f t="shared" si="21"/>
        <v>170.8</v>
      </c>
      <c r="N172" s="167">
        <f t="shared" si="21"/>
        <v>0</v>
      </c>
      <c r="O172" s="167">
        <f t="shared" si="21"/>
        <v>683.1</v>
      </c>
      <c r="P172" s="168">
        <f>SUM(L172/D172*100)</f>
        <v>73.656516863624603</v>
      </c>
      <c r="Q172" s="168">
        <f>SUM(L172/H172*100)</f>
        <v>98.014233241505963</v>
      </c>
    </row>
    <row r="173" spans="1:17" ht="85.5">
      <c r="A173" s="170"/>
      <c r="B173" s="173" t="s">
        <v>347</v>
      </c>
      <c r="C173" s="174" t="s">
        <v>268</v>
      </c>
      <c r="D173" s="169">
        <v>1159.3</v>
      </c>
      <c r="E173" s="169">
        <v>220</v>
      </c>
      <c r="F173" s="169">
        <v>0</v>
      </c>
      <c r="G173" s="169">
        <v>939.3</v>
      </c>
      <c r="H173" s="169">
        <v>871.2</v>
      </c>
      <c r="I173" s="169">
        <v>188</v>
      </c>
      <c r="J173" s="169">
        <v>0</v>
      </c>
      <c r="K173" s="169">
        <v>683.2</v>
      </c>
      <c r="L173" s="169">
        <v>853.9</v>
      </c>
      <c r="M173" s="169">
        <v>170.8</v>
      </c>
      <c r="N173" s="169">
        <v>0</v>
      </c>
      <c r="O173" s="169">
        <v>683.1</v>
      </c>
      <c r="P173" s="168"/>
      <c r="Q173" s="168"/>
    </row>
    <row r="174" spans="1:17" ht="37.15" customHeight="1">
      <c r="A174" s="216" t="s">
        <v>67</v>
      </c>
      <c r="B174" s="217"/>
      <c r="C174" s="175"/>
      <c r="D174" s="167">
        <f t="shared" ref="D174:O174" si="22">SUBTOTAL(9,D175:D177)</f>
        <v>1539.4</v>
      </c>
      <c r="E174" s="167">
        <f t="shared" si="22"/>
        <v>1530.3000000000002</v>
      </c>
      <c r="F174" s="167">
        <f t="shared" si="22"/>
        <v>1153.0000000000002</v>
      </c>
      <c r="G174" s="167">
        <f t="shared" si="22"/>
        <v>9.1</v>
      </c>
      <c r="H174" s="167">
        <f t="shared" si="22"/>
        <v>1161.5</v>
      </c>
      <c r="I174" s="167">
        <f t="shared" si="22"/>
        <v>1152.4000000000001</v>
      </c>
      <c r="J174" s="167">
        <f t="shared" si="22"/>
        <v>863.80000000000007</v>
      </c>
      <c r="K174" s="167">
        <f t="shared" si="22"/>
        <v>9.1</v>
      </c>
      <c r="L174" s="167">
        <f t="shared" si="22"/>
        <v>918.5</v>
      </c>
      <c r="M174" s="167">
        <f t="shared" si="22"/>
        <v>918.5</v>
      </c>
      <c r="N174" s="167">
        <f t="shared" si="22"/>
        <v>727.30000000000007</v>
      </c>
      <c r="O174" s="167">
        <f t="shared" si="22"/>
        <v>0</v>
      </c>
      <c r="P174" s="168">
        <f>SUM(L174/D174*100)</f>
        <v>59.666103676757174</v>
      </c>
      <c r="Q174" s="168">
        <f>SUM(L174/H174*100)</f>
        <v>79.078777442961695</v>
      </c>
    </row>
    <row r="175" spans="1:17" ht="15.75">
      <c r="A175" s="182"/>
      <c r="B175" s="218" t="s">
        <v>357</v>
      </c>
      <c r="C175" s="174" t="s">
        <v>278</v>
      </c>
      <c r="D175" s="169">
        <v>60</v>
      </c>
      <c r="E175" s="169">
        <v>60</v>
      </c>
      <c r="F175" s="169">
        <v>48.2</v>
      </c>
      <c r="G175" s="169">
        <v>0</v>
      </c>
      <c r="H175" s="169">
        <v>44.5</v>
      </c>
      <c r="I175" s="169">
        <v>44.5</v>
      </c>
      <c r="J175" s="169">
        <v>36</v>
      </c>
      <c r="K175" s="169">
        <v>0</v>
      </c>
      <c r="L175" s="169">
        <v>30.6</v>
      </c>
      <c r="M175" s="169">
        <v>30.6</v>
      </c>
      <c r="N175" s="169">
        <v>24.1</v>
      </c>
      <c r="O175" s="169">
        <v>0</v>
      </c>
      <c r="P175" s="168"/>
      <c r="Q175" s="168"/>
    </row>
    <row r="176" spans="1:17" ht="15">
      <c r="A176" s="220"/>
      <c r="B176" s="222"/>
      <c r="C176" s="174" t="s">
        <v>268</v>
      </c>
      <c r="D176" s="169">
        <v>1407.5</v>
      </c>
      <c r="E176" s="169">
        <v>1398.4</v>
      </c>
      <c r="F176" s="169">
        <v>1033.9000000000001</v>
      </c>
      <c r="G176" s="169">
        <v>9.1</v>
      </c>
      <c r="H176" s="169">
        <v>1063.0999999999999</v>
      </c>
      <c r="I176" s="169">
        <v>1054</v>
      </c>
      <c r="J176" s="169">
        <v>774.7</v>
      </c>
      <c r="K176" s="169">
        <v>9.1</v>
      </c>
      <c r="L176" s="169">
        <v>834</v>
      </c>
      <c r="M176" s="169">
        <v>834</v>
      </c>
      <c r="N176" s="169">
        <v>650.1</v>
      </c>
      <c r="O176" s="169">
        <v>0</v>
      </c>
      <c r="P176" s="169"/>
      <c r="Q176" s="25"/>
    </row>
    <row r="177" spans="1:17" ht="15.75">
      <c r="A177" s="183"/>
      <c r="B177" s="219"/>
      <c r="C177" s="174" t="s">
        <v>270</v>
      </c>
      <c r="D177" s="176">
        <v>71.900000000000006</v>
      </c>
      <c r="E177" s="169">
        <v>71.900000000000006</v>
      </c>
      <c r="F177" s="169">
        <v>70.900000000000006</v>
      </c>
      <c r="G177" s="169">
        <v>0</v>
      </c>
      <c r="H177" s="169">
        <v>53.9</v>
      </c>
      <c r="I177" s="169">
        <v>53.9</v>
      </c>
      <c r="J177" s="169">
        <v>53.1</v>
      </c>
      <c r="K177" s="169">
        <v>0</v>
      </c>
      <c r="L177" s="169">
        <v>53.9</v>
      </c>
      <c r="M177" s="169">
        <v>53.9</v>
      </c>
      <c r="N177" s="169">
        <v>53.1</v>
      </c>
      <c r="O177" s="169">
        <v>0</v>
      </c>
      <c r="P177" s="168"/>
      <c r="Q177" s="168"/>
    </row>
    <row r="178" spans="1:17" ht="32.450000000000003" customHeight="1">
      <c r="A178" s="216" t="s">
        <v>332</v>
      </c>
      <c r="B178" s="217"/>
      <c r="C178" s="175"/>
      <c r="D178" s="167">
        <f t="shared" ref="D178:O178" si="23">SUBTOTAL(9,D179:D183)</f>
        <v>3045.9000000000005</v>
      </c>
      <c r="E178" s="167">
        <f t="shared" si="23"/>
        <v>3013.5</v>
      </c>
      <c r="F178" s="167">
        <f t="shared" si="23"/>
        <v>2504.6999999999998</v>
      </c>
      <c r="G178" s="167">
        <f t="shared" si="23"/>
        <v>32.4</v>
      </c>
      <c r="H178" s="167">
        <f t="shared" si="23"/>
        <v>2464.3000000000002</v>
      </c>
      <c r="I178" s="167">
        <f t="shared" si="23"/>
        <v>2431.9</v>
      </c>
      <c r="J178" s="167">
        <f t="shared" si="23"/>
        <v>1989.1999999999998</v>
      </c>
      <c r="K178" s="167">
        <f t="shared" si="23"/>
        <v>32.4</v>
      </c>
      <c r="L178" s="167">
        <f t="shared" si="23"/>
        <v>1978.8</v>
      </c>
      <c r="M178" s="167">
        <f t="shared" si="23"/>
        <v>1955.3</v>
      </c>
      <c r="N178" s="167">
        <f t="shared" si="23"/>
        <v>1643.4</v>
      </c>
      <c r="O178" s="167">
        <f t="shared" si="23"/>
        <v>23.5</v>
      </c>
      <c r="P178" s="168">
        <f>SUM(L178/D178*100)</f>
        <v>64.966019895597356</v>
      </c>
      <c r="Q178" s="168">
        <f>SUM(L178/H178*100)</f>
        <v>80.298664935275738</v>
      </c>
    </row>
    <row r="179" spans="1:17" ht="15.75">
      <c r="A179" s="182"/>
      <c r="B179" s="218" t="s">
        <v>354</v>
      </c>
      <c r="C179" s="174" t="s">
        <v>266</v>
      </c>
      <c r="D179" s="169">
        <v>1538.2</v>
      </c>
      <c r="E179" s="169">
        <v>1532.6</v>
      </c>
      <c r="F179" s="169">
        <v>1474</v>
      </c>
      <c r="G179" s="169">
        <v>5.6</v>
      </c>
      <c r="H179" s="169">
        <v>1224.3</v>
      </c>
      <c r="I179" s="169">
        <v>1218.7</v>
      </c>
      <c r="J179" s="169">
        <v>1168.5999999999999</v>
      </c>
      <c r="K179" s="169">
        <v>5.6</v>
      </c>
      <c r="L179" s="169">
        <v>965.9</v>
      </c>
      <c r="M179" s="169">
        <v>960.3</v>
      </c>
      <c r="N179" s="169">
        <v>931.7</v>
      </c>
      <c r="O179" s="169">
        <v>5.6</v>
      </c>
      <c r="P179" s="168"/>
      <c r="Q179" s="168"/>
    </row>
    <row r="180" spans="1:17" ht="28.5">
      <c r="A180" s="220"/>
      <c r="B180" s="222"/>
      <c r="C180" s="174" t="s">
        <v>267</v>
      </c>
      <c r="D180" s="169">
        <v>2.2000000000000002</v>
      </c>
      <c r="E180" s="169">
        <v>2.2000000000000002</v>
      </c>
      <c r="F180" s="169">
        <v>2.2000000000000002</v>
      </c>
      <c r="G180" s="169">
        <v>0</v>
      </c>
      <c r="H180" s="169">
        <v>2.2000000000000002</v>
      </c>
      <c r="I180" s="169">
        <v>2.2000000000000002</v>
      </c>
      <c r="J180" s="169">
        <v>2.2000000000000002</v>
      </c>
      <c r="K180" s="169">
        <v>0</v>
      </c>
      <c r="L180" s="169">
        <v>2.2000000000000002</v>
      </c>
      <c r="M180" s="169">
        <v>2.2000000000000002</v>
      </c>
      <c r="N180" s="169">
        <v>2.2000000000000002</v>
      </c>
      <c r="O180" s="169">
        <v>0</v>
      </c>
      <c r="P180" s="168"/>
      <c r="Q180" s="168"/>
    </row>
    <row r="181" spans="1:17" ht="15">
      <c r="A181" s="220"/>
      <c r="B181" s="222"/>
      <c r="C181" s="174" t="s">
        <v>278</v>
      </c>
      <c r="D181" s="169">
        <v>133.5</v>
      </c>
      <c r="E181" s="169">
        <v>133.5</v>
      </c>
      <c r="F181" s="169">
        <v>9.1</v>
      </c>
      <c r="G181" s="169">
        <v>0</v>
      </c>
      <c r="H181" s="169">
        <v>112.6</v>
      </c>
      <c r="I181" s="169">
        <v>112.6</v>
      </c>
      <c r="J181" s="169">
        <v>6.6</v>
      </c>
      <c r="K181" s="169">
        <v>0</v>
      </c>
      <c r="L181" s="169">
        <v>79.099999999999994</v>
      </c>
      <c r="M181" s="169">
        <v>79.099999999999994</v>
      </c>
      <c r="N181" s="169">
        <v>6.5</v>
      </c>
      <c r="O181" s="169">
        <v>0</v>
      </c>
      <c r="P181" s="169"/>
      <c r="Q181" s="25"/>
    </row>
    <row r="182" spans="1:17" ht="15.75">
      <c r="A182" s="220"/>
      <c r="B182" s="222"/>
      <c r="C182" s="174" t="s">
        <v>268</v>
      </c>
      <c r="D182" s="169">
        <v>1351.7</v>
      </c>
      <c r="E182" s="169">
        <v>1324.9</v>
      </c>
      <c r="F182" s="169">
        <v>999.4</v>
      </c>
      <c r="G182" s="169">
        <v>26.8</v>
      </c>
      <c r="H182" s="169">
        <v>1109.9000000000001</v>
      </c>
      <c r="I182" s="169">
        <v>1083.0999999999999</v>
      </c>
      <c r="J182" s="169">
        <v>796.8</v>
      </c>
      <c r="K182" s="169">
        <v>26.8</v>
      </c>
      <c r="L182" s="169">
        <v>916.3</v>
      </c>
      <c r="M182" s="169">
        <v>898.4</v>
      </c>
      <c r="N182" s="169">
        <v>688</v>
      </c>
      <c r="O182" s="169">
        <v>17.899999999999999</v>
      </c>
      <c r="P182" s="168"/>
      <c r="Q182" s="168"/>
    </row>
    <row r="183" spans="1:17" ht="15.75">
      <c r="A183" s="183"/>
      <c r="B183" s="219"/>
      <c r="C183" s="174" t="s">
        <v>270</v>
      </c>
      <c r="D183" s="169">
        <v>20.3</v>
      </c>
      <c r="E183" s="169">
        <v>20.3</v>
      </c>
      <c r="F183" s="169">
        <v>20</v>
      </c>
      <c r="G183" s="169">
        <v>0</v>
      </c>
      <c r="H183" s="169">
        <v>15.3</v>
      </c>
      <c r="I183" s="169">
        <v>15.3</v>
      </c>
      <c r="J183" s="169">
        <v>15</v>
      </c>
      <c r="K183" s="169">
        <v>0</v>
      </c>
      <c r="L183" s="169">
        <v>15.3</v>
      </c>
      <c r="M183" s="169">
        <v>15.3</v>
      </c>
      <c r="N183" s="169">
        <v>15</v>
      </c>
      <c r="O183" s="169">
        <v>0</v>
      </c>
      <c r="P183" s="168"/>
      <c r="Q183" s="168"/>
    </row>
    <row r="184" spans="1:17" ht="47.25" customHeight="1">
      <c r="A184" s="216" t="s">
        <v>333</v>
      </c>
      <c r="B184" s="217"/>
      <c r="C184" s="175"/>
      <c r="D184" s="167">
        <f t="shared" ref="D184:O184" si="24">SUBTOTAL(9,D185:D188)</f>
        <v>1509.4</v>
      </c>
      <c r="E184" s="167">
        <f t="shared" si="24"/>
        <v>1490.2</v>
      </c>
      <c r="F184" s="167">
        <f t="shared" si="24"/>
        <v>1316.8</v>
      </c>
      <c r="G184" s="167">
        <f t="shared" si="24"/>
        <v>19.2</v>
      </c>
      <c r="H184" s="167">
        <f t="shared" si="24"/>
        <v>1134.1999999999998</v>
      </c>
      <c r="I184" s="167">
        <f t="shared" si="24"/>
        <v>1115</v>
      </c>
      <c r="J184" s="167">
        <f t="shared" si="24"/>
        <v>970.99999999999989</v>
      </c>
      <c r="K184" s="167">
        <f t="shared" si="24"/>
        <v>19.2</v>
      </c>
      <c r="L184" s="167">
        <f t="shared" si="24"/>
        <v>946.1</v>
      </c>
      <c r="M184" s="167">
        <f t="shared" si="24"/>
        <v>927.1</v>
      </c>
      <c r="N184" s="167">
        <f t="shared" si="24"/>
        <v>830.19999999999993</v>
      </c>
      <c r="O184" s="167">
        <f t="shared" si="24"/>
        <v>19</v>
      </c>
      <c r="P184" s="168">
        <f>SUM(L184/D184*100)</f>
        <v>62.680535312044519</v>
      </c>
      <c r="Q184" s="168">
        <f>SUM(L184/H184*100)</f>
        <v>83.415623346852414</v>
      </c>
    </row>
    <row r="185" spans="1:17" ht="15">
      <c r="A185" s="182"/>
      <c r="B185" s="218" t="s">
        <v>354</v>
      </c>
      <c r="C185" s="174" t="s">
        <v>266</v>
      </c>
      <c r="D185" s="169">
        <v>760.2</v>
      </c>
      <c r="E185" s="169">
        <v>756.3</v>
      </c>
      <c r="F185" s="169">
        <v>728.1</v>
      </c>
      <c r="G185" s="169">
        <v>3.9</v>
      </c>
      <c r="H185" s="169">
        <v>573.29999999999995</v>
      </c>
      <c r="I185" s="169">
        <v>569.4</v>
      </c>
      <c r="J185" s="169">
        <v>545.79999999999995</v>
      </c>
      <c r="K185" s="169">
        <v>3.9</v>
      </c>
      <c r="L185" s="169">
        <v>474.6</v>
      </c>
      <c r="M185" s="169">
        <v>470.7</v>
      </c>
      <c r="N185" s="169">
        <v>455.6</v>
      </c>
      <c r="O185" s="169">
        <v>3.9</v>
      </c>
      <c r="P185" s="169"/>
      <c r="Q185" s="25"/>
    </row>
    <row r="186" spans="1:17" ht="15.75">
      <c r="A186" s="220"/>
      <c r="B186" s="222"/>
      <c r="C186" s="174" t="s">
        <v>278</v>
      </c>
      <c r="D186" s="169">
        <v>47.5</v>
      </c>
      <c r="E186" s="169">
        <v>47.5</v>
      </c>
      <c r="F186" s="169">
        <v>5</v>
      </c>
      <c r="G186" s="169">
        <v>0</v>
      </c>
      <c r="H186" s="169">
        <v>37.299999999999997</v>
      </c>
      <c r="I186" s="169">
        <v>37.299999999999997</v>
      </c>
      <c r="J186" s="169">
        <v>3.5</v>
      </c>
      <c r="K186" s="169">
        <v>0</v>
      </c>
      <c r="L186" s="169">
        <v>27.6</v>
      </c>
      <c r="M186" s="169">
        <v>27.6</v>
      </c>
      <c r="N186" s="169">
        <v>2.9</v>
      </c>
      <c r="O186" s="169">
        <v>0</v>
      </c>
      <c r="P186" s="168"/>
      <c r="Q186" s="168"/>
    </row>
    <row r="187" spans="1:17" ht="15.75">
      <c r="A187" s="220"/>
      <c r="B187" s="222"/>
      <c r="C187" s="174" t="s">
        <v>268</v>
      </c>
      <c r="D187" s="169">
        <v>697</v>
      </c>
      <c r="E187" s="169">
        <v>681.7</v>
      </c>
      <c r="F187" s="169">
        <v>579.1</v>
      </c>
      <c r="G187" s="169">
        <v>15.3</v>
      </c>
      <c r="H187" s="169">
        <v>520.1</v>
      </c>
      <c r="I187" s="169">
        <v>504.8</v>
      </c>
      <c r="J187" s="169">
        <v>418.3</v>
      </c>
      <c r="K187" s="169">
        <v>15.3</v>
      </c>
      <c r="L187" s="169">
        <v>440.4</v>
      </c>
      <c r="M187" s="169">
        <v>425.3</v>
      </c>
      <c r="N187" s="169">
        <v>368.3</v>
      </c>
      <c r="O187" s="169">
        <v>15.1</v>
      </c>
      <c r="P187" s="168"/>
      <c r="Q187" s="168"/>
    </row>
    <row r="188" spans="1:17" ht="15.75">
      <c r="A188" s="183"/>
      <c r="B188" s="219"/>
      <c r="C188" s="174" t="s">
        <v>270</v>
      </c>
      <c r="D188" s="169">
        <v>4.7</v>
      </c>
      <c r="E188" s="169">
        <v>4.7</v>
      </c>
      <c r="F188" s="169">
        <v>4.5999999999999996</v>
      </c>
      <c r="G188" s="169">
        <v>0</v>
      </c>
      <c r="H188" s="169">
        <v>3.5</v>
      </c>
      <c r="I188" s="169">
        <v>3.5</v>
      </c>
      <c r="J188" s="169">
        <v>3.4</v>
      </c>
      <c r="K188" s="169">
        <v>0</v>
      </c>
      <c r="L188" s="169">
        <v>3.5</v>
      </c>
      <c r="M188" s="169">
        <v>3.5</v>
      </c>
      <c r="N188" s="169">
        <v>3.4</v>
      </c>
      <c r="O188" s="169">
        <v>0</v>
      </c>
      <c r="P188" s="168"/>
      <c r="Q188" s="168"/>
    </row>
    <row r="189" spans="1:17" ht="71.45" customHeight="1">
      <c r="A189" s="216" t="s">
        <v>358</v>
      </c>
      <c r="B189" s="217"/>
      <c r="C189" s="175"/>
      <c r="D189" s="167">
        <f t="shared" ref="D189:O189" si="25">SUBTOTAL(9,D190:D193)</f>
        <v>1196.5999999999999</v>
      </c>
      <c r="E189" s="167">
        <f t="shared" si="25"/>
        <v>1166.7999999999997</v>
      </c>
      <c r="F189" s="167">
        <f t="shared" si="25"/>
        <v>1038.2999999999997</v>
      </c>
      <c r="G189" s="167">
        <f t="shared" si="25"/>
        <v>29.8</v>
      </c>
      <c r="H189" s="167">
        <f t="shared" si="25"/>
        <v>928</v>
      </c>
      <c r="I189" s="167">
        <f t="shared" si="25"/>
        <v>898.19999999999993</v>
      </c>
      <c r="J189" s="167">
        <f t="shared" si="25"/>
        <v>786.2</v>
      </c>
      <c r="K189" s="167">
        <f t="shared" si="25"/>
        <v>29.8</v>
      </c>
      <c r="L189" s="167">
        <f t="shared" si="25"/>
        <v>789.9</v>
      </c>
      <c r="M189" s="167">
        <f t="shared" si="25"/>
        <v>761.2</v>
      </c>
      <c r="N189" s="167">
        <f t="shared" si="25"/>
        <v>676.8</v>
      </c>
      <c r="O189" s="167">
        <f t="shared" si="25"/>
        <v>28.7</v>
      </c>
      <c r="P189" s="168">
        <f>SUM(L189/D189*100)</f>
        <v>66.012034096607053</v>
      </c>
      <c r="Q189" s="168">
        <f>SUM(L189/H189*100)</f>
        <v>85.118534482758619</v>
      </c>
    </row>
    <row r="190" spans="1:17" ht="71.45" customHeight="1">
      <c r="A190" s="182"/>
      <c r="B190" s="218" t="s">
        <v>356</v>
      </c>
      <c r="C190" s="174" t="s">
        <v>266</v>
      </c>
      <c r="D190" s="169">
        <v>722.5</v>
      </c>
      <c r="E190" s="169">
        <v>722.5</v>
      </c>
      <c r="F190" s="169">
        <v>696.3</v>
      </c>
      <c r="G190" s="169">
        <v>0</v>
      </c>
      <c r="H190" s="169">
        <v>552.9</v>
      </c>
      <c r="I190" s="169">
        <v>552.9</v>
      </c>
      <c r="J190" s="169">
        <v>530</v>
      </c>
      <c r="K190" s="169">
        <v>0</v>
      </c>
      <c r="L190" s="169">
        <v>482.1</v>
      </c>
      <c r="M190" s="169">
        <v>482.1</v>
      </c>
      <c r="N190" s="169">
        <v>467.6</v>
      </c>
      <c r="O190" s="169">
        <v>0</v>
      </c>
      <c r="P190" s="169"/>
      <c r="Q190" s="25"/>
    </row>
    <row r="191" spans="1:17" ht="15.75">
      <c r="A191" s="220"/>
      <c r="B191" s="222"/>
      <c r="C191" s="174" t="s">
        <v>278</v>
      </c>
      <c r="D191" s="169">
        <v>17.3</v>
      </c>
      <c r="E191" s="169">
        <v>17.3</v>
      </c>
      <c r="F191" s="169">
        <v>1</v>
      </c>
      <c r="G191" s="169">
        <v>0</v>
      </c>
      <c r="H191" s="169">
        <v>13</v>
      </c>
      <c r="I191" s="169">
        <v>13</v>
      </c>
      <c r="J191" s="169">
        <v>0.7</v>
      </c>
      <c r="K191" s="169">
        <v>0</v>
      </c>
      <c r="L191" s="169">
        <v>4.7</v>
      </c>
      <c r="M191" s="169">
        <v>4.7</v>
      </c>
      <c r="N191" s="169">
        <v>0</v>
      </c>
      <c r="O191" s="169">
        <v>0</v>
      </c>
      <c r="P191" s="168"/>
      <c r="Q191" s="168"/>
    </row>
    <row r="192" spans="1:17" ht="15">
      <c r="A192" s="220"/>
      <c r="B192" s="222"/>
      <c r="C192" s="174" t="s">
        <v>268</v>
      </c>
      <c r="D192" s="169">
        <v>454.7</v>
      </c>
      <c r="E192" s="169">
        <v>424.9</v>
      </c>
      <c r="F192" s="169">
        <v>338.9</v>
      </c>
      <c r="G192" s="169">
        <v>29.8</v>
      </c>
      <c r="H192" s="169">
        <v>360.5</v>
      </c>
      <c r="I192" s="169">
        <v>330.7</v>
      </c>
      <c r="J192" s="169">
        <v>253.9</v>
      </c>
      <c r="K192" s="169">
        <v>29.8</v>
      </c>
      <c r="L192" s="169">
        <v>301.8</v>
      </c>
      <c r="M192" s="169">
        <v>273.10000000000002</v>
      </c>
      <c r="N192" s="169">
        <v>207.9</v>
      </c>
      <c r="O192" s="169">
        <v>28.7</v>
      </c>
      <c r="P192" s="169"/>
      <c r="Q192" s="25"/>
    </row>
    <row r="193" spans="1:17" ht="15.75">
      <c r="A193" s="183"/>
      <c r="B193" s="219"/>
      <c r="C193" s="174" t="s">
        <v>270</v>
      </c>
      <c r="D193" s="169">
        <v>2.1</v>
      </c>
      <c r="E193" s="169">
        <v>2.1</v>
      </c>
      <c r="F193" s="169">
        <v>2.1</v>
      </c>
      <c r="G193" s="169">
        <v>0</v>
      </c>
      <c r="H193" s="169">
        <v>1.6</v>
      </c>
      <c r="I193" s="169">
        <v>1.6</v>
      </c>
      <c r="J193" s="169">
        <v>1.6</v>
      </c>
      <c r="K193" s="169">
        <v>0</v>
      </c>
      <c r="L193" s="169">
        <v>1.3</v>
      </c>
      <c r="M193" s="169">
        <v>1.3</v>
      </c>
      <c r="N193" s="169">
        <v>1.3</v>
      </c>
      <c r="O193" s="169">
        <v>0</v>
      </c>
      <c r="P193" s="168"/>
      <c r="Q193" s="168"/>
    </row>
    <row r="194" spans="1:17" ht="48" customHeight="1">
      <c r="A194" s="216" t="s">
        <v>334</v>
      </c>
      <c r="B194" s="217"/>
      <c r="C194" s="175"/>
      <c r="D194" s="167">
        <f t="shared" ref="D194:O194" si="26">SUBTOTAL(9,D195:D199)</f>
        <v>492.2</v>
      </c>
      <c r="E194" s="167">
        <f t="shared" si="26"/>
        <v>467.8</v>
      </c>
      <c r="F194" s="167">
        <f t="shared" si="26"/>
        <v>394.90000000000003</v>
      </c>
      <c r="G194" s="167">
        <f t="shared" si="26"/>
        <v>24.4</v>
      </c>
      <c r="H194" s="167">
        <f t="shared" si="26"/>
        <v>384.70000000000005</v>
      </c>
      <c r="I194" s="167">
        <f t="shared" si="26"/>
        <v>360.30000000000007</v>
      </c>
      <c r="J194" s="167">
        <f t="shared" si="26"/>
        <v>300.70000000000005</v>
      </c>
      <c r="K194" s="167">
        <f t="shared" si="26"/>
        <v>24.4</v>
      </c>
      <c r="L194" s="167">
        <f t="shared" si="26"/>
        <v>295</v>
      </c>
      <c r="M194" s="167">
        <f t="shared" si="26"/>
        <v>295</v>
      </c>
      <c r="N194" s="167">
        <f t="shared" si="26"/>
        <v>255.6</v>
      </c>
      <c r="O194" s="167">
        <f t="shared" si="26"/>
        <v>0</v>
      </c>
      <c r="P194" s="168">
        <f>SUM(L194/D194*100)</f>
        <v>59.934985778138973</v>
      </c>
      <c r="Q194" s="168">
        <f>SUM(L194/H194*100)</f>
        <v>76.683129711463465</v>
      </c>
    </row>
    <row r="195" spans="1:17" ht="15">
      <c r="A195" s="182"/>
      <c r="B195" s="218" t="s">
        <v>354</v>
      </c>
      <c r="C195" s="174" t="s">
        <v>266</v>
      </c>
      <c r="D195" s="169">
        <v>47.8</v>
      </c>
      <c r="E195" s="169">
        <v>47.8</v>
      </c>
      <c r="F195" s="169">
        <v>46.9</v>
      </c>
      <c r="G195" s="169">
        <v>0</v>
      </c>
      <c r="H195" s="169">
        <v>37.6</v>
      </c>
      <c r="I195" s="169">
        <v>37.6</v>
      </c>
      <c r="J195" s="169">
        <v>36.9</v>
      </c>
      <c r="K195" s="169">
        <v>0</v>
      </c>
      <c r="L195" s="169">
        <v>32.6</v>
      </c>
      <c r="M195" s="169">
        <v>32.6</v>
      </c>
      <c r="N195" s="169">
        <v>31.9</v>
      </c>
      <c r="O195" s="169">
        <v>0</v>
      </c>
      <c r="P195" s="169"/>
      <c r="Q195" s="25"/>
    </row>
    <row r="196" spans="1:17" ht="15.75">
      <c r="A196" s="220"/>
      <c r="B196" s="222"/>
      <c r="C196" s="174" t="s">
        <v>278</v>
      </c>
      <c r="D196" s="169">
        <v>26.8</v>
      </c>
      <c r="E196" s="169">
        <v>26.8</v>
      </c>
      <c r="F196" s="169">
        <v>12.7</v>
      </c>
      <c r="G196" s="169">
        <v>0</v>
      </c>
      <c r="H196" s="169">
        <v>19.8</v>
      </c>
      <c r="I196" s="169">
        <v>19.8</v>
      </c>
      <c r="J196" s="169">
        <v>9.1999999999999993</v>
      </c>
      <c r="K196" s="169">
        <v>0</v>
      </c>
      <c r="L196" s="169">
        <v>14.2</v>
      </c>
      <c r="M196" s="169">
        <v>14.2</v>
      </c>
      <c r="N196" s="169">
        <v>6.2</v>
      </c>
      <c r="O196" s="169">
        <v>0</v>
      </c>
      <c r="P196" s="168"/>
      <c r="Q196" s="168"/>
    </row>
    <row r="197" spans="1:17" ht="15.75">
      <c r="A197" s="220"/>
      <c r="B197" s="222"/>
      <c r="C197" s="174" t="s">
        <v>268</v>
      </c>
      <c r="D197" s="169">
        <v>396.8</v>
      </c>
      <c r="E197" s="169">
        <v>390.4</v>
      </c>
      <c r="F197" s="169">
        <v>332.5</v>
      </c>
      <c r="G197" s="169">
        <v>6.4</v>
      </c>
      <c r="H197" s="169">
        <v>307.2</v>
      </c>
      <c r="I197" s="169">
        <v>300.8</v>
      </c>
      <c r="J197" s="169">
        <v>252.5</v>
      </c>
      <c r="K197" s="169">
        <v>6.4</v>
      </c>
      <c r="L197" s="169">
        <v>246.1</v>
      </c>
      <c r="M197" s="169">
        <v>246.1</v>
      </c>
      <c r="N197" s="169">
        <v>215.4</v>
      </c>
      <c r="O197" s="169">
        <v>0</v>
      </c>
      <c r="P197" s="168"/>
      <c r="Q197" s="168"/>
    </row>
    <row r="198" spans="1:17" ht="15.75">
      <c r="A198" s="220"/>
      <c r="B198" s="219"/>
      <c r="C198" s="174" t="s">
        <v>270</v>
      </c>
      <c r="D198" s="169">
        <v>2.8</v>
      </c>
      <c r="E198" s="169">
        <v>2.8</v>
      </c>
      <c r="F198" s="169">
        <v>2.8</v>
      </c>
      <c r="G198" s="169">
        <v>0</v>
      </c>
      <c r="H198" s="169">
        <v>2.1</v>
      </c>
      <c r="I198" s="169">
        <v>2.1</v>
      </c>
      <c r="J198" s="169">
        <v>2.1</v>
      </c>
      <c r="K198" s="169">
        <v>0</v>
      </c>
      <c r="L198" s="169">
        <v>2.1</v>
      </c>
      <c r="M198" s="169">
        <v>2.1</v>
      </c>
      <c r="N198" s="169">
        <v>2.1</v>
      </c>
      <c r="O198" s="169">
        <v>0</v>
      </c>
      <c r="P198" s="168"/>
      <c r="Q198" s="168"/>
    </row>
    <row r="199" spans="1:17" ht="71.25">
      <c r="A199" s="183"/>
      <c r="B199" s="173" t="s">
        <v>359</v>
      </c>
      <c r="C199" s="174" t="s">
        <v>268</v>
      </c>
      <c r="D199" s="169">
        <v>18</v>
      </c>
      <c r="E199" s="169">
        <v>0</v>
      </c>
      <c r="F199" s="169">
        <v>0</v>
      </c>
      <c r="G199" s="169">
        <v>18</v>
      </c>
      <c r="H199" s="169">
        <v>18</v>
      </c>
      <c r="I199" s="169">
        <v>0</v>
      </c>
      <c r="J199" s="169">
        <v>0</v>
      </c>
      <c r="K199" s="169">
        <v>18</v>
      </c>
      <c r="L199" s="169">
        <v>0</v>
      </c>
      <c r="M199" s="169">
        <v>0</v>
      </c>
      <c r="N199" s="169">
        <v>0</v>
      </c>
      <c r="O199" s="169">
        <v>0</v>
      </c>
      <c r="P199" s="168"/>
      <c r="Q199" s="168"/>
    </row>
    <row r="200" spans="1:17" ht="33.6" customHeight="1">
      <c r="A200" s="216" t="s">
        <v>48</v>
      </c>
      <c r="B200" s="217"/>
      <c r="C200" s="175"/>
      <c r="D200" s="167">
        <f t="shared" ref="D200:O200" si="27">SUBTOTAL(9,D201:D204)</f>
        <v>2041.8000000000002</v>
      </c>
      <c r="E200" s="167">
        <f t="shared" si="27"/>
        <v>2037.3000000000002</v>
      </c>
      <c r="F200" s="167">
        <f t="shared" si="27"/>
        <v>1665.8000000000002</v>
      </c>
      <c r="G200" s="167">
        <f t="shared" si="27"/>
        <v>4.5</v>
      </c>
      <c r="H200" s="167">
        <f t="shared" si="27"/>
        <v>1731.5</v>
      </c>
      <c r="I200" s="167">
        <f t="shared" si="27"/>
        <v>1727</v>
      </c>
      <c r="J200" s="167">
        <f t="shared" si="27"/>
        <v>1429.3</v>
      </c>
      <c r="K200" s="167">
        <f t="shared" si="27"/>
        <v>4.5</v>
      </c>
      <c r="L200" s="167">
        <f t="shared" si="27"/>
        <v>1324.4</v>
      </c>
      <c r="M200" s="167">
        <f t="shared" si="27"/>
        <v>1320.1000000000001</v>
      </c>
      <c r="N200" s="167">
        <f t="shared" si="27"/>
        <v>1125.0999999999999</v>
      </c>
      <c r="O200" s="167">
        <f t="shared" si="27"/>
        <v>4.3</v>
      </c>
      <c r="P200" s="168">
        <f>SUM(L200/D200*100)</f>
        <v>64.86433539034185</v>
      </c>
      <c r="Q200" s="168">
        <f>SUM(L200/H200*100)</f>
        <v>76.488593704880174</v>
      </c>
    </row>
    <row r="201" spans="1:17" ht="15.75">
      <c r="A201" s="182"/>
      <c r="B201" s="218" t="s">
        <v>356</v>
      </c>
      <c r="C201" s="174" t="s">
        <v>266</v>
      </c>
      <c r="D201" s="169">
        <v>639.70000000000005</v>
      </c>
      <c r="E201" s="169">
        <v>639.29999999999995</v>
      </c>
      <c r="F201" s="169">
        <v>613.20000000000005</v>
      </c>
      <c r="G201" s="169">
        <v>0.4</v>
      </c>
      <c r="H201" s="169">
        <v>565.1</v>
      </c>
      <c r="I201" s="169">
        <v>564.70000000000005</v>
      </c>
      <c r="J201" s="169">
        <v>541.29999999999995</v>
      </c>
      <c r="K201" s="169">
        <v>0.4</v>
      </c>
      <c r="L201" s="169">
        <v>426.1</v>
      </c>
      <c r="M201" s="169">
        <v>425.8</v>
      </c>
      <c r="N201" s="169">
        <v>412.7</v>
      </c>
      <c r="O201" s="169">
        <v>0.3</v>
      </c>
      <c r="P201" s="168"/>
      <c r="Q201" s="168"/>
    </row>
    <row r="202" spans="1:17" ht="15">
      <c r="A202" s="220"/>
      <c r="B202" s="222"/>
      <c r="C202" s="174" t="s">
        <v>278</v>
      </c>
      <c r="D202" s="169">
        <v>152.19999999999999</v>
      </c>
      <c r="E202" s="169">
        <v>152.19999999999999</v>
      </c>
      <c r="F202" s="169">
        <v>18.399999999999999</v>
      </c>
      <c r="G202" s="169">
        <v>0</v>
      </c>
      <c r="H202" s="169">
        <v>118</v>
      </c>
      <c r="I202" s="169">
        <v>118</v>
      </c>
      <c r="J202" s="169">
        <v>16</v>
      </c>
      <c r="K202" s="169">
        <v>0</v>
      </c>
      <c r="L202" s="169">
        <v>74.7</v>
      </c>
      <c r="M202" s="169">
        <v>74.7</v>
      </c>
      <c r="N202" s="169">
        <v>12.6</v>
      </c>
      <c r="O202" s="169">
        <v>0</v>
      </c>
      <c r="P202" s="169"/>
      <c r="Q202" s="25"/>
    </row>
    <row r="203" spans="1:17" ht="15.75">
      <c r="A203" s="220"/>
      <c r="B203" s="222"/>
      <c r="C203" s="174" t="s">
        <v>268</v>
      </c>
      <c r="D203" s="169">
        <v>1221.5</v>
      </c>
      <c r="E203" s="169">
        <v>1217.4000000000001</v>
      </c>
      <c r="F203" s="169">
        <v>1006.2</v>
      </c>
      <c r="G203" s="169">
        <v>4.0999999999999996</v>
      </c>
      <c r="H203" s="169">
        <v>1027</v>
      </c>
      <c r="I203" s="169">
        <v>1022.9</v>
      </c>
      <c r="J203" s="169">
        <v>851</v>
      </c>
      <c r="K203" s="169">
        <v>4.0999999999999996</v>
      </c>
      <c r="L203" s="169">
        <v>802.2</v>
      </c>
      <c r="M203" s="169">
        <v>798.2</v>
      </c>
      <c r="N203" s="169">
        <v>678.8</v>
      </c>
      <c r="O203" s="169">
        <v>4</v>
      </c>
      <c r="P203" s="168"/>
      <c r="Q203" s="168"/>
    </row>
    <row r="204" spans="1:17" ht="15.75">
      <c r="A204" s="183"/>
      <c r="B204" s="219"/>
      <c r="C204" s="174" t="s">
        <v>270</v>
      </c>
      <c r="D204" s="169">
        <v>28.4</v>
      </c>
      <c r="E204" s="169">
        <v>28.4</v>
      </c>
      <c r="F204" s="169">
        <v>28</v>
      </c>
      <c r="G204" s="169">
        <v>0</v>
      </c>
      <c r="H204" s="169">
        <v>21.4</v>
      </c>
      <c r="I204" s="169">
        <v>21.4</v>
      </c>
      <c r="J204" s="169">
        <v>21</v>
      </c>
      <c r="K204" s="169">
        <v>0</v>
      </c>
      <c r="L204" s="169">
        <v>21.4</v>
      </c>
      <c r="M204" s="169">
        <v>21.4</v>
      </c>
      <c r="N204" s="169">
        <v>21</v>
      </c>
      <c r="O204" s="169">
        <v>0</v>
      </c>
      <c r="P204" s="168"/>
      <c r="Q204" s="168"/>
    </row>
    <row r="205" spans="1:17" ht="45.6" customHeight="1">
      <c r="A205" s="216" t="s">
        <v>218</v>
      </c>
      <c r="B205" s="217"/>
      <c r="C205" s="175"/>
      <c r="D205" s="167">
        <f t="shared" ref="D205:O205" si="28">SUBTOTAL(9,D206:D207)</f>
        <v>398.5</v>
      </c>
      <c r="E205" s="167">
        <f t="shared" si="28"/>
        <v>386.5</v>
      </c>
      <c r="F205" s="167">
        <f t="shared" si="28"/>
        <v>315</v>
      </c>
      <c r="G205" s="167">
        <f t="shared" si="28"/>
        <v>12</v>
      </c>
      <c r="H205" s="167">
        <f t="shared" si="28"/>
        <v>308.40000000000003</v>
      </c>
      <c r="I205" s="167">
        <f t="shared" si="28"/>
        <v>296.40000000000003</v>
      </c>
      <c r="J205" s="167">
        <f t="shared" si="28"/>
        <v>242</v>
      </c>
      <c r="K205" s="167">
        <f t="shared" si="28"/>
        <v>12</v>
      </c>
      <c r="L205" s="167">
        <f t="shared" si="28"/>
        <v>242.8</v>
      </c>
      <c r="M205" s="167">
        <f t="shared" si="28"/>
        <v>240.8</v>
      </c>
      <c r="N205" s="167">
        <f t="shared" si="28"/>
        <v>198</v>
      </c>
      <c r="O205" s="167">
        <f t="shared" si="28"/>
        <v>2</v>
      </c>
      <c r="P205" s="168">
        <f>SUM(L205/D205*100)</f>
        <v>60.928481806775416</v>
      </c>
      <c r="Q205" s="168">
        <f>SUM(L205/H205*100)</f>
        <v>78.728923476005193</v>
      </c>
    </row>
    <row r="206" spans="1:17" ht="33.6" customHeight="1">
      <c r="A206" s="182"/>
      <c r="B206" s="218" t="s">
        <v>346</v>
      </c>
      <c r="C206" s="174" t="s">
        <v>278</v>
      </c>
      <c r="D206" s="169">
        <v>3.7</v>
      </c>
      <c r="E206" s="169">
        <v>3.7</v>
      </c>
      <c r="F206" s="169">
        <v>0</v>
      </c>
      <c r="G206" s="169">
        <v>0</v>
      </c>
      <c r="H206" s="169">
        <v>3.1</v>
      </c>
      <c r="I206" s="169">
        <v>3.1</v>
      </c>
      <c r="J206" s="169">
        <v>0</v>
      </c>
      <c r="K206" s="169">
        <v>0</v>
      </c>
      <c r="L206" s="169">
        <v>0</v>
      </c>
      <c r="M206" s="169">
        <v>0</v>
      </c>
      <c r="N206" s="169">
        <v>0</v>
      </c>
      <c r="O206" s="169">
        <v>0</v>
      </c>
      <c r="P206" s="168"/>
      <c r="Q206" s="168"/>
    </row>
    <row r="207" spans="1:17" ht="46.9" customHeight="1">
      <c r="A207" s="183"/>
      <c r="B207" s="219"/>
      <c r="C207" s="174" t="s">
        <v>268</v>
      </c>
      <c r="D207" s="169">
        <v>394.8</v>
      </c>
      <c r="E207" s="169">
        <v>382.8</v>
      </c>
      <c r="F207" s="169">
        <v>315</v>
      </c>
      <c r="G207" s="169">
        <v>12</v>
      </c>
      <c r="H207" s="169">
        <v>305.3</v>
      </c>
      <c r="I207" s="169">
        <v>293.3</v>
      </c>
      <c r="J207" s="169">
        <v>242</v>
      </c>
      <c r="K207" s="169">
        <v>12</v>
      </c>
      <c r="L207" s="169">
        <v>242.8</v>
      </c>
      <c r="M207" s="169">
        <v>240.8</v>
      </c>
      <c r="N207" s="169">
        <v>198</v>
      </c>
      <c r="O207" s="169">
        <v>2</v>
      </c>
      <c r="P207" s="168"/>
      <c r="Q207" s="168"/>
    </row>
    <row r="208" spans="1:17" ht="30" customHeight="1">
      <c r="A208" s="216" t="s">
        <v>70</v>
      </c>
      <c r="B208" s="217"/>
      <c r="C208" s="175"/>
      <c r="D208" s="167">
        <f t="shared" ref="D208:O208" si="29">SUBTOTAL(9,D209:D210)</f>
        <v>628.5</v>
      </c>
      <c r="E208" s="167">
        <f t="shared" si="29"/>
        <v>563</v>
      </c>
      <c r="F208" s="167">
        <f t="shared" si="29"/>
        <v>456.59999999999997</v>
      </c>
      <c r="G208" s="167">
        <f t="shared" si="29"/>
        <v>65.5</v>
      </c>
      <c r="H208" s="167">
        <f t="shared" si="29"/>
        <v>520.1</v>
      </c>
      <c r="I208" s="167">
        <f t="shared" si="29"/>
        <v>454.6</v>
      </c>
      <c r="J208" s="167">
        <f t="shared" si="29"/>
        <v>361.5</v>
      </c>
      <c r="K208" s="167">
        <f t="shared" si="29"/>
        <v>65.5</v>
      </c>
      <c r="L208" s="167">
        <f t="shared" si="29"/>
        <v>374.4</v>
      </c>
      <c r="M208" s="167">
        <f t="shared" si="29"/>
        <v>372.5</v>
      </c>
      <c r="N208" s="167">
        <f t="shared" si="29"/>
        <v>315.89999999999998</v>
      </c>
      <c r="O208" s="167">
        <f t="shared" si="29"/>
        <v>1.9</v>
      </c>
      <c r="P208" s="168">
        <f>SUM(L208/D208*100)</f>
        <v>59.570405727923628</v>
      </c>
      <c r="Q208" s="168">
        <f>SUM(L208/H208*100)</f>
        <v>71.986156508363763</v>
      </c>
    </row>
    <row r="209" spans="1:17" ht="38.450000000000003" customHeight="1">
      <c r="A209" s="182"/>
      <c r="B209" s="218" t="s">
        <v>346</v>
      </c>
      <c r="C209" s="174" t="s">
        <v>278</v>
      </c>
      <c r="D209" s="169">
        <v>15</v>
      </c>
      <c r="E209" s="169">
        <v>15</v>
      </c>
      <c r="F209" s="169">
        <v>2.4</v>
      </c>
      <c r="G209" s="169">
        <v>0</v>
      </c>
      <c r="H209" s="169">
        <v>11.5</v>
      </c>
      <c r="I209" s="169">
        <v>11.5</v>
      </c>
      <c r="J209" s="169">
        <v>1.8</v>
      </c>
      <c r="K209" s="169">
        <v>0</v>
      </c>
      <c r="L209" s="169">
        <v>3.7</v>
      </c>
      <c r="M209" s="169">
        <v>3.7</v>
      </c>
      <c r="N209" s="169">
        <v>0.5</v>
      </c>
      <c r="O209" s="169">
        <v>0</v>
      </c>
      <c r="P209" s="169"/>
      <c r="Q209" s="25"/>
    </row>
    <row r="210" spans="1:17" ht="49.15" customHeight="1">
      <c r="A210" s="183"/>
      <c r="B210" s="219"/>
      <c r="C210" s="174" t="s">
        <v>268</v>
      </c>
      <c r="D210" s="169">
        <v>613.5</v>
      </c>
      <c r="E210" s="169">
        <v>548</v>
      </c>
      <c r="F210" s="169">
        <v>454.2</v>
      </c>
      <c r="G210" s="169">
        <v>65.5</v>
      </c>
      <c r="H210" s="169">
        <v>508.6</v>
      </c>
      <c r="I210" s="169">
        <v>443.1</v>
      </c>
      <c r="J210" s="169">
        <v>359.7</v>
      </c>
      <c r="K210" s="169">
        <v>65.5</v>
      </c>
      <c r="L210" s="169">
        <v>370.7</v>
      </c>
      <c r="M210" s="169">
        <v>368.8</v>
      </c>
      <c r="N210" s="169">
        <v>315.39999999999998</v>
      </c>
      <c r="O210" s="169">
        <v>1.9</v>
      </c>
      <c r="P210" s="168"/>
      <c r="Q210" s="168"/>
    </row>
    <row r="211" spans="1:17" ht="35.450000000000003" customHeight="1">
      <c r="A211" s="216" t="s">
        <v>291</v>
      </c>
      <c r="B211" s="217"/>
      <c r="C211" s="175"/>
      <c r="D211" s="167">
        <f t="shared" ref="D211:O211" si="30">SUBTOTAL(9,D212:D213)</f>
        <v>690.6</v>
      </c>
      <c r="E211" s="167">
        <f t="shared" si="30"/>
        <v>685.1</v>
      </c>
      <c r="F211" s="167">
        <f t="shared" si="30"/>
        <v>592.4</v>
      </c>
      <c r="G211" s="167">
        <f t="shared" si="30"/>
        <v>5.5</v>
      </c>
      <c r="H211" s="167">
        <f t="shared" si="30"/>
        <v>589.79999999999995</v>
      </c>
      <c r="I211" s="167">
        <f t="shared" si="30"/>
        <v>584.29999999999995</v>
      </c>
      <c r="J211" s="167">
        <f t="shared" si="30"/>
        <v>497.3</v>
      </c>
      <c r="K211" s="167">
        <f t="shared" si="30"/>
        <v>5.5</v>
      </c>
      <c r="L211" s="167">
        <f t="shared" si="30"/>
        <v>463.20000000000005</v>
      </c>
      <c r="M211" s="167">
        <f t="shared" si="30"/>
        <v>457.70000000000005</v>
      </c>
      <c r="N211" s="167">
        <f t="shared" si="30"/>
        <v>395.7</v>
      </c>
      <c r="O211" s="167">
        <f t="shared" si="30"/>
        <v>5.5</v>
      </c>
      <c r="P211" s="168">
        <f>SUM(L211/D211*100)</f>
        <v>67.072111207645534</v>
      </c>
      <c r="Q211" s="168">
        <f>SUM(L211/H211*100)</f>
        <v>78.53509664292983</v>
      </c>
    </row>
    <row r="212" spans="1:17" ht="21.6" customHeight="1">
      <c r="A212" s="182"/>
      <c r="B212" s="218" t="s">
        <v>354</v>
      </c>
      <c r="C212" s="174" t="s">
        <v>266</v>
      </c>
      <c r="D212" s="169">
        <v>321</v>
      </c>
      <c r="E212" s="169">
        <v>321</v>
      </c>
      <c r="F212" s="169">
        <v>313.5</v>
      </c>
      <c r="G212" s="169">
        <v>0</v>
      </c>
      <c r="H212" s="169">
        <v>269.5</v>
      </c>
      <c r="I212" s="169">
        <v>269.5</v>
      </c>
      <c r="J212" s="169">
        <v>263.60000000000002</v>
      </c>
      <c r="K212" s="169">
        <v>0</v>
      </c>
      <c r="L212" s="169">
        <v>220.9</v>
      </c>
      <c r="M212" s="169">
        <v>220.9</v>
      </c>
      <c r="N212" s="169">
        <v>217</v>
      </c>
      <c r="O212" s="169">
        <v>0</v>
      </c>
      <c r="P212" s="168"/>
      <c r="Q212" s="168"/>
    </row>
    <row r="213" spans="1:17" ht="22.9" customHeight="1">
      <c r="A213" s="183"/>
      <c r="B213" s="219"/>
      <c r="C213" s="174" t="s">
        <v>268</v>
      </c>
      <c r="D213" s="169">
        <v>369.6</v>
      </c>
      <c r="E213" s="169">
        <v>364.1</v>
      </c>
      <c r="F213" s="169">
        <v>278.89999999999998</v>
      </c>
      <c r="G213" s="169">
        <v>5.5</v>
      </c>
      <c r="H213" s="169">
        <v>320.3</v>
      </c>
      <c r="I213" s="169">
        <v>314.8</v>
      </c>
      <c r="J213" s="169">
        <v>233.7</v>
      </c>
      <c r="K213" s="169">
        <v>5.5</v>
      </c>
      <c r="L213" s="169">
        <v>242.3</v>
      </c>
      <c r="M213" s="169">
        <v>236.8</v>
      </c>
      <c r="N213" s="169">
        <v>178.7</v>
      </c>
      <c r="O213" s="169">
        <v>5.5</v>
      </c>
      <c r="P213" s="168"/>
      <c r="Q213" s="168"/>
    </row>
    <row r="214" spans="1:17" ht="28.9" customHeight="1">
      <c r="A214" s="216" t="s">
        <v>335</v>
      </c>
      <c r="B214" s="217"/>
      <c r="C214" s="175"/>
      <c r="D214" s="167">
        <f t="shared" ref="D214:O214" si="31">SUBTOTAL(9,D215:D219)</f>
        <v>1578</v>
      </c>
      <c r="E214" s="167">
        <f t="shared" si="31"/>
        <v>1572</v>
      </c>
      <c r="F214" s="167">
        <f t="shared" si="31"/>
        <v>1262.2</v>
      </c>
      <c r="G214" s="167">
        <f t="shared" si="31"/>
        <v>6</v>
      </c>
      <c r="H214" s="167">
        <f t="shared" si="31"/>
        <v>1207.5999999999999</v>
      </c>
      <c r="I214" s="167">
        <f t="shared" si="31"/>
        <v>1201.5999999999999</v>
      </c>
      <c r="J214" s="167">
        <f t="shared" si="31"/>
        <v>955.7</v>
      </c>
      <c r="K214" s="167">
        <f t="shared" si="31"/>
        <v>6</v>
      </c>
      <c r="L214" s="167">
        <f t="shared" si="31"/>
        <v>999.9</v>
      </c>
      <c r="M214" s="167">
        <f t="shared" si="31"/>
        <v>993.9</v>
      </c>
      <c r="N214" s="167">
        <f t="shared" si="31"/>
        <v>815.4</v>
      </c>
      <c r="O214" s="167">
        <f t="shared" si="31"/>
        <v>6</v>
      </c>
      <c r="P214" s="168">
        <f>SUM(L214/D214*100)</f>
        <v>63.365019011406844</v>
      </c>
      <c r="Q214" s="168">
        <f>SUM(L214/H214*100)</f>
        <v>82.800596223915207</v>
      </c>
    </row>
    <row r="215" spans="1:17" ht="15.75">
      <c r="A215" s="182"/>
      <c r="B215" s="218" t="s">
        <v>354</v>
      </c>
      <c r="C215" s="174" t="s">
        <v>278</v>
      </c>
      <c r="D215" s="169">
        <v>77.7</v>
      </c>
      <c r="E215" s="169">
        <v>77.7</v>
      </c>
      <c r="F215" s="169">
        <v>11.8</v>
      </c>
      <c r="G215" s="169">
        <v>0</v>
      </c>
      <c r="H215" s="169">
        <v>62.2</v>
      </c>
      <c r="I215" s="169">
        <v>62.2</v>
      </c>
      <c r="J215" s="169">
        <v>8.8000000000000007</v>
      </c>
      <c r="K215" s="169">
        <v>0</v>
      </c>
      <c r="L215" s="169">
        <v>50.7</v>
      </c>
      <c r="M215" s="169">
        <v>50.7</v>
      </c>
      <c r="N215" s="169">
        <v>5.8</v>
      </c>
      <c r="O215" s="169">
        <v>0</v>
      </c>
      <c r="P215" s="168"/>
      <c r="Q215" s="168"/>
    </row>
    <row r="216" spans="1:17" ht="15.75">
      <c r="A216" s="220"/>
      <c r="B216" s="222"/>
      <c r="C216" s="174" t="s">
        <v>268</v>
      </c>
      <c r="D216" s="169">
        <v>294.2</v>
      </c>
      <c r="E216" s="169">
        <v>292.89999999999998</v>
      </c>
      <c r="F216" s="169">
        <v>230.3</v>
      </c>
      <c r="G216" s="169">
        <v>1.3</v>
      </c>
      <c r="H216" s="169">
        <v>229.3</v>
      </c>
      <c r="I216" s="169">
        <v>228</v>
      </c>
      <c r="J216" s="169">
        <v>180.3</v>
      </c>
      <c r="K216" s="169">
        <v>1.3</v>
      </c>
      <c r="L216" s="169">
        <v>180.5</v>
      </c>
      <c r="M216" s="169">
        <v>179.2</v>
      </c>
      <c r="N216" s="169">
        <v>153.5</v>
      </c>
      <c r="O216" s="169">
        <v>1.3</v>
      </c>
      <c r="P216" s="168"/>
      <c r="Q216" s="168"/>
    </row>
    <row r="217" spans="1:17" ht="15.75">
      <c r="A217" s="220"/>
      <c r="B217" s="219"/>
      <c r="C217" s="174" t="s">
        <v>270</v>
      </c>
      <c r="D217" s="169">
        <v>39.700000000000003</v>
      </c>
      <c r="E217" s="169">
        <v>39.700000000000003</v>
      </c>
      <c r="F217" s="169">
        <v>39.1</v>
      </c>
      <c r="G217" s="169">
        <v>0</v>
      </c>
      <c r="H217" s="169">
        <v>31</v>
      </c>
      <c r="I217" s="169">
        <v>31</v>
      </c>
      <c r="J217" s="169">
        <v>30.6</v>
      </c>
      <c r="K217" s="169">
        <v>0</v>
      </c>
      <c r="L217" s="169">
        <v>22.5</v>
      </c>
      <c r="M217" s="169">
        <v>22.5</v>
      </c>
      <c r="N217" s="169">
        <v>22.2</v>
      </c>
      <c r="O217" s="169">
        <v>0</v>
      </c>
      <c r="P217" s="168"/>
      <c r="Q217" s="168"/>
    </row>
    <row r="218" spans="1:17" ht="28.5">
      <c r="A218" s="220"/>
      <c r="B218" s="173" t="s">
        <v>351</v>
      </c>
      <c r="C218" s="174" t="s">
        <v>273</v>
      </c>
      <c r="D218" s="169">
        <v>12.7</v>
      </c>
      <c r="E218" s="169">
        <v>12.7</v>
      </c>
      <c r="F218" s="169">
        <v>0</v>
      </c>
      <c r="G218" s="169">
        <v>0</v>
      </c>
      <c r="H218" s="169">
        <v>9.6999999999999993</v>
      </c>
      <c r="I218" s="169">
        <v>9.6999999999999993</v>
      </c>
      <c r="J218" s="169">
        <v>0</v>
      </c>
      <c r="K218" s="169">
        <v>0</v>
      </c>
      <c r="L218" s="169">
        <v>1.4</v>
      </c>
      <c r="M218" s="169">
        <v>1.4</v>
      </c>
      <c r="N218" s="169">
        <v>0</v>
      </c>
      <c r="O218" s="169">
        <v>0</v>
      </c>
      <c r="P218" s="168"/>
      <c r="Q218" s="168"/>
    </row>
    <row r="219" spans="1:17" ht="85.5">
      <c r="A219" s="183"/>
      <c r="B219" s="173" t="s">
        <v>360</v>
      </c>
      <c r="C219" s="174" t="s">
        <v>268</v>
      </c>
      <c r="D219" s="169">
        <v>1153.7</v>
      </c>
      <c r="E219" s="169">
        <v>1149</v>
      </c>
      <c r="F219" s="169">
        <v>981</v>
      </c>
      <c r="G219" s="169">
        <v>4.7</v>
      </c>
      <c r="H219" s="169">
        <v>875.4</v>
      </c>
      <c r="I219" s="169">
        <v>870.7</v>
      </c>
      <c r="J219" s="169">
        <v>736</v>
      </c>
      <c r="K219" s="169">
        <v>4.7</v>
      </c>
      <c r="L219" s="169">
        <v>744.8</v>
      </c>
      <c r="M219" s="169">
        <v>740.1</v>
      </c>
      <c r="N219" s="169">
        <v>633.9</v>
      </c>
      <c r="O219" s="169">
        <v>4.7</v>
      </c>
      <c r="P219" s="168"/>
      <c r="Q219" s="168"/>
    </row>
    <row r="220" spans="1:17" ht="76.150000000000006" customHeight="1">
      <c r="A220" s="216" t="s">
        <v>336</v>
      </c>
      <c r="B220" s="217"/>
      <c r="C220" s="175"/>
      <c r="D220" s="167">
        <f t="shared" ref="D220:O220" si="32">SUBTOTAL(9,D221:D226)</f>
        <v>1737.7</v>
      </c>
      <c r="E220" s="167">
        <f t="shared" si="32"/>
        <v>1736.7</v>
      </c>
      <c r="F220" s="167">
        <f t="shared" si="32"/>
        <v>1439.4999999999998</v>
      </c>
      <c r="G220" s="167">
        <f t="shared" si="32"/>
        <v>1</v>
      </c>
      <c r="H220" s="167">
        <f t="shared" si="32"/>
        <v>1276.6000000000001</v>
      </c>
      <c r="I220" s="167">
        <f t="shared" si="32"/>
        <v>1276.6000000000001</v>
      </c>
      <c r="J220" s="167">
        <f t="shared" si="32"/>
        <v>1050</v>
      </c>
      <c r="K220" s="167">
        <f t="shared" si="32"/>
        <v>0</v>
      </c>
      <c r="L220" s="167">
        <f t="shared" si="32"/>
        <v>1025.5999999999999</v>
      </c>
      <c r="M220" s="167">
        <f t="shared" si="32"/>
        <v>1025.5999999999999</v>
      </c>
      <c r="N220" s="167">
        <f t="shared" si="32"/>
        <v>903.80000000000007</v>
      </c>
      <c r="O220" s="167">
        <f t="shared" si="32"/>
        <v>0</v>
      </c>
      <c r="P220" s="168">
        <f>SUM(L220/D220*100)</f>
        <v>59.020544397767161</v>
      </c>
      <c r="Q220" s="168">
        <f>SUM(L220/H220*100)</f>
        <v>80.338398872003751</v>
      </c>
    </row>
    <row r="221" spans="1:17" ht="15.75">
      <c r="A221" s="182"/>
      <c r="B221" s="218" t="s">
        <v>351</v>
      </c>
      <c r="C221" s="174" t="s">
        <v>273</v>
      </c>
      <c r="D221" s="169">
        <v>38.200000000000003</v>
      </c>
      <c r="E221" s="169">
        <v>38.200000000000003</v>
      </c>
      <c r="F221" s="169">
        <v>0</v>
      </c>
      <c r="G221" s="169">
        <v>0</v>
      </c>
      <c r="H221" s="169">
        <v>28.7</v>
      </c>
      <c r="I221" s="169">
        <v>28.7</v>
      </c>
      <c r="J221" s="169">
        <v>0</v>
      </c>
      <c r="K221" s="169">
        <v>0</v>
      </c>
      <c r="L221" s="169">
        <v>14.2</v>
      </c>
      <c r="M221" s="169">
        <v>14.2</v>
      </c>
      <c r="N221" s="169">
        <v>0</v>
      </c>
      <c r="O221" s="169">
        <v>0</v>
      </c>
      <c r="P221" s="168"/>
      <c r="Q221" s="168"/>
    </row>
    <row r="222" spans="1:17" ht="15.75">
      <c r="A222" s="220"/>
      <c r="B222" s="222"/>
      <c r="C222" s="174" t="s">
        <v>265</v>
      </c>
      <c r="D222" s="169">
        <v>85</v>
      </c>
      <c r="E222" s="169">
        <v>85</v>
      </c>
      <c r="F222" s="169">
        <v>83.8</v>
      </c>
      <c r="G222" s="169">
        <v>0</v>
      </c>
      <c r="H222" s="169">
        <v>42.3</v>
      </c>
      <c r="I222" s="169">
        <v>42.3</v>
      </c>
      <c r="J222" s="169">
        <v>41.8</v>
      </c>
      <c r="K222" s="169">
        <v>0</v>
      </c>
      <c r="L222" s="169">
        <v>0</v>
      </c>
      <c r="M222" s="169">
        <v>0</v>
      </c>
      <c r="N222" s="169">
        <v>0</v>
      </c>
      <c r="O222" s="169">
        <v>0</v>
      </c>
      <c r="P222" s="168"/>
      <c r="Q222" s="168"/>
    </row>
    <row r="223" spans="1:17" ht="15">
      <c r="A223" s="220"/>
      <c r="B223" s="222"/>
      <c r="C223" s="174" t="s">
        <v>278</v>
      </c>
      <c r="D223" s="169">
        <v>4</v>
      </c>
      <c r="E223" s="169">
        <v>3</v>
      </c>
      <c r="F223" s="169">
        <v>1.4</v>
      </c>
      <c r="G223" s="169">
        <v>1</v>
      </c>
      <c r="H223" s="169">
        <v>1.8</v>
      </c>
      <c r="I223" s="169">
        <v>1.8</v>
      </c>
      <c r="J223" s="169">
        <v>0.4</v>
      </c>
      <c r="K223" s="169">
        <v>0</v>
      </c>
      <c r="L223" s="169">
        <v>0.6</v>
      </c>
      <c r="M223" s="169">
        <v>0.6</v>
      </c>
      <c r="N223" s="169">
        <v>0</v>
      </c>
      <c r="O223" s="169">
        <v>0</v>
      </c>
      <c r="P223" s="169"/>
      <c r="Q223" s="25"/>
    </row>
    <row r="224" spans="1:17" ht="15.75">
      <c r="A224" s="220"/>
      <c r="B224" s="222"/>
      <c r="C224" s="174" t="s">
        <v>268</v>
      </c>
      <c r="D224" s="169">
        <v>565.9</v>
      </c>
      <c r="E224" s="169">
        <v>565.9</v>
      </c>
      <c r="F224" s="169">
        <v>421.9</v>
      </c>
      <c r="G224" s="169">
        <v>0</v>
      </c>
      <c r="H224" s="169">
        <v>420.2</v>
      </c>
      <c r="I224" s="169">
        <v>420.2</v>
      </c>
      <c r="J224" s="169">
        <v>308.5</v>
      </c>
      <c r="K224" s="169">
        <v>0</v>
      </c>
      <c r="L224" s="169">
        <v>360.3</v>
      </c>
      <c r="M224" s="169">
        <v>360.3</v>
      </c>
      <c r="N224" s="169">
        <v>291.7</v>
      </c>
      <c r="O224" s="169">
        <v>0</v>
      </c>
      <c r="P224" s="168"/>
      <c r="Q224" s="168"/>
    </row>
    <row r="225" spans="1:17" ht="15.75">
      <c r="A225" s="220"/>
      <c r="B225" s="219"/>
      <c r="C225" s="174" t="s">
        <v>270</v>
      </c>
      <c r="D225" s="169">
        <v>915.1</v>
      </c>
      <c r="E225" s="169">
        <v>915.1</v>
      </c>
      <c r="F225" s="169">
        <v>833.8</v>
      </c>
      <c r="G225" s="169">
        <v>0</v>
      </c>
      <c r="H225" s="169">
        <v>686.2</v>
      </c>
      <c r="I225" s="169">
        <v>686.2</v>
      </c>
      <c r="J225" s="169">
        <v>625.4</v>
      </c>
      <c r="K225" s="169">
        <v>0</v>
      </c>
      <c r="L225" s="169">
        <v>585.4</v>
      </c>
      <c r="M225" s="169">
        <v>585.4</v>
      </c>
      <c r="N225" s="169">
        <v>552.20000000000005</v>
      </c>
      <c r="O225" s="169">
        <v>0</v>
      </c>
      <c r="P225" s="168"/>
      <c r="Q225" s="168"/>
    </row>
    <row r="226" spans="1:17" ht="28.5">
      <c r="A226" s="183"/>
      <c r="B226" s="173" t="s">
        <v>350</v>
      </c>
      <c r="C226" s="174" t="s">
        <v>268</v>
      </c>
      <c r="D226" s="169">
        <v>129.5</v>
      </c>
      <c r="E226" s="169">
        <v>129.5</v>
      </c>
      <c r="F226" s="169">
        <v>98.6</v>
      </c>
      <c r="G226" s="169">
        <v>0</v>
      </c>
      <c r="H226" s="169">
        <v>97.4</v>
      </c>
      <c r="I226" s="169">
        <v>97.4</v>
      </c>
      <c r="J226" s="169">
        <v>73.900000000000006</v>
      </c>
      <c r="K226" s="169">
        <v>0</v>
      </c>
      <c r="L226" s="169">
        <v>65.099999999999994</v>
      </c>
      <c r="M226" s="169">
        <v>65.099999999999994</v>
      </c>
      <c r="N226" s="169">
        <v>59.9</v>
      </c>
      <c r="O226" s="169">
        <v>0</v>
      </c>
      <c r="P226" s="168"/>
      <c r="Q226" s="168"/>
    </row>
    <row r="227" spans="1:17" ht="39.6" customHeight="1">
      <c r="A227" s="216" t="s">
        <v>292</v>
      </c>
      <c r="B227" s="217"/>
      <c r="C227" s="175"/>
      <c r="D227" s="167">
        <f t="shared" ref="D227:O227" si="33">SUBTOTAL(9,D228:D230)</f>
        <v>1846.3</v>
      </c>
      <c r="E227" s="167">
        <f t="shared" si="33"/>
        <v>1841.3</v>
      </c>
      <c r="F227" s="167">
        <f t="shared" si="33"/>
        <v>1708.5</v>
      </c>
      <c r="G227" s="167">
        <f t="shared" si="33"/>
        <v>5</v>
      </c>
      <c r="H227" s="167">
        <f t="shared" si="33"/>
        <v>1469.6</v>
      </c>
      <c r="I227" s="167">
        <f t="shared" si="33"/>
        <v>1464.6</v>
      </c>
      <c r="J227" s="167">
        <f t="shared" si="33"/>
        <v>1356.6</v>
      </c>
      <c r="K227" s="167">
        <f t="shared" si="33"/>
        <v>5</v>
      </c>
      <c r="L227" s="167">
        <f t="shared" si="33"/>
        <v>1319.3000000000002</v>
      </c>
      <c r="M227" s="167">
        <f t="shared" si="33"/>
        <v>1319.3000000000002</v>
      </c>
      <c r="N227" s="167">
        <f t="shared" si="33"/>
        <v>1242.0999999999999</v>
      </c>
      <c r="O227" s="167">
        <f t="shared" si="33"/>
        <v>0</v>
      </c>
      <c r="P227" s="168">
        <f>SUM(L227/D227*100)</f>
        <v>71.456426366246021</v>
      </c>
      <c r="Q227" s="168">
        <f>SUM(L227/H227*100)</f>
        <v>89.772727272727295</v>
      </c>
    </row>
    <row r="228" spans="1:17" ht="15.75">
      <c r="A228" s="182"/>
      <c r="B228" s="218" t="s">
        <v>350</v>
      </c>
      <c r="C228" s="174" t="s">
        <v>278</v>
      </c>
      <c r="D228" s="169">
        <v>82.6</v>
      </c>
      <c r="E228" s="169">
        <v>82.6</v>
      </c>
      <c r="F228" s="169">
        <v>77.099999999999994</v>
      </c>
      <c r="G228" s="169">
        <v>0</v>
      </c>
      <c r="H228" s="169">
        <v>63.3</v>
      </c>
      <c r="I228" s="169">
        <v>63.3</v>
      </c>
      <c r="J228" s="169">
        <v>59.5</v>
      </c>
      <c r="K228" s="169">
        <v>0</v>
      </c>
      <c r="L228" s="169">
        <v>47.7</v>
      </c>
      <c r="M228" s="169">
        <v>47.7</v>
      </c>
      <c r="N228" s="169">
        <v>46</v>
      </c>
      <c r="O228" s="169">
        <v>0</v>
      </c>
      <c r="P228" s="168"/>
      <c r="Q228" s="168"/>
    </row>
    <row r="229" spans="1:17" ht="15">
      <c r="A229" s="220"/>
      <c r="B229" s="222"/>
      <c r="C229" s="174" t="s">
        <v>268</v>
      </c>
      <c r="D229" s="169">
        <v>940.8</v>
      </c>
      <c r="E229" s="169">
        <v>935.8</v>
      </c>
      <c r="F229" s="169">
        <v>826.4</v>
      </c>
      <c r="G229" s="169">
        <v>5</v>
      </c>
      <c r="H229" s="169">
        <v>725.7</v>
      </c>
      <c r="I229" s="169">
        <v>720.7</v>
      </c>
      <c r="J229" s="169">
        <v>630.6</v>
      </c>
      <c r="K229" s="169">
        <v>5</v>
      </c>
      <c r="L229" s="169">
        <v>657</v>
      </c>
      <c r="M229" s="169">
        <v>657</v>
      </c>
      <c r="N229" s="169">
        <v>591.1</v>
      </c>
      <c r="O229" s="169">
        <v>0</v>
      </c>
      <c r="P229" s="169"/>
      <c r="Q229" s="25"/>
    </row>
    <row r="230" spans="1:17" ht="15.75">
      <c r="A230" s="183"/>
      <c r="B230" s="219"/>
      <c r="C230" s="174" t="s">
        <v>270</v>
      </c>
      <c r="D230" s="169">
        <v>822.9</v>
      </c>
      <c r="E230" s="169">
        <v>822.9</v>
      </c>
      <c r="F230" s="169">
        <v>805</v>
      </c>
      <c r="G230" s="169">
        <v>0</v>
      </c>
      <c r="H230" s="169">
        <v>680.6</v>
      </c>
      <c r="I230" s="169">
        <v>680.6</v>
      </c>
      <c r="J230" s="169">
        <v>666.5</v>
      </c>
      <c r="K230" s="169">
        <v>0</v>
      </c>
      <c r="L230" s="169">
        <v>614.6</v>
      </c>
      <c r="M230" s="169">
        <v>614.6</v>
      </c>
      <c r="N230" s="169">
        <v>605</v>
      </c>
      <c r="O230" s="169">
        <v>0</v>
      </c>
      <c r="P230" s="168"/>
      <c r="Q230" s="168"/>
    </row>
    <row r="231" spans="1:17" ht="63" customHeight="1">
      <c r="A231" s="216" t="s">
        <v>337</v>
      </c>
      <c r="B231" s="217"/>
      <c r="C231" s="175"/>
      <c r="D231" s="167">
        <f t="shared" ref="D231:O231" si="34">SUBTOTAL(9,D232:D233)</f>
        <v>3970.1</v>
      </c>
      <c r="E231" s="167">
        <f t="shared" si="34"/>
        <v>1977.9</v>
      </c>
      <c r="F231" s="167">
        <f t="shared" si="34"/>
        <v>1113.1000000000001</v>
      </c>
      <c r="G231" s="167">
        <f t="shared" si="34"/>
        <v>1992.2</v>
      </c>
      <c r="H231" s="167">
        <f t="shared" si="34"/>
        <v>3359.7000000000003</v>
      </c>
      <c r="I231" s="167">
        <f t="shared" si="34"/>
        <v>1467.5</v>
      </c>
      <c r="J231" s="167">
        <f t="shared" si="34"/>
        <v>754</v>
      </c>
      <c r="K231" s="167">
        <f t="shared" si="34"/>
        <v>1892.2</v>
      </c>
      <c r="L231" s="167">
        <f t="shared" si="34"/>
        <v>2751.4</v>
      </c>
      <c r="M231" s="167">
        <f t="shared" si="34"/>
        <v>1198.5999999999999</v>
      </c>
      <c r="N231" s="167">
        <f t="shared" si="34"/>
        <v>629.5</v>
      </c>
      <c r="O231" s="167">
        <f t="shared" si="34"/>
        <v>1552.8</v>
      </c>
      <c r="P231" s="168">
        <f>SUM(L231/D231*100)</f>
        <v>69.303040225687013</v>
      </c>
      <c r="Q231" s="168">
        <f>SUM(L231/H231*100)</f>
        <v>81.894216745542764</v>
      </c>
    </row>
    <row r="232" spans="1:17" ht="22.9" customHeight="1">
      <c r="A232" s="182"/>
      <c r="B232" s="218" t="s">
        <v>361</v>
      </c>
      <c r="C232" s="174" t="s">
        <v>278</v>
      </c>
      <c r="D232" s="169">
        <v>575</v>
      </c>
      <c r="E232" s="169">
        <v>469</v>
      </c>
      <c r="F232" s="169">
        <v>249.4</v>
      </c>
      <c r="G232" s="169">
        <v>106</v>
      </c>
      <c r="H232" s="169">
        <v>233.3</v>
      </c>
      <c r="I232" s="169">
        <v>227.3</v>
      </c>
      <c r="J232" s="169">
        <v>101.3</v>
      </c>
      <c r="K232" s="169">
        <v>6</v>
      </c>
      <c r="L232" s="169">
        <v>116.9</v>
      </c>
      <c r="M232" s="169">
        <v>114.3</v>
      </c>
      <c r="N232" s="169">
        <v>38.9</v>
      </c>
      <c r="O232" s="169">
        <v>2.6</v>
      </c>
      <c r="P232" s="169"/>
      <c r="Q232" s="25"/>
    </row>
    <row r="233" spans="1:17" ht="22.9" customHeight="1">
      <c r="A233" s="183"/>
      <c r="B233" s="219"/>
      <c r="C233" s="174" t="s">
        <v>268</v>
      </c>
      <c r="D233" s="169">
        <v>3395.1</v>
      </c>
      <c r="E233" s="169">
        <v>1508.9</v>
      </c>
      <c r="F233" s="169">
        <v>863.7</v>
      </c>
      <c r="G233" s="169">
        <v>1886.2</v>
      </c>
      <c r="H233" s="169">
        <v>3126.4</v>
      </c>
      <c r="I233" s="169">
        <v>1240.2</v>
      </c>
      <c r="J233" s="169">
        <v>652.70000000000005</v>
      </c>
      <c r="K233" s="169">
        <v>1886.2</v>
      </c>
      <c r="L233" s="169">
        <v>2634.5</v>
      </c>
      <c r="M233" s="169">
        <v>1084.3</v>
      </c>
      <c r="N233" s="169">
        <v>590.6</v>
      </c>
      <c r="O233" s="169">
        <v>1550.2</v>
      </c>
      <c r="P233" s="168"/>
      <c r="Q233" s="168"/>
    </row>
    <row r="234" spans="1:17" ht="36" customHeight="1">
      <c r="A234" s="216" t="s">
        <v>72</v>
      </c>
      <c r="B234" s="217"/>
      <c r="C234" s="175"/>
      <c r="D234" s="167">
        <f t="shared" ref="D234:O234" si="35">SUBTOTAL(9,D235:D236)</f>
        <v>431.8</v>
      </c>
      <c r="E234" s="167">
        <f t="shared" si="35"/>
        <v>419</v>
      </c>
      <c r="F234" s="167">
        <f t="shared" si="35"/>
        <v>321.2</v>
      </c>
      <c r="G234" s="167">
        <f t="shared" si="35"/>
        <v>12.8</v>
      </c>
      <c r="H234" s="167">
        <f t="shared" si="35"/>
        <v>339.5</v>
      </c>
      <c r="I234" s="167">
        <f t="shared" si="35"/>
        <v>326.7</v>
      </c>
      <c r="J234" s="167">
        <f t="shared" si="35"/>
        <v>237.6</v>
      </c>
      <c r="K234" s="167">
        <f t="shared" si="35"/>
        <v>12.8</v>
      </c>
      <c r="L234" s="167">
        <f t="shared" si="35"/>
        <v>302.10000000000002</v>
      </c>
      <c r="M234" s="167">
        <f t="shared" si="35"/>
        <v>289.3</v>
      </c>
      <c r="N234" s="167">
        <f t="shared" si="35"/>
        <v>231.7</v>
      </c>
      <c r="O234" s="167">
        <f t="shared" si="35"/>
        <v>12.8</v>
      </c>
      <c r="P234" s="168">
        <f>SUM(L234/D234*100)</f>
        <v>69.962945808244555</v>
      </c>
      <c r="Q234" s="168">
        <f>SUM(L234/H234*100)</f>
        <v>88.983799705449201</v>
      </c>
    </row>
    <row r="235" spans="1:17" ht="35.450000000000003" customHeight="1">
      <c r="A235" s="182"/>
      <c r="B235" s="218" t="s">
        <v>362</v>
      </c>
      <c r="C235" s="174" t="s">
        <v>278</v>
      </c>
      <c r="D235" s="169">
        <v>7</v>
      </c>
      <c r="E235" s="169">
        <v>7</v>
      </c>
      <c r="F235" s="169">
        <v>0</v>
      </c>
      <c r="G235" s="169">
        <v>0</v>
      </c>
      <c r="H235" s="169">
        <v>6.4</v>
      </c>
      <c r="I235" s="169">
        <v>6.4</v>
      </c>
      <c r="J235" s="169">
        <v>0</v>
      </c>
      <c r="K235" s="169">
        <v>0</v>
      </c>
      <c r="L235" s="169">
        <v>2.1</v>
      </c>
      <c r="M235" s="169">
        <v>2.1</v>
      </c>
      <c r="N235" s="169">
        <v>0</v>
      </c>
      <c r="O235" s="169">
        <v>0</v>
      </c>
      <c r="P235" s="168"/>
      <c r="Q235" s="168"/>
    </row>
    <row r="236" spans="1:17" ht="31.9" customHeight="1">
      <c r="A236" s="183"/>
      <c r="B236" s="219"/>
      <c r="C236" s="174" t="s">
        <v>268</v>
      </c>
      <c r="D236" s="169">
        <v>424.8</v>
      </c>
      <c r="E236" s="169">
        <v>412</v>
      </c>
      <c r="F236" s="169">
        <v>321.2</v>
      </c>
      <c r="G236" s="169">
        <v>12.8</v>
      </c>
      <c r="H236" s="169">
        <v>333.1</v>
      </c>
      <c r="I236" s="169">
        <v>320.3</v>
      </c>
      <c r="J236" s="169">
        <v>237.6</v>
      </c>
      <c r="K236" s="169">
        <v>12.8</v>
      </c>
      <c r="L236" s="169">
        <v>300</v>
      </c>
      <c r="M236" s="169">
        <v>287.2</v>
      </c>
      <c r="N236" s="169">
        <v>231.7</v>
      </c>
      <c r="O236" s="169">
        <v>12.8</v>
      </c>
      <c r="P236" s="168"/>
      <c r="Q236" s="168"/>
    </row>
    <row r="237" spans="1:17" ht="39.6" customHeight="1">
      <c r="A237" s="216" t="s">
        <v>219</v>
      </c>
      <c r="B237" s="217"/>
      <c r="C237" s="175"/>
      <c r="D237" s="167">
        <f t="shared" ref="D237:O237" si="36">SUBTOTAL(9,D238:D240)</f>
        <v>590.5</v>
      </c>
      <c r="E237" s="167">
        <f t="shared" si="36"/>
        <v>562</v>
      </c>
      <c r="F237" s="167">
        <f t="shared" si="36"/>
        <v>362.2</v>
      </c>
      <c r="G237" s="167">
        <f t="shared" si="36"/>
        <v>28.5</v>
      </c>
      <c r="H237" s="167">
        <f t="shared" si="36"/>
        <v>498.90000000000003</v>
      </c>
      <c r="I237" s="167">
        <f t="shared" si="36"/>
        <v>470.40000000000003</v>
      </c>
      <c r="J237" s="167">
        <f t="shared" si="36"/>
        <v>275.7</v>
      </c>
      <c r="K237" s="167">
        <f t="shared" si="36"/>
        <v>28.5</v>
      </c>
      <c r="L237" s="167">
        <f t="shared" si="36"/>
        <v>452.7</v>
      </c>
      <c r="M237" s="167">
        <f t="shared" si="36"/>
        <v>424.3</v>
      </c>
      <c r="N237" s="167">
        <f t="shared" si="36"/>
        <v>270.3</v>
      </c>
      <c r="O237" s="167">
        <f t="shared" si="36"/>
        <v>28.4</v>
      </c>
      <c r="P237" s="168">
        <f>SUM(L237/D237*100)</f>
        <v>76.663844199830649</v>
      </c>
      <c r="Q237" s="168">
        <f>SUM(L237/H237*100)</f>
        <v>90.739627179795548</v>
      </c>
    </row>
    <row r="238" spans="1:17" ht="71.25">
      <c r="A238" s="182"/>
      <c r="B238" s="173" t="s">
        <v>353</v>
      </c>
      <c r="C238" s="174" t="s">
        <v>268</v>
      </c>
      <c r="D238" s="169">
        <v>18</v>
      </c>
      <c r="E238" s="169">
        <v>18</v>
      </c>
      <c r="F238" s="169">
        <v>0</v>
      </c>
      <c r="G238" s="169">
        <v>0</v>
      </c>
      <c r="H238" s="169">
        <v>18</v>
      </c>
      <c r="I238" s="169">
        <v>18</v>
      </c>
      <c r="J238" s="169">
        <v>0</v>
      </c>
      <c r="K238" s="169">
        <v>0</v>
      </c>
      <c r="L238" s="169">
        <v>18</v>
      </c>
      <c r="M238" s="169">
        <v>18</v>
      </c>
      <c r="N238" s="169">
        <v>0</v>
      </c>
      <c r="O238" s="169">
        <v>0</v>
      </c>
      <c r="P238" s="169"/>
      <c r="Q238" s="25"/>
    </row>
    <row r="239" spans="1:17" ht="36" customHeight="1">
      <c r="A239" s="220"/>
      <c r="B239" s="218" t="s">
        <v>346</v>
      </c>
      <c r="C239" s="174" t="s">
        <v>278</v>
      </c>
      <c r="D239" s="169">
        <v>24.2</v>
      </c>
      <c r="E239" s="169">
        <v>24.2</v>
      </c>
      <c r="F239" s="169">
        <v>0</v>
      </c>
      <c r="G239" s="169">
        <v>0</v>
      </c>
      <c r="H239" s="169">
        <v>23.6</v>
      </c>
      <c r="I239" s="169">
        <v>23.6</v>
      </c>
      <c r="J239" s="169">
        <v>0</v>
      </c>
      <c r="K239" s="169">
        <v>0</v>
      </c>
      <c r="L239" s="169">
        <v>11.2</v>
      </c>
      <c r="M239" s="169">
        <v>11.2</v>
      </c>
      <c r="N239" s="169">
        <v>0</v>
      </c>
      <c r="O239" s="169">
        <v>0</v>
      </c>
      <c r="P239" s="168"/>
      <c r="Q239" s="168"/>
    </row>
    <row r="240" spans="1:17" ht="45.6" customHeight="1">
      <c r="A240" s="183"/>
      <c r="B240" s="219"/>
      <c r="C240" s="174" t="s">
        <v>268</v>
      </c>
      <c r="D240" s="169">
        <v>548.29999999999995</v>
      </c>
      <c r="E240" s="169">
        <v>519.79999999999995</v>
      </c>
      <c r="F240" s="169">
        <v>362.2</v>
      </c>
      <c r="G240" s="169">
        <v>28.5</v>
      </c>
      <c r="H240" s="169">
        <v>457.3</v>
      </c>
      <c r="I240" s="169">
        <v>428.8</v>
      </c>
      <c r="J240" s="169">
        <v>275.7</v>
      </c>
      <c r="K240" s="169">
        <v>28.5</v>
      </c>
      <c r="L240" s="169">
        <v>423.5</v>
      </c>
      <c r="M240" s="169">
        <v>395.1</v>
      </c>
      <c r="N240" s="169">
        <v>270.3</v>
      </c>
      <c r="O240" s="169">
        <v>28.4</v>
      </c>
      <c r="P240" s="168"/>
      <c r="Q240" s="168"/>
    </row>
    <row r="241" spans="1:17" ht="34.15" customHeight="1">
      <c r="A241" s="216" t="s">
        <v>73</v>
      </c>
      <c r="B241" s="217"/>
      <c r="C241" s="175"/>
      <c r="D241" s="167">
        <f t="shared" ref="D241:O241" si="37">SUBTOTAL(9,D242:D243)</f>
        <v>609.70000000000005</v>
      </c>
      <c r="E241" s="167">
        <f t="shared" si="37"/>
        <v>574.70000000000005</v>
      </c>
      <c r="F241" s="167">
        <f t="shared" si="37"/>
        <v>428.7</v>
      </c>
      <c r="G241" s="167">
        <f t="shared" si="37"/>
        <v>35</v>
      </c>
      <c r="H241" s="167">
        <f t="shared" si="37"/>
        <v>497.70000000000005</v>
      </c>
      <c r="I241" s="167">
        <f t="shared" si="37"/>
        <v>462.70000000000005</v>
      </c>
      <c r="J241" s="167">
        <f t="shared" si="37"/>
        <v>330</v>
      </c>
      <c r="K241" s="167">
        <f t="shared" si="37"/>
        <v>35</v>
      </c>
      <c r="L241" s="167">
        <f t="shared" si="37"/>
        <v>427.9</v>
      </c>
      <c r="M241" s="167">
        <f t="shared" si="37"/>
        <v>427.9</v>
      </c>
      <c r="N241" s="167">
        <f t="shared" si="37"/>
        <v>323.3</v>
      </c>
      <c r="O241" s="167">
        <f t="shared" si="37"/>
        <v>0</v>
      </c>
      <c r="P241" s="168">
        <f>SUM(L241/D241*100)</f>
        <v>70.182056749220919</v>
      </c>
      <c r="Q241" s="168">
        <f>SUM(L241/H241*100)</f>
        <v>85.975487241310006</v>
      </c>
    </row>
    <row r="242" spans="1:17" ht="42.6" customHeight="1">
      <c r="A242" s="170"/>
      <c r="B242" s="218" t="s">
        <v>362</v>
      </c>
      <c r="C242" s="174" t="s">
        <v>278</v>
      </c>
      <c r="D242" s="169">
        <v>8</v>
      </c>
      <c r="E242" s="169">
        <v>8</v>
      </c>
      <c r="F242" s="169">
        <v>0</v>
      </c>
      <c r="G242" s="169">
        <v>0</v>
      </c>
      <c r="H242" s="169">
        <v>6.6</v>
      </c>
      <c r="I242" s="169">
        <v>6.6</v>
      </c>
      <c r="J242" s="169">
        <v>0</v>
      </c>
      <c r="K242" s="169">
        <v>0</v>
      </c>
      <c r="L242" s="169">
        <v>0</v>
      </c>
      <c r="M242" s="169">
        <v>0</v>
      </c>
      <c r="N242" s="169">
        <v>0</v>
      </c>
      <c r="O242" s="169">
        <v>0</v>
      </c>
      <c r="P242" s="168"/>
      <c r="Q242" s="168"/>
    </row>
    <row r="243" spans="1:17" ht="36" customHeight="1">
      <c r="A243" s="170"/>
      <c r="B243" s="219"/>
      <c r="C243" s="174" t="s">
        <v>268</v>
      </c>
      <c r="D243" s="169">
        <v>601.70000000000005</v>
      </c>
      <c r="E243" s="169">
        <v>566.70000000000005</v>
      </c>
      <c r="F243" s="169">
        <v>428.7</v>
      </c>
      <c r="G243" s="169">
        <v>35</v>
      </c>
      <c r="H243" s="169">
        <v>491.1</v>
      </c>
      <c r="I243" s="169">
        <v>456.1</v>
      </c>
      <c r="J243" s="169">
        <v>330</v>
      </c>
      <c r="K243" s="169">
        <v>35</v>
      </c>
      <c r="L243" s="169">
        <v>427.9</v>
      </c>
      <c r="M243" s="169">
        <v>427.9</v>
      </c>
      <c r="N243" s="169">
        <v>323.3</v>
      </c>
      <c r="O243" s="169">
        <v>0</v>
      </c>
      <c r="P243" s="168"/>
      <c r="Q243" s="168"/>
    </row>
    <row r="244" spans="1:17" ht="32.450000000000003" customHeight="1">
      <c r="A244" s="216" t="s">
        <v>74</v>
      </c>
      <c r="B244" s="217"/>
      <c r="C244" s="175"/>
      <c r="D244" s="167">
        <f t="shared" ref="D244:O244" si="38">SUBTOTAL(9,D245:D246)</f>
        <v>454.5</v>
      </c>
      <c r="E244" s="167">
        <f t="shared" si="38"/>
        <v>435.6</v>
      </c>
      <c r="F244" s="167">
        <f t="shared" si="38"/>
        <v>330.3</v>
      </c>
      <c r="G244" s="167">
        <f t="shared" si="38"/>
        <v>18.899999999999999</v>
      </c>
      <c r="H244" s="167">
        <f t="shared" si="38"/>
        <v>347.5</v>
      </c>
      <c r="I244" s="167">
        <f t="shared" si="38"/>
        <v>328.6</v>
      </c>
      <c r="J244" s="167">
        <f t="shared" si="38"/>
        <v>247.3</v>
      </c>
      <c r="K244" s="167">
        <f t="shared" si="38"/>
        <v>18.899999999999999</v>
      </c>
      <c r="L244" s="167">
        <f t="shared" si="38"/>
        <v>304.5</v>
      </c>
      <c r="M244" s="167">
        <f t="shared" si="38"/>
        <v>300.5</v>
      </c>
      <c r="N244" s="167">
        <f t="shared" si="38"/>
        <v>239.3</v>
      </c>
      <c r="O244" s="167">
        <f t="shared" si="38"/>
        <v>4</v>
      </c>
      <c r="P244" s="168">
        <f>SUM(L244/D244*100)</f>
        <v>66.996699669967001</v>
      </c>
      <c r="Q244" s="168">
        <f>SUM(L244/H244*100)</f>
        <v>87.625899280575538</v>
      </c>
    </row>
    <row r="245" spans="1:17" ht="33.6" customHeight="1">
      <c r="A245" s="182"/>
      <c r="B245" s="218" t="s">
        <v>362</v>
      </c>
      <c r="C245" s="174" t="s">
        <v>278</v>
      </c>
      <c r="D245" s="169">
        <v>18.5</v>
      </c>
      <c r="E245" s="169">
        <v>18.5</v>
      </c>
      <c r="F245" s="169">
        <v>0</v>
      </c>
      <c r="G245" s="169">
        <v>0</v>
      </c>
      <c r="H245" s="169">
        <v>12.5</v>
      </c>
      <c r="I245" s="169">
        <v>12.5</v>
      </c>
      <c r="J245" s="169">
        <v>0</v>
      </c>
      <c r="K245" s="169">
        <v>0</v>
      </c>
      <c r="L245" s="169">
        <v>5.6</v>
      </c>
      <c r="M245" s="169">
        <v>5.6</v>
      </c>
      <c r="N245" s="169">
        <v>0</v>
      </c>
      <c r="O245" s="169">
        <v>0</v>
      </c>
      <c r="P245" s="169"/>
      <c r="Q245" s="25"/>
    </row>
    <row r="246" spans="1:17" ht="41.45" customHeight="1">
      <c r="A246" s="183"/>
      <c r="B246" s="219"/>
      <c r="C246" s="174" t="s">
        <v>268</v>
      </c>
      <c r="D246" s="169">
        <v>436</v>
      </c>
      <c r="E246" s="169">
        <v>417.1</v>
      </c>
      <c r="F246" s="169">
        <v>330.3</v>
      </c>
      <c r="G246" s="169">
        <v>18.899999999999999</v>
      </c>
      <c r="H246" s="169">
        <v>335</v>
      </c>
      <c r="I246" s="169">
        <v>316.10000000000002</v>
      </c>
      <c r="J246" s="169">
        <v>247.3</v>
      </c>
      <c r="K246" s="169">
        <v>18.899999999999999</v>
      </c>
      <c r="L246" s="169">
        <v>298.89999999999998</v>
      </c>
      <c r="M246" s="169">
        <v>294.89999999999998</v>
      </c>
      <c r="N246" s="169">
        <v>239.3</v>
      </c>
      <c r="O246" s="169">
        <v>4</v>
      </c>
      <c r="P246" s="168"/>
      <c r="Q246" s="168"/>
    </row>
    <row r="247" spans="1:17" ht="59.45" customHeight="1">
      <c r="A247" s="216" t="s">
        <v>338</v>
      </c>
      <c r="B247" s="217"/>
      <c r="C247" s="175"/>
      <c r="D247" s="167">
        <f t="shared" ref="D247:O247" si="39">SUBTOTAL(9,D248:D248)</f>
        <v>195.3</v>
      </c>
      <c r="E247" s="167">
        <f t="shared" si="39"/>
        <v>195.3</v>
      </c>
      <c r="F247" s="167">
        <f t="shared" si="39"/>
        <v>181</v>
      </c>
      <c r="G247" s="167">
        <f t="shared" si="39"/>
        <v>0</v>
      </c>
      <c r="H247" s="167">
        <f t="shared" si="39"/>
        <v>159.69999999999999</v>
      </c>
      <c r="I247" s="167">
        <f t="shared" si="39"/>
        <v>159.69999999999999</v>
      </c>
      <c r="J247" s="167">
        <f t="shared" si="39"/>
        <v>147.69999999999999</v>
      </c>
      <c r="K247" s="167">
        <f t="shared" si="39"/>
        <v>0</v>
      </c>
      <c r="L247" s="167">
        <f t="shared" si="39"/>
        <v>108.5</v>
      </c>
      <c r="M247" s="167">
        <f t="shared" si="39"/>
        <v>108.5</v>
      </c>
      <c r="N247" s="167">
        <f t="shared" si="39"/>
        <v>103.2</v>
      </c>
      <c r="O247" s="167">
        <f t="shared" si="39"/>
        <v>0</v>
      </c>
      <c r="P247" s="168">
        <f>SUM(L247/D247*100)</f>
        <v>55.55555555555555</v>
      </c>
      <c r="Q247" s="168">
        <f>SUM(L247/H247*100)</f>
        <v>67.939887288666256</v>
      </c>
    </row>
    <row r="248" spans="1:17" ht="85.5">
      <c r="A248" s="170"/>
      <c r="B248" s="173" t="s">
        <v>347</v>
      </c>
      <c r="C248" s="174" t="s">
        <v>268</v>
      </c>
      <c r="D248" s="169">
        <v>195.3</v>
      </c>
      <c r="E248" s="169">
        <v>195.3</v>
      </c>
      <c r="F248" s="169">
        <v>181</v>
      </c>
      <c r="G248" s="169">
        <v>0</v>
      </c>
      <c r="H248" s="169">
        <v>159.69999999999999</v>
      </c>
      <c r="I248" s="169">
        <v>159.69999999999999</v>
      </c>
      <c r="J248" s="169">
        <v>147.69999999999999</v>
      </c>
      <c r="K248" s="169">
        <v>0</v>
      </c>
      <c r="L248" s="169">
        <v>108.5</v>
      </c>
      <c r="M248" s="169">
        <v>108.5</v>
      </c>
      <c r="N248" s="169">
        <v>103.2</v>
      </c>
      <c r="O248" s="169">
        <v>0</v>
      </c>
      <c r="P248" s="168"/>
      <c r="Q248" s="168"/>
    </row>
    <row r="249" spans="1:17" ht="61.9" customHeight="1">
      <c r="A249" s="216" t="s">
        <v>339</v>
      </c>
      <c r="B249" s="217"/>
      <c r="C249" s="175"/>
      <c r="D249" s="167">
        <f t="shared" ref="D249:O249" si="40">SUBTOTAL(9,D250:D253)</f>
        <v>1164.1000000000001</v>
      </c>
      <c r="E249" s="167">
        <f t="shared" si="40"/>
        <v>1134.0999999999999</v>
      </c>
      <c r="F249" s="167">
        <f t="shared" si="40"/>
        <v>995.2</v>
      </c>
      <c r="G249" s="167">
        <f t="shared" si="40"/>
        <v>30</v>
      </c>
      <c r="H249" s="167">
        <f t="shared" si="40"/>
        <v>888.19999999999993</v>
      </c>
      <c r="I249" s="167">
        <f t="shared" si="40"/>
        <v>858.2</v>
      </c>
      <c r="J249" s="167">
        <f t="shared" si="40"/>
        <v>741.9</v>
      </c>
      <c r="K249" s="167">
        <f t="shared" si="40"/>
        <v>30</v>
      </c>
      <c r="L249" s="167">
        <f t="shared" si="40"/>
        <v>885.9</v>
      </c>
      <c r="M249" s="167">
        <f t="shared" si="40"/>
        <v>855.9</v>
      </c>
      <c r="N249" s="167">
        <f t="shared" si="40"/>
        <v>741.9</v>
      </c>
      <c r="O249" s="167">
        <f t="shared" si="40"/>
        <v>30</v>
      </c>
      <c r="P249" s="168">
        <f>SUM(L249/D249*100)</f>
        <v>76.101709475131003</v>
      </c>
      <c r="Q249" s="168">
        <f>SUM(L249/H249*100)</f>
        <v>99.741049313217744</v>
      </c>
    </row>
    <row r="250" spans="1:17" ht="28.5">
      <c r="A250" s="182"/>
      <c r="B250" s="173" t="s">
        <v>352</v>
      </c>
      <c r="C250" s="174" t="s">
        <v>268</v>
      </c>
      <c r="D250" s="169">
        <v>30</v>
      </c>
      <c r="E250" s="169">
        <v>30</v>
      </c>
      <c r="F250" s="169">
        <v>0</v>
      </c>
      <c r="G250" s="169">
        <v>0</v>
      </c>
      <c r="H250" s="169">
        <v>30</v>
      </c>
      <c r="I250" s="169">
        <v>30</v>
      </c>
      <c r="J250" s="169">
        <v>0</v>
      </c>
      <c r="K250" s="169">
        <v>0</v>
      </c>
      <c r="L250" s="169">
        <v>30</v>
      </c>
      <c r="M250" s="169">
        <v>30</v>
      </c>
      <c r="N250" s="169">
        <v>0</v>
      </c>
      <c r="O250" s="169">
        <v>0</v>
      </c>
      <c r="P250" s="168"/>
      <c r="Q250" s="168"/>
    </row>
    <row r="251" spans="1:17" ht="27" customHeight="1">
      <c r="A251" s="220"/>
      <c r="B251" s="218" t="s">
        <v>360</v>
      </c>
      <c r="C251" s="174" t="s">
        <v>278</v>
      </c>
      <c r="D251" s="169">
        <v>1</v>
      </c>
      <c r="E251" s="169">
        <v>1</v>
      </c>
      <c r="F251" s="169">
        <v>0</v>
      </c>
      <c r="G251" s="169">
        <v>0</v>
      </c>
      <c r="H251" s="169">
        <v>0.5</v>
      </c>
      <c r="I251" s="169">
        <v>0.5</v>
      </c>
      <c r="J251" s="169">
        <v>0</v>
      </c>
      <c r="K251" s="169">
        <v>0</v>
      </c>
      <c r="L251" s="169">
        <v>0</v>
      </c>
      <c r="M251" s="169">
        <v>0</v>
      </c>
      <c r="N251" s="169">
        <v>0</v>
      </c>
      <c r="O251" s="169">
        <v>0</v>
      </c>
      <c r="P251" s="168"/>
      <c r="Q251" s="168"/>
    </row>
    <row r="252" spans="1:17" ht="27" customHeight="1">
      <c r="A252" s="220"/>
      <c r="B252" s="222"/>
      <c r="C252" s="174" t="s">
        <v>268</v>
      </c>
      <c r="D252" s="169">
        <v>57.7</v>
      </c>
      <c r="E252" s="169">
        <v>28.3</v>
      </c>
      <c r="F252" s="169">
        <v>13.7</v>
      </c>
      <c r="G252" s="169">
        <v>29.4</v>
      </c>
      <c r="H252" s="169">
        <v>50.9</v>
      </c>
      <c r="I252" s="169">
        <v>21.5</v>
      </c>
      <c r="J252" s="169">
        <v>10.3</v>
      </c>
      <c r="K252" s="169">
        <v>29.4</v>
      </c>
      <c r="L252" s="169">
        <v>50.4</v>
      </c>
      <c r="M252" s="169">
        <v>21</v>
      </c>
      <c r="N252" s="169">
        <v>10.3</v>
      </c>
      <c r="O252" s="169">
        <v>29.4</v>
      </c>
      <c r="P252" s="168"/>
      <c r="Q252" s="168"/>
    </row>
    <row r="253" spans="1:17" ht="27" customHeight="1">
      <c r="A253" s="183"/>
      <c r="B253" s="219"/>
      <c r="C253" s="174" t="s">
        <v>270</v>
      </c>
      <c r="D253" s="169">
        <v>1075.4000000000001</v>
      </c>
      <c r="E253" s="169">
        <v>1074.8</v>
      </c>
      <c r="F253" s="169">
        <v>981.5</v>
      </c>
      <c r="G253" s="169">
        <v>0.6</v>
      </c>
      <c r="H253" s="169">
        <v>806.8</v>
      </c>
      <c r="I253" s="169">
        <v>806.2</v>
      </c>
      <c r="J253" s="169">
        <v>731.6</v>
      </c>
      <c r="K253" s="169">
        <v>0.6</v>
      </c>
      <c r="L253" s="169">
        <v>805.5</v>
      </c>
      <c r="M253" s="169">
        <v>804.9</v>
      </c>
      <c r="N253" s="169">
        <v>731.6</v>
      </c>
      <c r="O253" s="169">
        <v>0.6</v>
      </c>
      <c r="P253" s="168"/>
      <c r="Q253" s="168"/>
    </row>
    <row r="254" spans="1:17" ht="40.9" customHeight="1">
      <c r="A254" s="216" t="s">
        <v>68</v>
      </c>
      <c r="B254" s="217"/>
      <c r="C254" s="175"/>
      <c r="D254" s="167">
        <f t="shared" ref="D254:O254" si="41">SUBTOTAL(9,D255:D259)</f>
        <v>2243</v>
      </c>
      <c r="E254" s="167">
        <f t="shared" si="41"/>
        <v>1992.6000000000001</v>
      </c>
      <c r="F254" s="167">
        <f t="shared" si="41"/>
        <v>1441.1</v>
      </c>
      <c r="G254" s="167">
        <f t="shared" si="41"/>
        <v>250.4</v>
      </c>
      <c r="H254" s="167">
        <f t="shared" si="41"/>
        <v>1808.6000000000001</v>
      </c>
      <c r="I254" s="167">
        <f t="shared" si="41"/>
        <v>1643.2</v>
      </c>
      <c r="J254" s="167">
        <f t="shared" si="41"/>
        <v>1159</v>
      </c>
      <c r="K254" s="167">
        <f t="shared" si="41"/>
        <v>165.4</v>
      </c>
      <c r="L254" s="167">
        <f t="shared" si="41"/>
        <v>1604.5</v>
      </c>
      <c r="M254" s="167">
        <f t="shared" si="41"/>
        <v>1580.1</v>
      </c>
      <c r="N254" s="167">
        <f t="shared" si="41"/>
        <v>1112.2</v>
      </c>
      <c r="O254" s="167">
        <f t="shared" si="41"/>
        <v>24.4</v>
      </c>
      <c r="P254" s="168">
        <f>SUM(L254/D254*100)</f>
        <v>71.533660276415517</v>
      </c>
      <c r="Q254" s="168">
        <f>SUM(L254/H254*100)</f>
        <v>88.715028198606646</v>
      </c>
    </row>
    <row r="255" spans="1:17" ht="15">
      <c r="A255" s="182"/>
      <c r="B255" s="218" t="s">
        <v>350</v>
      </c>
      <c r="C255" s="174" t="s">
        <v>265</v>
      </c>
      <c r="D255" s="169">
        <v>170</v>
      </c>
      <c r="E255" s="169">
        <v>0</v>
      </c>
      <c r="F255" s="169">
        <v>0</v>
      </c>
      <c r="G255" s="169">
        <v>170</v>
      </c>
      <c r="H255" s="169">
        <v>130</v>
      </c>
      <c r="I255" s="169">
        <v>0</v>
      </c>
      <c r="J255" s="169">
        <v>0</v>
      </c>
      <c r="K255" s="169">
        <v>130</v>
      </c>
      <c r="L255" s="169">
        <v>0</v>
      </c>
      <c r="M255" s="169">
        <v>0</v>
      </c>
      <c r="N255" s="169">
        <v>0</v>
      </c>
      <c r="O255" s="169">
        <v>0</v>
      </c>
      <c r="P255" s="25"/>
      <c r="Q255" s="25"/>
    </row>
    <row r="256" spans="1:17" ht="15">
      <c r="A256" s="220"/>
      <c r="B256" s="222"/>
      <c r="C256" s="174" t="s">
        <v>278</v>
      </c>
      <c r="D256" s="169">
        <v>1623</v>
      </c>
      <c r="E256" s="169">
        <v>1613</v>
      </c>
      <c r="F256" s="169">
        <v>1111.8</v>
      </c>
      <c r="G256" s="169">
        <v>10</v>
      </c>
      <c r="H256" s="169">
        <v>1368.5</v>
      </c>
      <c r="I256" s="169">
        <v>1358.5</v>
      </c>
      <c r="J256" s="169">
        <v>912</v>
      </c>
      <c r="K256" s="169">
        <v>10</v>
      </c>
      <c r="L256" s="169">
        <v>1303.0999999999999</v>
      </c>
      <c r="M256" s="169">
        <v>1297.3</v>
      </c>
      <c r="N256" s="169">
        <v>865.2</v>
      </c>
      <c r="O256" s="169">
        <v>5.8</v>
      </c>
      <c r="P256" s="25"/>
      <c r="Q256" s="25"/>
    </row>
    <row r="257" spans="1:17" ht="15">
      <c r="A257" s="220"/>
      <c r="B257" s="222"/>
      <c r="C257" s="174" t="s">
        <v>268</v>
      </c>
      <c r="D257" s="169">
        <v>89.4</v>
      </c>
      <c r="E257" s="169">
        <v>19.399999999999999</v>
      </c>
      <c r="F257" s="169">
        <v>0</v>
      </c>
      <c r="G257" s="169">
        <v>70</v>
      </c>
      <c r="H257" s="169">
        <v>39.700000000000003</v>
      </c>
      <c r="I257" s="169">
        <v>14.7</v>
      </c>
      <c r="J257" s="169">
        <v>0</v>
      </c>
      <c r="K257" s="169">
        <v>25</v>
      </c>
      <c r="L257" s="169">
        <v>31</v>
      </c>
      <c r="M257" s="169">
        <v>12.8</v>
      </c>
      <c r="N257" s="169">
        <v>0</v>
      </c>
      <c r="O257" s="169">
        <v>18.2</v>
      </c>
      <c r="P257" s="25"/>
      <c r="Q257" s="25"/>
    </row>
    <row r="258" spans="1:17" ht="15">
      <c r="A258" s="220"/>
      <c r="B258" s="219"/>
      <c r="C258" s="174" t="s">
        <v>270</v>
      </c>
      <c r="D258" s="169">
        <v>360.2</v>
      </c>
      <c r="E258" s="169">
        <v>360.2</v>
      </c>
      <c r="F258" s="169">
        <v>329.3</v>
      </c>
      <c r="G258" s="169">
        <v>0</v>
      </c>
      <c r="H258" s="169">
        <v>270</v>
      </c>
      <c r="I258" s="169">
        <v>270</v>
      </c>
      <c r="J258" s="169">
        <v>247</v>
      </c>
      <c r="K258" s="169">
        <v>0</v>
      </c>
      <c r="L258" s="169">
        <v>270</v>
      </c>
      <c r="M258" s="169">
        <v>270</v>
      </c>
      <c r="N258" s="169">
        <v>247</v>
      </c>
      <c r="O258" s="169">
        <v>0</v>
      </c>
      <c r="P258" s="25"/>
      <c r="Q258" s="25"/>
    </row>
    <row r="259" spans="1:17" ht="71.25">
      <c r="A259" s="183"/>
      <c r="B259" s="173" t="s">
        <v>363</v>
      </c>
      <c r="C259" s="174" t="s">
        <v>288</v>
      </c>
      <c r="D259" s="169">
        <v>0.4</v>
      </c>
      <c r="E259" s="169">
        <v>0</v>
      </c>
      <c r="F259" s="169">
        <v>0</v>
      </c>
      <c r="G259" s="169">
        <v>0.4</v>
      </c>
      <c r="H259" s="169">
        <v>0.4</v>
      </c>
      <c r="I259" s="169">
        <v>0</v>
      </c>
      <c r="J259" s="169">
        <v>0</v>
      </c>
      <c r="K259" s="169">
        <v>0.4</v>
      </c>
      <c r="L259" s="169">
        <v>0.4</v>
      </c>
      <c r="M259" s="169">
        <v>0</v>
      </c>
      <c r="N259" s="169">
        <v>0</v>
      </c>
      <c r="O259" s="169">
        <v>0.4</v>
      </c>
      <c r="P259" s="168"/>
      <c r="Q259" s="168"/>
    </row>
    <row r="260" spans="1:17" ht="64.150000000000006" customHeight="1">
      <c r="A260" s="216" t="s">
        <v>340</v>
      </c>
      <c r="B260" s="217"/>
      <c r="C260" s="175"/>
      <c r="D260" s="167">
        <f t="shared" ref="D260:O260" si="42">SUBTOTAL(9,D261:D264)</f>
        <v>2603.8000000000002</v>
      </c>
      <c r="E260" s="167">
        <f t="shared" si="42"/>
        <v>2600.1999999999998</v>
      </c>
      <c r="F260" s="167">
        <f t="shared" si="42"/>
        <v>2212</v>
      </c>
      <c r="G260" s="167">
        <f t="shared" si="42"/>
        <v>3.6</v>
      </c>
      <c r="H260" s="167">
        <f t="shared" si="42"/>
        <v>1968.8000000000002</v>
      </c>
      <c r="I260" s="167">
        <f t="shared" si="42"/>
        <v>1965.2000000000003</v>
      </c>
      <c r="J260" s="167">
        <f t="shared" si="42"/>
        <v>1659.2999999999997</v>
      </c>
      <c r="K260" s="167">
        <f t="shared" si="42"/>
        <v>3.6</v>
      </c>
      <c r="L260" s="167">
        <f t="shared" si="42"/>
        <v>1669.4</v>
      </c>
      <c r="M260" s="167">
        <f t="shared" si="42"/>
        <v>1665.8000000000002</v>
      </c>
      <c r="N260" s="167">
        <f t="shared" si="42"/>
        <v>1408.6</v>
      </c>
      <c r="O260" s="167">
        <f t="shared" si="42"/>
        <v>3.6</v>
      </c>
      <c r="P260" s="168">
        <f>SUM(L260/D260*100)</f>
        <v>64.113987249404715</v>
      </c>
      <c r="Q260" s="168">
        <f>SUM(L260/H260*100)</f>
        <v>84.792767167817956</v>
      </c>
    </row>
    <row r="261" spans="1:17" ht="15">
      <c r="A261" s="182"/>
      <c r="B261" s="218" t="s">
        <v>354</v>
      </c>
      <c r="C261" s="174" t="s">
        <v>266</v>
      </c>
      <c r="D261" s="169">
        <v>1137.5999999999999</v>
      </c>
      <c r="E261" s="169">
        <v>1137.5999999999999</v>
      </c>
      <c r="F261" s="169">
        <v>1094.5</v>
      </c>
      <c r="G261" s="169">
        <v>0</v>
      </c>
      <c r="H261" s="169">
        <v>853.7</v>
      </c>
      <c r="I261" s="169">
        <v>853.7</v>
      </c>
      <c r="J261" s="169">
        <v>820.9</v>
      </c>
      <c r="K261" s="169">
        <v>0</v>
      </c>
      <c r="L261" s="169">
        <v>696.5</v>
      </c>
      <c r="M261" s="169">
        <v>696.5</v>
      </c>
      <c r="N261" s="169">
        <v>668.7</v>
      </c>
      <c r="O261" s="169">
        <v>0</v>
      </c>
      <c r="P261" s="25"/>
      <c r="Q261" s="25"/>
    </row>
    <row r="262" spans="1:17" ht="15">
      <c r="A262" s="220"/>
      <c r="B262" s="222"/>
      <c r="C262" s="174" t="s">
        <v>278</v>
      </c>
      <c r="D262" s="169">
        <v>134.69999999999999</v>
      </c>
      <c r="E262" s="169">
        <v>134.69999999999999</v>
      </c>
      <c r="F262" s="169">
        <v>17.5</v>
      </c>
      <c r="G262" s="169">
        <v>0</v>
      </c>
      <c r="H262" s="169">
        <v>106.4</v>
      </c>
      <c r="I262" s="169">
        <v>106.4</v>
      </c>
      <c r="J262" s="169">
        <v>13.5</v>
      </c>
      <c r="K262" s="169">
        <v>0</v>
      </c>
      <c r="L262" s="169">
        <v>103</v>
      </c>
      <c r="M262" s="169">
        <v>103</v>
      </c>
      <c r="N262" s="169">
        <v>13.5</v>
      </c>
      <c r="O262" s="169">
        <v>0</v>
      </c>
      <c r="P262" s="25"/>
      <c r="Q262" s="25"/>
    </row>
    <row r="263" spans="1:17" ht="15">
      <c r="A263" s="220"/>
      <c r="B263" s="222"/>
      <c r="C263" s="174" t="s">
        <v>268</v>
      </c>
      <c r="D263" s="169">
        <v>1303.5</v>
      </c>
      <c r="E263" s="169">
        <v>1299.9000000000001</v>
      </c>
      <c r="F263" s="169">
        <v>1072.4000000000001</v>
      </c>
      <c r="G263" s="169">
        <v>3.6</v>
      </c>
      <c r="H263" s="169">
        <v>987.8</v>
      </c>
      <c r="I263" s="169">
        <v>984.2</v>
      </c>
      <c r="J263" s="169">
        <v>804.3</v>
      </c>
      <c r="K263" s="169">
        <v>3.6</v>
      </c>
      <c r="L263" s="169">
        <v>849</v>
      </c>
      <c r="M263" s="169">
        <v>845.4</v>
      </c>
      <c r="N263" s="169">
        <v>705.8</v>
      </c>
      <c r="O263" s="169">
        <v>3.6</v>
      </c>
      <c r="P263" s="25"/>
      <c r="Q263" s="25"/>
    </row>
    <row r="264" spans="1:17" ht="15.75">
      <c r="A264" s="183"/>
      <c r="B264" s="219"/>
      <c r="C264" s="174" t="s">
        <v>270</v>
      </c>
      <c r="D264" s="169">
        <v>28</v>
      </c>
      <c r="E264" s="169">
        <v>28</v>
      </c>
      <c r="F264" s="169">
        <v>27.6</v>
      </c>
      <c r="G264" s="169">
        <v>0</v>
      </c>
      <c r="H264" s="169">
        <v>20.9</v>
      </c>
      <c r="I264" s="169">
        <v>20.9</v>
      </c>
      <c r="J264" s="169">
        <v>20.6</v>
      </c>
      <c r="K264" s="169">
        <v>0</v>
      </c>
      <c r="L264" s="169">
        <v>20.9</v>
      </c>
      <c r="M264" s="169">
        <v>20.9</v>
      </c>
      <c r="N264" s="169">
        <v>20.6</v>
      </c>
      <c r="O264" s="169">
        <v>0</v>
      </c>
      <c r="P264" s="168"/>
      <c r="Q264" s="168"/>
    </row>
    <row r="265" spans="1:17" ht="21.6" customHeight="1">
      <c r="A265" s="216" t="s">
        <v>341</v>
      </c>
      <c r="B265" s="217"/>
      <c r="C265" s="175"/>
      <c r="D265" s="167">
        <f t="shared" ref="D265:O265" si="43">SUBTOTAL(9,D266:D266)</f>
        <v>793.6</v>
      </c>
      <c r="E265" s="167">
        <f t="shared" si="43"/>
        <v>150</v>
      </c>
      <c r="F265" s="167">
        <f t="shared" si="43"/>
        <v>0</v>
      </c>
      <c r="G265" s="167">
        <f t="shared" si="43"/>
        <v>643.6</v>
      </c>
      <c r="H265" s="167">
        <f t="shared" si="43"/>
        <v>598.70000000000005</v>
      </c>
      <c r="I265" s="167">
        <f t="shared" si="43"/>
        <v>116</v>
      </c>
      <c r="J265" s="167">
        <f t="shared" si="43"/>
        <v>0</v>
      </c>
      <c r="K265" s="167">
        <f t="shared" si="43"/>
        <v>482.7</v>
      </c>
      <c r="L265" s="167">
        <f t="shared" si="43"/>
        <v>592.29999999999995</v>
      </c>
      <c r="M265" s="167">
        <f t="shared" si="43"/>
        <v>109.7</v>
      </c>
      <c r="N265" s="167">
        <f t="shared" si="43"/>
        <v>0</v>
      </c>
      <c r="O265" s="167">
        <f t="shared" si="43"/>
        <v>482.6</v>
      </c>
      <c r="P265" s="168">
        <f>SUM(L265/D265*100)</f>
        <v>74.634576612903217</v>
      </c>
      <c r="Q265" s="168">
        <f>SUM(L265/H265*100)</f>
        <v>98.931017203941863</v>
      </c>
    </row>
    <row r="266" spans="1:17" ht="83.45" customHeight="1">
      <c r="A266" s="170"/>
      <c r="B266" s="173" t="s">
        <v>347</v>
      </c>
      <c r="C266" s="174" t="s">
        <v>268</v>
      </c>
      <c r="D266" s="169">
        <v>793.6</v>
      </c>
      <c r="E266" s="169">
        <v>150</v>
      </c>
      <c r="F266" s="169">
        <v>0</v>
      </c>
      <c r="G266" s="169">
        <v>643.6</v>
      </c>
      <c r="H266" s="169">
        <v>598.70000000000005</v>
      </c>
      <c r="I266" s="169">
        <v>116</v>
      </c>
      <c r="J266" s="169">
        <v>0</v>
      </c>
      <c r="K266" s="169">
        <v>482.7</v>
      </c>
      <c r="L266" s="169">
        <v>592.29999999999995</v>
      </c>
      <c r="M266" s="169">
        <v>109.7</v>
      </c>
      <c r="N266" s="169">
        <v>0</v>
      </c>
      <c r="O266" s="169">
        <v>482.6</v>
      </c>
      <c r="P266" s="168"/>
      <c r="Q266" s="168"/>
    </row>
    <row r="267" spans="1:17" ht="40.9" customHeight="1">
      <c r="A267" s="216" t="s">
        <v>293</v>
      </c>
      <c r="B267" s="217"/>
      <c r="C267" s="175"/>
      <c r="D267" s="167">
        <f t="shared" ref="D267:O267" si="44">SUBTOTAL(9,D268:D269)</f>
        <v>370</v>
      </c>
      <c r="E267" s="167">
        <f t="shared" si="44"/>
        <v>320</v>
      </c>
      <c r="F267" s="167">
        <f t="shared" si="44"/>
        <v>226.6</v>
      </c>
      <c r="G267" s="167">
        <f t="shared" si="44"/>
        <v>50</v>
      </c>
      <c r="H267" s="167">
        <f t="shared" si="44"/>
        <v>304.39999999999998</v>
      </c>
      <c r="I267" s="167">
        <f t="shared" si="44"/>
        <v>254.4</v>
      </c>
      <c r="J267" s="167">
        <f t="shared" si="44"/>
        <v>170</v>
      </c>
      <c r="K267" s="167">
        <f t="shared" si="44"/>
        <v>50</v>
      </c>
      <c r="L267" s="167">
        <f t="shared" si="44"/>
        <v>189.7</v>
      </c>
      <c r="M267" s="167">
        <f t="shared" si="44"/>
        <v>189.7</v>
      </c>
      <c r="N267" s="167">
        <f t="shared" si="44"/>
        <v>143.1</v>
      </c>
      <c r="O267" s="167">
        <f t="shared" si="44"/>
        <v>0</v>
      </c>
      <c r="P267" s="168">
        <f>SUM(L267/D267*100)</f>
        <v>51.270270270270267</v>
      </c>
      <c r="Q267" s="168">
        <f>SUM(L267/H267*100)</f>
        <v>62.319316688567675</v>
      </c>
    </row>
    <row r="268" spans="1:17" ht="23.45" customHeight="1">
      <c r="A268" s="182"/>
      <c r="B268" s="226" t="s">
        <v>350</v>
      </c>
      <c r="C268" s="174" t="s">
        <v>278</v>
      </c>
      <c r="D268" s="169">
        <v>1</v>
      </c>
      <c r="E268" s="169">
        <v>1</v>
      </c>
      <c r="F268" s="169">
        <v>0</v>
      </c>
      <c r="G268" s="169">
        <v>0</v>
      </c>
      <c r="H268" s="169">
        <v>0.9</v>
      </c>
      <c r="I268" s="169">
        <v>0.9</v>
      </c>
      <c r="J268" s="169">
        <v>0</v>
      </c>
      <c r="K268" s="169">
        <v>0</v>
      </c>
      <c r="L268" s="169">
        <v>0</v>
      </c>
      <c r="M268" s="169">
        <v>0</v>
      </c>
      <c r="N268" s="169">
        <v>0</v>
      </c>
      <c r="O268" s="169">
        <v>0</v>
      </c>
      <c r="P268" s="25"/>
      <c r="Q268" s="25"/>
    </row>
    <row r="269" spans="1:17" ht="23.45" customHeight="1">
      <c r="A269" s="183"/>
      <c r="B269" s="228"/>
      <c r="C269" s="174" t="s">
        <v>268</v>
      </c>
      <c r="D269" s="169">
        <v>369</v>
      </c>
      <c r="E269" s="169">
        <v>319</v>
      </c>
      <c r="F269" s="169">
        <v>226.6</v>
      </c>
      <c r="G269" s="169">
        <v>50</v>
      </c>
      <c r="H269" s="169">
        <v>303.5</v>
      </c>
      <c r="I269" s="169">
        <v>253.5</v>
      </c>
      <c r="J269" s="169">
        <v>170</v>
      </c>
      <c r="K269" s="169">
        <v>50</v>
      </c>
      <c r="L269" s="169">
        <v>189.7</v>
      </c>
      <c r="M269" s="169">
        <v>189.7</v>
      </c>
      <c r="N269" s="169">
        <v>143.1</v>
      </c>
      <c r="O269" s="169">
        <v>0</v>
      </c>
      <c r="P269" s="168"/>
      <c r="Q269" s="168"/>
    </row>
    <row r="270" spans="1:17" ht="31.15" customHeight="1">
      <c r="A270" s="216" t="s">
        <v>294</v>
      </c>
      <c r="B270" s="217"/>
      <c r="C270" s="175"/>
      <c r="D270" s="167">
        <f t="shared" ref="D270:O270" si="45">SUBTOTAL(9,D271:D271)</f>
        <v>129.1</v>
      </c>
      <c r="E270" s="167">
        <f t="shared" si="45"/>
        <v>15.8</v>
      </c>
      <c r="F270" s="167">
        <f t="shared" si="45"/>
        <v>0</v>
      </c>
      <c r="G270" s="167">
        <f t="shared" si="45"/>
        <v>113.3</v>
      </c>
      <c r="H270" s="167">
        <f t="shared" si="45"/>
        <v>99.1</v>
      </c>
      <c r="I270" s="167">
        <f t="shared" si="45"/>
        <v>14.1</v>
      </c>
      <c r="J270" s="167">
        <f t="shared" si="45"/>
        <v>0</v>
      </c>
      <c r="K270" s="167">
        <f t="shared" si="45"/>
        <v>85</v>
      </c>
      <c r="L270" s="167">
        <f t="shared" si="45"/>
        <v>96.5</v>
      </c>
      <c r="M270" s="167">
        <f t="shared" si="45"/>
        <v>11.6</v>
      </c>
      <c r="N270" s="167">
        <f t="shared" si="45"/>
        <v>0</v>
      </c>
      <c r="O270" s="167">
        <f t="shared" si="45"/>
        <v>84.9</v>
      </c>
      <c r="P270" s="168">
        <f>SUM(L270/D270*100)</f>
        <v>74.748257164988388</v>
      </c>
      <c r="Q270" s="168">
        <f>SUM(L270/H270*100)</f>
        <v>97.376387487386481</v>
      </c>
    </row>
    <row r="271" spans="1:17" ht="67.150000000000006" customHeight="1">
      <c r="A271" s="170"/>
      <c r="B271" s="173" t="s">
        <v>347</v>
      </c>
      <c r="C271" s="174" t="s">
        <v>268</v>
      </c>
      <c r="D271" s="169">
        <v>129.1</v>
      </c>
      <c r="E271" s="169">
        <v>15.8</v>
      </c>
      <c r="F271" s="169">
        <v>0</v>
      </c>
      <c r="G271" s="169">
        <v>113.3</v>
      </c>
      <c r="H271" s="169">
        <v>99.1</v>
      </c>
      <c r="I271" s="169">
        <v>14.1</v>
      </c>
      <c r="J271" s="169">
        <v>0</v>
      </c>
      <c r="K271" s="169">
        <v>85</v>
      </c>
      <c r="L271" s="169">
        <v>96.5</v>
      </c>
      <c r="M271" s="169">
        <v>11.6</v>
      </c>
      <c r="N271" s="169">
        <v>0</v>
      </c>
      <c r="O271" s="169">
        <v>84.9</v>
      </c>
      <c r="P271" s="168"/>
      <c r="Q271" s="168"/>
    </row>
    <row r="272" spans="1:17" ht="52.9" customHeight="1">
      <c r="A272" s="216" t="s">
        <v>243</v>
      </c>
      <c r="B272" s="217"/>
      <c r="C272" s="175"/>
      <c r="D272" s="167">
        <f t="shared" ref="D272:G272" si="46">SUBTOTAL(9,D273:D275)</f>
        <v>788</v>
      </c>
      <c r="E272" s="167">
        <f t="shared" si="46"/>
        <v>762.30000000000007</v>
      </c>
      <c r="F272" s="167">
        <f t="shared" si="46"/>
        <v>434.8</v>
      </c>
      <c r="G272" s="167">
        <f t="shared" si="46"/>
        <v>25.7</v>
      </c>
      <c r="H272" s="167">
        <f t="shared" ref="H272:O272" si="47">SUBTOTAL(9,H274:H275)</f>
        <v>453.7</v>
      </c>
      <c r="I272" s="167">
        <f t="shared" si="47"/>
        <v>428</v>
      </c>
      <c r="J272" s="167">
        <f t="shared" si="47"/>
        <v>178.8</v>
      </c>
      <c r="K272" s="167">
        <f t="shared" si="47"/>
        <v>25.7</v>
      </c>
      <c r="L272" s="167">
        <f t="shared" si="47"/>
        <v>174.6</v>
      </c>
      <c r="M272" s="167">
        <f t="shared" si="47"/>
        <v>161.1</v>
      </c>
      <c r="N272" s="167">
        <f t="shared" si="47"/>
        <v>103.3</v>
      </c>
      <c r="O272" s="167">
        <f t="shared" si="47"/>
        <v>13.5</v>
      </c>
      <c r="P272" s="168">
        <f>SUM(L272/D272*100)</f>
        <v>22.157360406091371</v>
      </c>
      <c r="Q272" s="168">
        <f>SUM(L272/H272*100)</f>
        <v>38.483579457791492</v>
      </c>
    </row>
    <row r="273" spans="1:17" ht="15">
      <c r="A273" s="182"/>
      <c r="B273" s="218" t="s">
        <v>354</v>
      </c>
      <c r="C273" s="174" t="s">
        <v>266</v>
      </c>
      <c r="D273" s="169">
        <v>0</v>
      </c>
      <c r="E273" s="169">
        <v>0</v>
      </c>
      <c r="F273" s="169">
        <v>0</v>
      </c>
      <c r="G273" s="169">
        <v>0</v>
      </c>
      <c r="H273" s="171">
        <v>0</v>
      </c>
      <c r="I273" s="171">
        <v>0</v>
      </c>
      <c r="J273" s="171">
        <v>0</v>
      </c>
      <c r="K273" s="171">
        <v>0</v>
      </c>
      <c r="L273" s="171">
        <v>0</v>
      </c>
      <c r="M273" s="171">
        <v>0</v>
      </c>
      <c r="N273" s="171">
        <v>0</v>
      </c>
      <c r="O273" s="171">
        <v>0</v>
      </c>
      <c r="P273" s="25"/>
      <c r="Q273" s="25"/>
    </row>
    <row r="274" spans="1:17" ht="15.75">
      <c r="A274" s="220"/>
      <c r="B274" s="222"/>
      <c r="C274" s="174" t="s">
        <v>278</v>
      </c>
      <c r="D274" s="169">
        <v>80.7</v>
      </c>
      <c r="E274" s="169">
        <v>80.7</v>
      </c>
      <c r="F274" s="169">
        <v>6</v>
      </c>
      <c r="G274" s="169">
        <v>0</v>
      </c>
      <c r="H274" s="169">
        <v>0</v>
      </c>
      <c r="I274" s="169">
        <v>0</v>
      </c>
      <c r="J274" s="169">
        <v>0</v>
      </c>
      <c r="K274" s="169">
        <v>0</v>
      </c>
      <c r="L274" s="169">
        <v>0</v>
      </c>
      <c r="M274" s="169">
        <v>0</v>
      </c>
      <c r="N274" s="169">
        <v>0</v>
      </c>
      <c r="O274" s="169">
        <v>0</v>
      </c>
      <c r="P274" s="168"/>
      <c r="Q274" s="168"/>
    </row>
    <row r="275" spans="1:17" ht="15.75">
      <c r="A275" s="183"/>
      <c r="B275" s="219"/>
      <c r="C275" s="174" t="s">
        <v>268</v>
      </c>
      <c r="D275" s="169">
        <v>707.3</v>
      </c>
      <c r="E275" s="169">
        <v>681.6</v>
      </c>
      <c r="F275" s="169">
        <v>428.8</v>
      </c>
      <c r="G275" s="169">
        <v>25.7</v>
      </c>
      <c r="H275" s="169">
        <v>453.7</v>
      </c>
      <c r="I275" s="169">
        <v>428</v>
      </c>
      <c r="J275" s="169">
        <v>178.8</v>
      </c>
      <c r="K275" s="169">
        <v>25.7</v>
      </c>
      <c r="L275" s="169">
        <v>174.6</v>
      </c>
      <c r="M275" s="169">
        <v>161.1</v>
      </c>
      <c r="N275" s="169">
        <v>103.3</v>
      </c>
      <c r="O275" s="169">
        <v>13.5</v>
      </c>
      <c r="P275" s="168"/>
      <c r="Q275" s="168"/>
    </row>
    <row r="276" spans="1:17" ht="15.95" customHeight="1">
      <c r="A276" s="223" t="s">
        <v>82</v>
      </c>
      <c r="B276" s="224"/>
      <c r="C276" s="225"/>
      <c r="D276" s="172">
        <f t="shared" ref="D276:O276" si="48">SUBTOTAL(9,D10:D275)</f>
        <v>176606.30000000002</v>
      </c>
      <c r="E276" s="172">
        <f t="shared" si="48"/>
        <v>129655.8</v>
      </c>
      <c r="F276" s="172">
        <f t="shared" si="48"/>
        <v>75419.200000000012</v>
      </c>
      <c r="G276" s="172">
        <f t="shared" si="48"/>
        <v>46950.500000000007</v>
      </c>
      <c r="H276" s="172">
        <f t="shared" si="48"/>
        <v>145785.20000000007</v>
      </c>
      <c r="I276" s="172">
        <f t="shared" si="48"/>
        <v>103793.90000000004</v>
      </c>
      <c r="J276" s="172">
        <f t="shared" si="48"/>
        <v>58108.4</v>
      </c>
      <c r="K276" s="172">
        <f t="shared" si="48"/>
        <v>41991.3</v>
      </c>
      <c r="L276" s="172">
        <f t="shared" si="48"/>
        <v>110773.20000000003</v>
      </c>
      <c r="M276" s="172">
        <f t="shared" si="48"/>
        <v>84500.700000000026</v>
      </c>
      <c r="N276" s="172">
        <f t="shared" si="48"/>
        <v>50123.69999999999</v>
      </c>
      <c r="O276" s="172">
        <f t="shared" si="48"/>
        <v>26272.500000000007</v>
      </c>
      <c r="P276" s="168">
        <f t="shared" ref="P276" si="49">SUM(L276/D276*100)</f>
        <v>62.723243734793165</v>
      </c>
      <c r="Q276" s="168">
        <f t="shared" ref="Q276" si="50">SUM(L276/H276*100)</f>
        <v>75.983844724978923</v>
      </c>
    </row>
    <row r="279" spans="1:17">
      <c r="G279" s="177"/>
      <c r="H279" s="177"/>
      <c r="I279" s="177"/>
    </row>
  </sheetData>
  <sheetProtection selectLockedCells="1"/>
  <mergeCells count="163">
    <mergeCell ref="A3:O3"/>
    <mergeCell ref="B45:B52"/>
    <mergeCell ref="B11:B17"/>
    <mergeCell ref="B18:B23"/>
    <mergeCell ref="B24:B33"/>
    <mergeCell ref="B34:B37"/>
    <mergeCell ref="B38:B44"/>
    <mergeCell ref="B54:B57"/>
    <mergeCell ref="B58:B65"/>
    <mergeCell ref="A4:M4"/>
    <mergeCell ref="A5:A8"/>
    <mergeCell ref="B5:B8"/>
    <mergeCell ref="C5:C8"/>
    <mergeCell ref="D5:G5"/>
    <mergeCell ref="H5:K5"/>
    <mergeCell ref="L5:O5"/>
    <mergeCell ref="G7:G8"/>
    <mergeCell ref="P5:Q5"/>
    <mergeCell ref="D6:D8"/>
    <mergeCell ref="E6:G6"/>
    <mergeCell ref="H6:H8"/>
    <mergeCell ref="I6:K6"/>
    <mergeCell ref="L6:L8"/>
    <mergeCell ref="M6:O6"/>
    <mergeCell ref="P6:P8"/>
    <mergeCell ref="Q6:Q8"/>
    <mergeCell ref="E7:F7"/>
    <mergeCell ref="I7:J7"/>
    <mergeCell ref="K7:K8"/>
    <mergeCell ref="M7:N7"/>
    <mergeCell ref="O7:O8"/>
    <mergeCell ref="A102:A106"/>
    <mergeCell ref="B102:B106"/>
    <mergeCell ref="A108:A112"/>
    <mergeCell ref="B108:B112"/>
    <mergeCell ref="A114:A118"/>
    <mergeCell ref="B114:B118"/>
    <mergeCell ref="A120:A123"/>
    <mergeCell ref="B120:B123"/>
    <mergeCell ref="A67:A70"/>
    <mergeCell ref="B67:B69"/>
    <mergeCell ref="A125:A129"/>
    <mergeCell ref="B125:B128"/>
    <mergeCell ref="A190:A193"/>
    <mergeCell ref="B190:B193"/>
    <mergeCell ref="A131:A134"/>
    <mergeCell ref="B131:B134"/>
    <mergeCell ref="A136:A139"/>
    <mergeCell ref="B136:B139"/>
    <mergeCell ref="A141:A145"/>
    <mergeCell ref="B141:B145"/>
    <mergeCell ref="A147:A151"/>
    <mergeCell ref="B147:B151"/>
    <mergeCell ref="A153:A157"/>
    <mergeCell ref="B153:B157"/>
    <mergeCell ref="A159:A160"/>
    <mergeCell ref="B159:B160"/>
    <mergeCell ref="A162:A165"/>
    <mergeCell ref="B163:B165"/>
    <mergeCell ref="A167:A169"/>
    <mergeCell ref="B167:B169"/>
    <mergeCell ref="A175:A177"/>
    <mergeCell ref="B175:B177"/>
    <mergeCell ref="A179:A183"/>
    <mergeCell ref="B179:B183"/>
    <mergeCell ref="A209:A210"/>
    <mergeCell ref="B209:B210"/>
    <mergeCell ref="A212:A213"/>
    <mergeCell ref="B212:B213"/>
    <mergeCell ref="A215:A219"/>
    <mergeCell ref="B215:B217"/>
    <mergeCell ref="A221:A226"/>
    <mergeCell ref="B221:B225"/>
    <mergeCell ref="A228:A230"/>
    <mergeCell ref="B228:B230"/>
    <mergeCell ref="B273:B275"/>
    <mergeCell ref="A276:C276"/>
    <mergeCell ref="P1:Q1"/>
    <mergeCell ref="A72:A76"/>
    <mergeCell ref="B72:B76"/>
    <mergeCell ref="A78:A82"/>
    <mergeCell ref="B78:B82"/>
    <mergeCell ref="A84:A88"/>
    <mergeCell ref="B84:B88"/>
    <mergeCell ref="A90:A94"/>
    <mergeCell ref="B90:B93"/>
    <mergeCell ref="A96:A100"/>
    <mergeCell ref="B96:B100"/>
    <mergeCell ref="A245:A246"/>
    <mergeCell ref="B245:B246"/>
    <mergeCell ref="A250:A253"/>
    <mergeCell ref="B251:B253"/>
    <mergeCell ref="A255:A259"/>
    <mergeCell ref="B255:B258"/>
    <mergeCell ref="A261:A264"/>
    <mergeCell ref="B261:B264"/>
    <mergeCell ref="A268:A269"/>
    <mergeCell ref="B268:B269"/>
    <mergeCell ref="A185:A188"/>
    <mergeCell ref="A273:A275"/>
    <mergeCell ref="A10:B10"/>
    <mergeCell ref="A11:A65"/>
    <mergeCell ref="A66:B66"/>
    <mergeCell ref="A71:B71"/>
    <mergeCell ref="A77:B77"/>
    <mergeCell ref="A83:B83"/>
    <mergeCell ref="A89:B89"/>
    <mergeCell ref="A95:B95"/>
    <mergeCell ref="A101:B101"/>
    <mergeCell ref="A107:B107"/>
    <mergeCell ref="A113:B113"/>
    <mergeCell ref="A119:B119"/>
    <mergeCell ref="A124:B124"/>
    <mergeCell ref="A130:B130"/>
    <mergeCell ref="A135:B135"/>
    <mergeCell ref="A140:B140"/>
    <mergeCell ref="A146:B146"/>
    <mergeCell ref="A152:B152"/>
    <mergeCell ref="A158:B158"/>
    <mergeCell ref="A166:B166"/>
    <mergeCell ref="A170:B170"/>
    <mergeCell ref="A161:C161"/>
    <mergeCell ref="B239:B240"/>
    <mergeCell ref="A172:C172"/>
    <mergeCell ref="A174:B174"/>
    <mergeCell ref="A184:B184"/>
    <mergeCell ref="A178:B178"/>
    <mergeCell ref="A189:B189"/>
    <mergeCell ref="A194:B194"/>
    <mergeCell ref="A200:B200"/>
    <mergeCell ref="A205:B205"/>
    <mergeCell ref="A208:B208"/>
    <mergeCell ref="B185:B188"/>
    <mergeCell ref="A195:A199"/>
    <mergeCell ref="B195:B198"/>
    <mergeCell ref="A201:A204"/>
    <mergeCell ref="B201:B204"/>
    <mergeCell ref="A206:A207"/>
    <mergeCell ref="B206:B207"/>
    <mergeCell ref="P4:Q4"/>
    <mergeCell ref="A247:B247"/>
    <mergeCell ref="A249:B249"/>
    <mergeCell ref="A254:B254"/>
    <mergeCell ref="A260:B260"/>
    <mergeCell ref="A265:B265"/>
    <mergeCell ref="A267:B267"/>
    <mergeCell ref="A270:B270"/>
    <mergeCell ref="A272:B272"/>
    <mergeCell ref="A211:B211"/>
    <mergeCell ref="A214:B214"/>
    <mergeCell ref="A220:B220"/>
    <mergeCell ref="A227:B227"/>
    <mergeCell ref="A231:B231"/>
    <mergeCell ref="A234:B234"/>
    <mergeCell ref="A237:B237"/>
    <mergeCell ref="A241:B241"/>
    <mergeCell ref="A244:B244"/>
    <mergeCell ref="B242:B243"/>
    <mergeCell ref="A232:A233"/>
    <mergeCell ref="B232:B233"/>
    <mergeCell ref="A235:A236"/>
    <mergeCell ref="B235:B236"/>
    <mergeCell ref="A238:A240"/>
  </mergeCells>
  <conditionalFormatting sqref="D276">
    <cfRule type="cellIs" dxfId="3" priority="1" stopIfTrue="1" operator="equal">
      <formula>0</formula>
    </cfRule>
  </conditionalFormatting>
  <conditionalFormatting sqref="H276 L276">
    <cfRule type="cellIs" dxfId="2" priority="2" stopIfTrue="1" operator="equal">
      <formula>0</formula>
    </cfRule>
  </conditionalFormatting>
  <pageMargins left="0" right="0" top="0.78740157480314965" bottom="0.39370078740157483" header="0" footer="0"/>
  <pageSetup paperSize="9" scale="90" fitToHeight="0" orientation="landscape" horizontalDpi="300" verticalDpi="300" r:id="rId1"/>
  <headerFooter differentFirst="1"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1"/>
  <sheetViews>
    <sheetView showZeros="0" topLeftCell="B1" zoomScaleNormal="100" workbookViewId="0">
      <selection activeCell="B1" sqref="B1"/>
    </sheetView>
  </sheetViews>
  <sheetFormatPr defaultColWidth="8.85546875" defaultRowHeight="12"/>
  <cols>
    <col min="1" max="1" width="8" style="160" customWidth="1"/>
    <col min="2" max="2" width="24.28515625" style="160" customWidth="1"/>
    <col min="3" max="3" width="12" style="160" customWidth="1"/>
    <col min="4" max="4" width="11.7109375" style="160" customWidth="1"/>
    <col min="5" max="5" width="13" style="160" customWidth="1"/>
    <col min="6" max="6" width="12.140625" style="160" customWidth="1"/>
    <col min="7" max="7" width="12.28515625" style="160" customWidth="1"/>
    <col min="8" max="8" width="11.7109375" style="160" customWidth="1"/>
    <col min="9" max="9" width="13" style="160" customWidth="1"/>
    <col min="10" max="10" width="12.28515625" style="160" customWidth="1"/>
    <col min="11" max="11" width="11.28515625" style="160" customWidth="1"/>
    <col min="12" max="12" width="12.42578125" style="160" customWidth="1"/>
    <col min="13" max="13" width="13.7109375" style="160" customWidth="1"/>
    <col min="14" max="14" width="9.85546875" style="160" bestFit="1" customWidth="1"/>
    <col min="15" max="16" width="9" style="160" bestFit="1" customWidth="1"/>
    <col min="17" max="16384" width="8.85546875" style="160"/>
  </cols>
  <sheetData>
    <row r="1" spans="1:16" ht="15">
      <c r="O1" s="186" t="s">
        <v>313</v>
      </c>
      <c r="P1" s="186"/>
    </row>
    <row r="2" spans="1:16" ht="15.75">
      <c r="A2" s="180" t="s">
        <v>344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16" ht="15.75">
      <c r="A3" s="88"/>
      <c r="B3" s="88"/>
      <c r="C3" s="88"/>
      <c r="D3" s="88"/>
      <c r="E3" s="88"/>
      <c r="F3" s="88"/>
      <c r="G3" s="88"/>
      <c r="H3" s="88"/>
      <c r="I3" s="122"/>
      <c r="J3" s="122"/>
      <c r="K3" s="178"/>
      <c r="L3" s="178"/>
      <c r="M3" s="178"/>
      <c r="N3" s="178"/>
      <c r="O3" s="10"/>
      <c r="P3" s="10"/>
    </row>
    <row r="4" spans="1:16" ht="15.75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122"/>
      <c r="N4" s="10"/>
      <c r="O4" s="215" t="s">
        <v>368</v>
      </c>
      <c r="P4" s="215"/>
    </row>
    <row r="5" spans="1:16" ht="15" customHeight="1">
      <c r="A5" s="230" t="s">
        <v>295</v>
      </c>
      <c r="B5" s="230" t="s">
        <v>366</v>
      </c>
      <c r="C5" s="230" t="s">
        <v>152</v>
      </c>
      <c r="D5" s="230"/>
      <c r="E5" s="230"/>
      <c r="F5" s="230"/>
      <c r="G5" s="230" t="s">
        <v>329</v>
      </c>
      <c r="H5" s="230"/>
      <c r="I5" s="230"/>
      <c r="J5" s="230"/>
      <c r="K5" s="230" t="s">
        <v>257</v>
      </c>
      <c r="L5" s="230"/>
      <c r="M5" s="230"/>
      <c r="N5" s="230"/>
      <c r="O5" s="236" t="s">
        <v>258</v>
      </c>
      <c r="P5" s="236"/>
    </row>
    <row r="6" spans="1:16" ht="15" customHeight="1">
      <c r="A6" s="230"/>
      <c r="B6" s="230"/>
      <c r="C6" s="230" t="s">
        <v>259</v>
      </c>
      <c r="D6" s="230" t="s">
        <v>260</v>
      </c>
      <c r="E6" s="230"/>
      <c r="F6" s="230"/>
      <c r="G6" s="230" t="s">
        <v>259</v>
      </c>
      <c r="H6" s="230" t="s">
        <v>260</v>
      </c>
      <c r="I6" s="230"/>
      <c r="J6" s="230"/>
      <c r="K6" s="230" t="s">
        <v>259</v>
      </c>
      <c r="L6" s="230" t="s">
        <v>260</v>
      </c>
      <c r="M6" s="230"/>
      <c r="N6" s="230"/>
      <c r="O6" s="235" t="s">
        <v>369</v>
      </c>
      <c r="P6" s="235" t="s">
        <v>370</v>
      </c>
    </row>
    <row r="7" spans="1:16" ht="25.15" customHeight="1">
      <c r="A7" s="230"/>
      <c r="B7" s="230"/>
      <c r="C7" s="230"/>
      <c r="D7" s="230" t="s">
        <v>261</v>
      </c>
      <c r="E7" s="230"/>
      <c r="F7" s="230" t="s">
        <v>262</v>
      </c>
      <c r="G7" s="230"/>
      <c r="H7" s="230" t="s">
        <v>261</v>
      </c>
      <c r="I7" s="230"/>
      <c r="J7" s="230" t="s">
        <v>262</v>
      </c>
      <c r="K7" s="230"/>
      <c r="L7" s="230" t="s">
        <v>261</v>
      </c>
      <c r="M7" s="230"/>
      <c r="N7" s="230" t="s">
        <v>262</v>
      </c>
      <c r="O7" s="235"/>
      <c r="P7" s="235"/>
    </row>
    <row r="8" spans="1:16" ht="49.15" customHeight="1">
      <c r="A8" s="230"/>
      <c r="B8" s="230"/>
      <c r="C8" s="230"/>
      <c r="D8" s="15" t="s">
        <v>259</v>
      </c>
      <c r="E8" s="15" t="s">
        <v>263</v>
      </c>
      <c r="F8" s="230"/>
      <c r="G8" s="230"/>
      <c r="H8" s="15" t="s">
        <v>259</v>
      </c>
      <c r="I8" s="15" t="s">
        <v>263</v>
      </c>
      <c r="J8" s="230"/>
      <c r="K8" s="230"/>
      <c r="L8" s="15" t="s">
        <v>259</v>
      </c>
      <c r="M8" s="15" t="s">
        <v>263</v>
      </c>
      <c r="N8" s="230"/>
      <c r="O8" s="235"/>
      <c r="P8" s="235"/>
    </row>
    <row r="9" spans="1:16" ht="18.600000000000001" customHeight="1">
      <c r="A9" s="164">
        <v>1</v>
      </c>
      <c r="B9" s="165">
        <v>2</v>
      </c>
      <c r="C9" s="165">
        <v>3</v>
      </c>
      <c r="D9" s="165">
        <v>4</v>
      </c>
      <c r="E9" s="165">
        <v>5</v>
      </c>
      <c r="F9" s="165">
        <v>6</v>
      </c>
      <c r="G9" s="165">
        <v>7</v>
      </c>
      <c r="H9" s="165">
        <v>8</v>
      </c>
      <c r="I9" s="165">
        <v>9</v>
      </c>
      <c r="J9" s="165">
        <v>10</v>
      </c>
      <c r="K9" s="165">
        <v>11</v>
      </c>
      <c r="L9" s="165">
        <v>12</v>
      </c>
      <c r="M9" s="165">
        <v>13</v>
      </c>
      <c r="N9" s="165">
        <v>16</v>
      </c>
      <c r="O9" s="165">
        <v>17</v>
      </c>
      <c r="P9" s="165">
        <v>18</v>
      </c>
    </row>
    <row r="10" spans="1:16" ht="33.6" customHeight="1">
      <c r="A10" s="179" t="s">
        <v>296</v>
      </c>
      <c r="B10" s="179" t="s">
        <v>297</v>
      </c>
      <c r="C10" s="169">
        <v>72205.5</v>
      </c>
      <c r="D10" s="169">
        <v>65440.5</v>
      </c>
      <c r="E10" s="169">
        <v>47182.9</v>
      </c>
      <c r="F10" s="169">
        <v>6765</v>
      </c>
      <c r="G10" s="169">
        <v>56288</v>
      </c>
      <c r="H10" s="169">
        <v>51154.6</v>
      </c>
      <c r="I10" s="169">
        <v>36214.1</v>
      </c>
      <c r="J10" s="169">
        <v>5133.3999999999996</v>
      </c>
      <c r="K10" s="169">
        <v>44406.3</v>
      </c>
      <c r="L10" s="169">
        <v>42130.3</v>
      </c>
      <c r="M10" s="169">
        <v>30584.2</v>
      </c>
      <c r="N10" s="169">
        <v>2276</v>
      </c>
      <c r="O10" s="168">
        <f>SUM(K10/C10*100)</f>
        <v>61.499885742775831</v>
      </c>
      <c r="P10" s="168">
        <f>SUM(K10/G10*100)</f>
        <v>78.891237919272314</v>
      </c>
    </row>
    <row r="11" spans="1:16" ht="45">
      <c r="A11" s="179" t="s">
        <v>298</v>
      </c>
      <c r="B11" s="179" t="s">
        <v>299</v>
      </c>
      <c r="C11" s="169">
        <v>4844.7</v>
      </c>
      <c r="D11" s="169">
        <v>1733.1</v>
      </c>
      <c r="E11" s="169">
        <v>245.3</v>
      </c>
      <c r="F11" s="169">
        <v>3111.6</v>
      </c>
      <c r="G11" s="169">
        <v>4329.2</v>
      </c>
      <c r="H11" s="169">
        <v>1535.6</v>
      </c>
      <c r="I11" s="169">
        <v>184.3</v>
      </c>
      <c r="J11" s="169">
        <v>2793.6</v>
      </c>
      <c r="K11" s="169">
        <v>1894.8</v>
      </c>
      <c r="L11" s="169">
        <v>939.3</v>
      </c>
      <c r="M11" s="169">
        <v>149.4</v>
      </c>
      <c r="N11" s="169">
        <v>955.5</v>
      </c>
      <c r="O11" s="168">
        <f t="shared" ref="O11:O19" si="0">SUM(K11/C11*100)</f>
        <v>39.110780853303609</v>
      </c>
      <c r="P11" s="168">
        <f t="shared" ref="P11:P19" si="1">SUM(K11/G11*100)</f>
        <v>43.767901690843573</v>
      </c>
    </row>
    <row r="12" spans="1:16" ht="30">
      <c r="A12" s="179" t="s">
        <v>300</v>
      </c>
      <c r="B12" s="179" t="s">
        <v>301</v>
      </c>
      <c r="C12" s="169">
        <v>6902.9</v>
      </c>
      <c r="D12" s="169">
        <v>6084</v>
      </c>
      <c r="E12" s="169">
        <v>1195</v>
      </c>
      <c r="F12" s="169">
        <v>818.9</v>
      </c>
      <c r="G12" s="169">
        <v>5613.2</v>
      </c>
      <c r="H12" s="169">
        <v>4854.3</v>
      </c>
      <c r="I12" s="169">
        <v>945</v>
      </c>
      <c r="J12" s="169">
        <v>758.9</v>
      </c>
      <c r="K12" s="169">
        <v>4423.8999999999996</v>
      </c>
      <c r="L12" s="169">
        <v>3986.2</v>
      </c>
      <c r="M12" s="169">
        <v>735.7</v>
      </c>
      <c r="N12" s="169">
        <v>437.7</v>
      </c>
      <c r="O12" s="168">
        <f t="shared" si="0"/>
        <v>64.087557403410159</v>
      </c>
      <c r="P12" s="168">
        <f t="shared" si="1"/>
        <v>78.812442100762482</v>
      </c>
    </row>
    <row r="13" spans="1:16" ht="30">
      <c r="A13" s="179" t="s">
        <v>302</v>
      </c>
      <c r="B13" s="179" t="s">
        <v>303</v>
      </c>
      <c r="C13" s="169">
        <v>4740.5</v>
      </c>
      <c r="D13" s="169">
        <v>3291.2</v>
      </c>
      <c r="E13" s="169">
        <v>1573.4</v>
      </c>
      <c r="F13" s="169">
        <v>1449.3</v>
      </c>
      <c r="G13" s="169">
        <v>4038.3</v>
      </c>
      <c r="H13" s="169">
        <v>2590</v>
      </c>
      <c r="I13" s="169">
        <v>1173</v>
      </c>
      <c r="J13" s="169">
        <v>1448.3</v>
      </c>
      <c r="K13" s="169">
        <v>2296.3000000000002</v>
      </c>
      <c r="L13" s="169">
        <v>1750.5</v>
      </c>
      <c r="M13" s="169">
        <v>945.3</v>
      </c>
      <c r="N13" s="169">
        <v>545.79999999999995</v>
      </c>
      <c r="O13" s="168">
        <f t="shared" si="0"/>
        <v>48.440037970678205</v>
      </c>
      <c r="P13" s="168">
        <f t="shared" si="1"/>
        <v>56.863036426218962</v>
      </c>
    </row>
    <row r="14" spans="1:16" ht="30">
      <c r="A14" s="179" t="s">
        <v>304</v>
      </c>
      <c r="B14" s="179" t="s">
        <v>305</v>
      </c>
      <c r="C14" s="169">
        <v>20538.2</v>
      </c>
      <c r="D14" s="169">
        <v>18844.2</v>
      </c>
      <c r="E14" s="169">
        <v>6684.4</v>
      </c>
      <c r="F14" s="169">
        <v>1694</v>
      </c>
      <c r="G14" s="169">
        <v>17013.099999999999</v>
      </c>
      <c r="H14" s="169">
        <v>15697.4</v>
      </c>
      <c r="I14" s="169">
        <v>5166.8</v>
      </c>
      <c r="J14" s="169">
        <v>1315.7</v>
      </c>
      <c r="K14" s="169">
        <v>13090.9</v>
      </c>
      <c r="L14" s="169">
        <v>12914.8</v>
      </c>
      <c r="M14" s="169">
        <v>4685.8999999999996</v>
      </c>
      <c r="N14" s="169">
        <v>176.1</v>
      </c>
      <c r="O14" s="168">
        <f t="shared" si="0"/>
        <v>63.739276080669185</v>
      </c>
      <c r="P14" s="168">
        <f t="shared" si="1"/>
        <v>76.946000434958947</v>
      </c>
    </row>
    <row r="15" spans="1:16" ht="59.45" customHeight="1">
      <c r="A15" s="179" t="s">
        <v>306</v>
      </c>
      <c r="B15" s="179" t="s">
        <v>307</v>
      </c>
      <c r="C15" s="169">
        <v>19450.400000000001</v>
      </c>
      <c r="D15" s="169">
        <v>6558.9</v>
      </c>
      <c r="E15" s="169">
        <v>0</v>
      </c>
      <c r="F15" s="169">
        <v>12891.5</v>
      </c>
      <c r="G15" s="169">
        <v>17443</v>
      </c>
      <c r="H15" s="169">
        <v>6005.9</v>
      </c>
      <c r="I15" s="169">
        <v>0</v>
      </c>
      <c r="J15" s="169">
        <v>11437.1</v>
      </c>
      <c r="K15" s="169">
        <v>10791.2</v>
      </c>
      <c r="L15" s="169">
        <v>4726</v>
      </c>
      <c r="M15" s="169">
        <v>0</v>
      </c>
      <c r="N15" s="169">
        <v>6065.2</v>
      </c>
      <c r="O15" s="168">
        <f t="shared" si="0"/>
        <v>55.480607082630698</v>
      </c>
      <c r="P15" s="168">
        <f t="shared" si="1"/>
        <v>61.865504787020583</v>
      </c>
    </row>
    <row r="16" spans="1:16" ht="45">
      <c r="A16" s="179" t="s">
        <v>308</v>
      </c>
      <c r="B16" s="179" t="s">
        <v>343</v>
      </c>
      <c r="C16" s="169">
        <v>9944.6</v>
      </c>
      <c r="D16" s="169">
        <v>6907.3</v>
      </c>
      <c r="E16" s="169">
        <v>4661.8999999999996</v>
      </c>
      <c r="F16" s="169">
        <v>3037.3</v>
      </c>
      <c r="G16" s="169">
        <v>8480.2000000000007</v>
      </c>
      <c r="H16" s="169">
        <v>5464.6</v>
      </c>
      <c r="I16" s="169">
        <v>3574.4</v>
      </c>
      <c r="J16" s="169">
        <v>3015.6</v>
      </c>
      <c r="K16" s="169">
        <v>7024.1</v>
      </c>
      <c r="L16" s="169">
        <v>4630.6000000000004</v>
      </c>
      <c r="M16" s="169">
        <v>3300</v>
      </c>
      <c r="N16" s="169">
        <v>2393.5</v>
      </c>
      <c r="O16" s="168">
        <f t="shared" si="0"/>
        <v>70.632302958389488</v>
      </c>
      <c r="P16" s="168">
        <f t="shared" si="1"/>
        <v>82.829414400603753</v>
      </c>
    </row>
    <row r="17" spans="1:16" ht="30">
      <c r="A17" s="179" t="s">
        <v>309</v>
      </c>
      <c r="B17" s="179" t="s">
        <v>310</v>
      </c>
      <c r="C17" s="169">
        <v>15018.7</v>
      </c>
      <c r="D17" s="169">
        <v>3442</v>
      </c>
      <c r="E17" s="169">
        <v>1481.9</v>
      </c>
      <c r="F17" s="169">
        <v>11576.7</v>
      </c>
      <c r="G17" s="169">
        <v>14152.8</v>
      </c>
      <c r="H17" s="169">
        <v>2676.1</v>
      </c>
      <c r="I17" s="169">
        <v>1031.0999999999999</v>
      </c>
      <c r="J17" s="169">
        <v>11476.7</v>
      </c>
      <c r="K17" s="169">
        <v>13239.7</v>
      </c>
      <c r="L17" s="169">
        <v>2103.4</v>
      </c>
      <c r="M17" s="169">
        <v>897.5</v>
      </c>
      <c r="N17" s="169">
        <v>11136.3</v>
      </c>
      <c r="O17" s="168">
        <f t="shared" si="0"/>
        <v>88.154767057068852</v>
      </c>
      <c r="P17" s="168">
        <f t="shared" si="1"/>
        <v>93.548273133231589</v>
      </c>
    </row>
    <row r="18" spans="1:16" ht="48" customHeight="1">
      <c r="A18" s="179" t="s">
        <v>311</v>
      </c>
      <c r="B18" s="179" t="s">
        <v>365</v>
      </c>
      <c r="C18" s="169">
        <v>22960.799999999999</v>
      </c>
      <c r="D18" s="169">
        <v>17354.599999999999</v>
      </c>
      <c r="E18" s="169">
        <v>12394.4</v>
      </c>
      <c r="F18" s="169">
        <v>5606.2</v>
      </c>
      <c r="G18" s="169">
        <v>18427.400000000001</v>
      </c>
      <c r="H18" s="169">
        <v>13815.4</v>
      </c>
      <c r="I18" s="169">
        <v>9819.7000000000007</v>
      </c>
      <c r="J18" s="169">
        <v>4612</v>
      </c>
      <c r="K18" s="169">
        <v>13606</v>
      </c>
      <c r="L18" s="169">
        <v>11319.6</v>
      </c>
      <c r="M18" s="169">
        <v>8825.7000000000007</v>
      </c>
      <c r="N18" s="169">
        <v>2286.4</v>
      </c>
      <c r="O18" s="168">
        <f t="shared" si="0"/>
        <v>59.257517159680852</v>
      </c>
      <c r="P18" s="168">
        <f t="shared" si="1"/>
        <v>73.83570118410627</v>
      </c>
    </row>
    <row r="19" spans="1:16" ht="21" customHeight="1">
      <c r="A19" s="234" t="s">
        <v>82</v>
      </c>
      <c r="B19" s="234"/>
      <c r="C19" s="172">
        <f t="shared" ref="C19:N19" si="2">SUBTOTAL(9,C10:C18)</f>
        <v>176606.3</v>
      </c>
      <c r="D19" s="172">
        <f t="shared" si="2"/>
        <v>129655.79999999999</v>
      </c>
      <c r="E19" s="172">
        <f t="shared" si="2"/>
        <v>75419.200000000012</v>
      </c>
      <c r="F19" s="172">
        <f t="shared" si="2"/>
        <v>46950.5</v>
      </c>
      <c r="G19" s="172">
        <f t="shared" si="2"/>
        <v>145785.19999999998</v>
      </c>
      <c r="H19" s="172">
        <f t="shared" si="2"/>
        <v>103793.9</v>
      </c>
      <c r="I19" s="172">
        <f t="shared" si="2"/>
        <v>58108.400000000009</v>
      </c>
      <c r="J19" s="172">
        <f t="shared" si="2"/>
        <v>41991.3</v>
      </c>
      <c r="K19" s="172">
        <f t="shared" si="2"/>
        <v>110773.20000000001</v>
      </c>
      <c r="L19" s="172">
        <f t="shared" si="2"/>
        <v>84500.700000000012</v>
      </c>
      <c r="M19" s="172">
        <f t="shared" si="2"/>
        <v>50123.7</v>
      </c>
      <c r="N19" s="172">
        <f t="shared" si="2"/>
        <v>26272.5</v>
      </c>
      <c r="O19" s="168">
        <f t="shared" si="0"/>
        <v>62.723243734793165</v>
      </c>
      <c r="P19" s="168">
        <f t="shared" si="1"/>
        <v>75.983844724978951</v>
      </c>
    </row>
    <row r="20" spans="1:16" ht="1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15">
      <c r="A21" s="10"/>
      <c r="B21" s="10"/>
      <c r="C21" s="10"/>
      <c r="D21" s="10"/>
      <c r="E21" s="10"/>
      <c r="F21" s="20"/>
      <c r="G21" s="20"/>
      <c r="H21" s="20"/>
      <c r="I21" s="10"/>
      <c r="J21" s="10"/>
      <c r="K21" s="10"/>
      <c r="L21" s="10"/>
      <c r="M21" s="10"/>
      <c r="N21" s="10"/>
      <c r="O21" s="10"/>
      <c r="P21" s="10"/>
    </row>
  </sheetData>
  <sheetProtection selectLockedCells="1"/>
  <mergeCells count="25">
    <mergeCell ref="G5:J5"/>
    <mergeCell ref="K5:N5"/>
    <mergeCell ref="O5:P5"/>
    <mergeCell ref="C6:C8"/>
    <mergeCell ref="D6:F6"/>
    <mergeCell ref="N7:N8"/>
    <mergeCell ref="G6:G8"/>
    <mergeCell ref="H6:J6"/>
    <mergeCell ref="K6:K8"/>
    <mergeCell ref="A19:B19"/>
    <mergeCell ref="O4:P4"/>
    <mergeCell ref="O1:P1"/>
    <mergeCell ref="L6:N6"/>
    <mergeCell ref="D7:E7"/>
    <mergeCell ref="F7:F8"/>
    <mergeCell ref="H7:I7"/>
    <mergeCell ref="J7:J8"/>
    <mergeCell ref="L7:M7"/>
    <mergeCell ref="O6:O8"/>
    <mergeCell ref="P6:P8"/>
    <mergeCell ref="A2:O2"/>
    <mergeCell ref="A4:L4"/>
    <mergeCell ref="A5:A8"/>
    <mergeCell ref="B5:B8"/>
    <mergeCell ref="C5:F5"/>
  </mergeCells>
  <conditionalFormatting sqref="C19">
    <cfRule type="cellIs" dxfId="1" priority="1" stopIfTrue="1" operator="equal">
      <formula>0</formula>
    </cfRule>
  </conditionalFormatting>
  <conditionalFormatting sqref="G19 K19">
    <cfRule type="cellIs" dxfId="0" priority="2" stopIfTrue="1" operator="equal">
      <formula>0</formula>
    </cfRule>
  </conditionalFormatting>
  <printOptions horizontalCentered="1"/>
  <pageMargins left="0" right="0" top="0.39370078740157483" bottom="0" header="0" footer="0"/>
  <pageSetup paperSize="9" scale="76" fitToHeight="0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3"/>
  <sheetViews>
    <sheetView zoomScaleNormal="100" workbookViewId="0"/>
  </sheetViews>
  <sheetFormatPr defaultRowHeight="12.75"/>
  <cols>
    <col min="1" max="1" width="5.7109375" customWidth="1"/>
    <col min="2" max="2" width="32.42578125" customWidth="1"/>
    <col min="3" max="3" width="9.5703125" bestFit="1" customWidth="1"/>
    <col min="4" max="4" width="11.85546875" customWidth="1"/>
    <col min="5" max="5" width="10.5703125" bestFit="1" customWidth="1"/>
    <col min="6" max="6" width="11.42578125" customWidth="1"/>
    <col min="7" max="7" width="10.5703125" bestFit="1" customWidth="1"/>
    <col min="8" max="8" width="11.85546875" customWidth="1"/>
    <col min="9" max="9" width="11.28515625" customWidth="1"/>
    <col min="10" max="10" width="11.42578125" customWidth="1"/>
    <col min="12" max="12" width="9.5703125" bestFit="1" customWidth="1"/>
  </cols>
  <sheetData>
    <row r="1" spans="1:13" ht="15">
      <c r="B1" s="10"/>
      <c r="C1" s="10"/>
      <c r="D1" s="10"/>
      <c r="E1" s="10"/>
      <c r="F1" s="10"/>
      <c r="G1" s="10"/>
      <c r="H1" s="10"/>
      <c r="I1" s="10"/>
      <c r="J1" s="11" t="s">
        <v>160</v>
      </c>
    </row>
    <row r="2" spans="1:13" ht="15">
      <c r="B2" s="10"/>
      <c r="C2" s="10"/>
      <c r="D2" s="10"/>
      <c r="E2" s="10"/>
      <c r="F2" s="10"/>
      <c r="G2" s="10"/>
      <c r="H2" s="10"/>
      <c r="I2" s="10"/>
      <c r="J2" s="10"/>
    </row>
    <row r="3" spans="1:13" ht="15.75">
      <c r="A3" s="237" t="s">
        <v>327</v>
      </c>
      <c r="B3" s="237"/>
      <c r="C3" s="237"/>
      <c r="D3" s="237"/>
      <c r="E3" s="237"/>
      <c r="F3" s="237"/>
      <c r="G3" s="237"/>
      <c r="H3" s="237"/>
      <c r="I3" s="237"/>
      <c r="J3" s="237"/>
      <c r="K3" s="4"/>
      <c r="L3" s="4"/>
      <c r="M3" s="4"/>
    </row>
    <row r="4" spans="1:13" ht="15.75">
      <c r="B4" s="12"/>
      <c r="C4" s="12"/>
      <c r="D4" s="12"/>
      <c r="E4" s="12"/>
      <c r="F4" s="12"/>
      <c r="G4" s="12"/>
      <c r="H4" s="12"/>
      <c r="I4" s="12"/>
      <c r="J4" s="12"/>
      <c r="K4" s="5"/>
      <c r="L4" s="5"/>
      <c r="M4" s="5"/>
    </row>
    <row r="5" spans="1:13" ht="15">
      <c r="B5" s="10"/>
      <c r="C5" s="10"/>
      <c r="D5" s="10"/>
      <c r="E5" s="10"/>
      <c r="F5" s="10"/>
      <c r="G5" s="10"/>
      <c r="H5" s="10"/>
      <c r="I5" s="10"/>
      <c r="J5" s="11" t="s">
        <v>151</v>
      </c>
    </row>
    <row r="6" spans="1:13" ht="32.450000000000003" customHeight="1">
      <c r="A6" s="182" t="s">
        <v>216</v>
      </c>
      <c r="B6" s="182" t="s">
        <v>150</v>
      </c>
      <c r="C6" s="182" t="s">
        <v>181</v>
      </c>
      <c r="D6" s="182" t="s">
        <v>112</v>
      </c>
      <c r="E6" s="182" t="s">
        <v>221</v>
      </c>
      <c r="F6" s="182" t="s">
        <v>112</v>
      </c>
      <c r="G6" s="182" t="s">
        <v>249</v>
      </c>
      <c r="H6" s="182" t="s">
        <v>112</v>
      </c>
      <c r="I6" s="187" t="s">
        <v>251</v>
      </c>
      <c r="J6" s="189"/>
      <c r="K6" s="5"/>
      <c r="L6" s="5"/>
    </row>
    <row r="7" spans="1:13" ht="21.75" customHeight="1">
      <c r="A7" s="183"/>
      <c r="B7" s="183"/>
      <c r="C7" s="183"/>
      <c r="D7" s="183"/>
      <c r="E7" s="183"/>
      <c r="F7" s="183"/>
      <c r="G7" s="183"/>
      <c r="H7" s="183"/>
      <c r="I7" s="15" t="s">
        <v>222</v>
      </c>
      <c r="J7" s="73" t="s">
        <v>167</v>
      </c>
      <c r="K7" s="5"/>
      <c r="L7" s="5"/>
    </row>
    <row r="8" spans="1:13" ht="15">
      <c r="A8" s="21">
        <v>1</v>
      </c>
      <c r="B8" s="16" t="s">
        <v>103</v>
      </c>
      <c r="C8" s="34">
        <v>5918.1</v>
      </c>
      <c r="D8" s="34">
        <f>SUM(C8/C20*100)</f>
        <v>7.1003425335484929</v>
      </c>
      <c r="E8" s="34">
        <v>6730.9</v>
      </c>
      <c r="F8" s="34">
        <f>SUM(E8/E20*100)</f>
        <v>6.9123420669144373</v>
      </c>
      <c r="G8" s="34">
        <f>7750-350.8</f>
        <v>7399.2</v>
      </c>
      <c r="H8" s="34">
        <f>SUM(G8/G20*100)</f>
        <v>6.6795939812156728</v>
      </c>
      <c r="I8" s="34">
        <f>SUM(G8-E8)</f>
        <v>668.30000000000018</v>
      </c>
      <c r="J8" s="74">
        <f t="shared" ref="J8:J18" si="0">SUM(G8/E8*100)</f>
        <v>109.92883566833559</v>
      </c>
      <c r="L8" s="6"/>
    </row>
    <row r="9" spans="1:13" ht="30">
      <c r="A9" s="21"/>
      <c r="B9" s="17" t="s">
        <v>236</v>
      </c>
      <c r="C9" s="34">
        <v>1266.4000000000001</v>
      </c>
      <c r="D9" s="34">
        <f>SUM(C9/C20*100)</f>
        <v>1.5193852392635829</v>
      </c>
      <c r="E9" s="34">
        <v>1697</v>
      </c>
      <c r="F9" s="34">
        <f>SUM(E9/E20*100)</f>
        <v>1.7427453219560236</v>
      </c>
      <c r="G9" s="34">
        <f>1435.6+350.8</f>
        <v>1786.3999999999999</v>
      </c>
      <c r="H9" s="34">
        <f>SUM(G9/G20*100)</f>
        <v>1.6126644350799653</v>
      </c>
      <c r="I9" s="34">
        <f t="shared" ref="I9:I18" si="1">SUM(G9-E9)</f>
        <v>89.399999999999864</v>
      </c>
      <c r="J9" s="74">
        <f t="shared" si="0"/>
        <v>105.26812021213907</v>
      </c>
      <c r="L9" s="6"/>
    </row>
    <row r="10" spans="1:13" ht="15">
      <c r="A10" s="21">
        <v>2</v>
      </c>
      <c r="B10" s="16" t="s">
        <v>104</v>
      </c>
      <c r="C10" s="34">
        <v>75</v>
      </c>
      <c r="D10" s="34">
        <f>SUM(C10/C20*100)</f>
        <v>8.9982543386583E-2</v>
      </c>
      <c r="E10" s="34">
        <v>98.4</v>
      </c>
      <c r="F10" s="34">
        <f>SUM(E10/E20*100)</f>
        <v>0.1010525278022821</v>
      </c>
      <c r="G10" s="34">
        <v>994.4</v>
      </c>
      <c r="H10" s="34">
        <f>SUM(G10/G20*100)</f>
        <v>0.89769005499525156</v>
      </c>
      <c r="I10" s="34">
        <f t="shared" si="1"/>
        <v>896</v>
      </c>
      <c r="J10" s="74">
        <f t="shared" si="0"/>
        <v>1010.5691056910568</v>
      </c>
      <c r="L10" s="6"/>
    </row>
    <row r="11" spans="1:13" ht="30">
      <c r="A11" s="21">
        <v>3</v>
      </c>
      <c r="B11" s="17" t="s">
        <v>237</v>
      </c>
      <c r="C11" s="25">
        <v>734.7</v>
      </c>
      <c r="D11" s="34">
        <f>SUM(C11/C20*100)</f>
        <v>0.88146899501496712</v>
      </c>
      <c r="E11" s="25">
        <v>883.6</v>
      </c>
      <c r="F11" s="34">
        <f>SUM(E11/E20*100)</f>
        <v>0.90741883705382598</v>
      </c>
      <c r="G11" s="25">
        <v>960.6</v>
      </c>
      <c r="H11" s="34">
        <f>SUM(G11/G20*100)</f>
        <v>0.86717725948153523</v>
      </c>
      <c r="I11" s="34">
        <f t="shared" si="1"/>
        <v>77</v>
      </c>
      <c r="J11" s="74">
        <f t="shared" si="0"/>
        <v>108.7143503847895</v>
      </c>
      <c r="L11" s="6"/>
    </row>
    <row r="12" spans="1:13" ht="15">
      <c r="A12" s="21">
        <v>4</v>
      </c>
      <c r="B12" s="75" t="s">
        <v>106</v>
      </c>
      <c r="C12" s="42">
        <v>8485.1</v>
      </c>
      <c r="D12" s="34">
        <f>SUM(C12/C20*100)</f>
        <v>10.18014505185994</v>
      </c>
      <c r="E12" s="40">
        <v>11014.7</v>
      </c>
      <c r="F12" s="34">
        <f>SUM(E12/E20*100)</f>
        <v>11.311618678697123</v>
      </c>
      <c r="G12" s="42">
        <v>12757.2</v>
      </c>
      <c r="H12" s="34">
        <f>SUM(G12/G20*100)</f>
        <v>11.51650399194029</v>
      </c>
      <c r="I12" s="34">
        <f t="shared" si="1"/>
        <v>1742.5</v>
      </c>
      <c r="J12" s="74">
        <f t="shared" si="0"/>
        <v>115.81976812804706</v>
      </c>
      <c r="L12" s="6"/>
    </row>
    <row r="13" spans="1:13" ht="15">
      <c r="A13" s="21">
        <v>5</v>
      </c>
      <c r="B13" s="76" t="s">
        <v>107</v>
      </c>
      <c r="C13" s="77">
        <v>5495.1</v>
      </c>
      <c r="D13" s="34">
        <f>SUM(C13/C20*100)</f>
        <v>6.5928409888481641</v>
      </c>
      <c r="E13" s="77">
        <v>4903.3</v>
      </c>
      <c r="F13" s="34">
        <f>SUM(E13/E20*100)</f>
        <v>5.0354762151720518</v>
      </c>
      <c r="G13" s="77">
        <v>4987.3</v>
      </c>
      <c r="H13" s="34">
        <f>SUM(G13/G20*100)</f>
        <v>4.502262280046077</v>
      </c>
      <c r="I13" s="34">
        <f t="shared" si="1"/>
        <v>84</v>
      </c>
      <c r="J13" s="74">
        <f t="shared" si="0"/>
        <v>101.71313197234515</v>
      </c>
      <c r="L13" s="6"/>
    </row>
    <row r="14" spans="1:13" ht="15">
      <c r="A14" s="21">
        <v>6</v>
      </c>
      <c r="B14" s="16" t="s">
        <v>108</v>
      </c>
      <c r="C14" s="25">
        <v>1496.2</v>
      </c>
      <c r="D14" s="34">
        <f>SUM(C14/C20*100)</f>
        <v>1.7950917522000731</v>
      </c>
      <c r="E14" s="25">
        <v>927.6</v>
      </c>
      <c r="F14" s="34">
        <f>SUM(E14/E20*100)</f>
        <v>0.95260492672151298</v>
      </c>
      <c r="G14" s="25">
        <v>501.2</v>
      </c>
      <c r="H14" s="34">
        <f>SUM(G14/G20*100)</f>
        <v>0.45245600921522533</v>
      </c>
      <c r="I14" s="34">
        <f t="shared" si="1"/>
        <v>-426.40000000000003</v>
      </c>
      <c r="J14" s="74">
        <f t="shared" si="0"/>
        <v>54.031910306166452</v>
      </c>
      <c r="L14" s="6"/>
    </row>
    <row r="15" spans="1:13" ht="15">
      <c r="A15" s="21">
        <v>7</v>
      </c>
      <c r="B15" s="78" t="s">
        <v>238</v>
      </c>
      <c r="C15" s="25">
        <v>1500.6</v>
      </c>
      <c r="D15" s="34">
        <f>SUM(C15/C20*100)</f>
        <v>1.8003707280787526</v>
      </c>
      <c r="E15" s="25">
        <v>1182.5999999999999</v>
      </c>
      <c r="F15" s="34">
        <f>SUM(E15/E20*100)</f>
        <v>1.2144788554774271</v>
      </c>
      <c r="G15" s="34">
        <v>2370.1999999999998</v>
      </c>
      <c r="H15" s="34">
        <f>SUM(G15/G20*100)</f>
        <v>2.1396872167636216</v>
      </c>
      <c r="I15" s="34">
        <f t="shared" si="1"/>
        <v>1187.5999999999999</v>
      </c>
      <c r="J15" s="74">
        <f t="shared" si="0"/>
        <v>200.4227972264502</v>
      </c>
      <c r="L15" s="6"/>
    </row>
    <row r="16" spans="1:13" ht="15">
      <c r="A16" s="21">
        <v>8</v>
      </c>
      <c r="B16" s="26" t="s">
        <v>109</v>
      </c>
      <c r="C16" s="25">
        <v>11621</v>
      </c>
      <c r="D16" s="34">
        <f>SUM(C16/C20*100)</f>
        <v>13.942495155939746</v>
      </c>
      <c r="E16" s="25">
        <v>16419.2</v>
      </c>
      <c r="F16" s="34">
        <f>SUM(E16/E20*100)</f>
        <v>16.861805533447466</v>
      </c>
      <c r="G16" s="34">
        <v>20532.900000000001</v>
      </c>
      <c r="H16" s="34">
        <f>SUM(G16/G20*100)</f>
        <v>18.535981627325025</v>
      </c>
      <c r="I16" s="34">
        <f t="shared" si="1"/>
        <v>4113.7000000000007</v>
      </c>
      <c r="J16" s="74">
        <f t="shared" si="0"/>
        <v>125.05420483336582</v>
      </c>
      <c r="L16" s="6"/>
    </row>
    <row r="17" spans="1:12" ht="15">
      <c r="A17" s="21">
        <v>9</v>
      </c>
      <c r="B17" s="78" t="s">
        <v>110</v>
      </c>
      <c r="C17" s="42">
        <v>35084.800000000003</v>
      </c>
      <c r="D17" s="34">
        <f>SUM(C17/C20*100)</f>
        <v>42.093593842794505</v>
      </c>
      <c r="E17" s="42">
        <v>41320.9</v>
      </c>
      <c r="F17" s="34">
        <f>SUM(E17/E20*100)</f>
        <v>42.434770285216658</v>
      </c>
      <c r="G17" s="40">
        <v>45149.1</v>
      </c>
      <c r="H17" s="34">
        <f>SUM(G17/G20*100)</f>
        <v>40.758143666518613</v>
      </c>
      <c r="I17" s="34">
        <f t="shared" si="1"/>
        <v>3828.1999999999971</v>
      </c>
      <c r="J17" s="74">
        <f t="shared" si="0"/>
        <v>109.26456103327855</v>
      </c>
      <c r="L17" s="6"/>
    </row>
    <row r="18" spans="1:12" ht="15">
      <c r="A18" s="21">
        <v>10</v>
      </c>
      <c r="B18" s="79" t="s">
        <v>111</v>
      </c>
      <c r="C18" s="25">
        <v>11622.5</v>
      </c>
      <c r="D18" s="80">
        <f>SUM(C18/C20*100)</f>
        <v>13.944294806807481</v>
      </c>
      <c r="E18" s="34">
        <v>12196.9</v>
      </c>
      <c r="F18" s="34">
        <f>SUM(E18/E20*100)</f>
        <v>12.525686751541206</v>
      </c>
      <c r="G18" s="25">
        <v>13334.7</v>
      </c>
      <c r="H18" s="34">
        <f>SUM(G18/G20*100)</f>
        <v>12.037839477418727</v>
      </c>
      <c r="I18" s="34">
        <f t="shared" si="1"/>
        <v>1137.8000000000011</v>
      </c>
      <c r="J18" s="74">
        <f t="shared" si="0"/>
        <v>109.32859989013603</v>
      </c>
      <c r="L18" s="6"/>
    </row>
    <row r="19" spans="1:12" ht="15">
      <c r="A19" s="1"/>
      <c r="B19" s="81" t="s">
        <v>182</v>
      </c>
      <c r="C19" s="130">
        <v>50</v>
      </c>
      <c r="D19" s="80">
        <f>SUM(C19/C20*100)</f>
        <v>5.9988362257722E-2</v>
      </c>
      <c r="E19" s="130"/>
      <c r="F19" s="84"/>
      <c r="G19" s="130"/>
      <c r="H19" s="34"/>
      <c r="I19" s="27"/>
      <c r="J19" s="30"/>
      <c r="L19" s="6"/>
    </row>
    <row r="20" spans="1:12" ht="15.75">
      <c r="A20" s="1"/>
      <c r="B20" s="19" t="s">
        <v>99</v>
      </c>
      <c r="C20" s="133">
        <f>SUM(C8:C19)</f>
        <v>83349.5</v>
      </c>
      <c r="D20" s="135">
        <f>SUM(C20/C20*100)</f>
        <v>100</v>
      </c>
      <c r="E20" s="133">
        <f>SUM(E8:E19)</f>
        <v>97375.099999999991</v>
      </c>
      <c r="F20" s="133">
        <f>SUM(E20/E20*100)</f>
        <v>100</v>
      </c>
      <c r="G20" s="133">
        <f>SUM(G8:G19)</f>
        <v>110773.2</v>
      </c>
      <c r="H20" s="51">
        <f>SUM(G20/G20*100)</f>
        <v>100</v>
      </c>
      <c r="I20" s="51">
        <f>SUM(G20-E20)</f>
        <v>13398.100000000006</v>
      </c>
      <c r="J20" s="82">
        <f t="shared" ref="J20" si="2">SUM(G20/E20*100)</f>
        <v>113.75926699946908</v>
      </c>
      <c r="K20" s="7"/>
      <c r="L20" s="7"/>
    </row>
    <row r="21" spans="1:12" ht="15">
      <c r="B21" s="10"/>
      <c r="C21" s="10"/>
      <c r="D21" s="10"/>
      <c r="E21" s="10"/>
      <c r="F21" s="10"/>
      <c r="G21" s="10"/>
      <c r="H21" s="10"/>
      <c r="I21" s="10"/>
      <c r="J21" s="10"/>
    </row>
    <row r="23" spans="1:12">
      <c r="D23" s="2"/>
      <c r="E23" s="2"/>
    </row>
  </sheetData>
  <mergeCells count="10">
    <mergeCell ref="H6:H7"/>
    <mergeCell ref="I6:J6"/>
    <mergeCell ref="F6:F7"/>
    <mergeCell ref="G6:G7"/>
    <mergeCell ref="A3:J3"/>
    <mergeCell ref="A6:A7"/>
    <mergeCell ref="B6:B7"/>
    <mergeCell ref="C6:C7"/>
    <mergeCell ref="D6:D7"/>
    <mergeCell ref="E6:E7"/>
  </mergeCells>
  <phoneticPr fontId="2" type="noConversion"/>
  <printOptions horizontalCentered="1"/>
  <pageMargins left="1.1023622047244095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3"/>
  <sheetViews>
    <sheetView zoomScaleNormal="100" workbookViewId="0"/>
  </sheetViews>
  <sheetFormatPr defaultRowHeight="12.75"/>
  <cols>
    <col min="1" max="1" width="5.5703125" customWidth="1"/>
    <col min="2" max="2" width="39.140625" customWidth="1"/>
    <col min="3" max="3" width="15.28515625" customWidth="1"/>
    <col min="4" max="4" width="14.28515625" customWidth="1"/>
    <col min="5" max="5" width="11.42578125" customWidth="1"/>
    <col min="6" max="6" width="11.28515625" customWidth="1"/>
    <col min="7" max="7" width="10.5703125" customWidth="1"/>
    <col min="8" max="8" width="11.28515625" customWidth="1"/>
  </cols>
  <sheetData>
    <row r="1" spans="1:8" ht="15.75">
      <c r="A1" s="10"/>
      <c r="B1" s="12"/>
      <c r="C1" s="12"/>
      <c r="D1" s="10"/>
      <c r="E1" s="10"/>
      <c r="F1" s="10"/>
      <c r="G1" s="11" t="s">
        <v>154</v>
      </c>
    </row>
    <row r="2" spans="1:8" ht="15.75">
      <c r="A2" s="10"/>
      <c r="B2" s="12"/>
      <c r="C2" s="12"/>
      <c r="D2" s="10"/>
      <c r="E2" s="10"/>
      <c r="F2" s="10"/>
      <c r="G2" s="11"/>
    </row>
    <row r="3" spans="1:8" ht="18" customHeight="1">
      <c r="A3" s="180" t="s">
        <v>316</v>
      </c>
      <c r="B3" s="180"/>
      <c r="C3" s="180"/>
      <c r="D3" s="180"/>
      <c r="E3" s="180"/>
      <c r="F3" s="180"/>
      <c r="G3" s="180"/>
    </row>
    <row r="4" spans="1:8" ht="15.75">
      <c r="A4" s="10"/>
      <c r="B4" s="122"/>
      <c r="C4" s="122"/>
      <c r="D4" s="10"/>
      <c r="E4" s="10"/>
      <c r="F4" s="10"/>
      <c r="G4" s="10"/>
    </row>
    <row r="5" spans="1:8" ht="15">
      <c r="A5" s="10"/>
      <c r="B5" s="10"/>
      <c r="C5" s="10"/>
      <c r="D5" s="10"/>
      <c r="E5" s="10"/>
      <c r="F5" s="10"/>
      <c r="G5" s="11" t="s">
        <v>151</v>
      </c>
    </row>
    <row r="6" spans="1:8" ht="27.75" customHeight="1">
      <c r="A6" s="182" t="s">
        <v>216</v>
      </c>
      <c r="B6" s="182" t="s">
        <v>98</v>
      </c>
      <c r="C6" s="240" t="s">
        <v>152</v>
      </c>
      <c r="D6" s="182" t="s">
        <v>328</v>
      </c>
      <c r="E6" s="240" t="s">
        <v>13</v>
      </c>
      <c r="F6" s="238" t="s">
        <v>364</v>
      </c>
      <c r="G6" s="239"/>
    </row>
    <row r="7" spans="1:8" ht="15">
      <c r="A7" s="183"/>
      <c r="B7" s="183"/>
      <c r="C7" s="241"/>
      <c r="D7" s="183"/>
      <c r="E7" s="241"/>
      <c r="F7" s="13" t="s">
        <v>166</v>
      </c>
      <c r="G7" s="15" t="s">
        <v>167</v>
      </c>
    </row>
    <row r="8" spans="1:8" ht="15">
      <c r="A8" s="21">
        <v>1</v>
      </c>
      <c r="B8" s="25" t="s">
        <v>239</v>
      </c>
      <c r="C8" s="125">
        <f>16318.1-500-1942.7</f>
        <v>13875.4</v>
      </c>
      <c r="D8" s="125">
        <f>11590.9-399.5</f>
        <v>11191.4</v>
      </c>
      <c r="E8" s="125">
        <f>7750-350.8</f>
        <v>7399.2</v>
      </c>
      <c r="F8" s="40">
        <f>SUM(E8-D8)</f>
        <v>-3792.2</v>
      </c>
      <c r="G8" s="40">
        <f>SUM(E8/D8*100)</f>
        <v>66.1150526296978</v>
      </c>
      <c r="H8" s="8"/>
    </row>
    <row r="9" spans="1:8" ht="15">
      <c r="A9" s="21"/>
      <c r="B9" s="25" t="s">
        <v>240</v>
      </c>
      <c r="C9" s="83">
        <v>500</v>
      </c>
      <c r="D9" s="125">
        <v>399.5</v>
      </c>
      <c r="E9" s="86">
        <v>350.8</v>
      </c>
      <c r="F9" s="40">
        <f t="shared" ref="F9:F19" si="0">SUM(E9-D9)</f>
        <v>-48.699999999999989</v>
      </c>
      <c r="G9" s="40">
        <f t="shared" ref="G9:G20" si="1">SUM(E9/D9*100)</f>
        <v>87.809762202753447</v>
      </c>
    </row>
    <row r="10" spans="1:8" ht="15">
      <c r="A10" s="21"/>
      <c r="B10" s="25" t="s">
        <v>241</v>
      </c>
      <c r="C10" s="85">
        <v>1942.7</v>
      </c>
      <c r="D10" s="125">
        <v>1435.9</v>
      </c>
      <c r="E10" s="86">
        <v>1435.6</v>
      </c>
      <c r="F10" s="40">
        <f t="shared" si="0"/>
        <v>-0.3000000000001819</v>
      </c>
      <c r="G10" s="40">
        <f t="shared" si="1"/>
        <v>99.979107180165741</v>
      </c>
    </row>
    <row r="11" spans="1:8" ht="15">
      <c r="A11" s="21">
        <v>2</v>
      </c>
      <c r="B11" s="70" t="s">
        <v>104</v>
      </c>
      <c r="C11" s="85">
        <v>1280.8</v>
      </c>
      <c r="D11" s="83">
        <v>1113.5999999999999</v>
      </c>
      <c r="E11" s="86">
        <v>994.4</v>
      </c>
      <c r="F11" s="40">
        <f t="shared" si="0"/>
        <v>-119.19999999999993</v>
      </c>
      <c r="G11" s="40">
        <f t="shared" si="1"/>
        <v>89.295977011494259</v>
      </c>
    </row>
    <row r="12" spans="1:8" ht="16.899999999999999" customHeight="1">
      <c r="A12" s="21">
        <v>3</v>
      </c>
      <c r="B12" s="18" t="s">
        <v>105</v>
      </c>
      <c r="C12" s="126">
        <v>1286.0999999999999</v>
      </c>
      <c r="D12" s="127">
        <v>995.7</v>
      </c>
      <c r="E12" s="83">
        <v>960.6</v>
      </c>
      <c r="F12" s="40">
        <f t="shared" si="0"/>
        <v>-35.100000000000023</v>
      </c>
      <c r="G12" s="40">
        <f t="shared" si="1"/>
        <v>96.474841819825244</v>
      </c>
    </row>
    <row r="13" spans="1:8" ht="15">
      <c r="A13" s="21">
        <v>4</v>
      </c>
      <c r="B13" s="42" t="s">
        <v>106</v>
      </c>
      <c r="C13" s="128">
        <v>23917.4</v>
      </c>
      <c r="D13" s="128">
        <v>21169.8</v>
      </c>
      <c r="E13" s="125">
        <v>12757.2</v>
      </c>
      <c r="F13" s="40">
        <f t="shared" si="0"/>
        <v>-8412.5999999999985</v>
      </c>
      <c r="G13" s="34">
        <f t="shared" si="1"/>
        <v>60.26131564776238</v>
      </c>
    </row>
    <row r="14" spans="1:8" ht="15">
      <c r="A14" s="21">
        <v>5</v>
      </c>
      <c r="B14" s="42" t="s">
        <v>107</v>
      </c>
      <c r="C14" s="25">
        <v>8039.6</v>
      </c>
      <c r="D14" s="129">
        <v>6666.5</v>
      </c>
      <c r="E14" s="130">
        <v>4987.3</v>
      </c>
      <c r="F14" s="40">
        <f t="shared" si="0"/>
        <v>-1679.1999999999998</v>
      </c>
      <c r="G14" s="40">
        <f t="shared" si="1"/>
        <v>74.811370284257109</v>
      </c>
    </row>
    <row r="15" spans="1:8" ht="15">
      <c r="A15" s="21">
        <v>6</v>
      </c>
      <c r="B15" s="25" t="s">
        <v>108</v>
      </c>
      <c r="C15" s="83">
        <v>974.9</v>
      </c>
      <c r="D15" s="131">
        <v>862.8</v>
      </c>
      <c r="E15" s="83">
        <v>501.2</v>
      </c>
      <c r="F15" s="40">
        <f t="shared" si="0"/>
        <v>-361.59999999999997</v>
      </c>
      <c r="G15" s="40">
        <f t="shared" si="1"/>
        <v>58.089939731108018</v>
      </c>
    </row>
    <row r="16" spans="1:8" ht="15">
      <c r="A16" s="21">
        <v>7</v>
      </c>
      <c r="B16" s="78" t="s">
        <v>238</v>
      </c>
      <c r="C16" s="83">
        <v>4840.8</v>
      </c>
      <c r="D16" s="131">
        <v>4121.2</v>
      </c>
      <c r="E16" s="83">
        <v>2370.1999999999998</v>
      </c>
      <c r="F16" s="40">
        <f t="shared" si="0"/>
        <v>-1751</v>
      </c>
      <c r="G16" s="40">
        <f t="shared" si="1"/>
        <v>57.512375036397167</v>
      </c>
    </row>
    <row r="17" spans="1:8" ht="15">
      <c r="A17" s="21">
        <v>8</v>
      </c>
      <c r="B17" s="25" t="s">
        <v>109</v>
      </c>
      <c r="C17" s="83">
        <v>25557.8</v>
      </c>
      <c r="D17" s="127">
        <v>23285.4</v>
      </c>
      <c r="E17" s="83">
        <v>20532.900000000001</v>
      </c>
      <c r="F17" s="40">
        <f t="shared" si="0"/>
        <v>-2752.5</v>
      </c>
      <c r="G17" s="40">
        <f t="shared" si="1"/>
        <v>88.179288309412769</v>
      </c>
    </row>
    <row r="18" spans="1:8" ht="15">
      <c r="A18" s="21">
        <v>9</v>
      </c>
      <c r="B18" s="25" t="s">
        <v>110</v>
      </c>
      <c r="C18" s="83">
        <v>73166.899999999994</v>
      </c>
      <c r="D18" s="132">
        <v>57098.400000000001</v>
      </c>
      <c r="E18" s="125">
        <v>45149.1</v>
      </c>
      <c r="F18" s="40">
        <f t="shared" si="0"/>
        <v>-11949.300000000003</v>
      </c>
      <c r="G18" s="40">
        <f t="shared" si="1"/>
        <v>79.072443360934813</v>
      </c>
    </row>
    <row r="19" spans="1:8" ht="15">
      <c r="A19" s="21">
        <v>10</v>
      </c>
      <c r="B19" s="25" t="s">
        <v>111</v>
      </c>
      <c r="C19" s="83">
        <v>21223.9</v>
      </c>
      <c r="D19" s="121">
        <v>17445</v>
      </c>
      <c r="E19" s="130">
        <v>13334.7</v>
      </c>
      <c r="F19" s="40">
        <f t="shared" si="0"/>
        <v>-4110.2999999999993</v>
      </c>
      <c r="G19" s="40">
        <f t="shared" si="1"/>
        <v>76.438521066208082</v>
      </c>
    </row>
    <row r="20" spans="1:8" ht="15.75">
      <c r="A20" s="25"/>
      <c r="B20" s="123" t="s">
        <v>99</v>
      </c>
      <c r="C20" s="148">
        <f>SUM(C8+C9+C10+C11+C12+C13+C14+C15+C16+C17+C18+C19)</f>
        <v>176606.3</v>
      </c>
      <c r="D20" s="133">
        <f>SUM(D8+D9+D10+D11+D12+D13+D14+D15+D16+D17+D18+D19)</f>
        <v>145785.20000000001</v>
      </c>
      <c r="E20" s="148">
        <f t="shared" ref="E20:F20" si="2">SUM(E8+E9+E10+E11+E12+E13+E14+E15+E16+E17+E18+E19)</f>
        <v>110773.2</v>
      </c>
      <c r="F20" s="51">
        <f t="shared" si="2"/>
        <v>-35012</v>
      </c>
      <c r="G20" s="50">
        <f t="shared" si="1"/>
        <v>75.983844724978937</v>
      </c>
      <c r="H20" s="9"/>
    </row>
    <row r="21" spans="1:8" ht="15">
      <c r="A21" s="10"/>
      <c r="B21" s="10"/>
      <c r="C21" s="10"/>
      <c r="D21" s="10"/>
      <c r="E21" s="10"/>
      <c r="F21" s="10"/>
      <c r="G21" s="10"/>
    </row>
    <row r="22" spans="1:8" ht="15">
      <c r="A22" s="10"/>
      <c r="B22" s="10"/>
      <c r="C22" s="10"/>
      <c r="D22" s="10"/>
      <c r="E22" s="10"/>
      <c r="F22" s="10"/>
      <c r="G22" s="10"/>
    </row>
    <row r="23" spans="1:8">
      <c r="C23" s="2"/>
      <c r="D23" s="2"/>
    </row>
  </sheetData>
  <mergeCells count="7">
    <mergeCell ref="F6:G6"/>
    <mergeCell ref="A3:G3"/>
    <mergeCell ref="A6:A7"/>
    <mergeCell ref="B6:B7"/>
    <mergeCell ref="C6:C7"/>
    <mergeCell ref="D6:D7"/>
    <mergeCell ref="E6:E7"/>
  </mergeCells>
  <printOptions horizontalCentered="1"/>
  <pageMargins left="1.1023622047244095" right="0.51181102362204722" top="0.94488188976377963" bottom="0.74803149606299213" header="0.31496062992125984" footer="0.31496062992125984"/>
  <pageSetup paperSize="9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0"/>
  <sheetViews>
    <sheetView zoomScaleNormal="100" workbookViewId="0"/>
  </sheetViews>
  <sheetFormatPr defaultRowHeight="12.75"/>
  <cols>
    <col min="1" max="1" width="6.28515625" customWidth="1"/>
    <col min="2" max="2" width="34.28515625" customWidth="1"/>
    <col min="3" max="3" width="9.7109375" customWidth="1"/>
    <col min="4" max="4" width="10.7109375" customWidth="1"/>
    <col min="5" max="5" width="10" customWidth="1"/>
    <col min="6" max="6" width="10.42578125" customWidth="1"/>
    <col min="7" max="7" width="10.5703125" customWidth="1"/>
    <col min="8" max="8" width="11" customWidth="1"/>
    <col min="9" max="9" width="9.42578125" customWidth="1"/>
    <col min="10" max="10" width="10.42578125" customWidth="1"/>
  </cols>
  <sheetData>
    <row r="1" spans="1:10" ht="15">
      <c r="I1" s="242" t="s">
        <v>162</v>
      </c>
      <c r="J1" s="242"/>
    </row>
    <row r="3" spans="1:10" ht="18.600000000000001" customHeight="1">
      <c r="A3" s="237" t="s">
        <v>317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10" ht="1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ht="15">
      <c r="A5" s="10"/>
      <c r="B5" s="10"/>
      <c r="C5" s="10"/>
      <c r="D5" s="10"/>
      <c r="E5" s="10"/>
      <c r="F5" s="10"/>
      <c r="G5" s="10"/>
      <c r="H5" s="10"/>
      <c r="I5" s="181" t="s">
        <v>151</v>
      </c>
      <c r="J5" s="181"/>
    </row>
    <row r="6" spans="1:10" ht="46.9" customHeight="1">
      <c r="A6" s="182" t="s">
        <v>216</v>
      </c>
      <c r="B6" s="184" t="s">
        <v>220</v>
      </c>
      <c r="C6" s="207" t="s">
        <v>181</v>
      </c>
      <c r="D6" s="207" t="s">
        <v>168</v>
      </c>
      <c r="E6" s="207" t="s">
        <v>221</v>
      </c>
      <c r="F6" s="207" t="s">
        <v>168</v>
      </c>
      <c r="G6" s="207" t="s">
        <v>249</v>
      </c>
      <c r="H6" s="207" t="s">
        <v>168</v>
      </c>
      <c r="I6" s="243" t="s">
        <v>250</v>
      </c>
      <c r="J6" s="244"/>
    </row>
    <row r="7" spans="1:10" ht="21" customHeight="1">
      <c r="A7" s="183"/>
      <c r="B7" s="185"/>
      <c r="C7" s="208"/>
      <c r="D7" s="208"/>
      <c r="E7" s="208"/>
      <c r="F7" s="208"/>
      <c r="G7" s="208"/>
      <c r="H7" s="208"/>
      <c r="I7" s="35" t="s">
        <v>222</v>
      </c>
      <c r="J7" s="36" t="s">
        <v>167</v>
      </c>
    </row>
    <row r="8" spans="1:10" ht="30">
      <c r="A8" s="37" t="s">
        <v>0</v>
      </c>
      <c r="B8" s="38" t="s">
        <v>253</v>
      </c>
      <c r="C8" s="39">
        <v>38206.400000000001</v>
      </c>
      <c r="D8" s="40">
        <f t="shared" ref="D8:D23" si="0">SUM(C8/$C$37*100)</f>
        <v>45.838787275268601</v>
      </c>
      <c r="E8" s="40">
        <v>44605.2</v>
      </c>
      <c r="F8" s="40">
        <f>SUM(E8/E37*100)</f>
        <v>45.807603791934483</v>
      </c>
      <c r="G8" s="40">
        <v>50909.3</v>
      </c>
      <c r="H8" s="40">
        <f>SUM(G8/G37*100)</f>
        <v>45.958137888947881</v>
      </c>
      <c r="I8" s="34">
        <f>SUM(G8-E8)</f>
        <v>6304.1000000000058</v>
      </c>
      <c r="J8" s="34">
        <f t="shared" ref="J8" si="1">SUM(G8/E8*100)</f>
        <v>114.13310555719963</v>
      </c>
    </row>
    <row r="9" spans="1:10" ht="15">
      <c r="A9" s="25" t="s">
        <v>1</v>
      </c>
      <c r="B9" s="33" t="s">
        <v>173</v>
      </c>
      <c r="C9" s="40">
        <f>SUM(C10:C25)</f>
        <v>13618.3</v>
      </c>
      <c r="D9" s="40">
        <f t="shared" si="0"/>
        <v>16.338790274686708</v>
      </c>
      <c r="E9" s="40">
        <f>SUM(E10:E25)</f>
        <v>14759.7</v>
      </c>
      <c r="F9" s="40">
        <f>SUM(E9/E37*100)</f>
        <v>15.157571083367309</v>
      </c>
      <c r="G9" s="40">
        <f>SUM(G10:G25)</f>
        <v>17382.599999999999</v>
      </c>
      <c r="H9" s="40">
        <f>SUM(G9/G37*100)</f>
        <v>15.692062701086545</v>
      </c>
      <c r="I9" s="34">
        <f>SUM(G9-E9)</f>
        <v>2622.8999999999978</v>
      </c>
      <c r="J9" s="34">
        <f>SUM(G9/E9*100)</f>
        <v>117.77068639606495</v>
      </c>
    </row>
    <row r="10" spans="1:10" ht="15">
      <c r="A10" s="25" t="s">
        <v>113</v>
      </c>
      <c r="B10" s="33" t="s">
        <v>83</v>
      </c>
      <c r="C10" s="40">
        <v>1147.3</v>
      </c>
      <c r="D10" s="40">
        <f t="shared" si="0"/>
        <v>1.376492960365689</v>
      </c>
      <c r="E10" s="40">
        <v>1217.3</v>
      </c>
      <c r="F10" s="40">
        <f>SUM(E10/E37*100)</f>
        <v>1.2501142489198984</v>
      </c>
      <c r="G10" s="40">
        <v>1482.2</v>
      </c>
      <c r="H10" s="40">
        <f>SUM(G10/G37*100)</f>
        <v>1.3380492754565185</v>
      </c>
      <c r="I10" s="34">
        <f>SUM(G10-E10)</f>
        <v>264.90000000000009</v>
      </c>
      <c r="J10" s="34">
        <f t="shared" ref="J10:J34" si="2">SUM(G10/E10*100)</f>
        <v>121.76127495276432</v>
      </c>
    </row>
    <row r="11" spans="1:10" ht="15">
      <c r="A11" s="25" t="s">
        <v>114</v>
      </c>
      <c r="B11" s="33" t="s">
        <v>84</v>
      </c>
      <c r="C11" s="40">
        <v>30.8</v>
      </c>
      <c r="D11" s="40">
        <f t="shared" si="0"/>
        <v>3.6952831150756753E-2</v>
      </c>
      <c r="E11" s="40">
        <v>35.6</v>
      </c>
      <c r="F11" s="40">
        <f>SUM(E11/E37*100)</f>
        <v>3.6559654367492304E-2</v>
      </c>
      <c r="G11" s="40">
        <v>34.200000000000003</v>
      </c>
      <c r="H11" s="40">
        <f>SUM(G11/G37*100)</f>
        <v>3.0873893685476279E-2</v>
      </c>
      <c r="I11" s="34">
        <f t="shared" ref="I11:I28" si="3">SUM(G11-E11)</f>
        <v>-1.3999999999999986</v>
      </c>
      <c r="J11" s="34">
        <f t="shared" si="2"/>
        <v>96.067415730337075</v>
      </c>
    </row>
    <row r="12" spans="1:10" ht="15">
      <c r="A12" s="25" t="s">
        <v>115</v>
      </c>
      <c r="B12" s="33" t="s">
        <v>85</v>
      </c>
      <c r="C12" s="40">
        <v>74.599999999999994</v>
      </c>
      <c r="D12" s="40">
        <f t="shared" si="0"/>
        <v>8.950263648852122E-2</v>
      </c>
      <c r="E12" s="40">
        <v>90.8</v>
      </c>
      <c r="F12" s="40">
        <f>SUM(E12/E37*100)</f>
        <v>9.3247657768772502E-2</v>
      </c>
      <c r="G12" s="40">
        <v>79.3</v>
      </c>
      <c r="H12" s="40">
        <f>SUM(G12/G37*100)</f>
        <v>7.1587712551411359E-2</v>
      </c>
      <c r="I12" s="34">
        <f t="shared" si="3"/>
        <v>-11.5</v>
      </c>
      <c r="J12" s="34">
        <f t="shared" si="2"/>
        <v>87.334801762114537</v>
      </c>
    </row>
    <row r="13" spans="1:10" ht="15">
      <c r="A13" s="25" t="s">
        <v>116</v>
      </c>
      <c r="B13" s="33" t="s">
        <v>86</v>
      </c>
      <c r="C13" s="40">
        <v>527.20000000000005</v>
      </c>
      <c r="D13" s="40">
        <f t="shared" si="0"/>
        <v>0.63251729164542081</v>
      </c>
      <c r="E13" s="40">
        <v>581.1</v>
      </c>
      <c r="F13" s="40">
        <f>SUM(E13/E37*100)</f>
        <v>0.59676447058847693</v>
      </c>
      <c r="G13" s="40">
        <v>642.79999999999995</v>
      </c>
      <c r="H13" s="40">
        <f>SUM(G13/G37*100)</f>
        <v>0.58028476201824997</v>
      </c>
      <c r="I13" s="34">
        <f t="shared" si="3"/>
        <v>61.699999999999932</v>
      </c>
      <c r="J13" s="34">
        <f t="shared" si="2"/>
        <v>110.61779383927033</v>
      </c>
    </row>
    <row r="14" spans="1:10" ht="15">
      <c r="A14" s="25" t="s">
        <v>117</v>
      </c>
      <c r="B14" s="33" t="s">
        <v>87</v>
      </c>
      <c r="C14" s="40">
        <v>45.8</v>
      </c>
      <c r="D14" s="40">
        <f t="shared" si="0"/>
        <v>5.4949339828073353E-2</v>
      </c>
      <c r="E14" s="40">
        <v>50.1</v>
      </c>
      <c r="F14" s="40">
        <f>SUM(E14/E37*100)</f>
        <v>5.1450524826161921E-2</v>
      </c>
      <c r="G14" s="40">
        <v>72.8</v>
      </c>
      <c r="H14" s="40">
        <f>SUM(G14/G37*100)</f>
        <v>6.5719867260312065E-2</v>
      </c>
      <c r="I14" s="34">
        <f t="shared" si="3"/>
        <v>22.699999999999996</v>
      </c>
      <c r="J14" s="34">
        <f t="shared" si="2"/>
        <v>145.30938123752495</v>
      </c>
    </row>
    <row r="15" spans="1:10" ht="15">
      <c r="A15" s="25" t="s">
        <v>118</v>
      </c>
      <c r="B15" s="33" t="s">
        <v>88</v>
      </c>
      <c r="C15" s="41">
        <v>78.900000000000006</v>
      </c>
      <c r="D15" s="34">
        <f t="shared" si="0"/>
        <v>9.4661635642685329E-2</v>
      </c>
      <c r="E15" s="41">
        <v>176.8</v>
      </c>
      <c r="F15" s="34">
        <f>SUM(E15/E37*100)</f>
        <v>0.1815659239374337</v>
      </c>
      <c r="G15" s="41">
        <v>106.7</v>
      </c>
      <c r="H15" s="40">
        <f>SUM(G15/G37*100)</f>
        <v>9.6322937316968393E-2</v>
      </c>
      <c r="I15" s="34">
        <f t="shared" si="3"/>
        <v>-70.100000000000009</v>
      </c>
      <c r="J15" s="34">
        <f t="shared" si="2"/>
        <v>60.350678733031671</v>
      </c>
    </row>
    <row r="16" spans="1:10" ht="30">
      <c r="A16" s="42" t="s">
        <v>119</v>
      </c>
      <c r="B16" s="18" t="s">
        <v>122</v>
      </c>
      <c r="C16" s="34">
        <v>2093.1999999999998</v>
      </c>
      <c r="D16" s="40">
        <f t="shared" si="0"/>
        <v>2.5113527975572736</v>
      </c>
      <c r="E16" s="34">
        <v>2446.1</v>
      </c>
      <c r="F16" s="43">
        <f>SUM(E16/E37*100)</f>
        <v>2.5120384985483968</v>
      </c>
      <c r="G16" s="34">
        <v>3108.3</v>
      </c>
      <c r="H16" s="40">
        <f>SUM(G16/G37*100)</f>
        <v>2.8060036182036816</v>
      </c>
      <c r="I16" s="34">
        <f t="shared" si="3"/>
        <v>662.20000000000027</v>
      </c>
      <c r="J16" s="34">
        <f t="shared" si="2"/>
        <v>127.07166509954624</v>
      </c>
    </row>
    <row r="17" spans="1:10" ht="15">
      <c r="A17" s="44" t="s">
        <v>120</v>
      </c>
      <c r="B17" s="20" t="s">
        <v>223</v>
      </c>
      <c r="C17" s="40">
        <v>97</v>
      </c>
      <c r="D17" s="40">
        <f t="shared" si="0"/>
        <v>0.11637742277998069</v>
      </c>
      <c r="E17" s="40">
        <v>98.9</v>
      </c>
      <c r="F17" s="40">
        <f>SUM(E17/E37*100)</f>
        <v>0.10156600609396037</v>
      </c>
      <c r="G17" s="40">
        <v>170.5</v>
      </c>
      <c r="H17" s="40">
        <f>SUM(G17/G37*100)</f>
        <v>0.15391809571268142</v>
      </c>
      <c r="I17" s="34">
        <f t="shared" si="3"/>
        <v>71.599999999999994</v>
      </c>
      <c r="J17" s="34">
        <f t="shared" si="2"/>
        <v>172.3963599595551</v>
      </c>
    </row>
    <row r="18" spans="1:10" ht="15">
      <c r="A18" s="25" t="s">
        <v>121</v>
      </c>
      <c r="B18" s="20" t="s">
        <v>125</v>
      </c>
      <c r="C18" s="40">
        <v>630.79999999999995</v>
      </c>
      <c r="D18" s="40">
        <f t="shared" si="0"/>
        <v>0.75681317824342076</v>
      </c>
      <c r="E18" s="40">
        <v>699.3</v>
      </c>
      <c r="F18" s="40">
        <f>SUM(E18/E37*100)</f>
        <v>0.71815073874121815</v>
      </c>
      <c r="G18" s="40">
        <v>1755.7</v>
      </c>
      <c r="H18" s="40">
        <f>SUM(G18/G37*100)</f>
        <v>1.5849501503973888</v>
      </c>
      <c r="I18" s="34">
        <f t="shared" si="3"/>
        <v>1056.4000000000001</v>
      </c>
      <c r="J18" s="34">
        <f t="shared" si="2"/>
        <v>251.06535106535111</v>
      </c>
    </row>
    <row r="19" spans="1:10" ht="15">
      <c r="A19" s="25" t="s">
        <v>123</v>
      </c>
      <c r="B19" s="20" t="s">
        <v>89</v>
      </c>
      <c r="C19" s="40">
        <v>151</v>
      </c>
      <c r="D19" s="40">
        <f t="shared" si="0"/>
        <v>0.18116485401832044</v>
      </c>
      <c r="E19" s="40">
        <v>149.19999999999999</v>
      </c>
      <c r="F19" s="40">
        <f>SUM(E19/E37*100)</f>
        <v>0.15322192223679357</v>
      </c>
      <c r="G19" s="40">
        <v>160.9</v>
      </c>
      <c r="H19" s="40">
        <f>SUM(G19/G37*100)</f>
        <v>0.14525173959044249</v>
      </c>
      <c r="I19" s="34">
        <f t="shared" si="3"/>
        <v>11.700000000000017</v>
      </c>
      <c r="J19" s="34">
        <f t="shared" si="2"/>
        <v>107.84182305630029</v>
      </c>
    </row>
    <row r="20" spans="1:10" ht="30">
      <c r="A20" s="25" t="s">
        <v>124</v>
      </c>
      <c r="B20" s="45" t="s">
        <v>224</v>
      </c>
      <c r="C20" s="40">
        <v>1.5</v>
      </c>
      <c r="D20" s="40">
        <f t="shared" si="0"/>
        <v>1.7996508677316598E-3</v>
      </c>
      <c r="E20" s="40">
        <v>1.5</v>
      </c>
      <c r="F20" s="40">
        <f>SUM(E20/E37*100)</f>
        <v>1.5404348750347879E-3</v>
      </c>
      <c r="G20" s="40">
        <v>1.4</v>
      </c>
      <c r="H20" s="40">
        <f>SUM(G20/G37*100)</f>
        <v>1.2638436011598473E-3</v>
      </c>
      <c r="I20" s="34">
        <f t="shared" si="3"/>
        <v>-0.10000000000000009</v>
      </c>
      <c r="J20" s="34">
        <f t="shared" si="2"/>
        <v>93.333333333333329</v>
      </c>
    </row>
    <row r="21" spans="1:10" ht="15">
      <c r="A21" s="25" t="s">
        <v>126</v>
      </c>
      <c r="B21" s="20" t="s">
        <v>90</v>
      </c>
      <c r="C21" s="40">
        <v>1513.4</v>
      </c>
      <c r="D21" s="40">
        <f t="shared" si="0"/>
        <v>1.8157277488167298</v>
      </c>
      <c r="E21" s="40">
        <v>1475.5</v>
      </c>
      <c r="F21" s="40">
        <f>SUM(E21/E37*100)</f>
        <v>1.5152744387425532</v>
      </c>
      <c r="G21" s="40">
        <v>1671.5</v>
      </c>
      <c r="H21" s="40">
        <f>SUM(G21/G37*100)</f>
        <v>1.5089389852419179</v>
      </c>
      <c r="I21" s="34">
        <f>SUM(G21-E21)</f>
        <v>196</v>
      </c>
      <c r="J21" s="34">
        <f t="shared" si="2"/>
        <v>113.28363266689259</v>
      </c>
    </row>
    <row r="22" spans="1:10" ht="30">
      <c r="A22" s="44" t="s">
        <v>127</v>
      </c>
      <c r="B22" s="46" t="s">
        <v>225</v>
      </c>
      <c r="C22" s="40">
        <v>390.7</v>
      </c>
      <c r="D22" s="40">
        <f t="shared" si="0"/>
        <v>0.46874906268183975</v>
      </c>
      <c r="E22" s="40">
        <v>480.1</v>
      </c>
      <c r="F22" s="40">
        <f>SUM(E22/E37*100)</f>
        <v>0.4930418556694679</v>
      </c>
      <c r="G22" s="40">
        <v>667.3</v>
      </c>
      <c r="H22" s="40">
        <f>SUM(G22/G37*100)</f>
        <v>0.60240202503854723</v>
      </c>
      <c r="I22" s="34">
        <f t="shared" si="3"/>
        <v>187.19999999999993</v>
      </c>
      <c r="J22" s="34">
        <f t="shared" si="2"/>
        <v>138.99187669235576</v>
      </c>
    </row>
    <row r="23" spans="1:10" ht="15">
      <c r="A23" s="25" t="s">
        <v>128</v>
      </c>
      <c r="B23" s="46" t="s">
        <v>91</v>
      </c>
      <c r="C23" s="40">
        <v>75</v>
      </c>
      <c r="D23" s="40">
        <f t="shared" si="0"/>
        <v>8.9982543386583E-2</v>
      </c>
      <c r="E23" s="40">
        <v>106.6</v>
      </c>
      <c r="F23" s="40">
        <f>SUM(E23/E37*100)</f>
        <v>0.10947357178580561</v>
      </c>
      <c r="G23" s="40">
        <v>131.6</v>
      </c>
      <c r="H23" s="40">
        <f>SUM(G23/G37*100)</f>
        <v>0.11880129850902565</v>
      </c>
      <c r="I23" s="34">
        <f t="shared" si="3"/>
        <v>25</v>
      </c>
      <c r="J23" s="34">
        <f>SUM(G23/E23*100)</f>
        <v>123.45215759849906</v>
      </c>
    </row>
    <row r="24" spans="1:10" ht="15">
      <c r="A24" s="25" t="s">
        <v>170</v>
      </c>
      <c r="B24" s="20" t="s">
        <v>226</v>
      </c>
      <c r="C24" s="40">
        <v>0</v>
      </c>
      <c r="D24" s="40">
        <v>0</v>
      </c>
      <c r="E24" s="40">
        <v>76.7</v>
      </c>
      <c r="F24" s="40">
        <f>SUM(E24/E37*100)</f>
        <v>7.8767569943445498E-2</v>
      </c>
      <c r="G24" s="40">
        <v>139.80000000000001</v>
      </c>
      <c r="H24" s="40">
        <f>SUM(G24/G37*100)</f>
        <v>0.12620381103010478</v>
      </c>
      <c r="I24" s="34">
        <f t="shared" si="3"/>
        <v>63.100000000000009</v>
      </c>
      <c r="J24" s="34">
        <f>IFERROR(G24/E24*100,0)</f>
        <v>182.2685788787484</v>
      </c>
    </row>
    <row r="25" spans="1:10" ht="15">
      <c r="A25" s="25" t="s">
        <v>227</v>
      </c>
      <c r="B25" s="20" t="s">
        <v>228</v>
      </c>
      <c r="C25" s="40">
        <v>6761.1</v>
      </c>
      <c r="D25" s="40">
        <f t="shared" ref="D25:D36" si="4">SUM(C25/$C$37*100)</f>
        <v>8.1117463212136851</v>
      </c>
      <c r="E25" s="40">
        <v>7074.1</v>
      </c>
      <c r="F25" s="40">
        <f>SUM(E25/E37*100)</f>
        <v>7.2647935663223961</v>
      </c>
      <c r="G25" s="40">
        <v>7157.6</v>
      </c>
      <c r="H25" s="40">
        <f>SUM(G25/G37*100)</f>
        <v>6.4614906854726613</v>
      </c>
      <c r="I25" s="34">
        <f t="shared" si="3"/>
        <v>83.5</v>
      </c>
      <c r="J25" s="34">
        <f t="shared" si="2"/>
        <v>101.18036216621195</v>
      </c>
    </row>
    <row r="26" spans="1:10" ht="15">
      <c r="A26" s="25" t="s">
        <v>2</v>
      </c>
      <c r="B26" s="33" t="s">
        <v>10</v>
      </c>
      <c r="C26" s="40">
        <v>249.1</v>
      </c>
      <c r="D26" s="40">
        <f t="shared" si="4"/>
        <v>0.29886202076797103</v>
      </c>
      <c r="E26" s="40">
        <v>417</v>
      </c>
      <c r="F26" s="40">
        <f>SUM(E26/E37*100)</f>
        <v>0.42824089525967102</v>
      </c>
      <c r="G26" s="40">
        <v>350.8</v>
      </c>
      <c r="H26" s="40">
        <f>SUM(G26/G37*100)</f>
        <v>0.31668309663348182</v>
      </c>
      <c r="I26" s="34">
        <f t="shared" si="3"/>
        <v>-66.199999999999989</v>
      </c>
      <c r="J26" s="34">
        <f t="shared" si="2"/>
        <v>84.124700239808163</v>
      </c>
    </row>
    <row r="27" spans="1:10" ht="15">
      <c r="A27" s="25" t="s">
        <v>3</v>
      </c>
      <c r="B27" s="33" t="s">
        <v>92</v>
      </c>
      <c r="C27" s="40">
        <v>184.8</v>
      </c>
      <c r="D27" s="40">
        <f t="shared" si="4"/>
        <v>0.22171698690454053</v>
      </c>
      <c r="E27" s="40">
        <v>616</v>
      </c>
      <c r="F27" s="40">
        <f>SUM(E27/E37*100)</f>
        <v>0.63260525534761969</v>
      </c>
      <c r="G27" s="84">
        <v>1418.7</v>
      </c>
      <c r="H27" s="40">
        <f>SUM(G27/G37*100)</f>
        <v>1.2807249406896255</v>
      </c>
      <c r="I27" s="34">
        <f t="shared" si="3"/>
        <v>802.7</v>
      </c>
      <c r="J27" s="34">
        <f t="shared" si="2"/>
        <v>230.30844155844156</v>
      </c>
    </row>
    <row r="28" spans="1:10" ht="15">
      <c r="A28" s="25" t="s">
        <v>4</v>
      </c>
      <c r="B28" s="33" t="s">
        <v>93</v>
      </c>
      <c r="C28" s="40">
        <v>6482</v>
      </c>
      <c r="D28" s="40">
        <f t="shared" si="4"/>
        <v>7.7768912830910804</v>
      </c>
      <c r="E28" s="40">
        <v>6784</v>
      </c>
      <c r="F28" s="40">
        <f>SUM(E28/E37*100)</f>
        <v>6.9668734614906676</v>
      </c>
      <c r="G28" s="40">
        <v>7074.4</v>
      </c>
      <c r="H28" s="40">
        <f>SUM(G28/G37*100)</f>
        <v>6.3863822657465885</v>
      </c>
      <c r="I28" s="34">
        <f t="shared" si="3"/>
        <v>290.39999999999964</v>
      </c>
      <c r="J28" s="34">
        <f>SUM(G28/E28*100)</f>
        <v>104.28066037735849</v>
      </c>
    </row>
    <row r="29" spans="1:10" ht="15">
      <c r="A29" s="25" t="s">
        <v>5</v>
      </c>
      <c r="B29" s="33" t="s">
        <v>94</v>
      </c>
      <c r="C29" s="40">
        <v>5465.3</v>
      </c>
      <c r="D29" s="40">
        <f t="shared" si="4"/>
        <v>6.5570879249425618</v>
      </c>
      <c r="E29" s="40">
        <v>6683.8</v>
      </c>
      <c r="F29" s="40">
        <f>SUM(E29/E37*100)</f>
        <v>6.8639724118383443</v>
      </c>
      <c r="G29" s="40">
        <v>7364.9</v>
      </c>
      <c r="H29" s="40">
        <f>SUM(G29/G37*100)</f>
        <v>6.6486298129872567</v>
      </c>
      <c r="I29" s="34">
        <f>SUM(G29-E29)</f>
        <v>681.09999999999945</v>
      </c>
      <c r="J29" s="34">
        <f t="shared" si="2"/>
        <v>110.19031090098446</v>
      </c>
    </row>
    <row r="30" spans="1:10" ht="30">
      <c r="A30" s="25" t="s">
        <v>6</v>
      </c>
      <c r="B30" s="47" t="s">
        <v>229</v>
      </c>
      <c r="C30" s="40">
        <f>SUM(C31:C34)</f>
        <v>18076.3</v>
      </c>
      <c r="D30" s="40">
        <f t="shared" si="4"/>
        <v>21.687352653585204</v>
      </c>
      <c r="E30" s="40">
        <f>SUM(E31:E34)</f>
        <v>22229.4</v>
      </c>
      <c r="F30" s="40">
        <f>SUM(E30/E37*100)</f>
        <v>22.828628674065545</v>
      </c>
      <c r="G30" s="40">
        <f>SUM(G31:G34)</f>
        <v>24836.899999999998</v>
      </c>
      <c r="H30" s="40">
        <f>SUM(G30/G37*100)</f>
        <v>22.421397955462151</v>
      </c>
      <c r="I30" s="34">
        <f t="shared" ref="I30" si="5">SUM(E30-C30)</f>
        <v>4153.1000000000022</v>
      </c>
      <c r="J30" s="34">
        <f t="shared" si="2"/>
        <v>111.72996122252511</v>
      </c>
    </row>
    <row r="31" spans="1:10" ht="15">
      <c r="A31" s="25" t="s">
        <v>230</v>
      </c>
      <c r="B31" s="48" t="s">
        <v>95</v>
      </c>
      <c r="C31" s="40">
        <v>0</v>
      </c>
      <c r="D31" s="40">
        <f t="shared" si="4"/>
        <v>0</v>
      </c>
      <c r="E31" s="40">
        <v>73</v>
      </c>
      <c r="F31" s="40">
        <f>SUM(E31/E37*100)</f>
        <v>7.496783058502636E-2</v>
      </c>
      <c r="G31" s="40">
        <v>0</v>
      </c>
      <c r="H31" s="40">
        <f>SUM(G31/G37*100)</f>
        <v>0</v>
      </c>
      <c r="I31" s="34">
        <f>SUM(G31-E31)</f>
        <v>-73</v>
      </c>
      <c r="J31" s="34">
        <v>0</v>
      </c>
    </row>
    <row r="32" spans="1:10" ht="15">
      <c r="A32" s="25" t="s">
        <v>231</v>
      </c>
      <c r="B32" s="33" t="s">
        <v>232</v>
      </c>
      <c r="C32" s="40">
        <v>1610.6</v>
      </c>
      <c r="D32" s="40">
        <f t="shared" si="4"/>
        <v>1.9323451250457411</v>
      </c>
      <c r="E32" s="40">
        <v>917.9</v>
      </c>
      <c r="F32" s="40">
        <f>SUM(E32/E37*100)</f>
        <v>0.94264344786295462</v>
      </c>
      <c r="G32" s="25">
        <v>3567.8</v>
      </c>
      <c r="H32" s="40">
        <f>SUM(G32/G37*100)</f>
        <v>3.2208151430129317</v>
      </c>
      <c r="I32" s="34">
        <f t="shared" ref="I32:I35" si="6">SUM(G32-E32)</f>
        <v>2649.9</v>
      </c>
      <c r="J32" s="34">
        <f t="shared" si="2"/>
        <v>388.69157860333371</v>
      </c>
    </row>
    <row r="33" spans="1:10" ht="15">
      <c r="A33" s="25" t="s">
        <v>233</v>
      </c>
      <c r="B33" s="48" t="s">
        <v>96</v>
      </c>
      <c r="C33" s="40">
        <v>16164.8</v>
      </c>
      <c r="D33" s="40">
        <f t="shared" si="4"/>
        <v>19.393997564472492</v>
      </c>
      <c r="E33" s="40">
        <v>20962.5</v>
      </c>
      <c r="F33" s="40">
        <f>SUM(E33/E37*100)</f>
        <v>21.527577378611163</v>
      </c>
      <c r="G33" s="40">
        <v>20984</v>
      </c>
      <c r="H33" s="40">
        <f>SUM(G33/G37*100)</f>
        <v>18.943210090527316</v>
      </c>
      <c r="I33" s="34">
        <f>SUM(G33-E33)</f>
        <v>21.5</v>
      </c>
      <c r="J33" s="34">
        <f t="shared" si="2"/>
        <v>100.1025641025641</v>
      </c>
    </row>
    <row r="34" spans="1:10" ht="15">
      <c r="A34" s="25" t="s">
        <v>234</v>
      </c>
      <c r="B34" s="48" t="s">
        <v>252</v>
      </c>
      <c r="C34" s="40">
        <v>300.89999999999998</v>
      </c>
      <c r="D34" s="40">
        <f t="shared" si="4"/>
        <v>0.361009964066971</v>
      </c>
      <c r="E34" s="40">
        <v>276</v>
      </c>
      <c r="F34" s="40">
        <f>SUM(E34/E37*100)</f>
        <v>0.28344001700640103</v>
      </c>
      <c r="G34" s="40">
        <v>285.10000000000002</v>
      </c>
      <c r="H34" s="40">
        <f>SUM(G34/G37*100)</f>
        <v>0.25737272192190896</v>
      </c>
      <c r="I34" s="34">
        <f t="shared" si="6"/>
        <v>9.1000000000000227</v>
      </c>
      <c r="J34" s="34">
        <f t="shared" si="2"/>
        <v>103.29710144927537</v>
      </c>
    </row>
    <row r="35" spans="1:10" ht="15">
      <c r="A35" s="25" t="s">
        <v>7</v>
      </c>
      <c r="B35" s="48" t="s">
        <v>235</v>
      </c>
      <c r="C35" s="40">
        <v>1017.3</v>
      </c>
      <c r="D35" s="40">
        <f t="shared" si="4"/>
        <v>1.2205232184956119</v>
      </c>
      <c r="E35" s="40">
        <v>1280</v>
      </c>
      <c r="F35" s="40">
        <f>SUM(E35/E37*100)</f>
        <v>1.3145044266963524</v>
      </c>
      <c r="G35" s="40">
        <v>1435.6</v>
      </c>
      <c r="H35" s="40">
        <f>SUM(G35/G37*100)</f>
        <v>1.2959813384464836</v>
      </c>
      <c r="I35" s="34">
        <f t="shared" si="6"/>
        <v>155.59999999999991</v>
      </c>
      <c r="J35" s="34">
        <f>SUM(G35/E35*100)</f>
        <v>112.15625</v>
      </c>
    </row>
    <row r="36" spans="1:10" ht="30">
      <c r="A36" s="25" t="s">
        <v>18</v>
      </c>
      <c r="B36" s="17" t="s">
        <v>153</v>
      </c>
      <c r="C36" s="40">
        <v>50</v>
      </c>
      <c r="D36" s="40">
        <f t="shared" si="4"/>
        <v>5.9988362257722E-2</v>
      </c>
      <c r="E36" s="40"/>
      <c r="F36" s="40"/>
      <c r="G36" s="84"/>
      <c r="H36" s="40"/>
      <c r="I36" s="34"/>
      <c r="J36" s="34"/>
    </row>
    <row r="37" spans="1:10" ht="15.75">
      <c r="A37" s="25"/>
      <c r="B37" s="49" t="s">
        <v>97</v>
      </c>
      <c r="C37" s="50">
        <f>SUM(C8+C9+C26+C27+C28+C29+C30+C35+C36)</f>
        <v>83349.5</v>
      </c>
      <c r="D37" s="50">
        <f>SUM(C37/C37*100)</f>
        <v>100</v>
      </c>
      <c r="E37" s="50">
        <f>SUM(E8+E9+E26+E27+E28+E29+E30+E35+E36)</f>
        <v>97375.1</v>
      </c>
      <c r="F37" s="50">
        <f>SUM(E37/E37*100)</f>
        <v>100</v>
      </c>
      <c r="G37" s="134">
        <f>SUM(G8+G9+G26+G27+G28+G29+G30+G35)</f>
        <v>110773.19999999998</v>
      </c>
      <c r="H37" s="50">
        <f>SUM(G37/G37*100)</f>
        <v>100</v>
      </c>
      <c r="I37" s="51">
        <f>SUM(G37-E37)</f>
        <v>13398.099999999977</v>
      </c>
      <c r="J37" s="51">
        <f>SUM(G37/E37*100)</f>
        <v>113.75926699946903</v>
      </c>
    </row>
    <row r="40" spans="1:10">
      <c r="E40" s="2"/>
      <c r="F40" s="2"/>
    </row>
  </sheetData>
  <mergeCells count="12">
    <mergeCell ref="I1:J1"/>
    <mergeCell ref="A3:J3"/>
    <mergeCell ref="I5:J5"/>
    <mergeCell ref="H6:H7"/>
    <mergeCell ref="I6:J6"/>
    <mergeCell ref="G6:G7"/>
    <mergeCell ref="A6:A7"/>
    <mergeCell ref="B6:B7"/>
    <mergeCell ref="C6:C7"/>
    <mergeCell ref="D6:D7"/>
    <mergeCell ref="E6:E7"/>
    <mergeCell ref="F6:F7"/>
  </mergeCells>
  <phoneticPr fontId="2" type="noConversion"/>
  <printOptions horizontalCentered="1"/>
  <pageMargins left="1.299212598425197" right="0.70866141732283472" top="0.35433070866141736" bottom="0.27559055118110237" header="0.31496062992125984" footer="0.31496062992125984"/>
  <pageSetup paperSize="9" orientation="landscape" horizontalDpi="4294967293" vertic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7"/>
  <sheetViews>
    <sheetView zoomScaleNormal="100" workbookViewId="0"/>
  </sheetViews>
  <sheetFormatPr defaultRowHeight="12.75"/>
  <cols>
    <col min="1" max="1" width="7.140625" customWidth="1"/>
    <col min="2" max="2" width="37.140625" customWidth="1"/>
    <col min="3" max="3" width="14.42578125" customWidth="1"/>
    <col min="4" max="4" width="13.5703125" customWidth="1"/>
    <col min="5" max="5" width="11.5703125" customWidth="1"/>
    <col min="6" max="6" width="11.85546875" customWidth="1"/>
    <col min="7" max="7" width="8.85546875" customWidth="1"/>
    <col min="8" max="8" width="10.7109375" bestFit="1" customWidth="1"/>
  </cols>
  <sheetData>
    <row r="1" spans="1:8" ht="15">
      <c r="A1" s="52"/>
      <c r="B1" s="52"/>
      <c r="C1" s="52"/>
      <c r="D1" s="52"/>
      <c r="E1" s="52"/>
      <c r="F1" s="245" t="s">
        <v>102</v>
      </c>
      <c r="G1" s="245"/>
    </row>
    <row r="2" spans="1:8" ht="15.75">
      <c r="A2" s="52"/>
      <c r="B2" s="248"/>
      <c r="C2" s="248"/>
      <c r="D2" s="248"/>
      <c r="E2" s="248"/>
      <c r="F2" s="53"/>
      <c r="G2" s="53"/>
    </row>
    <row r="3" spans="1:8" ht="15.75">
      <c r="A3" s="248" t="s">
        <v>318</v>
      </c>
      <c r="B3" s="248"/>
      <c r="C3" s="248"/>
      <c r="D3" s="248"/>
      <c r="E3" s="248"/>
      <c r="F3" s="248"/>
      <c r="G3" s="248"/>
    </row>
    <row r="4" spans="1:8" ht="15">
      <c r="A4" s="52"/>
      <c r="B4" s="52"/>
      <c r="C4" s="52"/>
      <c r="D4" s="52"/>
      <c r="E4" s="52"/>
      <c r="F4" s="52"/>
      <c r="G4" s="52"/>
    </row>
    <row r="5" spans="1:8" ht="15">
      <c r="A5" s="52"/>
      <c r="B5" s="52"/>
      <c r="C5" s="52"/>
      <c r="D5" s="52"/>
      <c r="E5" s="52"/>
      <c r="F5" s="255" t="s">
        <v>151</v>
      </c>
      <c r="G5" s="255"/>
    </row>
    <row r="6" spans="1:8" ht="30" customHeight="1">
      <c r="A6" s="249" t="s">
        <v>216</v>
      </c>
      <c r="B6" s="251" t="s">
        <v>161</v>
      </c>
      <c r="C6" s="249" t="s">
        <v>152</v>
      </c>
      <c r="D6" s="249" t="s">
        <v>319</v>
      </c>
      <c r="E6" s="251" t="s">
        <v>13</v>
      </c>
      <c r="F6" s="253" t="s">
        <v>364</v>
      </c>
      <c r="G6" s="254"/>
    </row>
    <row r="7" spans="1:8" ht="16.899999999999999" customHeight="1">
      <c r="A7" s="250"/>
      <c r="B7" s="252"/>
      <c r="C7" s="250"/>
      <c r="D7" s="250"/>
      <c r="E7" s="252"/>
      <c r="F7" s="55" t="s">
        <v>172</v>
      </c>
      <c r="G7" s="54" t="s">
        <v>167</v>
      </c>
    </row>
    <row r="8" spans="1:8" ht="30" customHeight="1">
      <c r="A8" s="25" t="s">
        <v>0</v>
      </c>
      <c r="B8" s="56" t="s">
        <v>253</v>
      </c>
      <c r="C8" s="57">
        <v>76588.5</v>
      </c>
      <c r="D8" s="57">
        <v>59013.8</v>
      </c>
      <c r="E8" s="42">
        <v>50909.3</v>
      </c>
      <c r="F8" s="40">
        <f>SUM(E8-D8)</f>
        <v>-8104.5</v>
      </c>
      <c r="G8" s="34">
        <f>SUM(E8/D8*100)</f>
        <v>86.266771500903189</v>
      </c>
    </row>
    <row r="9" spans="1:8" ht="15">
      <c r="A9" s="25" t="s">
        <v>1</v>
      </c>
      <c r="B9" s="33" t="s">
        <v>173</v>
      </c>
      <c r="C9" s="33">
        <f>SUM(C10:C25)</f>
        <v>29108.199999999997</v>
      </c>
      <c r="D9" s="33">
        <f>SUM(D10:D25)</f>
        <v>24811.1</v>
      </c>
      <c r="E9" s="33">
        <f>SUM(E10:E25)</f>
        <v>17382.599999999999</v>
      </c>
      <c r="F9" s="40">
        <f t="shared" ref="F9:F34" si="0">SUM(E9-D9)</f>
        <v>-7428.5</v>
      </c>
      <c r="G9" s="34">
        <f t="shared" ref="G9:G33" si="1">SUM(E9/D9*100)</f>
        <v>70.059771634470053</v>
      </c>
    </row>
    <row r="10" spans="1:8" ht="15">
      <c r="A10" s="58" t="s">
        <v>113</v>
      </c>
      <c r="B10" s="59" t="s">
        <v>83</v>
      </c>
      <c r="C10" s="59">
        <v>2375.4</v>
      </c>
      <c r="D10" s="59">
        <v>1833.7</v>
      </c>
      <c r="E10" s="58">
        <v>1482.2</v>
      </c>
      <c r="F10" s="60">
        <f t="shared" si="0"/>
        <v>-351.5</v>
      </c>
      <c r="G10" s="62">
        <f t="shared" si="1"/>
        <v>80.831106505971533</v>
      </c>
    </row>
    <row r="11" spans="1:8" ht="15">
      <c r="A11" s="58" t="s">
        <v>114</v>
      </c>
      <c r="B11" s="59" t="s">
        <v>84</v>
      </c>
      <c r="C11" s="59">
        <v>64.3</v>
      </c>
      <c r="D11" s="59">
        <v>51.7</v>
      </c>
      <c r="E11" s="58">
        <v>34.200000000000003</v>
      </c>
      <c r="F11" s="60">
        <f t="shared" si="0"/>
        <v>-17.5</v>
      </c>
      <c r="G11" s="62">
        <f t="shared" si="1"/>
        <v>66.150870406189554</v>
      </c>
    </row>
    <row r="12" spans="1:8" ht="15">
      <c r="A12" s="58" t="s">
        <v>115</v>
      </c>
      <c r="B12" s="59" t="s">
        <v>85</v>
      </c>
      <c r="C12" s="59">
        <v>173.1</v>
      </c>
      <c r="D12" s="59">
        <v>136.6</v>
      </c>
      <c r="E12" s="58">
        <v>79.3</v>
      </c>
      <c r="F12" s="60">
        <f t="shared" si="0"/>
        <v>-57.3</v>
      </c>
      <c r="G12" s="62">
        <f t="shared" si="1"/>
        <v>58.052708638360173</v>
      </c>
    </row>
    <row r="13" spans="1:8" ht="15">
      <c r="A13" s="58" t="s">
        <v>116</v>
      </c>
      <c r="B13" s="59" t="s">
        <v>86</v>
      </c>
      <c r="C13" s="59">
        <v>1054.7</v>
      </c>
      <c r="D13" s="59">
        <v>915.4</v>
      </c>
      <c r="E13" s="58">
        <v>642.79999999999995</v>
      </c>
      <c r="F13" s="60">
        <f t="shared" si="0"/>
        <v>-272.60000000000002</v>
      </c>
      <c r="G13" s="62">
        <f t="shared" si="1"/>
        <v>70.220668560192266</v>
      </c>
    </row>
    <row r="14" spans="1:8" ht="15">
      <c r="A14" s="58" t="s">
        <v>117</v>
      </c>
      <c r="B14" s="59" t="s">
        <v>87</v>
      </c>
      <c r="C14" s="59">
        <v>113.8</v>
      </c>
      <c r="D14" s="59">
        <v>95.2</v>
      </c>
      <c r="E14" s="58">
        <v>72.8</v>
      </c>
      <c r="F14" s="60">
        <f t="shared" si="0"/>
        <v>-22.400000000000006</v>
      </c>
      <c r="G14" s="62">
        <f t="shared" si="1"/>
        <v>76.470588235294116</v>
      </c>
    </row>
    <row r="15" spans="1:8" ht="15">
      <c r="A15" s="61" t="s">
        <v>118</v>
      </c>
      <c r="B15" s="58" t="s">
        <v>88</v>
      </c>
      <c r="C15" s="58">
        <v>275.39999999999998</v>
      </c>
      <c r="D15" s="58">
        <v>225.1</v>
      </c>
      <c r="E15" s="58">
        <v>106.7</v>
      </c>
      <c r="F15" s="62">
        <f t="shared" si="0"/>
        <v>-118.39999999999999</v>
      </c>
      <c r="G15" s="62">
        <f t="shared" si="1"/>
        <v>47.40115504220347</v>
      </c>
      <c r="H15" s="139"/>
    </row>
    <row r="16" spans="1:8" ht="15" customHeight="1">
      <c r="A16" s="63" t="s">
        <v>119</v>
      </c>
      <c r="B16" s="64" t="s">
        <v>122</v>
      </c>
      <c r="C16" s="58">
        <v>4403.3</v>
      </c>
      <c r="D16" s="58">
        <v>3995.2</v>
      </c>
      <c r="E16" s="58">
        <v>3108.3</v>
      </c>
      <c r="F16" s="62">
        <f>SUM(E16-D16)</f>
        <v>-886.89999999999964</v>
      </c>
      <c r="G16" s="62">
        <f>SUM(E16/D16*100)</f>
        <v>77.800861033239897</v>
      </c>
    </row>
    <row r="17" spans="1:8" ht="15">
      <c r="A17" s="58" t="s">
        <v>120</v>
      </c>
      <c r="B17" s="65" t="s">
        <v>155</v>
      </c>
      <c r="C17" s="159">
        <v>256.5</v>
      </c>
      <c r="D17" s="66">
        <v>203.3</v>
      </c>
      <c r="E17" s="66">
        <v>170.5</v>
      </c>
      <c r="F17" s="67">
        <f t="shared" si="0"/>
        <v>-32.800000000000011</v>
      </c>
      <c r="G17" s="60">
        <f t="shared" si="1"/>
        <v>83.866207575012297</v>
      </c>
    </row>
    <row r="18" spans="1:8" ht="15">
      <c r="A18" s="58" t="s">
        <v>121</v>
      </c>
      <c r="B18" s="65" t="s">
        <v>125</v>
      </c>
      <c r="C18" s="159">
        <v>2711.9</v>
      </c>
      <c r="D18" s="66">
        <v>2332.5</v>
      </c>
      <c r="E18" s="66">
        <v>1755.7</v>
      </c>
      <c r="F18" s="67">
        <f t="shared" si="0"/>
        <v>-576.79999999999995</v>
      </c>
      <c r="G18" s="62">
        <f t="shared" si="1"/>
        <v>75.271168274383712</v>
      </c>
    </row>
    <row r="19" spans="1:8" ht="15">
      <c r="A19" s="58" t="s">
        <v>123</v>
      </c>
      <c r="B19" s="65" t="s">
        <v>89</v>
      </c>
      <c r="C19" s="159">
        <v>370.3</v>
      </c>
      <c r="D19" s="66">
        <v>292.8</v>
      </c>
      <c r="E19" s="66">
        <v>160.9</v>
      </c>
      <c r="F19" s="67">
        <f t="shared" si="0"/>
        <v>-131.9</v>
      </c>
      <c r="G19" s="62">
        <f t="shared" si="1"/>
        <v>54.952185792349731</v>
      </c>
    </row>
    <row r="20" spans="1:8" ht="15">
      <c r="A20" s="58" t="s">
        <v>124</v>
      </c>
      <c r="B20" s="65" t="s">
        <v>169</v>
      </c>
      <c r="C20" s="159">
        <v>1.5</v>
      </c>
      <c r="D20" s="66">
        <v>1.5</v>
      </c>
      <c r="E20" s="66">
        <v>1.4</v>
      </c>
      <c r="F20" s="68">
        <f t="shared" si="0"/>
        <v>-0.10000000000000009</v>
      </c>
      <c r="G20" s="62">
        <f t="shared" si="1"/>
        <v>93.333333333333329</v>
      </c>
    </row>
    <row r="21" spans="1:8" ht="15">
      <c r="A21" s="58" t="s">
        <v>126</v>
      </c>
      <c r="B21" s="65" t="s">
        <v>90</v>
      </c>
      <c r="C21" s="159">
        <v>2591.1</v>
      </c>
      <c r="D21" s="66">
        <v>2087.6</v>
      </c>
      <c r="E21" s="66">
        <v>1671.5</v>
      </c>
      <c r="F21" s="67">
        <f t="shared" si="0"/>
        <v>-416.09999999999991</v>
      </c>
      <c r="G21" s="62">
        <f t="shared" si="1"/>
        <v>80.068020693619474</v>
      </c>
      <c r="H21" s="139"/>
    </row>
    <row r="22" spans="1:8" ht="15">
      <c r="A22" s="58" t="s">
        <v>127</v>
      </c>
      <c r="B22" s="65" t="s">
        <v>156</v>
      </c>
      <c r="C22" s="138">
        <v>1039.8</v>
      </c>
      <c r="D22" s="66">
        <v>861.5</v>
      </c>
      <c r="E22" s="66">
        <v>667.3</v>
      </c>
      <c r="F22" s="67">
        <f t="shared" si="0"/>
        <v>-194.20000000000005</v>
      </c>
      <c r="G22" s="62">
        <f t="shared" si="1"/>
        <v>77.457922228670924</v>
      </c>
      <c r="H22" s="139"/>
    </row>
    <row r="23" spans="1:8" ht="15">
      <c r="A23" s="58" t="s">
        <v>128</v>
      </c>
      <c r="B23" s="65" t="s">
        <v>91</v>
      </c>
      <c r="C23" s="138">
        <v>229.2</v>
      </c>
      <c r="D23" s="66">
        <v>201.4</v>
      </c>
      <c r="E23" s="66">
        <v>131.6</v>
      </c>
      <c r="F23" s="67">
        <f t="shared" si="0"/>
        <v>-69.800000000000011</v>
      </c>
      <c r="G23" s="62">
        <f t="shared" si="1"/>
        <v>65.342601787487581</v>
      </c>
    </row>
    <row r="24" spans="1:8" ht="15">
      <c r="A24" s="58" t="s">
        <v>170</v>
      </c>
      <c r="B24" s="65" t="s">
        <v>226</v>
      </c>
      <c r="C24" s="138">
        <v>225</v>
      </c>
      <c r="D24" s="66">
        <v>169.9</v>
      </c>
      <c r="E24" s="66">
        <v>139.80000000000001</v>
      </c>
      <c r="F24" s="67">
        <f t="shared" si="0"/>
        <v>-30.099999999999994</v>
      </c>
      <c r="G24" s="62">
        <f t="shared" si="1"/>
        <v>82.283696291936437</v>
      </c>
    </row>
    <row r="25" spans="1:8" ht="15">
      <c r="A25" s="58" t="s">
        <v>227</v>
      </c>
      <c r="B25" s="65" t="s">
        <v>129</v>
      </c>
      <c r="C25" s="137">
        <v>13222.9</v>
      </c>
      <c r="D25" s="66">
        <v>11407.7</v>
      </c>
      <c r="E25" s="66">
        <v>7157.6</v>
      </c>
      <c r="F25" s="67">
        <f t="shared" si="0"/>
        <v>-4250.1000000000004</v>
      </c>
      <c r="G25" s="62">
        <f t="shared" si="1"/>
        <v>62.743585472970011</v>
      </c>
      <c r="H25" s="139"/>
    </row>
    <row r="26" spans="1:8" ht="15">
      <c r="A26" s="25" t="s">
        <v>2</v>
      </c>
      <c r="B26" s="33" t="s">
        <v>157</v>
      </c>
      <c r="C26" s="83">
        <v>500</v>
      </c>
      <c r="D26" s="42">
        <v>399.5</v>
      </c>
      <c r="E26" s="34">
        <v>350.8</v>
      </c>
      <c r="F26" s="43">
        <f t="shared" si="0"/>
        <v>-48.699999999999989</v>
      </c>
      <c r="G26" s="34">
        <f t="shared" si="1"/>
        <v>87.809762202753447</v>
      </c>
    </row>
    <row r="27" spans="1:8" ht="15">
      <c r="A27" s="25" t="s">
        <v>3</v>
      </c>
      <c r="B27" s="33" t="s">
        <v>92</v>
      </c>
      <c r="C27" s="131">
        <v>1750</v>
      </c>
      <c r="D27" s="33">
        <v>1750</v>
      </c>
      <c r="E27" s="25">
        <v>1418.7</v>
      </c>
      <c r="F27" s="43">
        <f t="shared" si="0"/>
        <v>-331.29999999999995</v>
      </c>
      <c r="G27" s="34">
        <f t="shared" si="1"/>
        <v>81.068571428571431</v>
      </c>
    </row>
    <row r="28" spans="1:8" ht="15">
      <c r="A28" s="25" t="s">
        <v>4</v>
      </c>
      <c r="B28" s="33" t="s">
        <v>93</v>
      </c>
      <c r="C28" s="131">
        <v>10812.5</v>
      </c>
      <c r="D28" s="131">
        <v>9218.7000000000007</v>
      </c>
      <c r="E28" s="25">
        <v>7074.4</v>
      </c>
      <c r="F28" s="43">
        <f t="shared" si="0"/>
        <v>-2144.3000000000011</v>
      </c>
      <c r="G28" s="34">
        <f t="shared" si="1"/>
        <v>76.7396704524499</v>
      </c>
      <c r="H28" s="28"/>
    </row>
    <row r="29" spans="1:8" ht="15">
      <c r="A29" s="25" t="s">
        <v>5</v>
      </c>
      <c r="B29" s="33" t="s">
        <v>94</v>
      </c>
      <c r="C29" s="131">
        <v>10896.6</v>
      </c>
      <c r="D29" s="33">
        <v>8600.7999999999993</v>
      </c>
      <c r="E29" s="25">
        <v>7364.9</v>
      </c>
      <c r="F29" s="43">
        <f t="shared" si="0"/>
        <v>-1235.8999999999996</v>
      </c>
      <c r="G29" s="34">
        <f t="shared" si="1"/>
        <v>85.630406473816393</v>
      </c>
    </row>
    <row r="30" spans="1:8" ht="30" customHeight="1">
      <c r="A30" s="69" t="s">
        <v>6</v>
      </c>
      <c r="B30" s="47" t="s">
        <v>254</v>
      </c>
      <c r="C30" s="131">
        <f>SUM(C31:C33)</f>
        <v>45007.799999999996</v>
      </c>
      <c r="D30" s="33">
        <f>SUM(D31:D33)</f>
        <v>40555.399999999994</v>
      </c>
      <c r="E30" s="33">
        <f>SUM(E31:E33)</f>
        <v>24836.899999999998</v>
      </c>
      <c r="F30" s="43">
        <f t="shared" si="0"/>
        <v>-15718.499999999996</v>
      </c>
      <c r="G30" s="34">
        <f t="shared" si="1"/>
        <v>61.241906133338595</v>
      </c>
    </row>
    <row r="31" spans="1:8" ht="15">
      <c r="A31" s="25" t="s">
        <v>230</v>
      </c>
      <c r="B31" s="48" t="s">
        <v>96</v>
      </c>
      <c r="C31" s="131">
        <v>38307.199999999997</v>
      </c>
      <c r="D31" s="33">
        <v>33986.5</v>
      </c>
      <c r="E31" s="25">
        <v>20984</v>
      </c>
      <c r="F31" s="43">
        <f t="shared" si="0"/>
        <v>-13002.5</v>
      </c>
      <c r="G31" s="34">
        <f>SUM(E31/D31*100)</f>
        <v>61.742162329160109</v>
      </c>
      <c r="H31" s="28"/>
    </row>
    <row r="32" spans="1:8" ht="15">
      <c r="A32" s="25" t="s">
        <v>231</v>
      </c>
      <c r="B32" s="33" t="s">
        <v>158</v>
      </c>
      <c r="C32" s="33">
        <v>5661.4</v>
      </c>
      <c r="D32" s="33">
        <v>5529.7</v>
      </c>
      <c r="E32" s="25">
        <v>3567.8</v>
      </c>
      <c r="F32" s="43">
        <f>SUM(E32-D32)</f>
        <v>-1961.8999999999996</v>
      </c>
      <c r="G32" s="34">
        <f>SUM(E32/D32*100)</f>
        <v>64.520679241188489</v>
      </c>
    </row>
    <row r="33" spans="1:8" ht="15">
      <c r="A33" s="25" t="s">
        <v>233</v>
      </c>
      <c r="B33" s="48" t="s">
        <v>159</v>
      </c>
      <c r="C33" s="33">
        <v>1039.2</v>
      </c>
      <c r="D33" s="48">
        <v>1039.2</v>
      </c>
      <c r="E33" s="70">
        <v>285.10000000000002</v>
      </c>
      <c r="F33" s="43">
        <f t="shared" si="0"/>
        <v>-754.1</v>
      </c>
      <c r="G33" s="34">
        <f t="shared" si="1"/>
        <v>27.43456505003849</v>
      </c>
      <c r="H33" s="28"/>
    </row>
    <row r="34" spans="1:8" ht="15.75" thickBot="1">
      <c r="A34" s="70" t="s">
        <v>7</v>
      </c>
      <c r="B34" s="48" t="s">
        <v>235</v>
      </c>
      <c r="C34" s="85">
        <v>1942.7</v>
      </c>
      <c r="D34" s="87">
        <v>1435.9</v>
      </c>
      <c r="E34" s="86">
        <v>1435.6</v>
      </c>
      <c r="F34" s="71">
        <f t="shared" si="0"/>
        <v>-0.3000000000001819</v>
      </c>
      <c r="G34" s="80">
        <f>SUM(E34/D34*100)</f>
        <v>99.979107180165741</v>
      </c>
    </row>
    <row r="35" spans="1:8" ht="16.5" thickBot="1">
      <c r="A35" s="246" t="s">
        <v>82</v>
      </c>
      <c r="B35" s="247"/>
      <c r="C35" s="136">
        <f>SUM(C8+C9+C26+C27+C28+C29+C30+C34)</f>
        <v>176606.30000000002</v>
      </c>
      <c r="D35" s="72">
        <f>SUM(D8+D9+D26+D27+D28+D29+D30+D34)</f>
        <v>145785.19999999998</v>
      </c>
      <c r="E35" s="136">
        <f>SUM(E8+E9+E26+E27+E28+E29+E30+E34)</f>
        <v>110773.19999999998</v>
      </c>
      <c r="F35" s="72">
        <f>SUM(F8+F9+F26+F27+F28+F29+F30+F34)</f>
        <v>-35012</v>
      </c>
      <c r="G35" s="124">
        <f>SUM(E35/D35*100)</f>
        <v>75.983844724978951</v>
      </c>
    </row>
    <row r="37" spans="1:8">
      <c r="D37" s="2"/>
      <c r="E37" s="2"/>
    </row>
  </sheetData>
  <mergeCells count="11">
    <mergeCell ref="F1:G1"/>
    <mergeCell ref="A35:B35"/>
    <mergeCell ref="B2:E2"/>
    <mergeCell ref="A3:G3"/>
    <mergeCell ref="A6:A7"/>
    <mergeCell ref="B6:B7"/>
    <mergeCell ref="C6:C7"/>
    <mergeCell ref="D6:D7"/>
    <mergeCell ref="E6:E7"/>
    <mergeCell ref="F6:G6"/>
    <mergeCell ref="F5:G5"/>
  </mergeCells>
  <printOptions horizontalCentered="1"/>
  <pageMargins left="0.9055118110236221" right="0.5118110236220472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9</vt:i4>
      </vt:variant>
    </vt:vector>
  </HeadingPairs>
  <TitlesOfParts>
    <vt:vector size="9" baseType="lpstr">
      <vt:lpstr>biudžeto pajamų vykdymas</vt:lpstr>
      <vt:lpstr>pajamų už teikiamas pasl vykdym</vt:lpstr>
      <vt:lpstr>pajamo už patalpų nuomą</vt:lpstr>
      <vt:lpstr>vykdymas pagal asig valdytojus</vt:lpstr>
      <vt:lpstr>vykdymas pagal programas</vt:lpstr>
      <vt:lpstr>vykdymas pagal valstybės funk</vt:lpstr>
      <vt:lpstr>asignavimai pagal valstyb funk</vt:lpstr>
      <vt:lpstr>vykdymas pagal ekonom paskirst</vt:lpstr>
      <vt:lpstr>asignavimai pagal ekonom paskir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Irena Gailiuvienė</cp:lastModifiedBy>
  <cp:lastPrinted>2025-10-20T18:38:20Z</cp:lastPrinted>
  <dcterms:created xsi:type="dcterms:W3CDTF">1996-10-14T23:33:28Z</dcterms:created>
  <dcterms:modified xsi:type="dcterms:W3CDTF">2025-10-21T10:32:46Z</dcterms:modified>
</cp:coreProperties>
</file>