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vaida.cedaviciene\Desktop\"/>
    </mc:Choice>
  </mc:AlternateContent>
  <xr:revisionPtr revIDLastSave="0" documentId="13_ncr:1_{A7AFA784-2BE7-4396-BF17-CDB12ACE9953}" xr6:coauthVersionLast="47" xr6:coauthVersionMax="47" xr10:uidLastSave="{00000000-0000-0000-0000-000000000000}"/>
  <bookViews>
    <workbookView xWindow="-28920" yWindow="-2460" windowWidth="29040" windowHeight="15720" tabRatio="880" activeTab="1" xr2:uid="{00000000-000D-0000-FFFF-FFFF00000000}"/>
  </bookViews>
  <sheets>
    <sheet name="Vykd " sheetId="48" r:id="rId1"/>
    <sheet name="MVP 2025" sheetId="30" r:id="rId2"/>
  </sheets>
  <definedNames>
    <definedName name="_xlnm._FilterDatabase" localSheetId="1" hidden="1">'MVP 2025'!$A$3:$Q$1049</definedName>
    <definedName name="OLE_LINK1">#REF!</definedName>
    <definedName name="_xlnm.Print_Area" localSheetId="1">'MVP 2025'!$A$1:$Q$203</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3" i="30" l="1"/>
  <c r="J924" i="30"/>
  <c r="J921" i="30"/>
  <c r="J897" i="30"/>
  <c r="J888" i="30"/>
  <c r="J883" i="30"/>
  <c r="J817" i="30"/>
  <c r="J851" i="30"/>
  <c r="J913" i="30"/>
  <c r="J892" i="30"/>
  <c r="J872" i="30"/>
  <c r="J938" i="30"/>
  <c r="J939" i="30"/>
  <c r="J914" i="30"/>
  <c r="J1019" i="30"/>
  <c r="J990" i="30"/>
  <c r="J992" i="30"/>
  <c r="J978" i="30"/>
  <c r="J988" i="30"/>
  <c r="J987" i="30"/>
  <c r="J788" i="30"/>
  <c r="J784" i="30"/>
  <c r="J785" i="30"/>
  <c r="J724" i="30"/>
  <c r="J752" i="30"/>
  <c r="J745" i="30"/>
  <c r="J709" i="30"/>
  <c r="J510" i="30"/>
  <c r="J636" i="30"/>
  <c r="J509" i="30"/>
  <c r="J604" i="30"/>
  <c r="J609" i="30"/>
  <c r="J598" i="30"/>
  <c r="J648" i="30"/>
  <c r="J645" i="30"/>
  <c r="J603" i="30"/>
  <c r="J589" i="30"/>
  <c r="J572" i="30"/>
  <c r="J547" i="30"/>
  <c r="J569" i="30"/>
  <c r="J565" i="30"/>
  <c r="J560" i="30"/>
  <c r="J574" i="30"/>
  <c r="J590" i="30"/>
  <c r="J524" i="30"/>
  <c r="J532" i="30"/>
  <c r="J533" i="30"/>
  <c r="J534" i="30"/>
  <c r="J593" i="30"/>
  <c r="J594" i="30"/>
  <c r="J490" i="30"/>
  <c r="J586" i="30"/>
  <c r="J582" i="30"/>
  <c r="J406" i="30"/>
  <c r="J375" i="30"/>
  <c r="J347" i="30"/>
  <c r="J346" i="30"/>
  <c r="J339" i="30"/>
  <c r="J338" i="30"/>
  <c r="J382" i="30"/>
  <c r="J352" i="30"/>
  <c r="J411" i="30"/>
  <c r="J356" i="30"/>
  <c r="J396" i="30"/>
  <c r="J395" i="30"/>
  <c r="J182" i="30"/>
  <c r="J167" i="30"/>
  <c r="J76" i="30"/>
  <c r="J35" i="30"/>
  <c r="J57" i="30"/>
  <c r="J10" i="30"/>
  <c r="J1021" i="30"/>
  <c r="J965" i="30"/>
  <c r="J1029" i="30"/>
  <c r="J1044" i="30"/>
  <c r="J1036" i="30"/>
  <c r="J891" i="30"/>
  <c r="J1048" i="30"/>
  <c r="J1046" i="30"/>
  <c r="J1012" i="30"/>
  <c r="J1038" i="30"/>
  <c r="J1024" i="30"/>
  <c r="J1023" i="30"/>
  <c r="J833" i="30"/>
  <c r="J809" i="30"/>
  <c r="J812" i="30"/>
  <c r="J834" i="30"/>
  <c r="J943" i="30"/>
  <c r="J953" i="30"/>
  <c r="J952" i="30"/>
  <c r="J910" i="30"/>
  <c r="J787" i="30"/>
  <c r="J773" i="30"/>
  <c r="J755" i="30"/>
  <c r="J722" i="30"/>
  <c r="J730" i="30"/>
  <c r="J767" i="30"/>
  <c r="J513" i="30"/>
  <c r="J531" i="30"/>
  <c r="J512" i="30"/>
  <c r="J635" i="30"/>
  <c r="J567" i="30"/>
  <c r="J505" i="30"/>
  <c r="J520" i="30"/>
  <c r="J523" i="30"/>
  <c r="J518" i="30"/>
  <c r="J519" i="30"/>
  <c r="J516" i="30"/>
  <c r="J558" i="30"/>
  <c r="J556" i="30"/>
  <c r="J554" i="30"/>
  <c r="J562" i="30"/>
  <c r="J587" i="30"/>
  <c r="J511" i="30"/>
  <c r="J705" i="30"/>
  <c r="J691" i="30"/>
  <c r="J690" i="30"/>
  <c r="J689" i="30"/>
  <c r="J688" i="30"/>
  <c r="J687" i="30"/>
  <c r="J514" i="30"/>
  <c r="J634" i="30"/>
  <c r="J366" i="30"/>
  <c r="J408" i="30"/>
  <c r="J349" i="30"/>
  <c r="J444" i="30"/>
  <c r="J441" i="30"/>
  <c r="J399" i="30"/>
  <c r="J422" i="30"/>
  <c r="J421" i="30"/>
  <c r="J418" i="30"/>
  <c r="J417" i="30"/>
  <c r="J415" i="30"/>
  <c r="J414" i="30"/>
  <c r="J403" i="30"/>
  <c r="J365" i="30"/>
  <c r="J330" i="30"/>
  <c r="J329" i="30"/>
  <c r="J318" i="30"/>
  <c r="J283" i="30"/>
  <c r="J280" i="30"/>
  <c r="J281" i="30" s="1"/>
  <c r="J279" i="30"/>
  <c r="J275" i="30"/>
  <c r="J277" i="30" s="1"/>
  <c r="J273" i="30"/>
  <c r="J274" i="30" s="1"/>
  <c r="J272" i="30"/>
  <c r="J269" i="30"/>
  <c r="J270" i="30" s="1"/>
  <c r="J267" i="30"/>
  <c r="J268" i="30" s="1"/>
  <c r="J266" i="30"/>
  <c r="J264" i="30"/>
  <c r="J261" i="30"/>
  <c r="J262" i="30" s="1"/>
  <c r="J287" i="30" l="1"/>
  <c r="J218" i="30"/>
  <c r="J216" i="30"/>
  <c r="J215" i="30"/>
  <c r="J148" i="30"/>
  <c r="J147" i="30"/>
  <c r="J149" i="30"/>
  <c r="J153" i="30"/>
  <c r="J152" i="30"/>
  <c r="J151" i="30"/>
  <c r="J154" i="30"/>
  <c r="J191" i="30"/>
  <c r="J194" i="30"/>
  <c r="J189" i="30"/>
  <c r="J188" i="30"/>
  <c r="J236" i="30"/>
  <c r="J235" i="30"/>
  <c r="J234" i="30"/>
  <c r="J233" i="30"/>
  <c r="J231" i="30" l="1"/>
  <c r="J227" i="30"/>
  <c r="J84" i="30"/>
  <c r="J83" i="30"/>
  <c r="J93" i="30"/>
  <c r="J110" i="30"/>
  <c r="J109" i="30"/>
  <c r="J79" i="30"/>
  <c r="J105" i="30"/>
  <c r="J104" i="30"/>
  <c r="J102" i="30"/>
  <c r="J112" i="30"/>
  <c r="J27" i="30"/>
  <c r="J68" i="30"/>
  <c r="J65" i="30"/>
  <c r="J7" i="30"/>
  <c r="J72" i="30"/>
  <c r="J61" i="30"/>
  <c r="J20" i="30"/>
  <c r="J16" i="30"/>
  <c r="J44" i="30"/>
  <c r="J221" i="30"/>
  <c r="J220" i="30"/>
  <c r="J219" i="30"/>
  <c r="J217" i="30"/>
  <c r="J145" i="30"/>
  <c r="J143" i="30"/>
  <c r="J140" i="30"/>
  <c r="J139" i="30"/>
  <c r="J873" i="30"/>
  <c r="J876" i="30"/>
  <c r="J880" i="30"/>
  <c r="J906" i="30"/>
  <c r="J912" i="30"/>
  <c r="J931" i="30"/>
  <c r="J890" i="30"/>
  <c r="J958" i="30"/>
  <c r="J887" i="30"/>
  <c r="J712" i="30"/>
  <c r="J769" i="30"/>
  <c r="J768" i="30"/>
  <c r="J763" i="30"/>
  <c r="J757" i="30"/>
  <c r="J699" i="30"/>
  <c r="J686" i="30"/>
  <c r="J564" i="30"/>
  <c r="J385" i="30" l="1"/>
  <c r="J355" i="30"/>
  <c r="J370" i="30"/>
  <c r="J377" i="30"/>
  <c r="J344" i="30"/>
  <c r="J342" i="30"/>
  <c r="J327" i="30"/>
  <c r="J123" i="30"/>
  <c r="J200" i="30"/>
  <c r="J211" i="30"/>
  <c r="J210" i="30"/>
  <c r="J49" i="30"/>
  <c r="J48" i="30"/>
  <c r="J537" i="30" l="1"/>
  <c r="J640" i="30"/>
  <c r="J325" i="30"/>
  <c r="J941" i="30" l="1"/>
  <c r="J1031" i="30"/>
  <c r="J1035" i="30"/>
  <c r="J1026" i="30"/>
  <c r="J799" i="30"/>
  <c r="J746" i="30"/>
  <c r="J733" i="30"/>
  <c r="J670" i="30"/>
  <c r="J698" i="30"/>
  <c r="J489" i="30"/>
  <c r="J504" i="30"/>
  <c r="J625" i="30"/>
  <c r="J624" i="30"/>
  <c r="J251" i="30"/>
  <c r="J229" i="30"/>
  <c r="J193" i="30"/>
  <c r="J63" i="30"/>
  <c r="J62" i="30"/>
  <c r="J1008" i="30" l="1"/>
  <c r="J750" i="30"/>
  <c r="J756" i="30"/>
  <c r="J744" i="30"/>
  <c r="J649" i="30"/>
  <c r="J700" i="30"/>
  <c r="J642" i="30"/>
  <c r="J644" i="30" s="1"/>
  <c r="J638" i="30" l="1"/>
  <c r="J779" i="30"/>
  <c r="J782" i="30"/>
  <c r="J1032" i="30"/>
  <c r="J446" i="30"/>
  <c r="J435" i="30"/>
  <c r="J371" i="30"/>
  <c r="J384" i="30"/>
  <c r="J391" i="30"/>
  <c r="J258" i="30"/>
  <c r="J249" i="30"/>
  <c r="J296" i="30"/>
  <c r="I255" i="30"/>
  <c r="K255" i="30"/>
  <c r="L255" i="30"/>
  <c r="J255" i="30"/>
  <c r="J42" i="30"/>
  <c r="I42" i="30"/>
  <c r="J29" i="30"/>
  <c r="J28" i="30"/>
  <c r="J25" i="30" l="1"/>
  <c r="J24" i="30"/>
  <c r="J419" i="30" l="1"/>
  <c r="J420" i="30" s="1"/>
  <c r="J353" i="30"/>
  <c r="J409" i="30"/>
  <c r="J715" i="30"/>
  <c r="J714" i="30"/>
  <c r="J501" i="30"/>
  <c r="J528" i="30"/>
  <c r="J530" i="30" s="1"/>
  <c r="I530" i="30"/>
  <c r="H530" i="30"/>
  <c r="J674" i="30"/>
  <c r="J312" i="30" l="1"/>
  <c r="J292" i="30"/>
  <c r="J241" i="30"/>
  <c r="J178" i="30"/>
  <c r="J38" i="30"/>
  <c r="I38" i="30"/>
  <c r="J314" i="30" l="1"/>
  <c r="J133" i="30" l="1"/>
  <c r="J651" i="30" l="1"/>
  <c r="J646" i="30"/>
  <c r="J647" i="30" s="1"/>
  <c r="J697" i="30"/>
  <c r="J692" i="30" s="1"/>
  <c r="J675" i="30"/>
  <c r="J672" i="30"/>
  <c r="J667" i="30"/>
  <c r="J654" i="30" s="1"/>
  <c r="J641" i="30" l="1"/>
  <c r="J639" i="30"/>
  <c r="J664" i="30"/>
  <c r="J657" i="30" s="1"/>
  <c r="J663" i="30"/>
  <c r="J584" i="30"/>
  <c r="J585" i="30"/>
  <c r="J577" i="30"/>
  <c r="J576" i="30"/>
  <c r="J614" i="30"/>
  <c r="J865" i="30"/>
  <c r="L1049" i="30"/>
  <c r="K1049" i="30"/>
  <c r="J1049" i="30"/>
  <c r="I1049" i="30"/>
  <c r="J1001" i="30"/>
  <c r="J1040" i="30"/>
  <c r="J716" i="30"/>
  <c r="J717" i="30" s="1"/>
  <c r="J748" i="30"/>
  <c r="J747" i="30"/>
  <c r="J727" i="30"/>
  <c r="J307" i="30"/>
  <c r="J306" i="30"/>
  <c r="J138" i="30"/>
  <c r="J137" i="30"/>
  <c r="J136" i="30"/>
  <c r="J538" i="30" l="1"/>
  <c r="J130" i="30"/>
  <c r="J240" i="30" l="1"/>
  <c r="J257" i="30"/>
  <c r="J209" i="30"/>
  <c r="J223" i="30"/>
  <c r="L197" i="30"/>
  <c r="K197" i="30"/>
  <c r="J197" i="30"/>
  <c r="I197" i="30"/>
  <c r="H197" i="30"/>
  <c r="J30" i="30"/>
  <c r="J36" i="30"/>
  <c r="J793" i="30" l="1"/>
  <c r="J764" i="30" l="1"/>
  <c r="J934" i="30"/>
  <c r="J776" i="30"/>
  <c r="J521" i="30" l="1"/>
  <c r="J360" i="30"/>
  <c r="J308" i="30" l="1"/>
  <c r="J225" i="30"/>
  <c r="J175" i="30"/>
  <c r="J22" i="30" l="1"/>
  <c r="J972" i="30" l="1"/>
  <c r="J311" i="30"/>
  <c r="K229" i="30"/>
  <c r="J213" i="30"/>
  <c r="K227" i="30"/>
  <c r="K213" i="30" l="1"/>
  <c r="L213" i="30"/>
  <c r="K212" i="30"/>
  <c r="L212" i="30"/>
  <c r="I213" i="30"/>
  <c r="L1047" i="30"/>
  <c r="K1047" i="30"/>
  <c r="J1047" i="30"/>
  <c r="I1047" i="30"/>
  <c r="L1045" i="30"/>
  <c r="K1045" i="30"/>
  <c r="J1045" i="30"/>
  <c r="I1045" i="30"/>
  <c r="J1043" i="30"/>
  <c r="I1043" i="30"/>
  <c r="H1043" i="30"/>
  <c r="L1040" i="30"/>
  <c r="L1043" i="30" s="1"/>
  <c r="K1040" i="30"/>
  <c r="K1043" i="30" s="1"/>
  <c r="L1039" i="30"/>
  <c r="K1039" i="30"/>
  <c r="I1039" i="30"/>
  <c r="J1039" i="30"/>
  <c r="H1038" i="30"/>
  <c r="L1037" i="30"/>
  <c r="K1037" i="30"/>
  <c r="J1037" i="30"/>
  <c r="I1037" i="30"/>
  <c r="H1037" i="30"/>
  <c r="L1034" i="30"/>
  <c r="K1034" i="30"/>
  <c r="J1034" i="30"/>
  <c r="I1034" i="30"/>
  <c r="H1034" i="30"/>
  <c r="L1030" i="30"/>
  <c r="K1030" i="30"/>
  <c r="J1030" i="30"/>
  <c r="I1030" i="30"/>
  <c r="L1028" i="30"/>
  <c r="I1028" i="30"/>
  <c r="H1028" i="30"/>
  <c r="J1009" i="30"/>
  <c r="K1023" i="30"/>
  <c r="K1028" i="30" s="1"/>
  <c r="L1022" i="30"/>
  <c r="K1022" i="30"/>
  <c r="I1022" i="30"/>
  <c r="H1021" i="30"/>
  <c r="L1020" i="30"/>
  <c r="K1020" i="30"/>
  <c r="J1020" i="30"/>
  <c r="I1020" i="30"/>
  <c r="L1018" i="30"/>
  <c r="K1018" i="30"/>
  <c r="J1018" i="30"/>
  <c r="I1018" i="30"/>
  <c r="L1014" i="30"/>
  <c r="K1014" i="30"/>
  <c r="J1014" i="30"/>
  <c r="I1014" i="30"/>
  <c r="L1010" i="30"/>
  <c r="K1010" i="30"/>
  <c r="J1010" i="30"/>
  <c r="I1010" i="30"/>
  <c r="H1010" i="30"/>
  <c r="L1009" i="30"/>
  <c r="K1009" i="30"/>
  <c r="L1008" i="30"/>
  <c r="K1008" i="30"/>
  <c r="I1008" i="30"/>
  <c r="H1008" i="30"/>
  <c r="L1007" i="30"/>
  <c r="K1007" i="30"/>
  <c r="J1007" i="30"/>
  <c r="I1007" i="30"/>
  <c r="H1007" i="30"/>
  <c r="L1006" i="30"/>
  <c r="K1006" i="30"/>
  <c r="J1006" i="30"/>
  <c r="I1006" i="30"/>
  <c r="H1006" i="30"/>
  <c r="L1005" i="30"/>
  <c r="K1005" i="30"/>
  <c r="J1005" i="30"/>
  <c r="I1005" i="30"/>
  <c r="L1004" i="30"/>
  <c r="K1004" i="30"/>
  <c r="J1004" i="30"/>
  <c r="I1004" i="30"/>
  <c r="H1004" i="30"/>
  <c r="I1003" i="30"/>
  <c r="L999" i="30"/>
  <c r="K999" i="30"/>
  <c r="J999" i="30"/>
  <c r="I999" i="30"/>
  <c r="I1001" i="30" s="1"/>
  <c r="L995" i="30"/>
  <c r="K995" i="30"/>
  <c r="J995" i="30"/>
  <c r="I995" i="30"/>
  <c r="L993" i="30"/>
  <c r="K993" i="30"/>
  <c r="J993" i="30"/>
  <c r="I993" i="30"/>
  <c r="L991" i="30"/>
  <c r="K991" i="30"/>
  <c r="J991" i="30"/>
  <c r="I991" i="30"/>
  <c r="I989" i="30"/>
  <c r="H989" i="30"/>
  <c r="L987" i="30"/>
  <c r="L970" i="30" s="1"/>
  <c r="K987" i="30"/>
  <c r="K989" i="30" s="1"/>
  <c r="J989" i="30"/>
  <c r="L986" i="30"/>
  <c r="K986" i="30"/>
  <c r="J986" i="30"/>
  <c r="I986" i="30"/>
  <c r="L984" i="30"/>
  <c r="K984" i="30"/>
  <c r="J984" i="30"/>
  <c r="I984" i="30"/>
  <c r="L982" i="30"/>
  <c r="K982" i="30"/>
  <c r="J982" i="30"/>
  <c r="I982" i="30"/>
  <c r="L979" i="30"/>
  <c r="K979" i="30"/>
  <c r="I979" i="30"/>
  <c r="J979" i="30"/>
  <c r="L977" i="30"/>
  <c r="I977" i="30"/>
  <c r="K976" i="30"/>
  <c r="K977" i="30" s="1"/>
  <c r="J976" i="30"/>
  <c r="L974" i="30"/>
  <c r="K974" i="30"/>
  <c r="J974" i="30"/>
  <c r="I974" i="30"/>
  <c r="L973" i="30"/>
  <c r="K973" i="30"/>
  <c r="J973" i="30"/>
  <c r="I973" i="30"/>
  <c r="L972" i="30"/>
  <c r="K972" i="30"/>
  <c r="I972" i="30"/>
  <c r="H972" i="30"/>
  <c r="L971" i="30"/>
  <c r="K971" i="30"/>
  <c r="J971" i="30"/>
  <c r="I971" i="30"/>
  <c r="H971" i="30"/>
  <c r="I970" i="30"/>
  <c r="H970" i="30"/>
  <c r="L968" i="30"/>
  <c r="K968" i="30"/>
  <c r="J968" i="30"/>
  <c r="I968" i="30"/>
  <c r="H968" i="30"/>
  <c r="L966" i="30"/>
  <c r="K966" i="30"/>
  <c r="J966" i="30"/>
  <c r="I966" i="30"/>
  <c r="H966" i="30"/>
  <c r="L963" i="30"/>
  <c r="L964" i="30" s="1"/>
  <c r="K963" i="30"/>
  <c r="K964" i="30" s="1"/>
  <c r="J963" i="30"/>
  <c r="J964" i="30" s="1"/>
  <c r="I963" i="30"/>
  <c r="I964" i="30" s="1"/>
  <c r="H963" i="30"/>
  <c r="H964" i="30" s="1"/>
  <c r="L962" i="30"/>
  <c r="K962" i="30"/>
  <c r="J962" i="30"/>
  <c r="I962" i="30"/>
  <c r="L959" i="30"/>
  <c r="K959" i="30"/>
  <c r="J959" i="30"/>
  <c r="I959" i="30"/>
  <c r="L957" i="30"/>
  <c r="K957" i="30"/>
  <c r="J957" i="30"/>
  <c r="I957" i="30"/>
  <c r="L954" i="30"/>
  <c r="K954" i="30"/>
  <c r="J954" i="30"/>
  <c r="I954" i="30"/>
  <c r="L951" i="30"/>
  <c r="K951" i="30"/>
  <c r="J951" i="30"/>
  <c r="I950" i="30"/>
  <c r="I951" i="30" s="1"/>
  <c r="L949" i="30"/>
  <c r="K949" i="30"/>
  <c r="J949" i="30"/>
  <c r="I947" i="30"/>
  <c r="I949" i="30" s="1"/>
  <c r="L946" i="30"/>
  <c r="K946" i="30"/>
  <c r="J946" i="30"/>
  <c r="I946" i="30"/>
  <c r="H946" i="30"/>
  <c r="L944" i="30"/>
  <c r="K944" i="30"/>
  <c r="J944" i="30"/>
  <c r="I944" i="30"/>
  <c r="H944" i="30"/>
  <c r="L942" i="30"/>
  <c r="K942" i="30"/>
  <c r="J942" i="30"/>
  <c r="I942" i="30"/>
  <c r="H942" i="30"/>
  <c r="L940" i="30"/>
  <c r="K940" i="30"/>
  <c r="J940" i="30"/>
  <c r="I940" i="30"/>
  <c r="H940" i="30"/>
  <c r="L937" i="30"/>
  <c r="K937" i="30"/>
  <c r="J937" i="30"/>
  <c r="H937" i="30"/>
  <c r="I936" i="30"/>
  <c r="I937" i="30" s="1"/>
  <c r="L935" i="30"/>
  <c r="K935" i="30"/>
  <c r="J935" i="30"/>
  <c r="I935" i="30"/>
  <c r="H935" i="30"/>
  <c r="L933" i="30"/>
  <c r="K933" i="30"/>
  <c r="J933" i="30"/>
  <c r="I933" i="30"/>
  <c r="H933" i="30"/>
  <c r="L929" i="30"/>
  <c r="L856" i="30" s="1"/>
  <c r="K929" i="30"/>
  <c r="K856" i="30" s="1"/>
  <c r="J929" i="30"/>
  <c r="J856" i="30" s="1"/>
  <c r="I929" i="30"/>
  <c r="H929" i="30"/>
  <c r="L928" i="30"/>
  <c r="L854" i="30" s="1"/>
  <c r="K928" i="30"/>
  <c r="K854" i="30" s="1"/>
  <c r="J928" i="30"/>
  <c r="I928" i="30"/>
  <c r="H928" i="30"/>
  <c r="H854" i="30" s="1"/>
  <c r="H866" i="30" s="1"/>
  <c r="L917" i="30"/>
  <c r="K917" i="30"/>
  <c r="J917" i="30"/>
  <c r="I917" i="30"/>
  <c r="H917" i="30"/>
  <c r="L915" i="30"/>
  <c r="K915" i="30"/>
  <c r="J915" i="30"/>
  <c r="H915" i="30"/>
  <c r="I908" i="30"/>
  <c r="L905" i="30"/>
  <c r="K905" i="30"/>
  <c r="J905" i="30"/>
  <c r="H905" i="30"/>
  <c r="I904" i="30"/>
  <c r="I903" i="30"/>
  <c r="I902" i="30"/>
  <c r="I901" i="30"/>
  <c r="I899" i="30"/>
  <c r="I898" i="30"/>
  <c r="I896" i="30"/>
  <c r="L893" i="30"/>
  <c r="K893" i="30"/>
  <c r="I893" i="30"/>
  <c r="H893" i="30"/>
  <c r="J893" i="30"/>
  <c r="L889" i="30"/>
  <c r="K889" i="30"/>
  <c r="H889" i="30"/>
  <c r="I887" i="30"/>
  <c r="I889" i="30" s="1"/>
  <c r="L886" i="30"/>
  <c r="K886" i="30"/>
  <c r="J886" i="30"/>
  <c r="I886" i="30"/>
  <c r="H886" i="30"/>
  <c r="L884" i="30"/>
  <c r="K884" i="30"/>
  <c r="J884" i="30"/>
  <c r="I884" i="30"/>
  <c r="H884" i="30"/>
  <c r="L881" i="30"/>
  <c r="K881" i="30"/>
  <c r="J881" i="30"/>
  <c r="I881" i="30"/>
  <c r="H881" i="30"/>
  <c r="L878" i="30"/>
  <c r="K878" i="30"/>
  <c r="J878" i="30"/>
  <c r="I878" i="30"/>
  <c r="H878" i="30"/>
  <c r="L874" i="30"/>
  <c r="K874" i="30"/>
  <c r="J874" i="30"/>
  <c r="I874" i="30"/>
  <c r="H874" i="30"/>
  <c r="L871" i="30"/>
  <c r="K871" i="30"/>
  <c r="J871" i="30"/>
  <c r="I871" i="30"/>
  <c r="H871" i="30"/>
  <c r="L868" i="30"/>
  <c r="K868" i="30"/>
  <c r="J868" i="30"/>
  <c r="I868" i="30"/>
  <c r="H868" i="30"/>
  <c r="L864" i="30"/>
  <c r="K864" i="30"/>
  <c r="J864" i="30"/>
  <c r="I864" i="30"/>
  <c r="L863" i="30"/>
  <c r="K863" i="30"/>
  <c r="J863" i="30"/>
  <c r="I863" i="30"/>
  <c r="L862" i="30"/>
  <c r="K862" i="30"/>
  <c r="J862" i="30"/>
  <c r="I862" i="30"/>
  <c r="L861" i="30"/>
  <c r="K861" i="30"/>
  <c r="J861" i="30"/>
  <c r="H861" i="30"/>
  <c r="L860" i="30"/>
  <c r="K860" i="30"/>
  <c r="J860" i="30"/>
  <c r="I860" i="30"/>
  <c r="H860" i="30"/>
  <c r="L859" i="30"/>
  <c r="K859" i="30"/>
  <c r="J859" i="30"/>
  <c r="H859" i="30"/>
  <c r="L858" i="30"/>
  <c r="K858" i="30"/>
  <c r="J858" i="30"/>
  <c r="I858" i="30"/>
  <c r="H858" i="30"/>
  <c r="L857" i="30"/>
  <c r="K857" i="30"/>
  <c r="J857" i="30"/>
  <c r="I857" i="30"/>
  <c r="H857" i="30"/>
  <c r="H856" i="30"/>
  <c r="L855" i="30"/>
  <c r="K855" i="30"/>
  <c r="I855" i="30"/>
  <c r="L852" i="30"/>
  <c r="K852" i="30"/>
  <c r="I852" i="30"/>
  <c r="H852" i="30"/>
  <c r="L833" i="30"/>
  <c r="I833" i="30"/>
  <c r="H833" i="30"/>
  <c r="K822" i="30"/>
  <c r="K815" i="30" s="1"/>
  <c r="L816" i="30"/>
  <c r="K816" i="30"/>
  <c r="J816" i="30"/>
  <c r="I816" i="30"/>
  <c r="H816" i="30"/>
  <c r="L815" i="30"/>
  <c r="I815" i="30"/>
  <c r="H815" i="30"/>
  <c r="L807" i="30"/>
  <c r="K807" i="30"/>
  <c r="J807" i="30"/>
  <c r="I807" i="30"/>
  <c r="H807" i="30"/>
  <c r="L806" i="30"/>
  <c r="K806" i="30"/>
  <c r="J806" i="30"/>
  <c r="I806" i="30"/>
  <c r="H806" i="30"/>
  <c r="L801" i="30"/>
  <c r="L800" i="30"/>
  <c r="J800" i="30"/>
  <c r="L798" i="30"/>
  <c r="K798" i="30"/>
  <c r="L797" i="30"/>
  <c r="K797" i="30"/>
  <c r="I797" i="30"/>
  <c r="L793" i="30"/>
  <c r="K793" i="30"/>
  <c r="I793" i="30"/>
  <c r="L792" i="30"/>
  <c r="K792" i="30"/>
  <c r="I792" i="30"/>
  <c r="L791" i="30"/>
  <c r="L789" i="30"/>
  <c r="H789" i="30"/>
  <c r="I798" i="30"/>
  <c r="I799" i="30"/>
  <c r="K787" i="30"/>
  <c r="K801" i="30" s="1"/>
  <c r="I787" i="30"/>
  <c r="I801" i="30" s="1"/>
  <c r="K785" i="30"/>
  <c r="K800" i="30" s="1"/>
  <c r="I785" i="30"/>
  <c r="K784" i="30"/>
  <c r="L783" i="30"/>
  <c r="I783" i="30"/>
  <c r="K782" i="30"/>
  <c r="K783" i="30" s="1"/>
  <c r="J783" i="30"/>
  <c r="L777" i="30"/>
  <c r="K777" i="30"/>
  <c r="J777" i="30"/>
  <c r="I777" i="30"/>
  <c r="H777" i="30"/>
  <c r="L775" i="30"/>
  <c r="K775" i="30"/>
  <c r="I775" i="30"/>
  <c r="H775" i="30"/>
  <c r="J791" i="30"/>
  <c r="L770" i="30"/>
  <c r="K770" i="30"/>
  <c r="J770" i="30"/>
  <c r="I770" i="30"/>
  <c r="I765" i="30" s="1"/>
  <c r="H770" i="30"/>
  <c r="L764" i="30"/>
  <c r="K764" i="30"/>
  <c r="I764" i="30"/>
  <c r="H764" i="30"/>
  <c r="L758" i="30"/>
  <c r="K758" i="30"/>
  <c r="I758" i="30"/>
  <c r="H758" i="30"/>
  <c r="J758" i="30"/>
  <c r="L753" i="30"/>
  <c r="K753" i="30"/>
  <c r="J753" i="30"/>
  <c r="I753" i="30"/>
  <c r="H752" i="30"/>
  <c r="H753" i="30" s="1"/>
  <c r="L751" i="30"/>
  <c r="K751" i="30"/>
  <c r="J751" i="30"/>
  <c r="I751" i="30"/>
  <c r="H750" i="30"/>
  <c r="H751" i="30" s="1"/>
  <c r="L749" i="30"/>
  <c r="K749" i="30"/>
  <c r="J749" i="30"/>
  <c r="I749" i="30"/>
  <c r="H749" i="30"/>
  <c r="L743" i="30"/>
  <c r="K743" i="30"/>
  <c r="I743" i="30"/>
  <c r="L742" i="30"/>
  <c r="K742" i="30"/>
  <c r="J742" i="30"/>
  <c r="I742" i="30"/>
  <c r="H742" i="30"/>
  <c r="L736" i="30"/>
  <c r="K736" i="30"/>
  <c r="J736" i="30"/>
  <c r="I736" i="30"/>
  <c r="L734" i="30"/>
  <c r="K734" i="30"/>
  <c r="J734" i="30"/>
  <c r="I734" i="30"/>
  <c r="H734" i="30"/>
  <c r="L731" i="30"/>
  <c r="K731" i="30"/>
  <c r="J731" i="30"/>
  <c r="I731" i="30"/>
  <c r="L729" i="30"/>
  <c r="K727" i="30"/>
  <c r="K729" i="30" s="1"/>
  <c r="J729" i="30"/>
  <c r="I727" i="30"/>
  <c r="I729" i="30" s="1"/>
  <c r="L726" i="30"/>
  <c r="I726" i="30"/>
  <c r="K724" i="30"/>
  <c r="L723" i="30"/>
  <c r="K723" i="30"/>
  <c r="I722" i="30"/>
  <c r="L721" i="30"/>
  <c r="K721" i="30"/>
  <c r="J721" i="30"/>
  <c r="I721" i="30"/>
  <c r="L717" i="30"/>
  <c r="K717" i="30"/>
  <c r="H717" i="30"/>
  <c r="I714" i="30"/>
  <c r="I717" i="30" s="1"/>
  <c r="L713" i="30"/>
  <c r="K713" i="30"/>
  <c r="J713" i="30"/>
  <c r="H713" i="30"/>
  <c r="I712" i="30"/>
  <c r="L710" i="30"/>
  <c r="K710" i="30"/>
  <c r="J710" i="30"/>
  <c r="I710" i="30"/>
  <c r="H709" i="30"/>
  <c r="H710" i="30" s="1"/>
  <c r="L702" i="30"/>
  <c r="K702" i="30"/>
  <c r="J702" i="30"/>
  <c r="I702" i="30"/>
  <c r="K692" i="30"/>
  <c r="L692" i="30"/>
  <c r="I692" i="30"/>
  <c r="L691" i="30"/>
  <c r="K691" i="30"/>
  <c r="J681" i="30"/>
  <c r="I681" i="30"/>
  <c r="K667" i="30"/>
  <c r="J656" i="30"/>
  <c r="L658" i="30"/>
  <c r="K658" i="30"/>
  <c r="J658" i="30"/>
  <c r="I658" i="30"/>
  <c r="L656" i="30"/>
  <c r="K656" i="30"/>
  <c r="I656" i="30"/>
  <c r="L655" i="30"/>
  <c r="K655" i="30"/>
  <c r="J655" i="30"/>
  <c r="I655" i="30"/>
  <c r="L654" i="30"/>
  <c r="I654" i="30"/>
  <c r="J633" i="30"/>
  <c r="H634" i="30"/>
  <c r="L633" i="30"/>
  <c r="K633" i="30"/>
  <c r="I633" i="30"/>
  <c r="L630" i="30"/>
  <c r="K630" i="30"/>
  <c r="J630" i="30"/>
  <c r="I630" i="30"/>
  <c r="K627" i="30"/>
  <c r="J627" i="30"/>
  <c r="I627" i="30"/>
  <c r="H627" i="30"/>
  <c r="K626" i="30"/>
  <c r="J626" i="30"/>
  <c r="I626" i="30"/>
  <c r="H626" i="30"/>
  <c r="K625" i="30"/>
  <c r="I625" i="30"/>
  <c r="K624" i="30"/>
  <c r="I624" i="30"/>
  <c r="H624" i="30"/>
  <c r="K623" i="30"/>
  <c r="J623" i="30"/>
  <c r="I623" i="30"/>
  <c r="H623" i="30"/>
  <c r="K622" i="30"/>
  <c r="J622" i="30"/>
  <c r="I622" i="30"/>
  <c r="H622" i="30"/>
  <c r="K621" i="30"/>
  <c r="J621" i="30"/>
  <c r="I621" i="30"/>
  <c r="H621" i="30"/>
  <c r="K620" i="30"/>
  <c r="J620" i="30"/>
  <c r="I620" i="30"/>
  <c r="K619" i="30"/>
  <c r="J619" i="30"/>
  <c r="I619" i="30"/>
  <c r="K618" i="30"/>
  <c r="J618" i="30"/>
  <c r="I618" i="30"/>
  <c r="H618" i="30"/>
  <c r="K617" i="30"/>
  <c r="J617" i="30"/>
  <c r="I617" i="30"/>
  <c r="H617" i="30"/>
  <c r="L616" i="30"/>
  <c r="L614" i="30"/>
  <c r="L612" i="30" s="1"/>
  <c r="K614" i="30"/>
  <c r="K612" i="30" s="1"/>
  <c r="J612" i="30"/>
  <c r="I612" i="30"/>
  <c r="H607" i="30"/>
  <c r="L605" i="30"/>
  <c r="K605" i="30"/>
  <c r="K607" i="30" s="1"/>
  <c r="J605" i="30"/>
  <c r="J607" i="30" s="1"/>
  <c r="I604" i="30"/>
  <c r="I607" i="30" s="1"/>
  <c r="H604" i="30"/>
  <c r="L602" i="30"/>
  <c r="K602" i="30"/>
  <c r="J602" i="30"/>
  <c r="I602" i="30"/>
  <c r="L599" i="30"/>
  <c r="K599" i="30"/>
  <c r="J599" i="30"/>
  <c r="I599" i="30"/>
  <c r="H599" i="30"/>
  <c r="L596" i="30"/>
  <c r="L592" i="30" s="1"/>
  <c r="K596" i="30"/>
  <c r="K592" i="30" s="1"/>
  <c r="J596" i="30"/>
  <c r="J592" i="30" s="1"/>
  <c r="I596" i="30"/>
  <c r="I592" i="30" s="1"/>
  <c r="L595" i="30"/>
  <c r="K595" i="30"/>
  <c r="J595" i="30"/>
  <c r="I595" i="30"/>
  <c r="H595" i="30"/>
  <c r="H592" i="30"/>
  <c r="L588" i="30"/>
  <c r="L537" i="30" s="1"/>
  <c r="I585" i="30"/>
  <c r="I584" i="30" s="1"/>
  <c r="K584" i="30"/>
  <c r="K539" i="30" s="1"/>
  <c r="K582" i="30"/>
  <c r="L553" i="30"/>
  <c r="K553" i="30" s="1"/>
  <c r="K552" i="30"/>
  <c r="L552" i="30" s="1"/>
  <c r="L540" i="30" s="1"/>
  <c r="L550" i="30"/>
  <c r="L543" i="30" s="1"/>
  <c r="K550" i="30"/>
  <c r="J549" i="30"/>
  <c r="J540" i="30" s="1"/>
  <c r="I543" i="30"/>
  <c r="L542" i="30"/>
  <c r="K542" i="30"/>
  <c r="J542" i="30"/>
  <c r="J541" i="30"/>
  <c r="I541" i="30"/>
  <c r="I540" i="30"/>
  <c r="L539" i="30"/>
  <c r="L538" i="30"/>
  <c r="K538" i="30"/>
  <c r="I538" i="30"/>
  <c r="K537" i="30"/>
  <c r="I537" i="30"/>
  <c r="H537" i="30"/>
  <c r="H544" i="30" s="1"/>
  <c r="L532" i="30"/>
  <c r="K532" i="30"/>
  <c r="I525" i="30"/>
  <c r="K521" i="30"/>
  <c r="J497" i="30"/>
  <c r="K520" i="30"/>
  <c r="I520" i="30"/>
  <c r="I497" i="30" s="1"/>
  <c r="K519" i="30"/>
  <c r="K499" i="30" s="1"/>
  <c r="K518" i="30"/>
  <c r="K500" i="30" s="1"/>
  <c r="K516" i="30"/>
  <c r="K513" i="30"/>
  <c r="L512" i="30"/>
  <c r="K512" i="30"/>
  <c r="H512" i="30"/>
  <c r="I508" i="30"/>
  <c r="K507" i="30"/>
  <c r="J507" i="30"/>
  <c r="I501" i="30"/>
  <c r="H501" i="30"/>
  <c r="L500" i="30"/>
  <c r="J500" i="30"/>
  <c r="I500" i="30"/>
  <c r="L499" i="30"/>
  <c r="J499" i="30"/>
  <c r="I499" i="30"/>
  <c r="L498" i="30"/>
  <c r="K498" i="30"/>
  <c r="J498" i="30"/>
  <c r="L497" i="30"/>
  <c r="L495" i="30"/>
  <c r="K495" i="30"/>
  <c r="J495" i="30"/>
  <c r="I495" i="30"/>
  <c r="H494" i="30"/>
  <c r="L491" i="30"/>
  <c r="K491" i="30"/>
  <c r="I491" i="30"/>
  <c r="H491" i="30"/>
  <c r="J451" i="30"/>
  <c r="J450" i="30"/>
  <c r="L488" i="30"/>
  <c r="K488" i="30"/>
  <c r="J488" i="30"/>
  <c r="I488" i="30"/>
  <c r="H488" i="30"/>
  <c r="L485" i="30"/>
  <c r="K485" i="30"/>
  <c r="J485" i="30"/>
  <c r="I485" i="30"/>
  <c r="H485" i="30"/>
  <c r="L482" i="30"/>
  <c r="K482" i="30"/>
  <c r="J482" i="30"/>
  <c r="I482" i="30"/>
  <c r="H482" i="30"/>
  <c r="L479" i="30"/>
  <c r="K479" i="30"/>
  <c r="J479" i="30"/>
  <c r="I479" i="30"/>
  <c r="H479" i="30"/>
  <c r="L476" i="30"/>
  <c r="K476" i="30"/>
  <c r="J476" i="30"/>
  <c r="I476" i="30"/>
  <c r="H476" i="30"/>
  <c r="L473" i="30"/>
  <c r="K473" i="30"/>
  <c r="J473" i="30"/>
  <c r="I473" i="30"/>
  <c r="H473" i="30"/>
  <c r="L470" i="30"/>
  <c r="K470" i="30"/>
  <c r="J470" i="30"/>
  <c r="I470" i="30"/>
  <c r="H468" i="30"/>
  <c r="H470" i="30" s="1"/>
  <c r="L467" i="30"/>
  <c r="K467" i="30"/>
  <c r="J467" i="30"/>
  <c r="I467" i="30"/>
  <c r="H467" i="30"/>
  <c r="L464" i="30"/>
  <c r="K464" i="30"/>
  <c r="J464" i="30"/>
  <c r="I464" i="30"/>
  <c r="H464" i="30"/>
  <c r="L461" i="30"/>
  <c r="K461" i="30"/>
  <c r="J461" i="30"/>
  <c r="I461" i="30"/>
  <c r="H461" i="30"/>
  <c r="L458" i="30"/>
  <c r="K458" i="30"/>
  <c r="J458" i="30"/>
  <c r="I458" i="30"/>
  <c r="H456" i="30"/>
  <c r="H458" i="30" s="1"/>
  <c r="L455" i="30"/>
  <c r="K455" i="30"/>
  <c r="J455" i="30"/>
  <c r="I455" i="30"/>
  <c r="H455" i="30"/>
  <c r="L451" i="30"/>
  <c r="K451" i="30"/>
  <c r="I451" i="30"/>
  <c r="H451" i="30"/>
  <c r="L450" i="30"/>
  <c r="K450" i="30"/>
  <c r="I450" i="30"/>
  <c r="L443" i="30"/>
  <c r="K443" i="30"/>
  <c r="J443" i="30"/>
  <c r="I443" i="30"/>
  <c r="H441" i="30"/>
  <c r="H443" i="30" s="1"/>
  <c r="L439" i="30"/>
  <c r="L440" i="30" s="1"/>
  <c r="K439" i="30"/>
  <c r="K440" i="30" s="1"/>
  <c r="J440" i="30"/>
  <c r="H439" i="30"/>
  <c r="H440" i="30" s="1"/>
  <c r="L438" i="30"/>
  <c r="K438" i="30"/>
  <c r="J438" i="30"/>
  <c r="I438" i="30"/>
  <c r="H437" i="30"/>
  <c r="H438" i="30" s="1"/>
  <c r="L436" i="30"/>
  <c r="K436" i="30"/>
  <c r="J436" i="30"/>
  <c r="I436" i="30"/>
  <c r="H435" i="30"/>
  <c r="H436" i="30" s="1"/>
  <c r="L431" i="30"/>
  <c r="K431" i="30"/>
  <c r="J431" i="30"/>
  <c r="I431" i="30"/>
  <c r="H430" i="30"/>
  <c r="H431" i="30" s="1"/>
  <c r="L426" i="30"/>
  <c r="K426" i="30"/>
  <c r="J426" i="30"/>
  <c r="I426" i="30"/>
  <c r="H426" i="30"/>
  <c r="L423" i="30"/>
  <c r="K423" i="30"/>
  <c r="J423" i="30"/>
  <c r="I423" i="30"/>
  <c r="H423" i="30"/>
  <c r="L420" i="30"/>
  <c r="K420" i="30"/>
  <c r="I420" i="30"/>
  <c r="H420" i="30"/>
  <c r="L416" i="30"/>
  <c r="K416" i="30"/>
  <c r="J416" i="30"/>
  <c r="I416" i="30"/>
  <c r="H416" i="30"/>
  <c r="L412" i="30"/>
  <c r="K412" i="30"/>
  <c r="J412" i="30"/>
  <c r="I412" i="30"/>
  <c r="H408" i="30"/>
  <c r="H412" i="30" s="1"/>
  <c r="L404" i="30"/>
  <c r="K404" i="30"/>
  <c r="I404" i="30"/>
  <c r="J404" i="30"/>
  <c r="L402" i="30"/>
  <c r="K402" i="30"/>
  <c r="J402" i="30"/>
  <c r="I402" i="30"/>
  <c r="H402" i="30"/>
  <c r="L397" i="30"/>
  <c r="K397" i="30"/>
  <c r="J397" i="30"/>
  <c r="I397" i="30"/>
  <c r="H395" i="30"/>
  <c r="H397" i="30" s="1"/>
  <c r="I394" i="30"/>
  <c r="H392" i="30"/>
  <c r="L391" i="30"/>
  <c r="K391" i="30"/>
  <c r="K394" i="30" s="1"/>
  <c r="J394" i="30"/>
  <c r="H391" i="30"/>
  <c r="L390" i="30"/>
  <c r="K390" i="30"/>
  <c r="J390" i="30"/>
  <c r="I390" i="30"/>
  <c r="H390" i="30"/>
  <c r="L388" i="30"/>
  <c r="K388" i="30"/>
  <c r="J388" i="30"/>
  <c r="I388" i="30"/>
  <c r="H388" i="30"/>
  <c r="L386" i="30"/>
  <c r="K386" i="30"/>
  <c r="J386" i="30"/>
  <c r="I386" i="30"/>
  <c r="H385" i="30"/>
  <c r="H384" i="30"/>
  <c r="L383" i="30"/>
  <c r="K383" i="30"/>
  <c r="I383" i="30"/>
  <c r="J381" i="30"/>
  <c r="H380" i="30"/>
  <c r="H383" i="30" s="1"/>
  <c r="L378" i="30"/>
  <c r="K378" i="30"/>
  <c r="I378" i="30"/>
  <c r="H378" i="30"/>
  <c r="J378" i="30"/>
  <c r="L376" i="30"/>
  <c r="K376" i="30"/>
  <c r="J376" i="30"/>
  <c r="I376" i="30"/>
  <c r="H375" i="30"/>
  <c r="H376" i="30" s="1"/>
  <c r="I372" i="30"/>
  <c r="L371" i="30"/>
  <c r="L372" i="30" s="1"/>
  <c r="K371" i="30"/>
  <c r="K372" i="30" s="1"/>
  <c r="J372" i="30"/>
  <c r="L369" i="30"/>
  <c r="K369" i="30"/>
  <c r="J369" i="30"/>
  <c r="I369" i="30"/>
  <c r="H369" i="30"/>
  <c r="L367" i="30"/>
  <c r="K367" i="30"/>
  <c r="J367" i="30"/>
  <c r="I367" i="30"/>
  <c r="H366" i="30"/>
  <c r="H367" i="30" s="1"/>
  <c r="L364" i="30"/>
  <c r="K364" i="30"/>
  <c r="J364" i="30"/>
  <c r="I364" i="30"/>
  <c r="H364" i="30"/>
  <c r="L361" i="30"/>
  <c r="K361" i="30"/>
  <c r="J361" i="30"/>
  <c r="I360" i="30"/>
  <c r="L359" i="30"/>
  <c r="K359" i="30"/>
  <c r="J359" i="30"/>
  <c r="I359" i="30"/>
  <c r="H358" i="30"/>
  <c r="H359" i="30" s="1"/>
  <c r="L357" i="30"/>
  <c r="K357" i="30"/>
  <c r="J357" i="30"/>
  <c r="I357" i="30"/>
  <c r="H356" i="30"/>
  <c r="H357" i="30" s="1"/>
  <c r="L354" i="30"/>
  <c r="I354" i="30"/>
  <c r="K353" i="30"/>
  <c r="K354" i="30" s="1"/>
  <c r="H353" i="30"/>
  <c r="H352" i="30"/>
  <c r="L348" i="30"/>
  <c r="K348" i="30"/>
  <c r="J348" i="30"/>
  <c r="I348" i="30"/>
  <c r="H347" i="30"/>
  <c r="H348" i="30" s="1"/>
  <c r="L345" i="30"/>
  <c r="K345" i="30"/>
  <c r="J345" i="30"/>
  <c r="I345" i="30"/>
  <c r="H345" i="30"/>
  <c r="L343" i="30"/>
  <c r="K343" i="30"/>
  <c r="J343" i="30"/>
  <c r="I343" i="30"/>
  <c r="H343" i="30"/>
  <c r="L341" i="30"/>
  <c r="K341" i="30"/>
  <c r="J341" i="30"/>
  <c r="I341" i="30"/>
  <c r="H339" i="30"/>
  <c r="H341" i="30" s="1"/>
  <c r="L334" i="30"/>
  <c r="K334" i="30"/>
  <c r="J334" i="30"/>
  <c r="I334" i="30"/>
  <c r="H334" i="30"/>
  <c r="L331" i="30"/>
  <c r="K331" i="30"/>
  <c r="J331" i="30"/>
  <c r="I331" i="30"/>
  <c r="H331" i="30"/>
  <c r="L328" i="30"/>
  <c r="K328" i="30"/>
  <c r="J328" i="30"/>
  <c r="I328" i="30"/>
  <c r="L326" i="30"/>
  <c r="I326" i="30"/>
  <c r="H326" i="30"/>
  <c r="H328" i="30" s="1"/>
  <c r="K324" i="30"/>
  <c r="K326" i="30" s="1"/>
  <c r="J324" i="30"/>
  <c r="J326" i="30" s="1"/>
  <c r="L322" i="30"/>
  <c r="K322" i="30"/>
  <c r="J322" i="30"/>
  <c r="I322" i="30"/>
  <c r="H322" i="30"/>
  <c r="L319" i="30"/>
  <c r="K319" i="30"/>
  <c r="J319" i="30"/>
  <c r="I319" i="30"/>
  <c r="H318" i="30"/>
  <c r="H319" i="30" s="1"/>
  <c r="L316" i="30"/>
  <c r="K316" i="30"/>
  <c r="J316" i="30"/>
  <c r="I316" i="30"/>
  <c r="L314" i="30"/>
  <c r="K314" i="30"/>
  <c r="I314" i="30"/>
  <c r="L311" i="30"/>
  <c r="K311" i="30"/>
  <c r="I311" i="30"/>
  <c r="H311" i="30"/>
  <c r="I308" i="30"/>
  <c r="L306" i="30"/>
  <c r="K306" i="30"/>
  <c r="H306" i="30"/>
  <c r="H308" i="30" s="1"/>
  <c r="L305" i="30"/>
  <c r="K305" i="30"/>
  <c r="J305" i="30"/>
  <c r="I305" i="30"/>
  <c r="H305" i="30"/>
  <c r="L302" i="30"/>
  <c r="K302" i="30"/>
  <c r="J302" i="30"/>
  <c r="I302" i="30"/>
  <c r="H301" i="30"/>
  <c r="H302" i="30" s="1"/>
  <c r="L297" i="30"/>
  <c r="K297" i="30"/>
  <c r="J297" i="30"/>
  <c r="I297" i="30"/>
  <c r="H297" i="30"/>
  <c r="L295" i="30"/>
  <c r="K295" i="30"/>
  <c r="J295" i="30"/>
  <c r="I295" i="30"/>
  <c r="H295" i="30"/>
  <c r="L293" i="30"/>
  <c r="K293" i="30"/>
  <c r="J293" i="30"/>
  <c r="I293" i="30"/>
  <c r="H293" i="30"/>
  <c r="Q283" i="30"/>
  <c r="L283" i="30"/>
  <c r="K283" i="30"/>
  <c r="I283" i="30"/>
  <c r="H283" i="30"/>
  <c r="L281" i="30"/>
  <c r="K281" i="30"/>
  <c r="I281" i="30"/>
  <c r="H281" i="30"/>
  <c r="L279" i="30"/>
  <c r="K279" i="30"/>
  <c r="I279" i="30"/>
  <c r="H279" i="30"/>
  <c r="Q277" i="30"/>
  <c r="L277" i="30"/>
  <c r="K277" i="30"/>
  <c r="I277" i="30"/>
  <c r="H277" i="30"/>
  <c r="L274" i="30"/>
  <c r="K274" i="30"/>
  <c r="I274" i="30"/>
  <c r="H274" i="30"/>
  <c r="L272" i="30"/>
  <c r="K272" i="30"/>
  <c r="I272" i="30"/>
  <c r="H272" i="30"/>
  <c r="L270" i="30"/>
  <c r="K270" i="30"/>
  <c r="I270" i="30"/>
  <c r="H270" i="30"/>
  <c r="L268" i="30"/>
  <c r="K268" i="30"/>
  <c r="I268" i="30"/>
  <c r="H268" i="30"/>
  <c r="L266" i="30"/>
  <c r="K266" i="30"/>
  <c r="I266" i="30"/>
  <c r="H266" i="30"/>
  <c r="Q264" i="30"/>
  <c r="L264" i="30"/>
  <c r="K264" i="30"/>
  <c r="I264" i="30"/>
  <c r="H264" i="30"/>
  <c r="Q262" i="30"/>
  <c r="L262" i="30"/>
  <c r="K262" i="30"/>
  <c r="I262" i="30"/>
  <c r="H262" i="30"/>
  <c r="L259" i="30"/>
  <c r="K259" i="30"/>
  <c r="J259" i="30"/>
  <c r="I258" i="30"/>
  <c r="L250" i="30"/>
  <c r="K250" i="30"/>
  <c r="J250" i="30"/>
  <c r="I250" i="30"/>
  <c r="L248" i="30"/>
  <c r="K248" i="30"/>
  <c r="J248" i="30"/>
  <c r="I248" i="30"/>
  <c r="L246" i="30"/>
  <c r="K246" i="30"/>
  <c r="J246" i="30"/>
  <c r="I246" i="30"/>
  <c r="J801" i="30" l="1"/>
  <c r="J802" i="30" s="1"/>
  <c r="J789" i="30"/>
  <c r="J383" i="30"/>
  <c r="J494" i="30"/>
  <c r="J502" i="30" s="1"/>
  <c r="J679" i="30"/>
  <c r="J1003" i="30"/>
  <c r="J1011" i="30" s="1"/>
  <c r="J970" i="30"/>
  <c r="J975" i="30" s="1"/>
  <c r="J726" i="30"/>
  <c r="J775" i="30"/>
  <c r="J543" i="30"/>
  <c r="J854" i="30"/>
  <c r="J866" i="30" s="1"/>
  <c r="J852" i="30"/>
  <c r="J815" i="30"/>
  <c r="J818" i="30" s="1"/>
  <c r="H1003" i="30"/>
  <c r="H1011" i="30" s="1"/>
  <c r="I259" i="30"/>
  <c r="I256" i="30" s="1"/>
  <c r="K452" i="30"/>
  <c r="K808" i="30"/>
  <c r="H386" i="30"/>
  <c r="I708" i="30"/>
  <c r="I861" i="30"/>
  <c r="I494" i="30"/>
  <c r="J723" i="30"/>
  <c r="J977" i="30"/>
  <c r="L818" i="30"/>
  <c r="K818" i="30"/>
  <c r="K970" i="30"/>
  <c r="K975" i="30" s="1"/>
  <c r="I300" i="30"/>
  <c r="J539" i="30"/>
  <c r="J930" i="30"/>
  <c r="I854" i="30"/>
  <c r="H808" i="30"/>
  <c r="L989" i="30"/>
  <c r="K543" i="30"/>
  <c r="K791" i="30"/>
  <c r="K802" i="30" s="1"/>
  <c r="I791" i="30"/>
  <c r="H354" i="30"/>
  <c r="I859" i="30"/>
  <c r="L659" i="30"/>
  <c r="I439" i="30"/>
  <c r="I440" i="30" s="1"/>
  <c r="I433" i="30" s="1"/>
  <c r="I781" i="30"/>
  <c r="K497" i="30"/>
  <c r="L790" i="30"/>
  <c r="J808" i="30"/>
  <c r="J889" i="30"/>
  <c r="I361" i="30"/>
  <c r="I337" i="30" s="1"/>
  <c r="H450" i="30"/>
  <c r="I930" i="30"/>
  <c r="L494" i="30"/>
  <c r="L502" i="30" s="1"/>
  <c r="H975" i="30"/>
  <c r="L362" i="30"/>
  <c r="I405" i="30"/>
  <c r="K866" i="30"/>
  <c r="I975" i="30"/>
  <c r="I379" i="30"/>
  <c r="I427" i="30"/>
  <c r="L866" i="30"/>
  <c r="L975" i="30"/>
  <c r="I452" i="30"/>
  <c r="J491" i="30"/>
  <c r="I616" i="30"/>
  <c r="I789" i="30"/>
  <c r="I808" i="30"/>
  <c r="I905" i="30"/>
  <c r="I1011" i="30"/>
  <c r="L284" i="30"/>
  <c r="J616" i="30"/>
  <c r="L1003" i="30"/>
  <c r="L1011" i="30" s="1"/>
  <c r="I260" i="30"/>
  <c r="K284" i="30"/>
  <c r="H394" i="30"/>
  <c r="I239" i="30"/>
  <c r="J284" i="30"/>
  <c r="K616" i="30"/>
  <c r="L679" i="30"/>
  <c r="K833" i="30"/>
  <c r="H930" i="30"/>
  <c r="H284" i="30"/>
  <c r="I317" i="30"/>
  <c r="J354" i="30"/>
  <c r="I374" i="30"/>
  <c r="L452" i="30"/>
  <c r="I498" i="30"/>
  <c r="I723" i="30"/>
  <c r="L802" i="30"/>
  <c r="I800" i="30"/>
  <c r="H818" i="30"/>
  <c r="J1028" i="30"/>
  <c r="I362" i="30"/>
  <c r="K362" i="30"/>
  <c r="K494" i="30"/>
  <c r="I659" i="30"/>
  <c r="I679" i="30"/>
  <c r="K679" i="30"/>
  <c r="I818" i="30"/>
  <c r="L808" i="30"/>
  <c r="I856" i="30"/>
  <c r="K930" i="30"/>
  <c r="J1022" i="30"/>
  <c r="L930" i="30"/>
  <c r="I915" i="30"/>
  <c r="K1003" i="30"/>
  <c r="K1011" i="30" s="1"/>
  <c r="K789" i="30"/>
  <c r="K790" i="30" s="1"/>
  <c r="I738" i="30"/>
  <c r="I713" i="30"/>
  <c r="K726" i="30"/>
  <c r="I539" i="30"/>
  <c r="J452" i="30"/>
  <c r="K541" i="30"/>
  <c r="J659" i="30"/>
  <c r="K665" i="30"/>
  <c r="K654" i="30" s="1"/>
  <c r="K659" i="30" s="1"/>
  <c r="K549" i="30"/>
  <c r="K540" i="30" s="1"/>
  <c r="L541" i="30"/>
  <c r="L544" i="30" s="1"/>
  <c r="L607" i="30"/>
  <c r="I542" i="30"/>
  <c r="L394" i="30"/>
  <c r="K337" i="30"/>
  <c r="L337" i="30"/>
  <c r="I303" i="30"/>
  <c r="K308" i="30"/>
  <c r="L308" i="30"/>
  <c r="I284" i="30"/>
  <c r="J790" i="30" l="1"/>
  <c r="J803" i="30" s="1"/>
  <c r="I719" i="30"/>
  <c r="J544" i="30"/>
  <c r="K803" i="30"/>
  <c r="I502" i="30"/>
  <c r="I544" i="30"/>
  <c r="I802" i="30"/>
  <c r="I790" i="30"/>
  <c r="K502" i="30"/>
  <c r="L803" i="30"/>
  <c r="I866" i="30"/>
  <c r="K544" i="30"/>
  <c r="I711" i="30"/>
  <c r="I803" i="30" l="1"/>
  <c r="I232" i="30" l="1"/>
  <c r="L231" i="30"/>
  <c r="L232" i="30" s="1"/>
  <c r="K231" i="30"/>
  <c r="K232" i="30" s="1"/>
  <c r="J232" i="30"/>
  <c r="I227" i="30"/>
  <c r="I225" i="30" s="1"/>
  <c r="I226" i="30" s="1"/>
  <c r="H226" i="30"/>
  <c r="L225" i="30"/>
  <c r="L226" i="30" s="1"/>
  <c r="K225" i="30"/>
  <c r="K226" i="30" s="1"/>
  <c r="J226" i="30"/>
  <c r="I223" i="30"/>
  <c r="J222" i="30"/>
  <c r="J212" i="30" s="1"/>
  <c r="I222" i="30"/>
  <c r="I219" i="30"/>
  <c r="I215" i="30"/>
  <c r="H214" i="30"/>
  <c r="L214" i="30"/>
  <c r="K214" i="30"/>
  <c r="I211" i="30"/>
  <c r="L209" i="30"/>
  <c r="K209" i="30"/>
  <c r="L208" i="30"/>
  <c r="K208" i="30"/>
  <c r="J208" i="30"/>
  <c r="I208" i="30"/>
  <c r="H206" i="30"/>
  <c r="L203" i="30"/>
  <c r="K203" i="30"/>
  <c r="J203" i="30"/>
  <c r="I203" i="30"/>
  <c r="H203" i="30"/>
  <c r="L201" i="30"/>
  <c r="K201" i="30"/>
  <c r="J201" i="30"/>
  <c r="I201" i="30"/>
  <c r="H201" i="30"/>
  <c r="L195" i="30"/>
  <c r="K195" i="30"/>
  <c r="J195" i="30"/>
  <c r="I195" i="30"/>
  <c r="H195" i="30"/>
  <c r="L192" i="30"/>
  <c r="K192" i="30"/>
  <c r="I192" i="30"/>
  <c r="H192" i="30"/>
  <c r="J192" i="30"/>
  <c r="L190" i="30"/>
  <c r="I190" i="30"/>
  <c r="H190" i="30"/>
  <c r="K188" i="30"/>
  <c r="K190" i="30" s="1"/>
  <c r="J190" i="30"/>
  <c r="I182" i="30"/>
  <c r="I180" i="30" s="1"/>
  <c r="I181" i="30" s="1"/>
  <c r="H181" i="30"/>
  <c r="L180" i="30"/>
  <c r="L181" i="30" s="1"/>
  <c r="K180" i="30"/>
  <c r="K181" i="30" s="1"/>
  <c r="J180" i="30"/>
  <c r="J181" i="30" s="1"/>
  <c r="L179" i="30"/>
  <c r="K179" i="30"/>
  <c r="J179" i="30"/>
  <c r="I179" i="30"/>
  <c r="H179" i="30"/>
  <c r="L175" i="30"/>
  <c r="K175" i="30"/>
  <c r="H175" i="30"/>
  <c r="I173" i="30"/>
  <c r="I171" i="30"/>
  <c r="L170" i="30"/>
  <c r="K170" i="30"/>
  <c r="J170" i="30"/>
  <c r="I170" i="30"/>
  <c r="H170" i="30"/>
  <c r="L168" i="30"/>
  <c r="K168" i="30"/>
  <c r="H168" i="30"/>
  <c r="J168" i="30"/>
  <c r="I167" i="30"/>
  <c r="I168" i="30" s="1"/>
  <c r="L164" i="30"/>
  <c r="K164" i="30"/>
  <c r="J164" i="30"/>
  <c r="I164" i="30"/>
  <c r="H164" i="30"/>
  <c r="L158" i="30"/>
  <c r="K158" i="30"/>
  <c r="J158" i="30"/>
  <c r="I158" i="30"/>
  <c r="H158" i="30"/>
  <c r="L155" i="30"/>
  <c r="K155" i="30"/>
  <c r="J155" i="30"/>
  <c r="I155" i="30"/>
  <c r="L150" i="30"/>
  <c r="K150" i="30"/>
  <c r="J150" i="30"/>
  <c r="I150" i="30"/>
  <c r="H150" i="30"/>
  <c r="L145" i="30"/>
  <c r="K144" i="30"/>
  <c r="J144" i="30"/>
  <c r="L140" i="30"/>
  <c r="K140" i="30"/>
  <c r="H131" i="30"/>
  <c r="L130" i="30"/>
  <c r="K130" i="30"/>
  <c r="I130" i="30"/>
  <c r="I129" i="30"/>
  <c r="L126" i="30"/>
  <c r="K126" i="30"/>
  <c r="J126" i="30"/>
  <c r="I126" i="30"/>
  <c r="H126" i="30"/>
  <c r="L124" i="30"/>
  <c r="K124" i="30"/>
  <c r="J124" i="30"/>
  <c r="I124" i="30"/>
  <c r="H124" i="30"/>
  <c r="L90" i="30"/>
  <c r="L92" i="30" s="1"/>
  <c r="J92" i="30"/>
  <c r="K92" i="30"/>
  <c r="I92" i="30"/>
  <c r="K44" i="30"/>
  <c r="K84" i="30"/>
  <c r="K86" i="30" s="1"/>
  <c r="L86" i="30"/>
  <c r="I86" i="30"/>
  <c r="K81" i="30"/>
  <c r="L111" i="30"/>
  <c r="I111" i="30"/>
  <c r="K80" i="30"/>
  <c r="K98" i="30"/>
  <c r="L93" i="30"/>
  <c r="K93" i="30"/>
  <c r="L94" i="30"/>
  <c r="K94" i="30"/>
  <c r="L95" i="30"/>
  <c r="K95" i="30"/>
  <c r="L113" i="30"/>
  <c r="K113" i="30"/>
  <c r="L114" i="30"/>
  <c r="K114" i="30"/>
  <c r="J56" i="30"/>
  <c r="K56" i="30"/>
  <c r="L56" i="30"/>
  <c r="I56" i="30"/>
  <c r="J129" i="30" l="1"/>
  <c r="J214" i="30"/>
  <c r="J86" i="30"/>
  <c r="K99" i="30"/>
  <c r="K205" i="30"/>
  <c r="K206" i="30" s="1"/>
  <c r="L205" i="30"/>
  <c r="L206" i="30" s="1"/>
  <c r="J205" i="30"/>
  <c r="K129" i="30"/>
  <c r="K131" i="30" s="1"/>
  <c r="I205" i="30"/>
  <c r="I206" i="30" s="1"/>
  <c r="I199" i="30"/>
  <c r="K96" i="30"/>
  <c r="I156" i="30"/>
  <c r="I224" i="30"/>
  <c r="I212" i="30"/>
  <c r="I214" i="30" s="1"/>
  <c r="L129" i="30"/>
  <c r="L131" i="30" s="1"/>
  <c r="I175" i="30"/>
  <c r="I166" i="30" s="1"/>
  <c r="I131" i="30"/>
  <c r="I128" i="30" s="1"/>
  <c r="J131" i="30" l="1"/>
  <c r="I204" i="30"/>
  <c r="J206" i="30"/>
  <c r="K108" i="30" l="1"/>
  <c r="J108" i="30"/>
  <c r="K105" i="30"/>
  <c r="K104" i="30"/>
  <c r="K111" i="30" l="1"/>
  <c r="J111" i="30" l="1"/>
  <c r="L120" i="30" l="1"/>
  <c r="K120" i="30"/>
  <c r="J120" i="30"/>
  <c r="I120" i="30"/>
  <c r="J115" i="30"/>
  <c r="I115" i="30"/>
  <c r="H115" i="30"/>
  <c r="L103" i="30"/>
  <c r="K103" i="30"/>
  <c r="J103" i="30"/>
  <c r="H103" i="30"/>
  <c r="L100" i="30"/>
  <c r="H100" i="30"/>
  <c r="I100" i="30"/>
  <c r="J96" i="30"/>
  <c r="I96" i="30"/>
  <c r="H96" i="30"/>
  <c r="L89" i="30"/>
  <c r="K89" i="30"/>
  <c r="J89" i="30"/>
  <c r="I89" i="30"/>
  <c r="H89" i="30"/>
  <c r="L82" i="30"/>
  <c r="K82" i="30"/>
  <c r="J82" i="30"/>
  <c r="H82" i="30"/>
  <c r="L77" i="30"/>
  <c r="L75" i="30" s="1"/>
  <c r="K77" i="30"/>
  <c r="K75" i="30" s="1"/>
  <c r="J77" i="30"/>
  <c r="H76" i="30"/>
  <c r="I77" i="30"/>
  <c r="L74" i="30"/>
  <c r="L71" i="30" s="1"/>
  <c r="K74" i="30"/>
  <c r="K71" i="30" s="1"/>
  <c r="I74" i="30"/>
  <c r="I71" i="30" s="1"/>
  <c r="H72" i="30"/>
  <c r="H74" i="30" s="1"/>
  <c r="L69" i="30"/>
  <c r="K69" i="30"/>
  <c r="J69" i="30"/>
  <c r="I69" i="30"/>
  <c r="H69" i="30"/>
  <c r="L66" i="30"/>
  <c r="K66" i="30"/>
  <c r="J66" i="30"/>
  <c r="I66" i="30"/>
  <c r="H66" i="30"/>
  <c r="L64" i="30"/>
  <c r="K64" i="30"/>
  <c r="J64" i="30"/>
  <c r="I64" i="30"/>
  <c r="H64" i="30"/>
  <c r="L60" i="30"/>
  <c r="K60" i="30"/>
  <c r="J60" i="30"/>
  <c r="I60" i="30"/>
  <c r="H60" i="30"/>
  <c r="L58" i="30"/>
  <c r="K58" i="30"/>
  <c r="J58" i="30"/>
  <c r="H58" i="30"/>
  <c r="I58" i="30"/>
  <c r="H56" i="30"/>
  <c r="L53" i="30"/>
  <c r="K53" i="30"/>
  <c r="J53" i="30"/>
  <c r="I53" i="30"/>
  <c r="H53" i="30"/>
  <c r="L50" i="30"/>
  <c r="L43" i="30" s="1"/>
  <c r="K50" i="30"/>
  <c r="K43" i="30" s="1"/>
  <c r="I50" i="30"/>
  <c r="I43" i="30" s="1"/>
  <c r="H46" i="30"/>
  <c r="H45" i="30"/>
  <c r="L32" i="30"/>
  <c r="K32" i="30"/>
  <c r="J32" i="30"/>
  <c r="I32" i="30"/>
  <c r="L30" i="30"/>
  <c r="K30" i="30"/>
  <c r="I28" i="30"/>
  <c r="H28" i="30"/>
  <c r="H30" i="30" s="1"/>
  <c r="L26" i="30"/>
  <c r="K26" i="30"/>
  <c r="J26" i="30"/>
  <c r="I26" i="30"/>
  <c r="H26" i="30"/>
  <c r="L23" i="30"/>
  <c r="K23" i="30"/>
  <c r="H23" i="30"/>
  <c r="L21" i="30"/>
  <c r="K21" i="30"/>
  <c r="I21" i="30"/>
  <c r="H21" i="30"/>
  <c r="J21" i="30"/>
  <c r="L19" i="30"/>
  <c r="K19" i="30"/>
  <c r="H19" i="30"/>
  <c r="I19" i="30"/>
  <c r="L15" i="30"/>
  <c r="K15" i="30"/>
  <c r="J15" i="30"/>
  <c r="I15" i="30"/>
  <c r="H14" i="30"/>
  <c r="H13" i="30"/>
  <c r="L12" i="30"/>
  <c r="K12" i="30"/>
  <c r="J12" i="30"/>
  <c r="H12" i="30"/>
  <c r="I12" i="30"/>
  <c r="L8" i="30"/>
  <c r="K8" i="30"/>
  <c r="J8" i="30"/>
  <c r="I8" i="30"/>
  <c r="H8" i="30"/>
  <c r="J74" i="30" l="1"/>
  <c r="J71" i="30" s="1"/>
  <c r="K67" i="30"/>
  <c r="I23" i="30"/>
  <c r="J23" i="30"/>
  <c r="H50" i="30"/>
  <c r="L6" i="30"/>
  <c r="J100" i="30"/>
  <c r="H15" i="30"/>
  <c r="I30" i="30"/>
  <c r="I82" i="30"/>
  <c r="I103" i="30"/>
  <c r="I67" i="30"/>
  <c r="L67" i="30"/>
  <c r="I51" i="30"/>
  <c r="K6" i="30"/>
  <c r="J19" i="30"/>
  <c r="J50" i="30"/>
  <c r="H77" i="30"/>
  <c r="K115" i="30"/>
  <c r="L51" i="30"/>
  <c r="K51" i="30"/>
  <c r="L96" i="30"/>
  <c r="K100" i="30"/>
  <c r="L115" i="30"/>
  <c r="K78" i="30" l="1"/>
  <c r="L78" i="30"/>
  <c r="I78" i="30"/>
  <c r="I6" i="30"/>
</calcChain>
</file>

<file path=xl/sharedStrings.xml><?xml version="1.0" encoding="utf-8"?>
<sst xmlns="http://schemas.openxmlformats.org/spreadsheetml/2006/main" count="5046" uniqueCount="2097">
  <si>
    <t>Priemonės pavadinimas</t>
  </si>
  <si>
    <t>Vykdytojo kodas</t>
  </si>
  <si>
    <t>Kodas biudžete</t>
  </si>
  <si>
    <t>Finansavimo šaltinis</t>
  </si>
  <si>
    <t>iš viso</t>
  </si>
  <si>
    <t>Įgyvendinti bendruosius ugdymo planus, užtikrinti tinkamą ugdymo (si) aplinką rajono formaliojo švietimo įstaigoms</t>
  </si>
  <si>
    <t>11.1</t>
  </si>
  <si>
    <t>ML</t>
  </si>
  <si>
    <t>SB</t>
  </si>
  <si>
    <t>LK</t>
  </si>
  <si>
    <t>VBD</t>
  </si>
  <si>
    <t>S</t>
  </si>
  <si>
    <t>11.2</t>
  </si>
  <si>
    <t>11.6</t>
  </si>
  <si>
    <t>11.3</t>
  </si>
  <si>
    <t>11.4</t>
  </si>
  <si>
    <t>11.5</t>
  </si>
  <si>
    <t>11.7</t>
  </si>
  <si>
    <t>11.8</t>
  </si>
  <si>
    <t>11.9</t>
  </si>
  <si>
    <t>11.12</t>
  </si>
  <si>
    <t>11.13</t>
  </si>
  <si>
    <t>11.14</t>
  </si>
  <si>
    <t>11.16</t>
  </si>
  <si>
    <t>11.18</t>
  </si>
  <si>
    <t>11.19</t>
  </si>
  <si>
    <t>11.20</t>
  </si>
  <si>
    <t>11.21</t>
  </si>
  <si>
    <t>11.22</t>
  </si>
  <si>
    <t>11.26</t>
  </si>
  <si>
    <t xml:space="preserve">Atsiskaitymas už  vaikų ugdymą Klaipėdos miesto savivaldybės ir privačiose ikimokyklinėse ir bendrojo ugdymo įstaigose </t>
  </si>
  <si>
    <t>1.4.4.30.</t>
  </si>
  <si>
    <t>Lėšos išeitinėms išmokoms ir kitoms su darbo santykiais susijusioms išmokoms ir kompensacijoms mokėti</t>
  </si>
  <si>
    <t>1.4.4.31.</t>
  </si>
  <si>
    <t>Metų mokytojo vardo premijos skyrimas ir Tarptautinės mokytojo dienos renginio organizavimas</t>
  </si>
  <si>
    <t>11</t>
  </si>
  <si>
    <t>1.1.3.4.</t>
  </si>
  <si>
    <t>ES</t>
  </si>
  <si>
    <t>VBES</t>
  </si>
  <si>
    <t>9</t>
  </si>
  <si>
    <t>SL</t>
  </si>
  <si>
    <t>Mokinių vežimo į ugdymo įstaigas finansavimas</t>
  </si>
  <si>
    <t>1.1.5.1.</t>
  </si>
  <si>
    <t>1.1.5.3.</t>
  </si>
  <si>
    <t>1.1.5.4</t>
  </si>
  <si>
    <t>Sudaryti sąlygas tenkinti mokinių pažinimo, lavinimosi ir saviraiškos poreikius</t>
  </si>
  <si>
    <t>Konkursų, olimpiadų, renginių  organizavimas rajone ir dalyvavimas respublikiniuose renginiuose</t>
  </si>
  <si>
    <t>1.1.2.2.</t>
  </si>
  <si>
    <t>Neformaliojo vaikų švietimo programos įgyvendinimas</t>
  </si>
  <si>
    <t>1.2.1.5.</t>
  </si>
  <si>
    <t>Vaikų vasaros poilsio programų įgyvendinimas</t>
  </si>
  <si>
    <t>1.1.3.5.</t>
  </si>
  <si>
    <t>Neformaliojo suaugusiųjų švietimo programų finansavimas</t>
  </si>
  <si>
    <t>1.1.3.3.</t>
  </si>
  <si>
    <t>1.1.3.13.</t>
  </si>
  <si>
    <t>Mokinių verslumo ir finansinio raštingumo projektų iniciatyvų skatinimas švietimo įstaigose</t>
  </si>
  <si>
    <t>1.1.3.14.</t>
  </si>
  <si>
    <t>Sudaryti sąlygas gyventojams Klaipėdos rajono švietimo centre tenkinti pažinimo poreikius, tobulinti įgytą kvalifikaciją</t>
  </si>
  <si>
    <t>Pedagogų rengimo, perkvalifikavimo, jaunųjų pedagogų pritraukimo ir mokytojo prestižo didinimo dalinis finansavimas</t>
  </si>
  <si>
    <t>1.1.3.17.</t>
  </si>
  <si>
    <t>Švietimo įstaigoms autobusų pirkimas</t>
  </si>
  <si>
    <t>11.23</t>
  </si>
  <si>
    <t>1.1.5.2.</t>
  </si>
  <si>
    <t>Švietimo įstaigų patalpų remontas, mokyklinių autobusų remontas, buitinės, organizacinės technikos, mokymo priemonių įsigijimas</t>
  </si>
  <si>
    <t>1.4.4.28.</t>
  </si>
  <si>
    <t>11.17</t>
  </si>
  <si>
    <t>11.24</t>
  </si>
  <si>
    <t>11.25</t>
  </si>
  <si>
    <t xml:space="preserve">Daugiafunkcio centro Sendvario seniūnijoje statyba viešos ir privačios partnerystės būdu </t>
  </si>
  <si>
    <t>1.4.4.41.</t>
  </si>
  <si>
    <t>Lopšelio-darželio statyba Gargžduose</t>
  </si>
  <si>
    <t>1.3.1.5.</t>
  </si>
  <si>
    <t>VBD (VIP)</t>
  </si>
  <si>
    <t>1.3.3.4.</t>
  </si>
  <si>
    <t>Kt</t>
  </si>
  <si>
    <t>2.1.2.1.</t>
  </si>
  <si>
    <t>Klaipėdos rajono žemės ūkio ir kaimo plėtros rėmimo programa</t>
  </si>
  <si>
    <t>2.1.2.2.</t>
  </si>
  <si>
    <t>Rekonstruoti bei remontuoti melioracijos statinius, polderines sistemas</t>
  </si>
  <si>
    <t>2.2.1.8.</t>
  </si>
  <si>
    <t>ES (Kt)</t>
  </si>
  <si>
    <t>Vykdyti einamuosius melioracijos darbus</t>
  </si>
  <si>
    <t>Perteklinio vandens pašalinimo darbai (siurblinių aptarnaujančio personalo išlaikymas, elektra ir einamasis remontas). Polderių griovių ir pylimų priežiūros ir remonto darbai</t>
  </si>
  <si>
    <t>2.2.2.1.</t>
  </si>
  <si>
    <t>Kadastro vedimas</t>
  </si>
  <si>
    <t>2.2.2.3.</t>
  </si>
  <si>
    <t>15.1</t>
  </si>
  <si>
    <t>Dalyvavimas didinant regiono pasiekiamumą oro transportu</t>
  </si>
  <si>
    <t>10</t>
  </si>
  <si>
    <t>Gargždų karjerų teritorijos plėtra ir vystymas bei pritaikymas turizmo ir rekreacijos reikmėms</t>
  </si>
  <si>
    <t>21</t>
  </si>
  <si>
    <t>Rengti visuomenės poreikius tenkinančius teritorijų planavimo (detaliuosius planus) bei žemėtvarkos (žemės valdų projektus) dokumentus</t>
  </si>
  <si>
    <t>2.4.1.21.</t>
  </si>
  <si>
    <t>Žemės valdų projektų rengimas</t>
  </si>
  <si>
    <t>Rengti Klaipėdos rajono miestų ir miestelių bendruosius planus bei inžinerinės infrastruktūros ir susisiekimo sistemų specialiuosius planus</t>
  </si>
  <si>
    <t>Bendrųjų planų ir bendrųjų planų monitoringų rengimas</t>
  </si>
  <si>
    <t>2.4.1.45</t>
  </si>
  <si>
    <t>Specialiųjų planų ir žemės paėmimo visuomenės poreikiams projektų rengimas ir įgyvendinimas</t>
  </si>
  <si>
    <t>2</t>
  </si>
  <si>
    <t>2.4.1.37</t>
  </si>
  <si>
    <t>Rengti projektus, projektinius pasiūlymus, studijas, mokslinius darbus viešųjų erdvių ir teritorijų vystymui</t>
  </si>
  <si>
    <t xml:space="preserve">Gargždų miesto ir rajono architektūrinį ir urbanistinį įvaizdį gerinančių priemonių planų rengimas ir įgyvendinimas
</t>
  </si>
  <si>
    <t>2.4.5.1</t>
  </si>
  <si>
    <t>9.2</t>
  </si>
  <si>
    <t>Klaipėdos rajono lietaus nuotekų tinklų plėtros specialiojo plano rengimas</t>
  </si>
  <si>
    <t>3.1.1.78</t>
  </si>
  <si>
    <t>9.3</t>
  </si>
  <si>
    <t>3.1.1.75</t>
  </si>
  <si>
    <t>Savivaldybės administracijos išlaidos apmokant UAB „Klaipėdos rajono energija“ už Klaipėdos rajono savivaldybės objektų ir bendrojo naudojimo teritorijų paviršinių nuotekų tvarkymą.</t>
  </si>
  <si>
    <t>3.1.1.77</t>
  </si>
  <si>
    <t>3.1.1.79</t>
  </si>
  <si>
    <t>18</t>
  </si>
  <si>
    <t>3.2.1.9.</t>
  </si>
  <si>
    <t>Aplinkos apsaugos specialiosios programos įgyvendinimas</t>
  </si>
  <si>
    <t>3.1.1.2.</t>
  </si>
  <si>
    <t>AA</t>
  </si>
  <si>
    <t>LA</t>
  </si>
  <si>
    <t>18.1</t>
  </si>
  <si>
    <t>Asbesto turinčių gaminių atliekų surinkimas apvažiavimo būdu, transportavimas ir saugus šalinimas</t>
  </si>
  <si>
    <t>Gyvūnų augintinių gausos reguliavimo programa</t>
  </si>
  <si>
    <t>3.2.2.2.</t>
  </si>
  <si>
    <t>Gatvių ir žaliųjų plotų tvarkymas ir priežiūra Agluonėnų seniūnijoje</t>
  </si>
  <si>
    <t>3.2.3.1.25</t>
  </si>
  <si>
    <t>Gatvių ir žaliųjų plotų tvarkymas ir priežiūra  Dauparų-Kvietinių seniūnijoje</t>
  </si>
  <si>
    <t>3.2.3.2.26.</t>
  </si>
  <si>
    <t>Gatvių ir žaliųjų plotų tvarkymas ir priežiūra Dovilų seniūnijoje</t>
  </si>
  <si>
    <t>3.2.3.3.27.</t>
  </si>
  <si>
    <t>Gatvių ir žaliųjų plotų tvarkymas ir priežiūra Endriejavo seniūnijoje</t>
  </si>
  <si>
    <t>3.2.3.4.28.</t>
  </si>
  <si>
    <t>Gatvių ir žaliųjų plotų tvarkymas ir priežiūra Gargždų seniūnijoje</t>
  </si>
  <si>
    <t>3.2.3.5.29.</t>
  </si>
  <si>
    <t>Gatvių ir žaliųjų plotų tvarkymas ir priežiūra Judrėnų seniūnijoje</t>
  </si>
  <si>
    <t>3.2.3.6.30.</t>
  </si>
  <si>
    <t>Gatvių ir žaliųjų plotų tvarkymas ir priežiūra Kretingalės seniūnijoje</t>
  </si>
  <si>
    <t>3.2.3.7.31.</t>
  </si>
  <si>
    <t>Gatvių ir žaliųjų plotų tvarkymas ir priežiūra Priekulės seniūnijoje</t>
  </si>
  <si>
    <t>3.2.3.8.32.</t>
  </si>
  <si>
    <t>Gatvių ir žaliųjų plotų tvarkymas ir priežiūra Sendvario seniūnijoje</t>
  </si>
  <si>
    <t>3.2.3.9.33.</t>
  </si>
  <si>
    <t>Gatvių ir žaliųjų plotų tvarkymas ir priežiūra Veiviržėnų seniūnijoje</t>
  </si>
  <si>
    <t>3.2.3.10.34.</t>
  </si>
  <si>
    <t>Gatvių ir žaliųjų plotų tvarkymas ir priežiūra Vėžaičių seniūnijoje</t>
  </si>
  <si>
    <t>3.2.3.11.35.</t>
  </si>
  <si>
    <t>Gargždų miesto parko infrastruktūros sutvarkymas</t>
  </si>
  <si>
    <t xml:space="preserve">3.2.2.23. </t>
  </si>
  <si>
    <t>LŽ</t>
  </si>
  <si>
    <t>Sumažinti gyventojų sergamumą užkrečiamosiomis ligomis</t>
  </si>
  <si>
    <t>7.10</t>
  </si>
  <si>
    <t>7</t>
  </si>
  <si>
    <t> </t>
  </si>
  <si>
    <t>Sumažinti gyventojų sveikatos netolygumus, susijusius su gyventojų elgsena</t>
  </si>
  <si>
    <t>EEEVB</t>
  </si>
  <si>
    <t>EEE</t>
  </si>
  <si>
    <t>Visuomenės psichikos sveikatos paslaugų prieinamumo bei ankstyvojo savižudybių atpažinimo ir kompleksinės pagalbos teikimo sistemos plėtojimas</t>
  </si>
  <si>
    <t>4.1.2.10.</t>
  </si>
  <si>
    <t>Sveikos gyvensenos kultūros gyventojams formavimas</t>
  </si>
  <si>
    <t>4.1.1.2.</t>
  </si>
  <si>
    <t>Gerovės konsultanto modelio įdiegimas Klaipėdos r. savivaldybėje</t>
  </si>
  <si>
    <t>17</t>
  </si>
  <si>
    <t>4.1.1.14</t>
  </si>
  <si>
    <t>Plėtoti sveikatos infrastruktūrą ir gerinti sveikatos priežiūros paslaugų kokybę bei prieinamumą</t>
  </si>
  <si>
    <t>7.9</t>
  </si>
  <si>
    <t>4.2.1.12.</t>
  </si>
  <si>
    <t>Teikti valstybės ir savivaldybės piniginę socialinę paramą savivaldybės gyventojams</t>
  </si>
  <si>
    <t>Išmokų vaikams skyrimas ir mokėjimas</t>
  </si>
  <si>
    <t>5.1.1.1.</t>
  </si>
  <si>
    <t>VBM</t>
  </si>
  <si>
    <t>VBM (covid)</t>
  </si>
  <si>
    <t>5.1.1.3.</t>
  </si>
  <si>
    <t>Tikslinių kompensacijų (slaugos ir priežiūros (pagalbos)) skaičiavimas ir mokėjimas</t>
  </si>
  <si>
    <t>5.1.1.4.</t>
  </si>
  <si>
    <t>5.1.1.5.</t>
  </si>
  <si>
    <t>VB</t>
  </si>
  <si>
    <t>Socialinė parama mokiniams (maitinimui, priemonėms)</t>
  </si>
  <si>
    <t>5.1.2.9</t>
  </si>
  <si>
    <t>Teikti kitą paramą socialiai pažeidžiamiems asmenims</t>
  </si>
  <si>
    <t>Europos pagalbos labiausiai skurstantiems asmenims fondo projekto Klaipėdos rajone vykdymas</t>
  </si>
  <si>
    <t>5.1.2.13.</t>
  </si>
  <si>
    <t>Būsto pritaikymas neįgaliesiems</t>
  </si>
  <si>
    <t>5.1.2.5.</t>
  </si>
  <si>
    <t>Neveiksnių asmenų būklės peržiūrėjimo užtikrinimas</t>
  </si>
  <si>
    <t>5.1.2.19.</t>
  </si>
  <si>
    <t>Užtikrinti kokybišką socialinių paslaugų teikimą savivaldybės įstaigose</t>
  </si>
  <si>
    <t>5.1.2.27.</t>
  </si>
  <si>
    <t>5.1.2.28.</t>
  </si>
  <si>
    <t>Gerinti socialinių paslaugų prieinamumą skatinant kitų socialinių paslaugų teikėjų veiklas</t>
  </si>
  <si>
    <t>5.1.2.4.</t>
  </si>
  <si>
    <t>5.1.2.15.</t>
  </si>
  <si>
    <t>Sutrikusio intelekto žmonių globos bendrijos "Gargždų viltis" teikiamų transporto paslaugų neįgaliesiems finansavimas</t>
  </si>
  <si>
    <t>5.1.2.25</t>
  </si>
  <si>
    <t>Mirusiųjų pervežimas iš įvykio vietos ir saugojimas iki teismo medicinos tyrimo atlikimo</t>
  </si>
  <si>
    <t>5.1.2.8</t>
  </si>
  <si>
    <t>Dotacija akredituotai vaikų dienos socialinei priežiūrai organizuoti, teikti ir administruoti</t>
  </si>
  <si>
    <t>5.1.2.30</t>
  </si>
  <si>
    <t>Asmeninės pagalbos neįgaliems asmenims organizavimas</t>
  </si>
  <si>
    <t>5.1.2.29</t>
  </si>
  <si>
    <t>Plėtoti ir modernizuoti socialinių paslaugų infrastruktūrą</t>
  </si>
  <si>
    <t>Socialinio būsto rėmimo programos įgyvendinimas</t>
  </si>
  <si>
    <t>5.1.3.3.</t>
  </si>
  <si>
    <t>LS</t>
  </si>
  <si>
    <t>Užimtumo didinimo programos vykdymas</t>
  </si>
  <si>
    <t>5.2.1.2.</t>
  </si>
  <si>
    <t>Jaunimo įgalinimo ir įtraukimo į pilietinę veiklą galimybių kūrimas ir plėtra</t>
  </si>
  <si>
    <t>16</t>
  </si>
  <si>
    <t>5.1.4.2.</t>
  </si>
  <si>
    <t>16.1</t>
  </si>
  <si>
    <t>Skatinti nevyriausybinių organizacijų veiklą</t>
  </si>
  <si>
    <t>Klaipėdos r. savivaldybės ir nevyriausybinių organizacijų bendradarbiavimas</t>
  </si>
  <si>
    <t>9.4.3.1</t>
  </si>
  <si>
    <t>Klaipėdos r. gyvenamųjų vietovių bendruomenių rėmimo programos įgyvendinimas</t>
  </si>
  <si>
    <t>9.4.3.3.</t>
  </si>
  <si>
    <t>Klaipėdos r. tradicinių religinių bendruomenių ir bendrijų rėmimo programos įgyvendinimas</t>
  </si>
  <si>
    <t>9.4.3.4.</t>
  </si>
  <si>
    <t>Prižiūrėti gyvenviečių gatves ir kelius Klaipėdos rajono seniūnijose bei vykdyti jų einamąjį remontą</t>
  </si>
  <si>
    <t>Agluonėnų seniūnijos kelių, gatvių priežiūra ir remontas</t>
  </si>
  <si>
    <t>6.1.1.1.25.</t>
  </si>
  <si>
    <t>VLK</t>
  </si>
  <si>
    <t>Dauparų-Kvietinių seniūnijos kelių, gatvių priežiūra ir remontas</t>
  </si>
  <si>
    <t>6.1.1.1.26.</t>
  </si>
  <si>
    <t>Dovilų seniūnijos kelių, gatvių priežiūra ir remontas</t>
  </si>
  <si>
    <t>6.1.1.1.27.</t>
  </si>
  <si>
    <t>Endriejavo seniūnijos kelių, gatvių priežiūra ir remontas</t>
  </si>
  <si>
    <t>6.1.1.1.28.</t>
  </si>
  <si>
    <t>Gargždų  seniūnijos kelių, gatvių priežiūra ir remontas</t>
  </si>
  <si>
    <t>6.1.1.1.29.</t>
  </si>
  <si>
    <t>Judrėnų  seniūnijos kelių, gatvių priežiūra ir remontas</t>
  </si>
  <si>
    <t>6.1.1.1.30.</t>
  </si>
  <si>
    <t>Kretingalės  seniūnijos kelių, gatvių priežiūra ir remontas</t>
  </si>
  <si>
    <t>6.1.1.1.31.</t>
  </si>
  <si>
    <t>Priekulės seniūnijos kelių, gatvių priežiūra ir remontas</t>
  </si>
  <si>
    <t>6.1.1.1.32.</t>
  </si>
  <si>
    <t>Sendvario seniūnijos kelių, gatvių priežiūra ir remontas</t>
  </si>
  <si>
    <t>6.1.1.1.33.</t>
  </si>
  <si>
    <t>Veiviržėnų seniūnijos kelių, gatvių priežiūra ir remontas</t>
  </si>
  <si>
    <t>6.1.1.1.34.</t>
  </si>
  <si>
    <t>Vėžaičių seniūnijos kelių, gatvių priežiūra ir remontas</t>
  </si>
  <si>
    <t>6.1.1.1.35.</t>
  </si>
  <si>
    <t>Rezervas skiriamas apmokėti už nenumatytus darbus, atsirandančius sutartyse numatytų darbų vykdymo metu</t>
  </si>
  <si>
    <t>6.1.1.1.</t>
  </si>
  <si>
    <t>Iš viso SB lėšos</t>
  </si>
  <si>
    <t>Iš viso VLK lėšos</t>
  </si>
  <si>
    <t>1</t>
  </si>
  <si>
    <t>KPPP</t>
  </si>
  <si>
    <t>6.1.1.30.</t>
  </si>
  <si>
    <t>6.1.2.22.</t>
  </si>
  <si>
    <t>6.1.1.3.</t>
  </si>
  <si>
    <t>Sendvario seniūnijos inžinerinės infrastruktūros remontas ir įrengimas</t>
  </si>
  <si>
    <t>6.1.1.40.</t>
  </si>
  <si>
    <t>Gargždų miesto kiemų,  skersgatvių, kelio dangų, pėsčiųjų takų, apšvietimo remontas ir įrengimas</t>
  </si>
  <si>
    <t>6.1.1.42.</t>
  </si>
  <si>
    <t>Ž</t>
  </si>
  <si>
    <t>6.1.2.21.</t>
  </si>
  <si>
    <t>6.1.3.31.</t>
  </si>
  <si>
    <t>6.1.4.11.</t>
  </si>
  <si>
    <t>6.1.4.15.</t>
  </si>
  <si>
    <t>6.1.4.18.</t>
  </si>
  <si>
    <t>6.1.4.19.</t>
  </si>
  <si>
    <t>Įgyvendinti atskiras eismo saugumo priemones</t>
  </si>
  <si>
    <t>Saugaus eismo priemonių užtikrinimas (pagal Saugaus eismo komisijos sprendimus)</t>
  </si>
  <si>
    <t>6.1.1.9.</t>
  </si>
  <si>
    <t>Gargždų miesto šviesoforų techninė priežiūra</t>
  </si>
  <si>
    <t>6.1.1.37.</t>
  </si>
  <si>
    <t>Automobilių stovėjimo rinkliavos rinkimo ir administravimo paslaugos vykdymas</t>
  </si>
  <si>
    <t>6.1.1.38.</t>
  </si>
  <si>
    <t>Atnaujinti ir įrengti apšvietimo sistemą Gargžduose ir Klaipėdos rajono gyvenvietėse</t>
  </si>
  <si>
    <t>Naujų vartotojų elektros įrenginių prijungimas prie operatoriaus tinklų</t>
  </si>
  <si>
    <t>6.2.1.7.</t>
  </si>
  <si>
    <t>Klaipėdos rajono seniūnijų gatvių apšvietimo sistemų palaikymas ir plėtra</t>
  </si>
  <si>
    <t>6.2.1.29</t>
  </si>
  <si>
    <t>Užtikrinti gatvių apšvietimo infrastruktūros priežiūrą Klaipėdos rajono seniūnijose</t>
  </si>
  <si>
    <t>Agluonėnų seniūnijos gatvių apšvietimas</t>
  </si>
  <si>
    <t>6.2.2.1.25.</t>
  </si>
  <si>
    <t>Dauparų-Kvietinių seniūnijos gatvių apšvietimas</t>
  </si>
  <si>
    <t>6.2.2.2.26.</t>
  </si>
  <si>
    <t>Dovilų seniūnijos gatvių apšvietimas</t>
  </si>
  <si>
    <t>6.2.2.3.27.</t>
  </si>
  <si>
    <t>Endriejavo seniūnijos gatvių apšvietimas</t>
  </si>
  <si>
    <t>6.2.2.4.28.</t>
  </si>
  <si>
    <t>Gargždų seniūnijos gatvių apšvietimas</t>
  </si>
  <si>
    <t>6.2.2.5.29.</t>
  </si>
  <si>
    <t>Judrėnų seniūnijos gatvių apšvietimas</t>
  </si>
  <si>
    <t>6.2.2.6.30.</t>
  </si>
  <si>
    <t>Kretingalės seniūnijos gatvių apšvietimas</t>
  </si>
  <si>
    <t>6.2.2.7.31.</t>
  </si>
  <si>
    <t>Priekulės seniūnijos gatvių apšvietimas</t>
  </si>
  <si>
    <t>6.2.2.8.32.</t>
  </si>
  <si>
    <t>Sendvario seniūnijos gatvių apšvietimas</t>
  </si>
  <si>
    <t>6.2.2.9.33.</t>
  </si>
  <si>
    <t>Veiviržėnų seniūnijos gatvių apšvietimas</t>
  </si>
  <si>
    <t>6.2.2.10.34</t>
  </si>
  <si>
    <t>Vėžaičių seniūnijos gatvių apšvietimas</t>
  </si>
  <si>
    <t>6.2.2.11.35.</t>
  </si>
  <si>
    <t>Gerinti sodų bendrijų viešąją infrastruktūrą</t>
  </si>
  <si>
    <t>Klaipėdos rajono sodininkų bendrijų specialiosios programos įgyvendinimas</t>
  </si>
  <si>
    <t>6.3.1.1.</t>
  </si>
  <si>
    <t>Subsidija vežėjų nuostoliams kompensuoti (dotacija)</t>
  </si>
  <si>
    <t>6.3.3.1.</t>
  </si>
  <si>
    <t>Keleivinio viešojo transporto kontrolės rajone organizavimas</t>
  </si>
  <si>
    <t>6.3.3.2.</t>
  </si>
  <si>
    <t>Autobusų stotelių įrengimas Klaipėdos rajone</t>
  </si>
  <si>
    <t>6.3.3.3.</t>
  </si>
  <si>
    <t>19 Agl</t>
  </si>
  <si>
    <t>22 Endr</t>
  </si>
  <si>
    <t>6.3.4.1.28.</t>
  </si>
  <si>
    <t>23 Grg</t>
  </si>
  <si>
    <t>6.3.4.1.29.</t>
  </si>
  <si>
    <t>6.3.4.1.30.</t>
  </si>
  <si>
    <t>26 Prkl</t>
  </si>
  <si>
    <t>6.3.4.1.32.</t>
  </si>
  <si>
    <t>28 Veiv</t>
  </si>
  <si>
    <t>6.3.4.1.34.</t>
  </si>
  <si>
    <t>29 Vėž</t>
  </si>
  <si>
    <t>6.3.4.9.</t>
  </si>
  <si>
    <t>Teikti kultūros paslaugas Savivaldybės kultūros įstaigose</t>
  </si>
  <si>
    <t>7.4</t>
  </si>
  <si>
    <t>7.5</t>
  </si>
  <si>
    <t>7.6</t>
  </si>
  <si>
    <t>7.7</t>
  </si>
  <si>
    <t>7.8</t>
  </si>
  <si>
    <t>7.2</t>
  </si>
  <si>
    <t>7.1</t>
  </si>
  <si>
    <t>7.1.1.9.</t>
  </si>
  <si>
    <t>Kultūros įstaigų patalpų remontas, tarnybinių automobilių remontas, organizacinės technikos, priemonių įsigijimas, kultūros veikloms organizuoti</t>
  </si>
  <si>
    <t>7.1.1.10.</t>
  </si>
  <si>
    <t>7.3</t>
  </si>
  <si>
    <t>Sudaryti sąlygas kultūrinės veiklos organizavimui ir kultūros sklaidai Klaipėdos rajone</t>
  </si>
  <si>
    <t>Mėgėjų meno kolektyvų atstovavimas tarptautiniuose renginiuose atstovaujant Klaipėdos rajonui ir prisidėjimas prie Kultūros tarybos finasuojamų projektų</t>
  </si>
  <si>
    <t>7.1.2.9.</t>
  </si>
  <si>
    <t>Klaipėdos rajonui reikšmingų datų, įvykių, asmenybių įamžinimas</t>
  </si>
  <si>
    <t>7.1.2.20.</t>
  </si>
  <si>
    <t xml:space="preserve">Gargždų kultūros centro pastato modernizavimas </t>
  </si>
  <si>
    <t>7.3.1.38.</t>
  </si>
  <si>
    <t xml:space="preserve">Veiviržėnų kultūros centro pastato modernizavimas </t>
  </si>
  <si>
    <t>7.3.1.39.</t>
  </si>
  <si>
    <t>Etninės kultūros plėtros programos įgyvendinimas</t>
  </si>
  <si>
    <t>7.4.1.1.</t>
  </si>
  <si>
    <t>Premijų Klaipėdos rajonui nusipelniusiems ir pasižymėjusiems asmenims skyrimas</t>
  </si>
  <si>
    <t>7.4.1.2.</t>
  </si>
  <si>
    <t>Organizuoti kultūros vertybių tvarkymą ir išsaugojimą</t>
  </si>
  <si>
    <t>Senųjų kapinių tvarkymo ir priežiūros darbai</t>
  </si>
  <si>
    <t>7.5.1.1.</t>
  </si>
  <si>
    <t xml:space="preserve">Kultūros paveldo objektų ir jų vertingųjų savybių išsaugojimo darbai </t>
  </si>
  <si>
    <t>7.5.1.35.</t>
  </si>
  <si>
    <t>7.5.1.35.32</t>
  </si>
  <si>
    <t>Žydų žudynių ir užkasimo vietų išsaugojimas ir įprasminimas</t>
  </si>
  <si>
    <t>7.5.1.30.</t>
  </si>
  <si>
    <t>7.5.1.56.</t>
  </si>
  <si>
    <t>Piliakalnių pritaikymo turizmo ir visuomenės poreikiams įgyvendinimas</t>
  </si>
  <si>
    <t>7.5.1.68.</t>
  </si>
  <si>
    <t>Kultūros paveldo objektų apskaita (inventorizavimas, atskleidimas, registravimas), taikomieji tyrimai, pažinimas ir sklaida</t>
  </si>
  <si>
    <t>7.5.2.1.</t>
  </si>
  <si>
    <t>Organizuoti religinio paveldo objektų tvarkymą ir išsaugojimą</t>
  </si>
  <si>
    <t>Saugomų mažosios architektūros (lurdų, skulptūrų, kryžių, koplytėlių, koplytstulpių ir kt.) objektų tvarkymo ir priežiūros darbai</t>
  </si>
  <si>
    <t>7.5.1.71.</t>
  </si>
  <si>
    <t>Sportininkų, reprezentuojančių Klaipėdos rajono savivaldybę aukšto meistriškumo sporto varžybose, finansavimo programa</t>
  </si>
  <si>
    <t>8.1.2.9.</t>
  </si>
  <si>
    <t>Projekto „Stovyklavietės įrengimas Gargždų karjerų teritorijoje“ įgyvendinimas</t>
  </si>
  <si>
    <t>8.2.1.24.</t>
  </si>
  <si>
    <t>8.2.2.6.</t>
  </si>
  <si>
    <t>9.1.1.1.</t>
  </si>
  <si>
    <t>Taryba</t>
  </si>
  <si>
    <t>Tarybos ir mero sekretoriatas</t>
  </si>
  <si>
    <t>Mero fondas</t>
  </si>
  <si>
    <t>01.03.02.09.</t>
  </si>
  <si>
    <t>9.1.1.2.</t>
  </si>
  <si>
    <t>04.04.04.09.</t>
  </si>
  <si>
    <t>04.09.01.01.</t>
  </si>
  <si>
    <t>05.06.01.09.</t>
  </si>
  <si>
    <t>07.06.01.09.</t>
  </si>
  <si>
    <t>08.06.01.09.</t>
  </si>
  <si>
    <t>09.08.01.09.</t>
  </si>
  <si>
    <t>Reprezentacinės išlaidos</t>
  </si>
  <si>
    <t>Kontrolieriaus tarnybos darbo organizavimas</t>
  </si>
  <si>
    <t>9.1.1.3.</t>
  </si>
  <si>
    <t>Agluonėnų seniūnijos darbo organizavimas</t>
  </si>
  <si>
    <t>9.1.1.4.25.</t>
  </si>
  <si>
    <t>Dauparų Kvietinių seniūnijos darbo organizavimas</t>
  </si>
  <si>
    <t>9.1.1.4.26.</t>
  </si>
  <si>
    <t>Dovilų seniūnijos darbo organizavimas</t>
  </si>
  <si>
    <t>9.1.1.4.27.</t>
  </si>
  <si>
    <t>Endriejavo seniūnijos darbo organizavimas</t>
  </si>
  <si>
    <t>9.1.1.4.28.</t>
  </si>
  <si>
    <t>Gargždų seniūnijos darbo organizavimas</t>
  </si>
  <si>
    <t>9.1.1.4.29.</t>
  </si>
  <si>
    <t>Judrėnų seniūnijos darbo organizavimas</t>
  </si>
  <si>
    <t>9.1.1.4.30.</t>
  </si>
  <si>
    <t>Kretingalės seniūnijos darbo organizavimas</t>
  </si>
  <si>
    <t>9.1.1.4.31.</t>
  </si>
  <si>
    <t>Priekulės seniūnijos darbo organizavimas</t>
  </si>
  <si>
    <t>9.1.1.4.32.</t>
  </si>
  <si>
    <t>Sendvario seniūnijos darbo organizavimas</t>
  </si>
  <si>
    <t>9.1.1.4.33.</t>
  </si>
  <si>
    <t>Veiviržėnų seniūnijos darbo organizavimas</t>
  </si>
  <si>
    <t>9.1.1.4.34.</t>
  </si>
  <si>
    <t>Vėžaičių seniūnijos darbo organizavimas</t>
  </si>
  <si>
    <t>9.1.1.4.35.</t>
  </si>
  <si>
    <t>9.1.4.1.</t>
  </si>
  <si>
    <t>9.2.1.3.</t>
  </si>
  <si>
    <t>6</t>
  </si>
  <si>
    <t>Gyventojų registro tvarkymas ir duomenų valstybės registrui teikimas</t>
  </si>
  <si>
    <t>9.1.2.1.</t>
  </si>
  <si>
    <t>Archyvinių dokumentų tvarkymas</t>
  </si>
  <si>
    <t>9.1.2.2.</t>
  </si>
  <si>
    <t>Jaunimo teisių apsauga</t>
  </si>
  <si>
    <t>9.1.2.4.</t>
  </si>
  <si>
    <t>Valstybinės kalbos vartojimo ir taisyklingumo kontrolė</t>
  </si>
  <si>
    <t>9.1.2.5.</t>
  </si>
  <si>
    <t>Civilinės būklės aktų registravimas</t>
  </si>
  <si>
    <t>9.1.2.6.</t>
  </si>
  <si>
    <t>Valstybinės žemės ir kito valstybės turto valdymas ir disponavimas juo patikėjimo teise</t>
  </si>
  <si>
    <t>9.1.2.7.</t>
  </si>
  <si>
    <t>Pirminė teisinė pagalba</t>
  </si>
  <si>
    <t>9.1.2.10.</t>
  </si>
  <si>
    <t>Mobilizacijos administravimas</t>
  </si>
  <si>
    <t>9.1.2.11.</t>
  </si>
  <si>
    <t>Civilinės saugos organizavimas</t>
  </si>
  <si>
    <t>9.1.2.13.</t>
  </si>
  <si>
    <t>Žemės ūkio funkcijų vykdymas</t>
  </si>
  <si>
    <t>9.1.2.14.19.</t>
  </si>
  <si>
    <t>VBL</t>
  </si>
  <si>
    <t>VBR</t>
  </si>
  <si>
    <t>9.1.2.14.25.</t>
  </si>
  <si>
    <t>9.1.2.14.27.</t>
  </si>
  <si>
    <t>9.1.2.14.30.</t>
  </si>
  <si>
    <t>9.1.2.14.32.</t>
  </si>
  <si>
    <t>9.1.2.14.33.</t>
  </si>
  <si>
    <t>9.1.2.14.34.</t>
  </si>
  <si>
    <t>9.1.2.14.35.</t>
  </si>
  <si>
    <t>Socialinių išmokų skaičiavimas ir mokėjimas</t>
  </si>
  <si>
    <t>9.1.2.16.</t>
  </si>
  <si>
    <t>20 Dpr</t>
  </si>
  <si>
    <t>24 Jdr</t>
  </si>
  <si>
    <t>25 Krtg</t>
  </si>
  <si>
    <t>27 Sdv</t>
  </si>
  <si>
    <t>Duomenų teikimas Valstybės suteiktos pagalbos registrui</t>
  </si>
  <si>
    <t>9.1.2.19.</t>
  </si>
  <si>
    <t>9.1.2.20.25.</t>
  </si>
  <si>
    <t>9.1.2.20.26.</t>
  </si>
  <si>
    <t>9.1.2.20.28.</t>
  </si>
  <si>
    <t>9.1.2.20.29.</t>
  </si>
  <si>
    <t>9.1.2.20.30.</t>
  </si>
  <si>
    <t>9.1.2.20.31.</t>
  </si>
  <si>
    <t>9.1.2.20.32.</t>
  </si>
  <si>
    <t>9.1.2.20.33.</t>
  </si>
  <si>
    <t>9.1.2.20.34.</t>
  </si>
  <si>
    <t>9.1.2.20.35.</t>
  </si>
  <si>
    <t>Iš viso VBD:</t>
  </si>
  <si>
    <t>Savivaldybės erdvinių duomenų rinkinio tvarkymas</t>
  </si>
  <si>
    <t>9.1.2.21.</t>
  </si>
  <si>
    <t>Tarpinstitucinis bendradarbiavimas</t>
  </si>
  <si>
    <t>9.1.1.2</t>
  </si>
  <si>
    <t>9.1.2.26.</t>
  </si>
  <si>
    <t>Asmeninės pagalbos neįgaliems asmenims organizavimo administravimas</t>
  </si>
  <si>
    <t>9.1.2.27.</t>
  </si>
  <si>
    <t>Dokumentacijos rengimas, siekiant gauti finansavimą iš išorės programų bei įgyvendinant VPSP projektus</t>
  </si>
  <si>
    <t>9.1.5.1.</t>
  </si>
  <si>
    <t>Palūkanų mokėjimas</t>
  </si>
  <si>
    <t>9.1.6.1.</t>
  </si>
  <si>
    <t>Paskolų grąžinimas</t>
  </si>
  <si>
    <t>9.1.6.2.</t>
  </si>
  <si>
    <t>9.4.1.1.</t>
  </si>
  <si>
    <t>Asociacijos „Klaipėdos regionas“ nario mokestis</t>
  </si>
  <si>
    <t>9.1.1.14.</t>
  </si>
  <si>
    <t>Seniūnaičių veiklos išlaidų kompensavimas</t>
  </si>
  <si>
    <t>9.4.2.18.</t>
  </si>
  <si>
    <t>Gyventojų iniciatyvų, skirtų gyvenamajai aplinkai gerinti, skatinimas</t>
  </si>
  <si>
    <t>2,9,18</t>
  </si>
  <si>
    <t>9.4.1.7.</t>
  </si>
  <si>
    <t>22</t>
  </si>
  <si>
    <t>23</t>
  </si>
  <si>
    <t>28</t>
  </si>
  <si>
    <t>9.5.1.1.</t>
  </si>
  <si>
    <t>Nekilnojamojo turto rinkos vertės nustatymas</t>
  </si>
  <si>
    <t>9.5.1.2.</t>
  </si>
  <si>
    <t>Nekilnojamojo turto įsigijimas viešųjų poreikių tenkinimui</t>
  </si>
  <si>
    <t>9.5.6.4.</t>
  </si>
  <si>
    <t>Administracijos pastato rekonstravimo projektavimo ir statybos darbai</t>
  </si>
  <si>
    <t>9.5.2.4.</t>
  </si>
  <si>
    <t>9.5.2.10.</t>
  </si>
  <si>
    <t>Savivaldybės statinių remontas (Administracijos direktoriaus įsakymais)</t>
  </si>
  <si>
    <t>9.5.6.1.</t>
  </si>
  <si>
    <t>Katilinių priežiūros ir remonto paslaugos pirkimas</t>
  </si>
  <si>
    <t>9.5.6.2.</t>
  </si>
  <si>
    <t>Klaipėdos rajono švietimo, kultūros, seniūnijų ir kitų savivaldybės įstaigų elektros ūkio techninė priežiūra</t>
  </si>
  <si>
    <t>9.4.6.5.</t>
  </si>
  <si>
    <t>9.4.6.6.</t>
  </si>
  <si>
    <t>Kompensuojamos lėšos UAB "Klaipėdos rajono energija" pagal Klaipėdos rajono savivaldybės Tarybos sprendimus</t>
  </si>
  <si>
    <t>9.1.1.15.</t>
  </si>
  <si>
    <t>Klaipėdos rajono savivaldybės daugiabučių namų savininkų bendrijų rėmimo programos įgyvendinimas</t>
  </si>
  <si>
    <t>9.5.4.1.</t>
  </si>
  <si>
    <t>Finansavimas daugiabučių namų administratoriams</t>
  </si>
  <si>
    <t>9.5.4.2.</t>
  </si>
  <si>
    <t>Iš viso:</t>
  </si>
  <si>
    <t xml:space="preserve">SB </t>
  </si>
  <si>
    <t>Priemonės vykdytojas</t>
  </si>
  <si>
    <t>Architektūros ir teritorijų planavimo skyrius</t>
  </si>
  <si>
    <t>Bendrųjų reikalų skyrius</t>
  </si>
  <si>
    <t>Biudžeto ir ekonomikos skyrius</t>
  </si>
  <si>
    <t>Centralizuotas vidaus audito skyrius</t>
  </si>
  <si>
    <t>Centrinė buhalterija</t>
  </si>
  <si>
    <t>Sveikatos ir socialinės apsaugos skyrius</t>
  </si>
  <si>
    <t>VšĮ Klaipėdos rajono savivaldybės Gargždų ligoninė</t>
  </si>
  <si>
    <t>VšĮ Klaipėdos rajono savivaldybės Gargždų pirminės sveikatos priežiūros centras</t>
  </si>
  <si>
    <t>VšĮ Klaipėdos rajono savivaldybės Priekulės pirminės sveikatos priežiūros centras</t>
  </si>
  <si>
    <t>VšĮ Klaipėdos rajono savivaldybės Paupių pirminės sveikatos priežiūros centras</t>
  </si>
  <si>
    <t>BĮ Klaipėdos rajono savivaldybės visuomenės sveikatos biuras</t>
  </si>
  <si>
    <t>BĮ Klaipėdos rajono paramos šeimai centras</t>
  </si>
  <si>
    <t>BĮ Gargždų socialinių paslaugų centras</t>
  </si>
  <si>
    <t>BĮ Priekulės socialinių paslaugų centras</t>
  </si>
  <si>
    <t>Viliaus Gaigalaičio globos namai</t>
  </si>
  <si>
    <t>VšĮ Klaipėdos rajono savivaldybės sveikatos centras</t>
  </si>
  <si>
    <t>Kultūros skyrius</t>
  </si>
  <si>
    <t>Jono Lankučio viešoji biblioteka</t>
  </si>
  <si>
    <t>8.1</t>
  </si>
  <si>
    <t>Klaipėdos rajono etninės kultūros centras</t>
  </si>
  <si>
    <t>8.2</t>
  </si>
  <si>
    <t>Gargždų krašto muziejus</t>
  </si>
  <si>
    <t>8.3</t>
  </si>
  <si>
    <t>BĮ Gargždų kultūros centras</t>
  </si>
  <si>
    <t>8.4</t>
  </si>
  <si>
    <t>BĮ Kretingalės kultūros centras</t>
  </si>
  <si>
    <t>8.5</t>
  </si>
  <si>
    <t>BĮ Priekulės meno ir kultūros centras</t>
  </si>
  <si>
    <t>8.6</t>
  </si>
  <si>
    <t>BĮ Veiviržėnų kultūros centras</t>
  </si>
  <si>
    <t>8.7</t>
  </si>
  <si>
    <t>BĮ Vėžaičių kultūros centras</t>
  </si>
  <si>
    <t>8.8</t>
  </si>
  <si>
    <t>Statybos ir kelių priežiūros skyrius</t>
  </si>
  <si>
    <t>Infrastruktūros plėtros skyrius</t>
  </si>
  <si>
    <t>9.1</t>
  </si>
  <si>
    <t>AB „Klaipėdos vanduo“</t>
  </si>
  <si>
    <t>UAB „Klaipėdos rajono energija“ </t>
  </si>
  <si>
    <t>Strateginio planavimo ir projektų valdymo skyrius</t>
  </si>
  <si>
    <t>Švietimo ir sporto skyrius</t>
  </si>
  <si>
    <t>Gargždų „Minijos“ progimnazija</t>
  </si>
  <si>
    <t>Gargždų „Kranto“ progimnazija</t>
  </si>
  <si>
    <t>Gargždų „Vaivorykštės“ gimnazija</t>
  </si>
  <si>
    <t>Priekulės Ievos Simonaitytės gimnazija</t>
  </si>
  <si>
    <t>Veiviržėnų Jurgio Šaulio gimnazija</t>
  </si>
  <si>
    <t>Endriejavo pagrindinė mokykla</t>
  </si>
  <si>
    <t>Agluonėnų mokykla-darželis</t>
  </si>
  <si>
    <t>Dituvos A. T. Kuršaičio pagrindinė mokykla</t>
  </si>
  <si>
    <t>Dovilų pagrindinė mokykla</t>
  </si>
  <si>
    <t>Ketvergių pagrindinė mokykla</t>
  </si>
  <si>
    <t>11.10</t>
  </si>
  <si>
    <t>Kretingalės pagrindinė mokykla</t>
  </si>
  <si>
    <t>11.11</t>
  </si>
  <si>
    <t>Plikių Ievos Labutytės pagrindinė mokykla</t>
  </si>
  <si>
    <t>Vėžaičių pagrindinė mokykla</t>
  </si>
  <si>
    <t>Gargždų lopšelis-darželis „Ąžuoliukas“</t>
  </si>
  <si>
    <t>Gargždų lopšelis-darželis „Gintarėlis“</t>
  </si>
  <si>
    <t>11.15</t>
  </si>
  <si>
    <t>Gargždų lopšelis-darželis „Saulutė“</t>
  </si>
  <si>
    <t>Gargždų lopšelis-darželis „Naminukas“</t>
  </si>
  <si>
    <t>Priekulės vaikų lopšelis-darželis</t>
  </si>
  <si>
    <t>Gargždų muzikos mokykla</t>
  </si>
  <si>
    <t>Vaikų ir jaunimo laisvalaikio centras</t>
  </si>
  <si>
    <t>Klaipėdos rajono švietimo centras</t>
  </si>
  <si>
    <t>Pedagoginė psichologinė tarnyba</t>
  </si>
  <si>
    <t>Slengių mokykla-daugiafunkcinis centras</t>
  </si>
  <si>
    <t>BĮ Sporto centras</t>
  </si>
  <si>
    <t>VšĮ „Gargždų futbolas“</t>
  </si>
  <si>
    <t>Buriavimo mokykla „Žiemys“</t>
  </si>
  <si>
    <t>Klaipėdos rajono "Saulės" mokykla</t>
  </si>
  <si>
    <t>11.27</t>
  </si>
  <si>
    <t xml:space="preserve">Teisės ir personalo skyrius </t>
  </si>
  <si>
    <t>Viešosios tvarkos skyrius</t>
  </si>
  <si>
    <t xml:space="preserve">Viešųjų pirkimų skyrius </t>
  </si>
  <si>
    <t>Viešųjų ryšių ir bendradarbiavimo skyrius</t>
  </si>
  <si>
    <t>BĮ Klaipėdos rajono turizmo informacijos centras</t>
  </si>
  <si>
    <t>Gargždų atviras jaunimo centras</t>
  </si>
  <si>
    <t>Vyriausioji specialistė (tarpinstitucinio bendradarbiavimo koordinatorė)</t>
  </si>
  <si>
    <t>Komunalinio ūkio ir aplinkosaugos skyrius</t>
  </si>
  <si>
    <t>VšĮ Gargždų švara</t>
  </si>
  <si>
    <t>Agluonėnų seniūnija</t>
  </si>
  <si>
    <t>Dauparų-Kvietinių seniūnija</t>
  </si>
  <si>
    <t>Dovilų seniūnija</t>
  </si>
  <si>
    <t>Endriejavo seniūnija</t>
  </si>
  <si>
    <t>Gargždų seniūnija</t>
  </si>
  <si>
    <t>Judrėnų seniūnija</t>
  </si>
  <si>
    <t>Kretingalės seniūnija</t>
  </si>
  <si>
    <t>Priekulės seniūnija</t>
  </si>
  <si>
    <t>Sendvario seniūnija</t>
  </si>
  <si>
    <t>Veiviržėnų seniūnija</t>
  </si>
  <si>
    <t>Vėžaičių seniūnija</t>
  </si>
  <si>
    <t>Klaipėdos rajono priešgaisrinė tarnyba</t>
  </si>
  <si>
    <t>UAB „Gargždų turgus“</t>
  </si>
  <si>
    <t>Žemės ūkio skyrius</t>
  </si>
  <si>
    <t>Paslaugų ir civilinės metrikacijos skyrius</t>
  </si>
  <si>
    <t>Informacinių technologijų skyrius</t>
  </si>
  <si>
    <t>Patarėjas (už korupcijai atsparios aplinkos kūrimą atsakingas asmuo)</t>
  </si>
  <si>
    <t>Turto valdymo skyrius</t>
  </si>
  <si>
    <t>Patarėja (lygių galimybių koordinatorė)</t>
  </si>
  <si>
    <t>SL(ES)</t>
  </si>
  <si>
    <t>VBM (KP)</t>
  </si>
  <si>
    <t>VBM(UK)</t>
  </si>
  <si>
    <t>Programos Nr.</t>
  </si>
  <si>
    <t>SVP priemonės numeris</t>
  </si>
  <si>
    <t>Priemonės kodas detalizacijoje</t>
  </si>
  <si>
    <t>Atsakingo kodas</t>
  </si>
  <si>
    <t>2024 m.</t>
  </si>
  <si>
    <t>2026 m.</t>
  </si>
  <si>
    <t>2027 m.</t>
  </si>
  <si>
    <t>Požymis</t>
  </si>
  <si>
    <t>Veiklos vykdytojas (skyriaus ar įstaigos sutrumpinimas, darbuotojo V. Pavardė)</t>
  </si>
  <si>
    <t xml:space="preserve">Proceso ar/ir indėlio vertinimo kriterijai, matavimo vienetai </t>
  </si>
  <si>
    <r>
      <t xml:space="preserve">Matavimo vieneto planuojama reikšmė </t>
    </r>
    <r>
      <rPr>
        <b/>
        <sz val="8"/>
        <rFont val="Arial"/>
        <family val="2"/>
        <charset val="186"/>
      </rPr>
      <t>2025</t>
    </r>
    <r>
      <rPr>
        <sz val="8"/>
        <rFont val="Arial"/>
        <family val="2"/>
        <charset val="186"/>
      </rPr>
      <t xml:space="preserve"> metais</t>
    </r>
  </si>
  <si>
    <r>
      <t>Seniūnijos teritorija (</t>
    </r>
    <r>
      <rPr>
        <i/>
        <sz val="8"/>
        <rFont val="Arial"/>
        <family val="2"/>
        <charset val="186"/>
      </rPr>
      <t>be įstaigų</t>
    </r>
    <r>
      <rPr>
        <sz val="8"/>
        <rFont val="Arial"/>
        <family val="2"/>
        <charset val="186"/>
      </rPr>
      <t>)</t>
    </r>
  </si>
  <si>
    <t>1-1 Uždavinys: Užtikrinti ugdymo programų įgyvendinimą, jų įvairovę</t>
  </si>
  <si>
    <t>1-1-1</t>
  </si>
  <si>
    <t>ML (UK)</t>
  </si>
  <si>
    <t>I</t>
  </si>
  <si>
    <t>VBD(UK)</t>
  </si>
  <si>
    <t>Iš viso</t>
  </si>
  <si>
    <t>1-1-1-21</t>
  </si>
  <si>
    <t>NN</t>
  </si>
  <si>
    <t>Apdovanojamų mokytojų skaičius, vnt.
Renginys Mokytojų dienos progra, vnt.</t>
  </si>
  <si>
    <t>3
1</t>
  </si>
  <si>
    <t>PS</t>
  </si>
  <si>
    <t>1-1-1-23</t>
  </si>
  <si>
    <t>"Tūkstantmečio mokyklų" programos projekto įgyvendinimas</t>
  </si>
  <si>
    <t>11, 9</t>
  </si>
  <si>
    <t>1.1.1.43</t>
  </si>
  <si>
    <t xml:space="preserve">
Ugdymo įstaigų skaičius, kuriose įgyvendinamos projektų veiklos, vnt.</t>
  </si>
  <si>
    <t xml:space="preserve">
14</t>
  </si>
  <si>
    <t>1-1-1-24</t>
  </si>
  <si>
    <t>Įtraukusis ugdymas Klaipėdos rajono ugdymo įstaigose</t>
  </si>
  <si>
    <t>1.1.3.19.</t>
  </si>
  <si>
    <t>NK</t>
  </si>
  <si>
    <t>V. Viršilas</t>
  </si>
  <si>
    <t>Įrengtas liftas Gargždų "Kranto" progimnazijoje</t>
  </si>
  <si>
    <t>Gargždų</t>
  </si>
  <si>
    <t>Mokyklų skaičius, kuriose įgyvendinamos įtraukiojo ugdymo iniciatyvos, vnt.
Įtraukiojo ugdymo lėšomis finansuojami etatai, vnt.</t>
  </si>
  <si>
    <t>10
3</t>
  </si>
  <si>
    <t>1-1-1-26</t>
  </si>
  <si>
    <t>R. Rudgalvienė</t>
  </si>
  <si>
    <t>1-1-1-27</t>
  </si>
  <si>
    <t>Švietimo įstaigų elektros ir kuro išlaidų, šildymo  finansavimas</t>
  </si>
  <si>
    <t>V. Gabrilavičius</t>
  </si>
  <si>
    <t xml:space="preserve">Panaudotos lėšos, proc. </t>
  </si>
  <si>
    <t>1-1-1-28</t>
  </si>
  <si>
    <t>Projekto "Mokinių įvairovei atvirų grupių, klasių sudarymas ir ugdymo organizavimas jose" įgyvendinimas</t>
  </si>
  <si>
    <t>1.1.3.20.</t>
  </si>
  <si>
    <t>Mokyklų skaičius, kuriose įgyvendinamos projekto veiklos, vnt.</t>
  </si>
  <si>
    <t>1-1-1-29</t>
  </si>
  <si>
    <t>Projekto „Ankstyvojo ugdymo užtikrinimas vaikams iš socialinę riziką patiriančių šeimų“ įgyvendinimas</t>
  </si>
  <si>
    <t>1.1.3.21.</t>
  </si>
  <si>
    <t>1-1-1-30</t>
  </si>
  <si>
    <t>1-1-1-31</t>
  </si>
  <si>
    <t>Klaipėdos rajono savivaldybės administracijos vaiko gerovės komisijos darbo užtikrinimas</t>
  </si>
  <si>
    <t>1.1.3.22.</t>
  </si>
  <si>
    <t>T. Stonkė</t>
  </si>
  <si>
    <t xml:space="preserve">Organizuotas komisijos darbas, vnt. </t>
  </si>
  <si>
    <t>1-1-2</t>
  </si>
  <si>
    <t>Privačius darželius Klaipėdos rajone lankančių vaikų skaičius, kuriems teikiamos kompensacijos</t>
  </si>
  <si>
    <t>Privačius darželius Klaipėdos mieste lankančių vaikų skaičius, kuriems teikiamos kompensacijos</t>
  </si>
  <si>
    <t>Klaipėdos rajono vaikų skaičius Klaipėdos darželiuose</t>
  </si>
  <si>
    <t>Klaipėdos rajono vaikų skaičius Klaipėdos mokyklose</t>
  </si>
  <si>
    <t>Sudaryta sutarčių su nevalstybinėmis įstaigomis mokymo lėšoms gauti</t>
  </si>
  <si>
    <t>1-1-3</t>
  </si>
  <si>
    <t>1-1-3-1</t>
  </si>
  <si>
    <t>Finansuoti organizuoti renginiai Klaipėdos rajono savivaldybėje, vnt.</t>
  </si>
  <si>
    <t>Finansuotos išvykos į respublikinius renginius, vnt.</t>
  </si>
  <si>
    <t>1-1-3-4</t>
  </si>
  <si>
    <t>Neformaliojo vaikų švietimo programų skaičius, vnt.</t>
  </si>
  <si>
    <t>1-1-3-5</t>
  </si>
  <si>
    <t xml:space="preserve"> Vaikų vasaros poilsio programų skaičius, vnt.</t>
  </si>
  <si>
    <t>1-1-3-6</t>
  </si>
  <si>
    <t>Įvertintų programų skaičius, vnt.</t>
  </si>
  <si>
    <t>1-1-3-7</t>
  </si>
  <si>
    <t>Neformaliojo vaikų švietimo elektroninės apskaitos sistemos ir ekosistemos atsiskaitymams negrynaisiais pinigais mokyklų valgyklose kūrimas</t>
  </si>
  <si>
    <t xml:space="preserve">Įdiegtos sistemos priežiūra  NVŠ teikiančiose įstaigose, pagal poreikį įsigytų elektroninių mokinių pažymėjimų, proc.                                                                         </t>
  </si>
  <si>
    <t xml:space="preserve">100
</t>
  </si>
  <si>
    <t xml:space="preserve">Kasos aparatų valgyklose diegimas, vnt. </t>
  </si>
  <si>
    <t>1-1-3-8</t>
  </si>
  <si>
    <t>Mokytojų skaičius, kurie  išklausė verslumo ir finansinio raštingumo mokymus, vnt.
Mokinių iniciatyvų projektų skaičius, vnt.               Mokinių mažųjų bendrovių eXpo paroda, vnt.</t>
  </si>
  <si>
    <t>35                                    17                                 1</t>
  </si>
  <si>
    <t>1-1-4</t>
  </si>
  <si>
    <t>1-1-4-2</t>
  </si>
  <si>
    <t>Sudarytų finansavimo sutarčių su persikvalifikuojančiais mokytojais ir studentais skaičius, vnt.</t>
  </si>
  <si>
    <t xml:space="preserve">1-2 Uždavinys: Modernizuoti švietimo įstaigas, atnaujinti jų turimą turtą </t>
  </si>
  <si>
    <t>1-2-1</t>
  </si>
  <si>
    <t>Įsigytų autobusų skaičius, vnt.</t>
  </si>
  <si>
    <t>1-2-2</t>
  </si>
  <si>
    <t>1-2-3</t>
  </si>
  <si>
    <t>Ugdymo įstaigų modernizavimas ir plėtra:</t>
  </si>
  <si>
    <t>1-2-3-1</t>
  </si>
  <si>
    <t xml:space="preserve">Darželio statyba Jurgaičių ir Juodžemių g. (Mazūriškės) sankryžoje esančiame laisvame sklype </t>
  </si>
  <si>
    <t>PV</t>
  </si>
  <si>
    <t>K. Jokubaitytė</t>
  </si>
  <si>
    <t>Rangos darbų pradžia, įgyvendinta rangos darbų, proc.</t>
  </si>
  <si>
    <t>Sendvario</t>
  </si>
  <si>
    <t>1-2-3-2</t>
  </si>
  <si>
    <t>Gargždų "Vaivorykštės" gimnazijos sporto aikštyno rekonstrukcija</t>
  </si>
  <si>
    <t>J. Blinstrubienė</t>
  </si>
  <si>
    <t>Įgyvendintas projektas, vnt.</t>
  </si>
  <si>
    <t>1-2-3-3</t>
  </si>
  <si>
    <t>Gargždų "Vaivorykštės" gimnazijos pastato modernizavimo projektavimas ir įgyvendinimas</t>
  </si>
  <si>
    <t>R. Sarulienė</t>
  </si>
  <si>
    <t>1-2-3-4</t>
  </si>
  <si>
    <t>Veiviržėnų Jurgio Šaulio gimnazijos pastato modernizavimo projektavimas</t>
  </si>
  <si>
    <t>PP</t>
  </si>
  <si>
    <t>Parengtas techninis projektas, vnt.</t>
  </si>
  <si>
    <t>Veiviržėnų</t>
  </si>
  <si>
    <t>1-2-3-5</t>
  </si>
  <si>
    <t>Ketvergių pagrindinės mokyklos priestato projektavimas ir statyba</t>
  </si>
  <si>
    <t>Parengtas statybos techninis projektas, vnt.</t>
  </si>
  <si>
    <t>Dovilų</t>
  </si>
  <si>
    <t>Nupirkti rangos darbai, vnt</t>
  </si>
  <si>
    <t>1-2-3-6</t>
  </si>
  <si>
    <t>Darželio Dercekliuose projekto parengimas ir ranga</t>
  </si>
  <si>
    <t>Priekulės</t>
  </si>
  <si>
    <t>Vykdomi rangos darbai, proc.</t>
  </si>
  <si>
    <t>1-2-3-7</t>
  </si>
  <si>
    <t>Gargždų lopšelio-darželio "Saulutė" pastato atnaujinimas ir plėtra</t>
  </si>
  <si>
    <t>1-2-3-9</t>
  </si>
  <si>
    <t>Vėžaičių darželio projektavimas</t>
  </si>
  <si>
    <t xml:space="preserve">Nupirkta techninio projekto parengimo paslauga, vnt. </t>
  </si>
  <si>
    <t>Vėžaičių</t>
  </si>
  <si>
    <t>Kretingalės</t>
  </si>
  <si>
    <t>1-2-3-12</t>
  </si>
  <si>
    <t>Agluonėnų darželio pastato sutvarkymas</t>
  </si>
  <si>
    <t>A. Ronkus</t>
  </si>
  <si>
    <t>Agluonėnų</t>
  </si>
  <si>
    <t>1-2-3-13</t>
  </si>
  <si>
    <t>Gargždų "Kranto" progimnazijos teritorijos sutvarkymo (apimant ir sporto sektorių) projektavimas ir įrengimas</t>
  </si>
  <si>
    <t>ATPS,
G. Kasperavičius</t>
  </si>
  <si>
    <t>Išdiskutuota su sporto bendruomene projektavimo užduotis ir parengti dokumentai projekto pirkimui, vnt.</t>
  </si>
  <si>
    <t>1-2-3-14</t>
  </si>
  <si>
    <t>1-2-3-15</t>
  </si>
  <si>
    <t>1.4.4.42.</t>
  </si>
  <si>
    <t>34, 10</t>
  </si>
  <si>
    <t>1-2-3-16</t>
  </si>
  <si>
    <t>Gautas statybos leidimas, vnt</t>
  </si>
  <si>
    <t>Pradėti rangos darbai, proc.</t>
  </si>
  <si>
    <t>1-2-3-18</t>
  </si>
  <si>
    <t>Mokyklų sporto aikštynų tvarkymas</t>
  </si>
  <si>
    <t>1.3.1.7</t>
  </si>
  <si>
    <t>Dovilų mokyklos stadionas</t>
  </si>
  <si>
    <t>Nupirkta projektavimo paslauga, vnt
Parengti projektiniai sprendiniai, vnt</t>
  </si>
  <si>
    <t>1
1</t>
  </si>
  <si>
    <t>Endriejavo</t>
  </si>
  <si>
    <t>2-1 Uždavinys: Kurti verslui bei investicijoms palankią aplinką Klaipėdos rajone</t>
  </si>
  <si>
    <t>2-1-1</t>
  </si>
  <si>
    <t>Klaipėdos  rajono savivaldybės smulkiojo verslo plėtros skatinimo programos įgyvendinimas</t>
  </si>
  <si>
    <t>2-1-2</t>
  </si>
  <si>
    <t>Išnagrinėta ūkininkų prašymų dėl paramos skyrimo, vnt.</t>
  </si>
  <si>
    <t>2-2 Uždavinys: Gerinti žemdirbystės sąlygas bei skatinti kaimo plėtrą Klaipėdos rajone</t>
  </si>
  <si>
    <t>2-2-1</t>
  </si>
  <si>
    <t>2-2-1-1</t>
  </si>
  <si>
    <t>Magistralinių melioracijos griovių tvarkymas (šienavimas, krūmų kirtimas, drenažo žiočių atnaujinimas, griovių dugno valymas) drenažo avarinis remontas, pralaidų remontas ir melioracijos projektų rengimas, rangos darbų techninė priežiūra, projektų ekspertizės</t>
  </si>
  <si>
    <r>
      <rPr>
        <sz val="8"/>
        <color rgb="FF000000"/>
        <rFont val="Arial"/>
        <family val="2"/>
        <charset val="186"/>
      </rPr>
      <t>Suremontuoti/prižiūrėti melioracijos grioviai ir pylimai</t>
    </r>
    <r>
      <rPr>
        <sz val="8"/>
        <color rgb="FFFF0000"/>
        <rFont val="Arial"/>
        <family val="2"/>
        <charset val="186"/>
      </rPr>
      <t>,</t>
    </r>
    <r>
      <rPr>
        <sz val="8"/>
        <color rgb="FF000000"/>
        <rFont val="Arial"/>
        <family val="2"/>
        <charset val="186"/>
      </rPr>
      <t xml:space="preserve"> km</t>
    </r>
  </si>
  <si>
    <t>2-2-1-1-1</t>
  </si>
  <si>
    <r>
      <rPr>
        <sz val="8"/>
        <color rgb="FF000000"/>
        <rFont val="Arial"/>
        <family val="2"/>
        <charset val="186"/>
      </rPr>
      <t xml:space="preserve">Klaipėdos r.sav esančių melioracijos statinių rekonstrukcijos techninių darbo projektų ir projektinių pasiūlymų parengimas </t>
    </r>
    <r>
      <rPr>
        <sz val="8"/>
        <color rgb="FFFF0000"/>
        <rFont val="Arial"/>
        <family val="2"/>
        <charset val="186"/>
      </rPr>
      <t xml:space="preserve"> </t>
    </r>
  </si>
  <si>
    <t>ŽŪS, L. Kundrotas, R. Danielkus</t>
  </si>
  <si>
    <t>Parengti techniniai projektai, vnt.</t>
  </si>
  <si>
    <t>2.2.1.8</t>
  </si>
  <si>
    <t>ŽŪS, R. Nekrošienė</t>
  </si>
  <si>
    <t>ŽŪS, L. Kundrotas</t>
  </si>
  <si>
    <t>2-2-1-1-4</t>
  </si>
  <si>
    <t>Klaipėdos raj. melioracijos statinių techninių projektų bendrosios ekspertizės paslaugos</t>
  </si>
  <si>
    <t>Atliktos ekspertizės, vnt.</t>
  </si>
  <si>
    <t>2-2-1-1-5</t>
  </si>
  <si>
    <t>Klaipėdos r.sav, Dovilų sen, Šiūparių k. esančio melioracijos griovio up. "Skardupė" rekonstrukcijos techninio darbo projekto parengimas ir įgyvendinimas (projekto priežiūra, rangos darbų techninė priežiūra, rangos darbai)</t>
  </si>
  <si>
    <t>2-2-1-1-8</t>
  </si>
  <si>
    <t>Gargždų mieste esančio griovio Nr. Gr-1 rekonstrukcijos rangos darbai, projekto ir rangos darbų techninė priežiūra</t>
  </si>
  <si>
    <t>Rekonstruoti melioracijos grioviai, km</t>
  </si>
  <si>
    <t>2-2-1-1-9</t>
  </si>
  <si>
    <t>Priekulės sen. Stragnų II k, esančios pralaidos ir dalies melioracijos griovio rekonstrukcijos rangos darbai, projekto ir rangos darbų techninė priežiūra</t>
  </si>
  <si>
    <t>Rekonstruoti grioviai ir pralaida (komplektas), vnt.</t>
  </si>
  <si>
    <t>2-2-1-1-10</t>
  </si>
  <si>
    <t>Agluonėnų sen, Vanagų k, esančios pralaidos rekonstrukcijos rangos darbai, projekto ir rangos darbų techninė priežiūra</t>
  </si>
  <si>
    <t>ŽŪS, R. Danielkus</t>
  </si>
  <si>
    <t>Rekonstruota pralaida,  vnt.</t>
  </si>
  <si>
    <t>2-2-1-1-14</t>
  </si>
  <si>
    <t xml:space="preserve">Melioracijos statinių avarinių gedimų remonto darbai </t>
  </si>
  <si>
    <t>ŽŪS, J. Griauslys</t>
  </si>
  <si>
    <t xml:space="preserve">Suremontuotų objektų skaičius, vnt. </t>
  </si>
  <si>
    <t>2-2-1-1-15</t>
  </si>
  <si>
    <t>Hidrotechninių statinių: Vėžaičių, Greičiūnų, Eketės, užtvankų ir tiltų techninės apžiūros paslaugos</t>
  </si>
  <si>
    <t>Objektų, kurių įvertinta būklė, skaičius, vnt.</t>
  </si>
  <si>
    <t>2-2-1-1-16</t>
  </si>
  <si>
    <t xml:space="preserve">Melioracijos griovių  Klaipėdos rajone remonto ir priežiūros darbai </t>
  </si>
  <si>
    <t xml:space="preserve">Suremontuoti/prižiūrėti melioracijos grioviai, km </t>
  </si>
  <si>
    <t>2-2-1-1-20</t>
  </si>
  <si>
    <t>Jokšų polderio pylimo (nuo kelio  Nr. 2206 iki kelio Nr. 2241) remonto darbai (2 dalis)</t>
  </si>
  <si>
    <t>Suremontuota Jokšų polderio dalis, km</t>
  </si>
  <si>
    <t>2-2-1-1-21</t>
  </si>
  <si>
    <t>Melioracijos griovio A-2 ir kanalizuoto melioracijos griovio vamzdyno R-(A-2), esančių Klaipėdos r. sav., Veiviržėnų sen., remonto techninio darbo projekto parengimas, remonto darbai ir darbų techninė priežiūra</t>
  </si>
  <si>
    <t>2-2-1-1-22</t>
  </si>
  <si>
    <t xml:space="preserve">Parengtas  remonto techninis darbo projektas, suremontuoti melioracijos grioviai, km. 
</t>
  </si>
  <si>
    <t xml:space="preserve">Dauparų-Kvietinių </t>
  </si>
  <si>
    <t>2-2-1-2</t>
  </si>
  <si>
    <t>Jokšų polderio melioracijos griovių J-1, J-1-1, J-1-1-2, J-1-4, J-3 ir juose esančių statinių bei Pjaulių siurblinės rekonstrukcija</t>
  </si>
  <si>
    <t>2.2.1.28.</t>
  </si>
  <si>
    <t xml:space="preserve">Rekonstruoti grioviai, km </t>
  </si>
  <si>
    <t>2-2-1-3</t>
  </si>
  <si>
    <t>Plikių ir Dauparų kadastro vietovių dalies melioracijos statinių rekonstravimo darbai</t>
  </si>
  <si>
    <t>2.2.1.29</t>
  </si>
  <si>
    <t>Rekonstruoti grioviai, km</t>
  </si>
  <si>
    <t>Kt.</t>
  </si>
  <si>
    <t>2-2-2</t>
  </si>
  <si>
    <t>2-2-2-1</t>
  </si>
  <si>
    <t>Panaudotos lėšos, proc.</t>
  </si>
  <si>
    <t>Priekulės, Dauparų-Kvietinių</t>
  </si>
  <si>
    <t>2-2-2-1-1</t>
  </si>
  <si>
    <t>Valstybei nuosavybės teise priklausančių melioracijos pylimų ir tvenkinių pakrančių priežiūros (šienavimo, krūmynų šalinimo) paslaugos</t>
  </si>
  <si>
    <t>Prižiūrėtų teritorijų plotas, ha</t>
  </si>
  <si>
    <t>2-2-2-1-2</t>
  </si>
  <si>
    <t>Perteklinio vandens pašalinimo paslaugos Klaipėdos rajono polderinėse sausinimo sistemose (polderių priežiūra) (7 siurblinių priežiūra ir elektros išlaidos)</t>
  </si>
  <si>
    <t>Prižiūrimos siurblinės, vnt.</t>
  </si>
  <si>
    <t>2-2-2-1-3</t>
  </si>
  <si>
    <t>Jokšų polderio pylimo (nuo kelio  Nr. 2206 iki kelio Nr. 2241) remonto darbai (1 dalis)</t>
  </si>
  <si>
    <t>2-2-2-1-4</t>
  </si>
  <si>
    <t>Jokšų polderio pylimo (nuo kelio  Nr. 2206 iki kelio Nr. 2241) remonto techninė priežiūra</t>
  </si>
  <si>
    <t xml:space="preserve">Suteikta techninės priežiūros paslaugų, vnt. </t>
  </si>
  <si>
    <t>2-2-2-2</t>
  </si>
  <si>
    <t xml:space="preserve">Melioruotos žemės ir melioracijos statinių kompiuterinės apskaitos paslaugų įgyvendinimo sutarties vykdymo priežiūra, vnt. </t>
  </si>
  <si>
    <t>2-3 Uždavinys: Didinti ir gerinti turizmo paslaugų teikimą</t>
  </si>
  <si>
    <t>2-3-2</t>
  </si>
  <si>
    <t>Turizmo infrastruktūros ir rinkodaros plėtra</t>
  </si>
  <si>
    <t>2-3-2-1</t>
  </si>
  <si>
    <t>Stepono Dariaus memorialinio parko pritaikymas turizmo ir aviacinio sporto reikmėms</t>
  </si>
  <si>
    <t>2.3.1.5.</t>
  </si>
  <si>
    <t>Nupirkti rangos darbai, vnt
Atlikti rangos darbai, proc.</t>
  </si>
  <si>
    <t>1
80</t>
  </si>
  <si>
    <t>Judrėnų</t>
  </si>
  <si>
    <t>2-3-2-3</t>
  </si>
  <si>
    <t>2.3.2.11.</t>
  </si>
  <si>
    <t>2-3-2-6</t>
  </si>
  <si>
    <t>Vandens maršrutų tinklo plėtra Latvijoje ir Lietuvoje, toliau plečiant tarpvalstybinio turizmo produktą www.riverways.eu</t>
  </si>
  <si>
    <t>19</t>
  </si>
  <si>
    <t>2.3.3.26</t>
  </si>
  <si>
    <t xml:space="preserve">Sutvarkyta Agluonėnų tvenkinio pakrantė, vnt. </t>
  </si>
  <si>
    <t>SPPVS R. Grubliauskytė</t>
  </si>
  <si>
    <t xml:space="preserve">Vykdyta projekto priežiūra, vnt. </t>
  </si>
  <si>
    <t>2-3-2-7</t>
  </si>
  <si>
    <t>Drevernos turistinės vietovės plėtra</t>
  </si>
  <si>
    <t>2.3.1.12.</t>
  </si>
  <si>
    <t>F. Žemgulys</t>
  </si>
  <si>
    <r>
      <rPr>
        <sz val="8"/>
        <color rgb="FF000000"/>
        <rFont val="Arial"/>
        <family val="2"/>
        <charset val="186"/>
      </rPr>
      <t>Nupirkti Drevernos šliuzo įrengimo</t>
    </r>
    <r>
      <rPr>
        <strike/>
        <sz val="8"/>
        <color rgb="FF000000"/>
        <rFont val="Arial"/>
        <family val="2"/>
        <charset val="186"/>
      </rPr>
      <t xml:space="preserve"> </t>
    </r>
    <r>
      <rPr>
        <sz val="8"/>
        <color rgb="FF000000"/>
        <rFont val="Arial"/>
        <family val="2"/>
        <charset val="186"/>
      </rPr>
      <t>rangos darbai, vnt.
Padaryti rangos darbai, proc.</t>
    </r>
  </si>
  <si>
    <t>1
50</t>
  </si>
  <si>
    <t>Baigiamieji tako darbai, vnt.</t>
  </si>
  <si>
    <t>2-3-2-9</t>
  </si>
  <si>
    <t>2, 21</t>
  </si>
  <si>
    <t>2.3.3.29.</t>
  </si>
  <si>
    <t>Techninio projekto parengimas</t>
  </si>
  <si>
    <t>ATPS,
J. Tamošauskienė</t>
  </si>
  <si>
    <t>Techninio projekto parengimo lygis procentais</t>
  </si>
  <si>
    <t>Smėlio atvežimas, išskleidimas</t>
  </si>
  <si>
    <t xml:space="preserve">Atliktos karjerų teritorijos pritaikymo turizmui priemonės, vnt. </t>
  </si>
  <si>
    <t xml:space="preserve">Nendrių pjovimas ir aeravimas </t>
  </si>
  <si>
    <t>Krūmų rovimas prie Skaidriojo karjero</t>
  </si>
  <si>
    <t>Inventoriaus remontas</t>
  </si>
  <si>
    <t>Hidrotechninio mazgo ekspertizė</t>
  </si>
  <si>
    <t>2-3-2-10</t>
  </si>
  <si>
    <t>Projektas "MariEx - Naujų jūrinio turizmo keliautojų patirčių sukūrimas krante"</t>
  </si>
  <si>
    <t>2.3.2.30.</t>
  </si>
  <si>
    <t>SPPVS R. Grubliauskytė. 
V. Viršilas</t>
  </si>
  <si>
    <t>SPPVS R. Grubliauskytė.
F. Žemgulys</t>
  </si>
  <si>
    <t>Slipo įrengimas Vilhelmo kanale, vnt.</t>
  </si>
  <si>
    <t>2-3-2-12</t>
  </si>
  <si>
    <t>Turizmo forumo organizavimas</t>
  </si>
  <si>
    <t>2.3.1.13.</t>
  </si>
  <si>
    <t>Suorganizuotas renginys, vnt.</t>
  </si>
  <si>
    <t>2-3-2-13</t>
  </si>
  <si>
    <t>Projekto "Laivo formos ekspoziciniai stendai - mobili žvejų promenada" įgyvendinimas</t>
  </si>
  <si>
    <t>2.3.1.14.</t>
  </si>
  <si>
    <t xml:space="preserve">Priekulės seniūnija 
</t>
  </si>
  <si>
    <t>2-4 Uždavinys: Skatinti rajono urbanistinę plėtrą organizuojant teritorijų planavimo planų ir projektų rengimą</t>
  </si>
  <si>
    <t>2-4-1</t>
  </si>
  <si>
    <t>2-4-1-1</t>
  </si>
  <si>
    <t xml:space="preserve">Detaliųjų planų rengimas
</t>
  </si>
  <si>
    <t>ATPS</t>
  </si>
  <si>
    <t>Patvirtintas detalusis planas Gargždų karjerų ter., vnt.</t>
  </si>
  <si>
    <t>2-4-1-2</t>
  </si>
  <si>
    <t>Parengti žemės valdų projektai, vnt.</t>
  </si>
  <si>
    <t>2-4-2</t>
  </si>
  <si>
    <t>2-4-2-1</t>
  </si>
  <si>
    <t>2-4-2-1-2</t>
  </si>
  <si>
    <t>Klaipėdos rajono bendrojo plano korektūros rengimas</t>
  </si>
  <si>
    <t>ATPS, 
J. Tamošauskienė</t>
  </si>
  <si>
    <t>Patvirtintas bendrasis planas, vnt.</t>
  </si>
  <si>
    <t>Klaipėdos rajono</t>
  </si>
  <si>
    <t>2-4-2-1-3</t>
  </si>
  <si>
    <t>Drevernos - Svencelės apylinkių urbanizuotos teritorijos bendrojo plano rengimas su urbanistine idėja</t>
  </si>
  <si>
    <t>ATPS, 
G. Kasperavičius</t>
  </si>
  <si>
    <t xml:space="preserve">Bendrojo plano parengimo lygis, proc. </t>
  </si>
  <si>
    <t>2-4-2-1-4</t>
  </si>
  <si>
    <t xml:space="preserve">Slengių, Mazūriškių ir kitų gyvenamųjų priemiestinių teritorijų bendrojo plano rengimas. </t>
  </si>
  <si>
    <t>ATPS, G. Kasperavičius</t>
  </si>
  <si>
    <t>2-4-2-1-5</t>
  </si>
  <si>
    <t>Dovilų miestelio bendrojo plano koregavimas</t>
  </si>
  <si>
    <t>ATPS, K. Litvinas</t>
  </si>
  <si>
    <t>2-4-2-1-6</t>
  </si>
  <si>
    <t>Gargždų miesto bendrojo plano keitimo parengimas</t>
  </si>
  <si>
    <t>2-4-2-2</t>
  </si>
  <si>
    <t>2-4-2-2-1</t>
  </si>
  <si>
    <t>Klaipėdos rajono savivaldybės teritorijos dalies, apimančios Slengių, Mazūriškių, Trušelių, Gindulių kaimus ir gretimos teritorijos vietovių, komunikacinių koridorių ir inžinerinės infrastruktūros specialiojo plano korektūros rengimas</t>
  </si>
  <si>
    <t>ATPS, A. Grigaitytė-Dromantienė</t>
  </si>
  <si>
    <t>Patvirtinta specialiojo plano korektūra, vnt.</t>
  </si>
  <si>
    <t>2-4-2-2-2</t>
  </si>
  <si>
    <t>Vietinės reikšmės kelių Sendvario sen. Šilelių g., Jurgaičių g. Žemės paėmimo visuomenės  poreikiams projektas</t>
  </si>
  <si>
    <t xml:space="preserve">Patvirtintas projektas, vnt. </t>
  </si>
  <si>
    <t>2-4-2-2-3</t>
  </si>
  <si>
    <t xml:space="preserve">Vietinės reikšmės kelių Sendvario sen. Danės g. žemės paėmimo visuomenės  poreikiams projektas </t>
  </si>
  <si>
    <t xml:space="preserve">TVS, A. Indzelė </t>
  </si>
  <si>
    <t>2-4-2-2-4</t>
  </si>
  <si>
    <t>Vietinės reikšmės kelių Priekulės sen. Pievų g. ir S. Šrioderio g. žemės paėmimo visuomenės  poreikiams projektas</t>
  </si>
  <si>
    <t>2-4-2-2-5</t>
  </si>
  <si>
    <t>Vietinės reikšmės kelio Maciuičiai-Ežaičiai specialiojo plano parengimas. Žemės paėmimo visuomenės poreikiams projektas</t>
  </si>
  <si>
    <t>2-4-2-2-6</t>
  </si>
  <si>
    <t>Vėjo ir saulės jėgainių išdėstymo specialiojo plano rengimas</t>
  </si>
  <si>
    <t xml:space="preserve">Specialiojo plano parengimo lygis, proc. </t>
  </si>
  <si>
    <t>2-4-2-2-7</t>
  </si>
  <si>
    <t>Žemės paėmimo visuomenės poreikiams projektų parengimo paslaugos pirkimas ir įgyvendinimas</t>
  </si>
  <si>
    <t>2-4-3</t>
  </si>
  <si>
    <t>2-4-3-1</t>
  </si>
  <si>
    <t>2, 9</t>
  </si>
  <si>
    <t>ATPS, 
A. Grigaitytė-Dromantienė</t>
  </si>
  <si>
    <t>Įgyvendintos architektūrinį ir urbanistinį įvaizdį gerinančios priemonės, vnt.</t>
  </si>
  <si>
    <t>2-4-3-1-1</t>
  </si>
  <si>
    <t>Gargždų miesto centrinės aikštės pertvarkymo projekto parengimas</t>
  </si>
  <si>
    <t>Projekto idėjos parengimas, viešinimas, paslaugų teikimo sutarties dėl techninio projekto parengimo pasirašymas, proc.</t>
  </si>
  <si>
    <t>2-4-3-1-3</t>
  </si>
  <si>
    <t>Gvildžių kaimo bendruomenės parko sutvarkymas (projektas)</t>
  </si>
  <si>
    <t>Sendvario seniūnija ir ATPS</t>
  </si>
  <si>
    <t xml:space="preserve">Nupirkta projektavimo paslauga, vnt. </t>
  </si>
  <si>
    <t>2-4-3-1-4</t>
  </si>
  <si>
    <t>Kretingalės viešosios erdvės projektavimas ir įrengimas</t>
  </si>
  <si>
    <t>2.4.5.1.</t>
  </si>
  <si>
    <t>2-4-3-2</t>
  </si>
  <si>
    <t>Gargždų miesto centrinės dalies detaliojo plano sprendinių įgyvendinimo programa</t>
  </si>
  <si>
    <t>2.4.1.46</t>
  </si>
  <si>
    <t>Parengta techninė specifikacija,
Pasirašyta techninio projekto rengimo sutartis</t>
  </si>
  <si>
    <t xml:space="preserve">Įsigyti garažai, vnt. </t>
  </si>
  <si>
    <t>IPS, V. Valantinas</t>
  </si>
  <si>
    <t xml:space="preserve">Nupirkta projekto idėjos konkurso organizavimo paslauga, vnt. </t>
  </si>
  <si>
    <t>3-1 Uždavinys: Mažinti aplinkos taršą, siekiant sukurti švarią ir saugią aplinką Klaipėdos rajone</t>
  </si>
  <si>
    <t>3-1-1</t>
  </si>
  <si>
    <t>Aplinkos apsaugos, taršos mažinimo priemonių įgyvendinimas</t>
  </si>
  <si>
    <t>3-1-1-1</t>
  </si>
  <si>
    <t>KŪAS, K. Stulpinienė,
R. Bakaitienė</t>
  </si>
  <si>
    <t>Vykdytos aplinkos kokybės gerinimo ir apsaugos priemonės, vnt.</t>
  </si>
  <si>
    <t>Vykdytos atliekų, kurių turėtojo nustatyti neįmanoma arba kuris nebeegzistuoja, tvarkymo priemonės, vnt.</t>
  </si>
  <si>
    <t>Vykdytos aplinkos monitoringo, prevencinės, aplinkos atkūrimo priemonės, vnt.</t>
  </si>
  <si>
    <t>Vykdytos visuomenės švietimo ir mokymo aplinkosaugos klausimais priemonės, vnt.</t>
  </si>
  <si>
    <t>Vykdytos želdynų ir želdinių apsaugos, tvarkymo, būklės stebėsenos, želdynų kūrimo, želdinių veisimo ir inventorizavimo priemonės, vnt.</t>
  </si>
  <si>
    <t>3-1-1-2</t>
  </si>
  <si>
    <t>Augintinių skaičius, kuriems taikyta gyvūnų augintinių gausos reguliavimo programa</t>
  </si>
  <si>
    <t>3-1-1-3</t>
  </si>
  <si>
    <t>Buitinių nuotekų valymo įrenginių įrengimo kompensavimas</t>
  </si>
  <si>
    <t>3.1.1.83.</t>
  </si>
  <si>
    <t>Planuojama gauti paraiškų, vnt.</t>
  </si>
  <si>
    <t>3-1-1-4</t>
  </si>
  <si>
    <t>Klimatui atsparių nuotekų ir požeminio vandens tvarkymas taikant žiedinius metodus, kurie sumažina maistinių ir pavojingų medžiagų nutekėjimą (WaterMan)</t>
  </si>
  <si>
    <t>6.3.3.24.</t>
  </si>
  <si>
    <t>Nupirkti rangos darbai, vnt.</t>
  </si>
  <si>
    <t>Ranga, proc.</t>
  </si>
  <si>
    <t>3-1-2</t>
  </si>
  <si>
    <t>Atliekų tvarkymo sistemos organizavimas, prevencija, projektinė veikla</t>
  </si>
  <si>
    <t>3-1-2-5</t>
  </si>
  <si>
    <t>3.2.2.18.</t>
  </si>
  <si>
    <t>KŪAS,
 K. Lūžaitė</t>
  </si>
  <si>
    <t>Surinka asbesto gaminių, tonomis</t>
  </si>
  <si>
    <t>3-1-3</t>
  </si>
  <si>
    <t>Tvarkyti seniūnijų žaliuosius plotus, visuomenines erdves, vandens telkinius ir juos supančią aplinką</t>
  </si>
  <si>
    <t>3-1-3-1</t>
  </si>
  <si>
    <t>Prižiūrėti žalieji plotai, ha</t>
  </si>
  <si>
    <t>3.2.3.1.26</t>
  </si>
  <si>
    <t>3-1-3-2</t>
  </si>
  <si>
    <t>Dauparų-Kvietinių</t>
  </si>
  <si>
    <t>3-1-3-3</t>
  </si>
  <si>
    <t xml:space="preserve">Prižiūrėta karjerų teritorija, vnt. </t>
  </si>
  <si>
    <t>3-1-3-4</t>
  </si>
  <si>
    <t>Priežiūrėti žalieji plotai, ha</t>
  </si>
  <si>
    <t>3-1-3-5</t>
  </si>
  <si>
    <t>3-1-3-6</t>
  </si>
  <si>
    <t>3-1-3-7</t>
  </si>
  <si>
    <t>3-1-3-8</t>
  </si>
  <si>
    <t>3-1-3-9</t>
  </si>
  <si>
    <t>3-1-3-10</t>
  </si>
  <si>
    <t>3-1-3-11</t>
  </si>
  <si>
    <t>Iš viso gatvių ir žaliųjų plotų priežiūrai seniūnijose</t>
  </si>
  <si>
    <t>3-1-3-12</t>
  </si>
  <si>
    <t>Tvarkyti ir plėsti veikiančias kapines</t>
  </si>
  <si>
    <t xml:space="preserve">Atlikti Sendvario kolumbariumo įrengimo darbai, proc. </t>
  </si>
  <si>
    <t>Parengtas techninis projektas Laugalių kapinėms praplėsti, vnt.</t>
  </si>
  <si>
    <t>24</t>
  </si>
  <si>
    <t>Sutvarkyti vartai, vnt.</t>
  </si>
  <si>
    <t>26</t>
  </si>
  <si>
    <t xml:space="preserve">Paminklo I-ojo pasaulinio karo aukoms remontas, vnt. 
Teritorijai prie kolumbariumo sutvarkymui, vnt. </t>
  </si>
  <si>
    <t>3-1-3-13</t>
  </si>
  <si>
    <t>Gerinti vandens telkinių būklę, tvarkyti juos supančią aplinką</t>
  </si>
  <si>
    <t>20</t>
  </si>
  <si>
    <t>Sutvarkyti Kvietinių tvenkinį, vnt.</t>
  </si>
  <si>
    <t>3-1-4</t>
  </si>
  <si>
    <t xml:space="preserve">Atlikti parko priežiūros darbai, vnt. 
Atliktas parko medžių rotacinis genėjimas, vnt. </t>
  </si>
  <si>
    <t>4-1 Uždavinys: Didinti sveikatos priežiūros paslaugų prieinamumą ir sumažinti sveikatos netolygumus</t>
  </si>
  <si>
    <t>4-1-1</t>
  </si>
  <si>
    <t>4-1-1-3</t>
  </si>
  <si>
    <t>Metų medicinos darbuotojo premija ir apdovanojimų ceremonija</t>
  </si>
  <si>
    <t>4.1.1.15</t>
  </si>
  <si>
    <t>SSAS, V. Budrė</t>
  </si>
  <si>
    <t>Metų medicinos darbuotojo konkurso organizavimas, vnt.</t>
  </si>
  <si>
    <t>4-1-2</t>
  </si>
  <si>
    <t>4-1-2-5</t>
  </si>
  <si>
    <t>SSAS</t>
  </si>
  <si>
    <t xml:space="preserve">Konkurso smurto, savižudybių, priklausomybių, prekybos žmonėmis prevencijos projekų organizavimas, vnt.
Komisijos paraiškoms vertinti sudarymas, vnt.
Sutarčių su vykdytojais sudarymas, vnt. 
</t>
  </si>
  <si>
    <t>1
1
3</t>
  </si>
  <si>
    <t>4-1-2-8</t>
  </si>
  <si>
    <t>SSAS, M. Vaitilavičienė</t>
  </si>
  <si>
    <t>Vykdytų veiklų skaičius, vnt.</t>
  </si>
  <si>
    <t>4-1-2-10</t>
  </si>
  <si>
    <t>Suteikta konsultacijų, vnt.</t>
  </si>
  <si>
    <t>4-1-2-13</t>
  </si>
  <si>
    <t>4-1-2-14</t>
  </si>
  <si>
    <t xml:space="preserve">Sveikatos centro veiklos modelio diegimas Klaipėdos rajono savivaldybėje </t>
  </si>
  <si>
    <t>4.1.2.14.</t>
  </si>
  <si>
    <t>ES projekto šeimos gydytojo komandos plėtrai įgyvendinimas, vnt.</t>
  </si>
  <si>
    <t>Narkotikų kontrolės prevencijos užtikrinimo programa</t>
  </si>
  <si>
    <t>4.1.2.12.</t>
  </si>
  <si>
    <t>Prevencinių renginių skaičius, vnt</t>
  </si>
  <si>
    <t>4-1-3</t>
  </si>
  <si>
    <t>4-1-3-2</t>
  </si>
  <si>
    <t xml:space="preserve">Paramos gydytojams-specialistams dalinis finansavimas </t>
  </si>
  <si>
    <t>SSAS, 
V.Budrė</t>
  </si>
  <si>
    <t>Paramą gavusių specialistų skaičius, vnt.</t>
  </si>
  <si>
    <t>4-1-3-6</t>
  </si>
  <si>
    <t>Mobilios komandos aprūpinimas įranga Klaipėdos rajono savivaldybėje</t>
  </si>
  <si>
    <t>4.1.6.4.</t>
  </si>
  <si>
    <t>Medicinine ir kita įranga aprūpinta Klaipėdos rajono ambulatorines slaugos paslaugas namuose teikianti mobili komanda, vnt.</t>
  </si>
  <si>
    <t>4-1-3-7</t>
  </si>
  <si>
    <t>Sveikatos centro sukūrimas Klaipėdos rajono savivaldybėje</t>
  </si>
  <si>
    <t>4.2.1.29.</t>
  </si>
  <si>
    <t>SSAS, G. Domarkė</t>
  </si>
  <si>
    <t>Įsigytos ir atnaujintos įrangos skaičius, vnt.</t>
  </si>
  <si>
    <t>4-1-3-8</t>
  </si>
  <si>
    <t>Sveikatos priežiūros įstaigų mikroklimato ir veiklos efektyvumo tyrimas</t>
  </si>
  <si>
    <t>4.2.1.30.</t>
  </si>
  <si>
    <t>Atliktas tyrimas,  vnt.</t>
  </si>
  <si>
    <t>4-1-3-9</t>
  </si>
  <si>
    <t>Palaikomojo gydymo  ir slaugos paslaugų modernizavimas Klaipėdos rajono savivaldybėje</t>
  </si>
  <si>
    <t>4.2.1.31.</t>
  </si>
  <si>
    <t xml:space="preserve">Modernizuotų palatų skaičius, vnt. </t>
  </si>
  <si>
    <t>4-1-3-10</t>
  </si>
  <si>
    <t>Projekto "Sveikatos centro specialistų rengimas, pritraukimas Klaipėdos rajono savivaldybėje" įgyvendinimas</t>
  </si>
  <si>
    <t>4.1.2.15.</t>
  </si>
  <si>
    <t xml:space="preserve">ES projekto medikų kvalifikacijos kėlimui ir kitoms motyvacinėms priemonėms vykdymas, vnt. </t>
  </si>
  <si>
    <t>5-1 Uždavinys: Mažinti socialinę atskirtį Klaipėdos rajone</t>
  </si>
  <si>
    <t>5-1-1</t>
  </si>
  <si>
    <t>5-1-1-1</t>
  </si>
  <si>
    <t xml:space="preserve">SSAS </t>
  </si>
  <si>
    <t>Parengtos ataskaitos, vnt.</t>
  </si>
  <si>
    <t>5-1-1-2</t>
  </si>
  <si>
    <t xml:space="preserve">Finansinės pagalbos teikimas </t>
  </si>
  <si>
    <t>Nagrinėtų gyventojų prašymų atvejai, teikti svarstyti Socialinės paramos teikimo komisijai, vnt.</t>
  </si>
  <si>
    <t>Parengti įsakymų projektai, vnt.</t>
  </si>
  <si>
    <t>5-1-1-3</t>
  </si>
  <si>
    <t>Pagalbos pinigų mokėjimas</t>
  </si>
  <si>
    <t>5.1.1.8.</t>
  </si>
  <si>
    <t>Gavėjų skaičius, vnt.</t>
  </si>
  <si>
    <t>5-1-1-4</t>
  </si>
  <si>
    <t>Teisės aktų nustatyta tvarka skirtų mokėti  šalpos išmokų panaudotos lėšos, proc.</t>
  </si>
  <si>
    <t>5-1-1-5</t>
  </si>
  <si>
    <r>
      <t xml:space="preserve">Socialinių </t>
    </r>
    <r>
      <rPr>
        <b/>
        <sz val="8"/>
        <rFont val="Arial"/>
        <family val="2"/>
        <charset val="186"/>
      </rPr>
      <t>pašalpų</t>
    </r>
    <r>
      <rPr>
        <sz val="8"/>
        <rFont val="Arial"/>
        <family val="2"/>
        <charset val="186"/>
      </rPr>
      <t xml:space="preserve"> ir kompensacijų skaičiavimas ir mokėjimas</t>
    </r>
  </si>
  <si>
    <t>Teisės aktų nustatyta tvarka skirtų mokėti socialinių pašalpų bei kompensacijų panaudotos lėšos, proc.</t>
  </si>
  <si>
    <t>5-1-1-7</t>
  </si>
  <si>
    <t>Parengta ataskaitų, vnt.</t>
  </si>
  <si>
    <t>5.1.2.9.</t>
  </si>
  <si>
    <t>5-1-1-8</t>
  </si>
  <si>
    <t xml:space="preserve">Kompensacijos už būsto suteikimą užsieniečiams </t>
  </si>
  <si>
    <t>5.1.1.6.</t>
  </si>
  <si>
    <t>Pervestos lėšos, proc.</t>
  </si>
  <si>
    <t>5-1-1-9</t>
  </si>
  <si>
    <t xml:space="preserve">Vienkartinėms išmokoms įsikurti
gyvenamojoje vietoje savivaldybės teritorijoje ir (ar) mėnesinėms kompensacijoms ugdomų vaikų išlaikymo išlaidoms apmokėti </t>
  </si>
  <si>
    <t>5.1.1.7.</t>
  </si>
  <si>
    <t>5-1-2</t>
  </si>
  <si>
    <t>5-1-2-1</t>
  </si>
  <si>
    <t>5-1-2-2</t>
  </si>
  <si>
    <t>Nagrinėti gyventojų prašymai, vnt.</t>
  </si>
  <si>
    <t>Finansuotų būstų pritaikymo išlaidų gavėjų skaičius, vnt.</t>
  </si>
  <si>
    <t>5-1-2-3</t>
  </si>
  <si>
    <t>Finansuoti komisijos darbą, pervestos lėšos, proc.</t>
  </si>
  <si>
    <t>5-1-2-4</t>
  </si>
  <si>
    <t>Laikino atokvėpio paslaugos organizavimas</t>
  </si>
  <si>
    <t>5.1.2.39.</t>
  </si>
  <si>
    <t>5-2 Uždavinys: Plėtoti socialinių paslaugų teikimą didinant visų gyventojų grupių integraciją</t>
  </si>
  <si>
    <t>5-2-1</t>
  </si>
  <si>
    <t>5-2-1-7</t>
  </si>
  <si>
    <t>Socialinių paslaugų įstaigų elektros, šilumos ir kuro išlaidų finansavimas</t>
  </si>
  <si>
    <t>Apmokėti socialinių paslaugų įstaigų elektros ir kuro išlaidas, panaudotos lėšos, proc.</t>
  </si>
  <si>
    <t>5-2-1-8</t>
  </si>
  <si>
    <t>Socialinių įstaigų patalpų remontas, transporto remontas, buitinės, organizacinės technikos, kitų priemonių įsigijimas ir renginių organizavimui</t>
  </si>
  <si>
    <t>Socialinėms įstaigoms skirtų lėšų  pagal poreikį patalpų remontui, prekėms ir turtui įsigyti panaudojimas, proc.</t>
  </si>
  <si>
    <t>5-2-2</t>
  </si>
  <si>
    <t>5-2-2-1</t>
  </si>
  <si>
    <r>
      <rPr>
        <sz val="8"/>
        <color rgb="FF000000"/>
        <rFont val="Arial"/>
        <family val="2"/>
        <charset val="186"/>
      </rPr>
      <t xml:space="preserve">Socialinių </t>
    </r>
    <r>
      <rPr>
        <b/>
        <sz val="8"/>
        <color rgb="FF000000"/>
        <rFont val="Arial"/>
        <family val="2"/>
        <charset val="186"/>
      </rPr>
      <t>paslaugų</t>
    </r>
    <r>
      <rPr>
        <sz val="8"/>
        <color rgb="FF000000"/>
        <rFont val="Arial"/>
        <family val="2"/>
        <charset val="186"/>
      </rPr>
      <t xml:space="preserve"> pirkimas, socialinių paslaugų perdavimas NVO, transporto paslaugos hemodializėms atlikti apmokėjimas </t>
    </r>
  </si>
  <si>
    <t>Apmokėti įstaigoms už suteiktas socialines paslaugas, pervestos lėšos, proc.</t>
  </si>
  <si>
    <t>Rengti socialinių paslaugų skyrimo, nutraukimo, sustabdymo sprendimus, sprendimų skaičius, vnt.</t>
  </si>
  <si>
    <t>Paslaugų pirkimas iš NVO, pervestos lėšos, proc.</t>
  </si>
  <si>
    <t>5-2-2-2</t>
  </si>
  <si>
    <t>Socialinės reabilitacijos paslaugų neįgaliesiems  finansavimas</t>
  </si>
  <si>
    <t>Akredituotos socialinės reabilitacijos paslaugų neįgaliesiems teikėjų skaičius, vnt.</t>
  </si>
  <si>
    <t>Akredituotos socialinės reabilitacijos paslaugų neįgaliesiems gavėjų skaičius, vnt.</t>
  </si>
  <si>
    <t>5-2-2-3</t>
  </si>
  <si>
    <t>5-2-2-4</t>
  </si>
  <si>
    <t>5-2-2-5</t>
  </si>
  <si>
    <t>5-2-2-6</t>
  </si>
  <si>
    <t>5-2-2-8</t>
  </si>
  <si>
    <t>Projekto "Socialinės dirbtuvės" įgyvendinimas</t>
  </si>
  <si>
    <t>5.1.2.33.</t>
  </si>
  <si>
    <t>5-2-2-9</t>
  </si>
  <si>
    <t>Projekto "Klaipėdos rajonas veža" įgyvendinimas</t>
  </si>
  <si>
    <t>5.1.2.37.</t>
  </si>
  <si>
    <t>Paslaugų suteikimo skaičius, vnt.</t>
  </si>
  <si>
    <t>5-2-3</t>
  </si>
  <si>
    <t>5-2-3-1</t>
  </si>
  <si>
    <t>Socialinių būstų, kurių būklė pagerinta, skaičius, vnt.</t>
  </si>
  <si>
    <t>Asmenys, kuriems suteiktas socialinis būstas, vnt.</t>
  </si>
  <si>
    <t>5-2-3-3</t>
  </si>
  <si>
    <t>Plėsti socialinių paslaugų spektrą ir gerinti paslaugų prieinamumą bei kokybę (ES lėšomis įgyvendinami projektai)</t>
  </si>
  <si>
    <t>5-2-3-3-1</t>
  </si>
  <si>
    <t>Socialinio būsto plėtra</t>
  </si>
  <si>
    <t>5.1.3.14</t>
  </si>
  <si>
    <t>5-2-3-3-3</t>
  </si>
  <si>
    <t>Socialinių dirbtuvių steigimas 15 asmenų Gargžduose</t>
  </si>
  <si>
    <t>5.1.3.16.</t>
  </si>
  <si>
    <t xml:space="preserve">Atlikta remonto, rangos darbų, proc. </t>
  </si>
  <si>
    <t>5-2-3-3-5</t>
  </si>
  <si>
    <t>Grupinio gyvenimo namų steigimas proto ir/ar psichinę negalią turintiems asmenims</t>
  </si>
  <si>
    <t>5.1.3.18.</t>
  </si>
  <si>
    <t>Nupirkti projektavimo darbai, vnt.</t>
  </si>
  <si>
    <t>5-3 Uždavinys: Didinti Klaipėdos rajono gyventojų užimtumą ir ekonominį aktyvumą</t>
  </si>
  <si>
    <t>5-3-1</t>
  </si>
  <si>
    <t>Vykdant  Užimtumo didinimo  programą įdarbinti bedarbiai, asmenų skaičius</t>
  </si>
  <si>
    <t>5-3-2</t>
  </si>
  <si>
    <t>Įgyvendinti Klaipėdos rajono savivaldybės jaunimo politiką</t>
  </si>
  <si>
    <t>Iš dalies finansuoti projektai, vnt.</t>
  </si>
  <si>
    <t>5-3-2-1</t>
  </si>
  <si>
    <t>Ilgalaikę savanorišką veiklą atliekančių jaunuolių skaičius savanorius priimančiose organizacijose, vnt.</t>
  </si>
  <si>
    <t>5-4 Uždavinys: Bendradarbiauti su vietos bendruomene, siekiant efektyviau tenkinti viešąjį interesą</t>
  </si>
  <si>
    <t>5-4-1</t>
  </si>
  <si>
    <t xml:space="preserve">Sudarytų sutarčių su bendruomenėmis ir NVO, kurių paraiškos atrinktos finansavimui gauti  ISS skaičius, vnt. </t>
  </si>
  <si>
    <t>5-4-1-1</t>
  </si>
  <si>
    <t>8</t>
  </si>
  <si>
    <t>Surinktų ataskaitų skaičius, vnt.</t>
  </si>
  <si>
    <t>Sudarytų sutarčių su bendruomenėmis, gavusiomis finansavimą iš išorės šaltinių, skaičius, vnt.</t>
  </si>
  <si>
    <t>NVO ir BO tarybų veiklos planų koordinavimas, įgyvendintų priemonių skaičius, vnt.</t>
  </si>
  <si>
    <t>5-4-1-2</t>
  </si>
  <si>
    <t>Sudarytų sutarčių skaičius, vnt.</t>
  </si>
  <si>
    <t>5-4-1-3</t>
  </si>
  <si>
    <t>Sudarytų sutarčių, papildomų susitarimų skaičius, vnt.</t>
  </si>
  <si>
    <t>5-4-1-4</t>
  </si>
  <si>
    <t xml:space="preserve">6-1 Uždavinys: Prižiūrėti susisiekimo viešąją infrastruktūrą Klaipėdos rajone </t>
  </si>
  <si>
    <t>6-1-1</t>
  </si>
  <si>
    <t xml:space="preserve">Iš viso </t>
  </si>
  <si>
    <t>6-1-1-1</t>
  </si>
  <si>
    <t>Prižiūrimi keliai, km</t>
  </si>
  <si>
    <t>6-1-1-2</t>
  </si>
  <si>
    <t>Dauparų-Kvietinių sen. seniūnas</t>
  </si>
  <si>
    <t>6-1-1-3</t>
  </si>
  <si>
    <t>6-1-1-4</t>
  </si>
  <si>
    <t>6-1-1-5</t>
  </si>
  <si>
    <t>V. Žigus</t>
  </si>
  <si>
    <t>6-1-1-6</t>
  </si>
  <si>
    <t>6-1-1-7</t>
  </si>
  <si>
    <t>6-1-1-8</t>
  </si>
  <si>
    <t>6-1-1-9</t>
  </si>
  <si>
    <t>6-1-1-10</t>
  </si>
  <si>
    <t>6-1-1-11</t>
  </si>
  <si>
    <t>6-1-1-12</t>
  </si>
  <si>
    <t>Pagal poreikį atlikti mokėjimus, panaudotų lėšų dalis, proc.</t>
  </si>
  <si>
    <t>6-1-1-13</t>
  </si>
  <si>
    <t>Vietinės reikšmės kelių ir gatvių, sodų bendrijų gatvių  inventorizavimas ir įteisinimas</t>
  </si>
  <si>
    <t>Inventorizuotų ir įteisintų vietinės reikšmės kelių ir gatvių, sodininkų bendrijų gatvių ilgis, km</t>
  </si>
  <si>
    <t>6-2 Uždavinys: Modernizuoti Klaipėdos rajono savivaldybės gyvenviečių gatves ir kelius</t>
  </si>
  <si>
    <t>6-2-1</t>
  </si>
  <si>
    <t>Susisiekimo infrastruktūros atnaujinimas, remontas ir plėtra Klaipėdos rajono seniūnijose</t>
  </si>
  <si>
    <t>VBD(KP)</t>
  </si>
  <si>
    <t>6-2-1-1</t>
  </si>
  <si>
    <r>
      <t xml:space="preserve">Triukšmą slopinančios sienutės Klaipėdos raj. Dovilų seniūnijoje, </t>
    </r>
    <r>
      <rPr>
        <b/>
        <sz val="8"/>
        <rFont val="Arial"/>
        <family val="2"/>
        <charset val="186"/>
      </rPr>
      <t>Ketvergių k., Klaipėdos g. 31</t>
    </r>
    <r>
      <rPr>
        <sz val="8"/>
        <rFont val="Arial"/>
        <family val="2"/>
        <charset val="186"/>
      </rPr>
      <t xml:space="preserve"> prie „Valstybinės reikšmės rajoninio kelio Nr.2202 Klaipėda –Veiviržėnai – Endriejavas“ ruože nuo 9,600 iki 9,760 km mokyklos sklype (unikalusNr. 5544-0005-0054), nauja statyba</t>
    </r>
  </si>
  <si>
    <t>6.4.1.1.</t>
  </si>
  <si>
    <t>V. Ramanauskas</t>
  </si>
  <si>
    <t>Įvykdyti rangos darbai, proc.</t>
  </si>
  <si>
    <t>6-2-1-2</t>
  </si>
  <si>
    <r>
      <t>Mazūriškių k.,</t>
    </r>
    <r>
      <rPr>
        <b/>
        <sz val="8"/>
        <rFont val="Arial"/>
        <family val="2"/>
        <charset val="186"/>
      </rPr>
      <t xml:space="preserve"> Rasytės g., Agilos g., Jurgaičių g</t>
    </r>
    <r>
      <rPr>
        <sz val="8"/>
        <rFont val="Arial"/>
        <family val="2"/>
        <charset val="186"/>
      </rPr>
      <t xml:space="preserve">.  šviesoforinės </t>
    </r>
    <r>
      <rPr>
        <b/>
        <sz val="8"/>
        <rFont val="Arial"/>
        <family val="2"/>
        <charset val="186"/>
      </rPr>
      <t>sankryžos</t>
    </r>
    <r>
      <rPr>
        <sz val="8"/>
        <rFont val="Arial"/>
        <family val="2"/>
        <charset val="186"/>
      </rPr>
      <t xml:space="preserve"> projektavimas ir statyba</t>
    </r>
  </si>
  <si>
    <t>6.4.1.2.</t>
  </si>
  <si>
    <t>Įvykdyti projektavimo, pradėti rangos darbai, proc.</t>
  </si>
  <si>
    <t>6-2-1-3</t>
  </si>
  <si>
    <r>
      <t>G</t>
    </r>
    <r>
      <rPr>
        <b/>
        <sz val="8"/>
        <rFont val="Arial"/>
        <family val="2"/>
        <charset val="186"/>
      </rPr>
      <t>argždų miesto dviračių infrastruktūros plėtra</t>
    </r>
    <r>
      <rPr>
        <sz val="8"/>
        <rFont val="Arial"/>
        <family val="2"/>
        <charset val="186"/>
      </rPr>
      <t xml:space="preserve"> pagal  Gargždų miesto dviračių transporto infrastruktūros plėtros planą.</t>
    </r>
  </si>
  <si>
    <t>6.4.1.3.</t>
  </si>
  <si>
    <t>Š. Čičinis, J. Jackus</t>
  </si>
  <si>
    <t>Įvykdyti  rangos darbai, proc.</t>
  </si>
  <si>
    <t xml:space="preserve">Gargždų </t>
  </si>
  <si>
    <t>6-2-1-4</t>
  </si>
  <si>
    <r>
      <t xml:space="preserve">Slengių k., </t>
    </r>
    <r>
      <rPr>
        <b/>
        <sz val="8"/>
        <rFont val="Arial"/>
        <family val="2"/>
        <charset val="186"/>
      </rPr>
      <t>Pavandenės g., Pavandenės tak</t>
    </r>
    <r>
      <rPr>
        <sz val="8"/>
        <rFont val="Arial"/>
        <family val="2"/>
        <charset val="186"/>
      </rPr>
      <t>.,</t>
    </r>
  </si>
  <si>
    <t>6.4.1.4.</t>
  </si>
  <si>
    <t>6-2-1-5</t>
  </si>
  <si>
    <t>6.4.1.5.</t>
  </si>
  <si>
    <t>Parengtas pėsčiųjų takų techninis projektas, vnt.
Įvykdyti remonto darbai, proc.</t>
  </si>
  <si>
    <t>1
5</t>
  </si>
  <si>
    <t>6-2-1-6</t>
  </si>
  <si>
    <r>
      <t>Gargždų</t>
    </r>
    <r>
      <rPr>
        <b/>
        <sz val="8"/>
        <rFont val="Arial"/>
        <family val="2"/>
        <charset val="186"/>
      </rPr>
      <t xml:space="preserve"> Melioratorių g. dviračių takai</t>
    </r>
    <r>
      <rPr>
        <sz val="8"/>
        <rFont val="Arial"/>
        <family val="2"/>
        <charset val="186"/>
      </rPr>
      <t>. Tęsinys iki Dariaus ir Girėno g.)</t>
    </r>
  </si>
  <si>
    <t>6.4.1.6.</t>
  </si>
  <si>
    <t>Nutiesti dviračių takai, km</t>
  </si>
  <si>
    <t>6-2-1-7</t>
  </si>
  <si>
    <r>
      <t xml:space="preserve">Gargždų </t>
    </r>
    <r>
      <rPr>
        <b/>
        <sz val="8"/>
        <rFont val="Arial"/>
        <family val="2"/>
        <charset val="186"/>
      </rPr>
      <t>Taikos</t>
    </r>
    <r>
      <rPr>
        <sz val="8"/>
        <rFont val="Arial"/>
        <family val="2"/>
        <charset val="186"/>
      </rPr>
      <t xml:space="preserve"> g. renovuotų namų kvartalas </t>
    </r>
  </si>
  <si>
    <t>6.4.1.7.</t>
  </si>
  <si>
    <t>Atlikti rangos darbai, proc.</t>
  </si>
  <si>
    <t>6-2-1-8</t>
  </si>
  <si>
    <r>
      <t xml:space="preserve">Gargždų, </t>
    </r>
    <r>
      <rPr>
        <b/>
        <sz val="8"/>
        <rFont val="Arial"/>
        <family val="2"/>
        <charset val="186"/>
      </rPr>
      <t xml:space="preserve">Kvietinių g. 30 </t>
    </r>
    <r>
      <rPr>
        <sz val="8"/>
        <rFont val="Arial"/>
        <family val="2"/>
        <charset val="186"/>
      </rPr>
      <t>aikštelė</t>
    </r>
  </si>
  <si>
    <t>6.4.1.8.</t>
  </si>
  <si>
    <t>Prengtas TP, vnt
Sutvarkyta ir išasfaltuota aikštelė, vnt.</t>
  </si>
  <si>
    <t>6-2-1-9</t>
  </si>
  <si>
    <r>
      <t xml:space="preserve">Gargždų, </t>
    </r>
    <r>
      <rPr>
        <b/>
        <sz val="8"/>
        <rFont val="Arial"/>
        <family val="2"/>
        <charset val="186"/>
      </rPr>
      <t>Taikos g. 11 n</t>
    </r>
    <r>
      <rPr>
        <sz val="8"/>
        <rFont val="Arial"/>
        <family val="2"/>
        <charset val="186"/>
      </rPr>
      <t xml:space="preserve">amo pritaikymas neįgaliųjų poreikiams </t>
    </r>
  </si>
  <si>
    <t>6.4.1.9.</t>
  </si>
  <si>
    <t>Parengtas projektas, vnt.</t>
  </si>
  <si>
    <t>6-2-1-10</t>
  </si>
  <si>
    <r>
      <t xml:space="preserve">Teritorijos sutvarkymo ir mažosios architektūros elementų tarp </t>
    </r>
    <r>
      <rPr>
        <b/>
        <sz val="8"/>
        <rFont val="Arial"/>
        <family val="2"/>
        <charset val="186"/>
      </rPr>
      <t>Klaipėdos, J. Janonio, Žemaitės, Kvietinių g</t>
    </r>
    <r>
      <rPr>
        <sz val="8"/>
        <rFont val="Arial"/>
        <family val="2"/>
        <charset val="186"/>
      </rPr>
      <t>. Gargždų m. techninio projekto parengimas ir įgyvendinimas</t>
    </r>
  </si>
  <si>
    <t>Gautas staybą leidžiantis dokumentas, vnt.</t>
  </si>
  <si>
    <t>6-2-1-11</t>
  </si>
  <si>
    <r>
      <rPr>
        <b/>
        <sz val="8"/>
        <color theme="1"/>
        <rFont val="Arial"/>
        <family val="2"/>
        <charset val="186"/>
      </rPr>
      <t>Karklės automobilių stovėjimo aikštelės</t>
    </r>
    <r>
      <rPr>
        <sz val="8"/>
        <color theme="1"/>
        <rFont val="Arial"/>
        <family val="2"/>
        <charset val="186"/>
      </rPr>
      <t xml:space="preserve"> projektavimas</t>
    </r>
  </si>
  <si>
    <t>6.4.1.11.</t>
  </si>
  <si>
    <t>6-2-1-12</t>
  </si>
  <si>
    <r>
      <rPr>
        <b/>
        <sz val="8"/>
        <color rgb="FF000000"/>
        <rFont val="Arial"/>
        <family val="2"/>
        <charset val="186"/>
      </rPr>
      <t>Agilos g. privažiavimo iki daugiafunkcinio</t>
    </r>
    <r>
      <rPr>
        <sz val="8"/>
        <color rgb="FF000000"/>
        <rFont val="Arial"/>
        <family val="2"/>
        <charset val="186"/>
      </rPr>
      <t xml:space="preserve"> centro projektavimas ir įrengimas</t>
    </r>
  </si>
  <si>
    <t>6.4.1.12.</t>
  </si>
  <si>
    <t>Įvykdyti projektavimo darbai, vnt.</t>
  </si>
  <si>
    <t>E. Vasylienė</t>
  </si>
  <si>
    <t>Rangos darbai, proc.</t>
  </si>
  <si>
    <t>6-2-1-13</t>
  </si>
  <si>
    <r>
      <t xml:space="preserve">Klaipėdos rajono sav., Sendvario sen., </t>
    </r>
    <r>
      <rPr>
        <b/>
        <sz val="8"/>
        <color rgb="FF000000"/>
        <rFont val="Arial"/>
        <family val="2"/>
        <charset val="186"/>
      </rPr>
      <t xml:space="preserve">Agilos </t>
    </r>
    <r>
      <rPr>
        <sz val="8"/>
        <color rgb="FF000000"/>
        <rFont val="Arial"/>
        <family val="2"/>
        <charset val="186"/>
      </rPr>
      <t>g. (KL1413) projektavimas, rekonstravimas, įrengiant šaligatvį, dviračių taką</t>
    </r>
    <r>
      <rPr>
        <b/>
        <sz val="8"/>
        <color rgb="FF000000"/>
        <rFont val="Arial"/>
        <family val="2"/>
        <charset val="186"/>
      </rPr>
      <t xml:space="preserve"> iki Gilijos g.</t>
    </r>
  </si>
  <si>
    <t>6.4.1.13.</t>
  </si>
  <si>
    <t>Įvykdyti rangos darbai, proc</t>
  </si>
  <si>
    <t>Projektavimas, vnt</t>
  </si>
  <si>
    <t>6-2-1-14</t>
  </si>
  <si>
    <r>
      <rPr>
        <sz val="8"/>
        <color rgb="FF000000"/>
        <rFont val="Arial"/>
        <family val="2"/>
        <charset val="186"/>
      </rPr>
      <t xml:space="preserve">Dotacija Klaipėdos rajono savivaldybės kelio Nr. </t>
    </r>
    <r>
      <rPr>
        <b/>
        <sz val="8"/>
        <color rgb="FF000000"/>
        <rFont val="Arial"/>
        <family val="2"/>
        <charset val="186"/>
      </rPr>
      <t>KL1277 (Marių</t>
    </r>
    <r>
      <rPr>
        <sz val="8"/>
        <color rgb="FF000000"/>
        <rFont val="Arial"/>
        <family val="2"/>
        <charset val="186"/>
      </rPr>
      <t xml:space="preserve"> g.) atkarpos į Kairių poligoną taisymui (remontui) finansuoti</t>
    </r>
  </si>
  <si>
    <t>6.1.1.44.</t>
  </si>
  <si>
    <t>Nupirkti rangos darbai, vnt
Rangos darbai, proc.</t>
  </si>
  <si>
    <r>
      <rPr>
        <sz val="8"/>
        <color rgb="FF000000"/>
        <rFont val="Arial"/>
        <family val="2"/>
        <charset val="186"/>
      </rPr>
      <t xml:space="preserve">Dotacija Klaipėdos rajono savivaldybės kelio Nr. </t>
    </r>
    <r>
      <rPr>
        <b/>
        <sz val="8"/>
        <color rgb="FF000000"/>
        <rFont val="Arial"/>
        <family val="2"/>
        <charset val="186"/>
      </rPr>
      <t>KL1278</t>
    </r>
    <r>
      <rPr>
        <sz val="8"/>
        <color rgb="FF000000"/>
        <rFont val="Arial"/>
        <family val="2"/>
        <charset val="186"/>
      </rPr>
      <t xml:space="preserve"> atkarpos į Kairių poligoną taisymui (remontui) finansuoti</t>
    </r>
  </si>
  <si>
    <t>6-2-1-15</t>
  </si>
  <si>
    <r>
      <t xml:space="preserve">Kelių Sendvario sen. remonto darbai:
- KL1408 </t>
    </r>
    <r>
      <rPr>
        <b/>
        <sz val="8"/>
        <color rgb="FF000000"/>
        <rFont val="Arial"/>
        <family val="2"/>
        <charset val="186"/>
      </rPr>
      <t>Smilgų g.</t>
    </r>
    <r>
      <rPr>
        <sz val="8"/>
        <color rgb="FF000000"/>
        <rFont val="Arial"/>
        <family val="2"/>
        <charset val="186"/>
      </rPr>
      <t>, 
- KL1405</t>
    </r>
    <r>
      <rPr>
        <b/>
        <sz val="8"/>
        <color rgb="FF000000"/>
        <rFont val="Arial"/>
        <family val="2"/>
        <charset val="186"/>
      </rPr>
      <t xml:space="preserve"> Sendvario g</t>
    </r>
    <r>
      <rPr>
        <sz val="8"/>
        <color rgb="FF000000"/>
        <rFont val="Arial"/>
        <family val="2"/>
        <charset val="186"/>
      </rPr>
      <t xml:space="preserve">. (nuo KL1409 iki KL8777). 
- KL1404 </t>
    </r>
    <r>
      <rPr>
        <b/>
        <sz val="8"/>
        <color rgb="FF000000"/>
        <rFont val="Arial"/>
        <family val="2"/>
        <charset val="186"/>
      </rPr>
      <t>Aguonų g.</t>
    </r>
  </si>
  <si>
    <t>6.4.1.10.</t>
  </si>
  <si>
    <t>Baigti rangos darbai, proc.</t>
  </si>
  <si>
    <t>6-2-1-16</t>
  </si>
  <si>
    <r>
      <rPr>
        <sz val="8"/>
        <color rgb="FF000000"/>
        <rFont val="Arial"/>
        <family val="2"/>
        <charset val="186"/>
      </rPr>
      <t xml:space="preserve">Karaliaus Vilhelmo kanalo statinių komplekso </t>
    </r>
    <r>
      <rPr>
        <b/>
        <sz val="8"/>
        <color rgb="FF000000"/>
        <rFont val="Arial"/>
        <family val="2"/>
        <charset val="186"/>
      </rPr>
      <t xml:space="preserve">Jokšų tilto </t>
    </r>
    <r>
      <rPr>
        <sz val="8"/>
        <color rgb="FF000000"/>
        <rFont val="Arial"/>
        <family val="2"/>
        <charset val="186"/>
      </rPr>
      <t>(u.k. KVR 25967), Jokšų k., kapitalinio remonto ir tvarkybos (remonto, restauravimo) darbai (pagrindiniai darbai)</t>
    </r>
  </si>
  <si>
    <t>6-2-1-17</t>
  </si>
  <si>
    <r>
      <t xml:space="preserve">Priežiūra ir remontas </t>
    </r>
    <r>
      <rPr>
        <b/>
        <sz val="8"/>
        <rFont val="Arial"/>
        <family val="2"/>
        <charset val="186"/>
      </rPr>
      <t>Priekulės TILTŲ</t>
    </r>
  </si>
  <si>
    <t>D. Bliūdžiuvienė</t>
  </si>
  <si>
    <t>6-2-1-18</t>
  </si>
  <si>
    <t>Tiltas Vėžaičių sen.</t>
  </si>
  <si>
    <t>J. Jackus</t>
  </si>
  <si>
    <t>6-2-1-20</t>
  </si>
  <si>
    <r>
      <t xml:space="preserve">Savivaldybės </t>
    </r>
    <r>
      <rPr>
        <b/>
        <sz val="8"/>
        <rFont val="Arial"/>
        <family val="2"/>
        <charset val="186"/>
      </rPr>
      <t xml:space="preserve">gatvių einamasis remontas </t>
    </r>
    <r>
      <rPr>
        <sz val="8"/>
        <rFont val="Arial"/>
        <family val="2"/>
        <charset val="186"/>
      </rPr>
      <t>2025 /2026 m ir likutis iš 2023-3024 m.</t>
    </r>
  </si>
  <si>
    <t>Atlikti rangos darbai, proc.
Atnaujintos gatvės, km</t>
  </si>
  <si>
    <t>100
4</t>
  </si>
  <si>
    <t>6-2-1-21</t>
  </si>
  <si>
    <t>6-2-1-22</t>
  </si>
  <si>
    <t>6-2-1-23</t>
  </si>
  <si>
    <t>Savivaldybės inžinerinės infrastruktūros įrengimas (panaudojant inžinerinės infrastruktūros plėtros įmokų lėšas)</t>
  </si>
  <si>
    <t>6.1.1.43.</t>
  </si>
  <si>
    <t>6-2-2</t>
  </si>
  <si>
    <t>Klaipėdos rajono ilgalaikio susisiekimo infrastruktūros objektų vystymo plane numatytų vietinės reikšmės kelių projektų parengimas ir įgyvendinimas</t>
  </si>
  <si>
    <t>6-2-2-1</t>
  </si>
  <si>
    <r>
      <t xml:space="preserve">Sendvario sen. </t>
    </r>
    <r>
      <rPr>
        <b/>
        <sz val="8"/>
        <rFont val="Arial"/>
        <family val="2"/>
        <charset val="186"/>
      </rPr>
      <t xml:space="preserve">Gindulių k. Daržų gatvės </t>
    </r>
    <r>
      <rPr>
        <sz val="8"/>
        <rFont val="Arial"/>
        <family val="2"/>
        <charset val="186"/>
      </rPr>
      <t>Nr. KL8794 kapitalinis remontas</t>
    </r>
  </si>
  <si>
    <t>6.4.1.34.</t>
  </si>
  <si>
    <t>6-2-2-2</t>
  </si>
  <si>
    <r>
      <t xml:space="preserve">Sendvario sen. </t>
    </r>
    <r>
      <rPr>
        <b/>
        <sz val="8"/>
        <rFont val="Arial"/>
        <family val="2"/>
        <charset val="186"/>
      </rPr>
      <t>Jakų k. Pašto gatvė</t>
    </r>
    <r>
      <rPr>
        <sz val="8"/>
        <rFont val="Arial"/>
        <family val="2"/>
        <charset val="186"/>
      </rPr>
      <t>s Nr. KL8755 techninio-darbo projekto parengimas ir įgyvendinimas</t>
    </r>
  </si>
  <si>
    <t>6-2-2-3</t>
  </si>
  <si>
    <r>
      <t xml:space="preserve">Klaipėdos rajono sav., </t>
    </r>
    <r>
      <rPr>
        <b/>
        <sz val="8"/>
        <rFont val="Arial"/>
        <family val="2"/>
        <charset val="186"/>
      </rPr>
      <t>Sendvario sen., Juodžemių g</t>
    </r>
    <r>
      <rPr>
        <sz val="8"/>
        <rFont val="Arial"/>
        <family val="2"/>
        <charset val="186"/>
      </rPr>
      <t>. (KL8812) projektavimas, tiesimas įrengiant šaligatvį, dviračių taką, automobilių stovėjimo aikštelę prie projektuojamo vaikų darželio bei apšvietimo ir lietaus nuvedimo tinklus, rekonstrukcija</t>
    </r>
  </si>
  <si>
    <t>6.4.1.14.</t>
  </si>
  <si>
    <t>6-2-2-4</t>
  </si>
  <si>
    <r>
      <t xml:space="preserve">Klaipėdos rajono sav., </t>
    </r>
    <r>
      <rPr>
        <b/>
        <sz val="8"/>
        <rFont val="Arial"/>
        <family val="2"/>
        <charset val="186"/>
      </rPr>
      <t xml:space="preserve">Sendvario sen., Šilelių  (KL1430) - Jurgaičių </t>
    </r>
    <r>
      <rPr>
        <sz val="8"/>
        <rFont val="Arial"/>
        <family val="2"/>
        <charset val="186"/>
      </rPr>
      <t>(KL1452) gatvių projektavimas ir rekonstrukcija</t>
    </r>
  </si>
  <si>
    <t>6.4.1.15.</t>
  </si>
  <si>
    <t>Gautas statybą leidžiantis dokumentas, vnt</t>
  </si>
  <si>
    <t>6-2-2-5</t>
  </si>
  <si>
    <r>
      <t xml:space="preserve">Klaipėdos raj. Sendvario sen. </t>
    </r>
    <r>
      <rPr>
        <b/>
        <sz val="8"/>
        <rFont val="Arial"/>
        <family val="2"/>
        <charset val="186"/>
      </rPr>
      <t xml:space="preserve">Jakų k. Sodo g. </t>
    </r>
    <r>
      <rPr>
        <sz val="8"/>
        <rFont val="Arial"/>
        <family val="2"/>
        <charset val="186"/>
      </rPr>
      <t>kaptalinis remontas projektavimas, rangos darbai</t>
    </r>
  </si>
  <si>
    <t>6.4.1.16.</t>
  </si>
  <si>
    <t>Vykdomi projektavimo darbai, proc.</t>
  </si>
  <si>
    <t>6-2-2-6</t>
  </si>
  <si>
    <r>
      <t xml:space="preserve">Klaipėdos raj. Priekulės sen. </t>
    </r>
    <r>
      <rPr>
        <b/>
        <sz val="8"/>
        <rFont val="Arial"/>
        <family val="2"/>
        <charset val="186"/>
      </rPr>
      <t>Stragnų g. (KL8470</t>
    </r>
    <r>
      <rPr>
        <sz val="8"/>
        <rFont val="Arial"/>
        <family val="2"/>
        <charset val="186"/>
      </rPr>
      <t xml:space="preserve">), </t>
    </r>
    <r>
      <rPr>
        <b/>
        <sz val="8"/>
        <rFont val="Arial"/>
        <family val="2"/>
        <charset val="186"/>
      </rPr>
      <t>Santakos</t>
    </r>
    <r>
      <rPr>
        <sz val="8"/>
        <rFont val="Arial"/>
        <family val="2"/>
        <charset val="186"/>
      </rPr>
      <t xml:space="preserve"> g. (KL1297 ir privažiuojamojo kelio prie Stragnų I nuo kelio KL1211 Stragnai-Ketvergiai kapitalinis remontas projektavimas, rangos darbai</t>
    </r>
  </si>
  <si>
    <t>6.4.1.17.</t>
  </si>
  <si>
    <t>6-2-2-7</t>
  </si>
  <si>
    <r>
      <t xml:space="preserve">Klaipėdos raj. Vėžaičių sen. </t>
    </r>
    <r>
      <rPr>
        <b/>
        <sz val="8"/>
        <rFont val="Arial"/>
        <family val="2"/>
        <charset val="186"/>
      </rPr>
      <t>Gerduvėnų k. Lukausko g.</t>
    </r>
    <r>
      <rPr>
        <sz val="8"/>
        <rFont val="Arial"/>
        <family val="2"/>
        <charset val="186"/>
      </rPr>
      <t xml:space="preserve"> (KL1808) kapitalinis remontas projektavimas, rangos darbai</t>
    </r>
  </si>
  <si>
    <t>6.4.1.18.</t>
  </si>
  <si>
    <t>6-2-2-8</t>
  </si>
  <si>
    <r>
      <t xml:space="preserve">Klaipėdos raj. Vėžaičių sen. </t>
    </r>
    <r>
      <rPr>
        <b/>
        <sz val="8"/>
        <rFont val="Arial"/>
        <family val="2"/>
        <charset val="186"/>
      </rPr>
      <t>Gerduvėnų k. Gerduvėnų g</t>
    </r>
    <r>
      <rPr>
        <sz val="8"/>
        <rFont val="Arial"/>
        <family val="2"/>
        <charset val="186"/>
      </rPr>
      <t>. (KL1840) kapitalinis remontas projektavimas, rangos darbai</t>
    </r>
  </si>
  <si>
    <t>6.4.1.19.</t>
  </si>
  <si>
    <t>6-2-2-9</t>
  </si>
  <si>
    <r>
      <t xml:space="preserve">Klaipėdos raj. Sendvario sen. Jakų k. </t>
    </r>
    <r>
      <rPr>
        <b/>
        <sz val="8"/>
        <rFont val="Arial"/>
        <family val="2"/>
        <charset val="186"/>
      </rPr>
      <t>Parko g.</t>
    </r>
    <r>
      <rPr>
        <sz val="8"/>
        <rFont val="Arial"/>
        <family val="2"/>
        <charset val="186"/>
      </rPr>
      <t>(KL8757) kapitalinis remontas projektavimas, rangos darbai</t>
    </r>
  </si>
  <si>
    <t>6.4.1.20.</t>
  </si>
  <si>
    <t>6-2-2-13</t>
  </si>
  <si>
    <r>
      <rPr>
        <b/>
        <sz val="8"/>
        <rFont val="Arial"/>
        <family val="2"/>
        <charset val="186"/>
      </rPr>
      <t>Gargždų 51 kvartalo</t>
    </r>
    <r>
      <rPr>
        <sz val="8"/>
        <rFont val="Arial"/>
        <family val="2"/>
        <charset val="186"/>
      </rPr>
      <t xml:space="preserve"> drenažo projektavimas</t>
    </r>
  </si>
  <si>
    <t>Baigti projektavimo darbai, vnt (Sulaikytoms lėšoms)</t>
  </si>
  <si>
    <t>6-2-2-14</t>
  </si>
  <si>
    <r>
      <t xml:space="preserve">Klaipėdos rajono, Dovilų sen., Dovilų mstl. </t>
    </r>
    <r>
      <rPr>
        <b/>
        <sz val="8"/>
        <rFont val="Arial"/>
        <family val="2"/>
        <charset val="186"/>
      </rPr>
      <t xml:space="preserve">Kulių g. </t>
    </r>
    <r>
      <rPr>
        <sz val="8"/>
        <rFont val="Arial"/>
        <family val="2"/>
        <charset val="186"/>
      </rPr>
      <t>(KL8273) (rangos darbai)</t>
    </r>
  </si>
  <si>
    <t>6.4.1.24.</t>
  </si>
  <si>
    <t>6-2-2-15</t>
  </si>
  <si>
    <r>
      <t xml:space="preserve">Klaipėdos rajono savivaldybės, </t>
    </r>
    <r>
      <rPr>
        <b/>
        <sz val="8"/>
        <color rgb="FF000000"/>
        <rFont val="Arial"/>
        <family val="2"/>
        <charset val="186"/>
      </rPr>
      <t>Dovilų sen., Laukų g. (Nr. KL8219) atkarpos nuo J. Basanavičiaus g. iki</t>
    </r>
    <r>
      <rPr>
        <sz val="8"/>
        <color rgb="FF000000"/>
        <rFont val="Arial"/>
        <family val="2"/>
        <charset val="186"/>
      </rPr>
      <t xml:space="preserve"> susikirtimo su keliu Nr. KL0423 rekonstrukcija</t>
    </r>
  </si>
  <si>
    <t>6.4.1.25.</t>
  </si>
  <si>
    <t>6-2-2-17</t>
  </si>
  <si>
    <r>
      <t xml:space="preserve">Klaipėdos r.Dauparų-Kvietinių sen. </t>
    </r>
    <r>
      <rPr>
        <b/>
        <sz val="8"/>
        <rFont val="Arial"/>
        <family val="2"/>
        <charset val="186"/>
      </rPr>
      <t>Statybininkų</t>
    </r>
    <r>
      <rPr>
        <sz val="8"/>
        <rFont val="Arial"/>
        <family val="2"/>
        <charset val="186"/>
      </rPr>
      <t xml:space="preserve"> g.(KL0223) rekonstravimas</t>
    </r>
  </si>
  <si>
    <t>6.4.1.26.</t>
  </si>
  <si>
    <t>6-2-2-18</t>
  </si>
  <si>
    <r>
      <t>Klaipėdos rajono Gargždų miesto</t>
    </r>
    <r>
      <rPr>
        <b/>
        <sz val="8"/>
        <rFont val="Arial"/>
        <family val="2"/>
        <charset val="186"/>
      </rPr>
      <t xml:space="preserve"> Gedimino g.</t>
    </r>
    <r>
      <rPr>
        <sz val="8"/>
        <rFont val="Arial"/>
        <family val="2"/>
        <charset val="186"/>
      </rPr>
      <t xml:space="preserve"> (Nr. KL8051), </t>
    </r>
    <r>
      <rPr>
        <b/>
        <sz val="8"/>
        <rFont val="Arial"/>
        <family val="2"/>
        <charset val="186"/>
      </rPr>
      <t xml:space="preserve">Palangos g. </t>
    </r>
    <r>
      <rPr>
        <sz val="8"/>
        <rFont val="Arial"/>
        <family val="2"/>
        <charset val="186"/>
      </rPr>
      <t xml:space="preserve">(KL8052), </t>
    </r>
    <r>
      <rPr>
        <b/>
        <sz val="8"/>
        <rFont val="Arial"/>
        <family val="2"/>
        <charset val="186"/>
      </rPr>
      <t>Saulažolių g</t>
    </r>
    <r>
      <rPr>
        <sz val="8"/>
        <rFont val="Arial"/>
        <family val="2"/>
        <charset val="186"/>
      </rPr>
      <t xml:space="preserve">. (Nr. KL8053), Vytenio g. (Nr. KL8054), </t>
    </r>
    <r>
      <rPr>
        <b/>
        <sz val="8"/>
        <rFont val="Arial"/>
        <family val="2"/>
        <charset val="186"/>
      </rPr>
      <t xml:space="preserve">Gargždupio g. </t>
    </r>
    <r>
      <rPr>
        <sz val="8"/>
        <rFont val="Arial"/>
        <family val="2"/>
        <charset val="186"/>
      </rPr>
      <t>(Nr. KL8055) ir</t>
    </r>
    <r>
      <rPr>
        <b/>
        <sz val="8"/>
        <rFont val="Arial"/>
        <family val="2"/>
        <charset val="186"/>
      </rPr>
      <t xml:space="preserve"> Žibučių g</t>
    </r>
    <r>
      <rPr>
        <sz val="8"/>
        <rFont val="Arial"/>
        <family val="2"/>
        <charset val="186"/>
      </rPr>
      <t>. (Nr. KL8056) (rangos darbai)</t>
    </r>
  </si>
  <si>
    <t>6.4.1.27.</t>
  </si>
  <si>
    <t>6-2-2-19</t>
  </si>
  <si>
    <r>
      <t>Klaipėdos rajono Sendvario sen.</t>
    </r>
    <r>
      <rPr>
        <b/>
        <sz val="8"/>
        <rFont val="Arial"/>
        <family val="2"/>
        <charset val="186"/>
      </rPr>
      <t xml:space="preserve"> Mazūriškių k. Stonės g. (Nr. KL1407) ir Gvildžių k.Vėtrungių g.</t>
    </r>
    <r>
      <rPr>
        <sz val="8"/>
        <rFont val="Arial"/>
        <family val="2"/>
        <charset val="186"/>
      </rPr>
      <t xml:space="preserve"> (Nr. KL1456) kapitalinis remontas</t>
    </r>
  </si>
  <si>
    <t>6.4.1.28.</t>
  </si>
  <si>
    <t>6-2-2-20</t>
  </si>
  <si>
    <r>
      <t xml:space="preserve">Klaipėdos rajono Dovilų senūnijos vietinės reikšmės kelio Nr. KL0401 </t>
    </r>
    <r>
      <rPr>
        <b/>
        <sz val="8"/>
        <rFont val="Arial"/>
        <family val="2"/>
        <charset val="186"/>
      </rPr>
      <t>Rimkai - Lėbartai - Dovilai</t>
    </r>
    <r>
      <rPr>
        <sz val="8"/>
        <rFont val="Arial"/>
        <family val="2"/>
        <charset val="186"/>
      </rPr>
      <t xml:space="preserve"> (atkarpos nuo 0,00 iki 2,2 km) (kapitalinio remonto projekto parengimas ir ranga)</t>
    </r>
  </si>
  <si>
    <t>6.4.1.29.</t>
  </si>
  <si>
    <t>6-2-2-21</t>
  </si>
  <si>
    <r>
      <t xml:space="preserve">CPO Klaipėdos raj. Kretingalės sen. </t>
    </r>
    <r>
      <rPr>
        <b/>
        <sz val="8"/>
        <rFont val="Arial"/>
        <family val="2"/>
        <charset val="186"/>
      </rPr>
      <t>Karklė, Karklininkų g</t>
    </r>
    <r>
      <rPr>
        <sz val="8"/>
        <rFont val="Arial"/>
        <family val="2"/>
        <charset val="186"/>
      </rPr>
      <t>. KL8896 rekonstravimo techninio darbo projekto parengimo ir projekto vykdymo priežiūra ir rangos darbai</t>
    </r>
  </si>
  <si>
    <t>6.4.1.30.</t>
  </si>
  <si>
    <t>6-2-2-22</t>
  </si>
  <si>
    <r>
      <rPr>
        <b/>
        <sz val="8"/>
        <rFont val="Arial"/>
        <family val="2"/>
        <charset val="186"/>
      </rPr>
      <t>Priekulės sen., Mickų k., Vaškių k. ir Kliošių k.,Vaškių g</t>
    </r>
    <r>
      <rPr>
        <sz val="8"/>
        <rFont val="Arial"/>
        <family val="2"/>
        <charset val="186"/>
      </rPr>
      <t>. (KL1266) kapitalinio remonto darbai</t>
    </r>
  </si>
  <si>
    <t>6.4.1.31.</t>
  </si>
  <si>
    <t>6-2-2-23</t>
  </si>
  <si>
    <r>
      <rPr>
        <b/>
        <sz val="8"/>
        <rFont val="Arial"/>
        <family val="2"/>
        <charset val="186"/>
      </rPr>
      <t xml:space="preserve">Bičiulių g. KL8714 Budrikų k., </t>
    </r>
    <r>
      <rPr>
        <sz val="8"/>
        <rFont val="Arial"/>
        <family val="2"/>
        <charset val="186"/>
      </rPr>
      <t>Sendvario sen. projektavimas ir ranga</t>
    </r>
  </si>
  <si>
    <t>6.4.1.32.</t>
  </si>
  <si>
    <t>Parengtas projektas, vnt</t>
  </si>
  <si>
    <t>6-2-2-24</t>
  </si>
  <si>
    <t>6.4.1.33.</t>
  </si>
  <si>
    <t>6-2-2-25</t>
  </si>
  <si>
    <t>Rezervas skiriamas apmokėti už nenumatytus darbus, atsirandančius ilgalaikių objektų vykdymo sutartyse numatytų darbų vykdymo metu</t>
  </si>
  <si>
    <t>6-2-5</t>
  </si>
  <si>
    <t>6-2-3</t>
  </si>
  <si>
    <t>6-2-3-1</t>
  </si>
  <si>
    <t xml:space="preserve">Organizuoti darbus pagal Saugaus eismo komisijos sprendimus, panaudotų lėšų dalis, proc.
</t>
  </si>
  <si>
    <t>Atlikta kelio ženklų fiksacija žemėlapyje, vnt.</t>
  </si>
  <si>
    <t>6-2-3-2</t>
  </si>
  <si>
    <t>Prižiūrimi šviesoforai, vnt.</t>
  </si>
  <si>
    <t>Remontas</t>
  </si>
  <si>
    <t>6-2-3-3</t>
  </si>
  <si>
    <t>G. Bajorinienė</t>
  </si>
  <si>
    <t>Suorganizuotas automobilių stovėjimo rinkliavos rinkimas ir administravimas, proc.</t>
  </si>
  <si>
    <t>6-3 Uždavinys: Modernizuoti Klaipėdos rajono savivaldybės kelius ir kitą viešąją infrastruktūrą</t>
  </si>
  <si>
    <t>6-3-1</t>
  </si>
  <si>
    <t>6-3-1-1</t>
  </si>
  <si>
    <t>Veiviržėnų Laisvės g. prisidėjimas, apšvietimo finansavimas</t>
  </si>
  <si>
    <t>6-3-2</t>
  </si>
  <si>
    <t>Elektromobilių įkrovimo prieigų įrengimas ir priežiūra</t>
  </si>
  <si>
    <t>6-3-2-1</t>
  </si>
  <si>
    <t>Esamų elektromobilių įkrovimo stotelių priežiūra</t>
  </si>
  <si>
    <t>A. Vaitkė</t>
  </si>
  <si>
    <t>Prižiūrimos esamos stotelės, vnt.</t>
  </si>
  <si>
    <t>6-3-2-2</t>
  </si>
  <si>
    <t>Gargždų autobusų stoties didelio galingumo stotelių įrengimas</t>
  </si>
  <si>
    <t>Įrengta didelio galingumo pakrovimo stotelė, vnt.</t>
  </si>
  <si>
    <t>6-4 Uždavinys: Modernizuoti apšvietimo sistemą Klaipėdos rajone</t>
  </si>
  <si>
    <t>6-4-1</t>
  </si>
  <si>
    <t>6-4-1-1</t>
  </si>
  <si>
    <t>Pagal poreikį vykdyti prijungimus, panaudotų lėšų dalis, proc.</t>
  </si>
  <si>
    <t>6-4-1-2</t>
  </si>
  <si>
    <t xml:space="preserve">Organizuoti ir kontroliuoti rangos darbus seniūnijose prie švietimo įstaigų, pavojinguose kelių ir gatvių ruožuose, prie socialinių objektų, panaudotų lėšų dalis, proc. </t>
  </si>
  <si>
    <t>6-4-2</t>
  </si>
  <si>
    <t>6-4-2-1</t>
  </si>
  <si>
    <t>A. Žilienė</t>
  </si>
  <si>
    <t>Prižiūrėtų šviestuvų skaičius, vnt.</t>
  </si>
  <si>
    <t>6-4-2-2</t>
  </si>
  <si>
    <t>6-4-2-3</t>
  </si>
  <si>
    <t>N. Ilginienė</t>
  </si>
  <si>
    <t>6-4-2-4</t>
  </si>
  <si>
    <t>S. Bakšinskis</t>
  </si>
  <si>
    <t>6-4-2-5</t>
  </si>
  <si>
    <t>6-4-2-6</t>
  </si>
  <si>
    <t>Z. Siminauskas</t>
  </si>
  <si>
    <t>6-4-2-7</t>
  </si>
  <si>
    <t>A. Monstavičienė</t>
  </si>
  <si>
    <t>6-4-2-8</t>
  </si>
  <si>
    <t>D. Bliūdžiuvienė, R. Narkienė</t>
  </si>
  <si>
    <t>6-4-2-9</t>
  </si>
  <si>
    <t>6-4-2-10</t>
  </si>
  <si>
    <t>E. Sluckienė</t>
  </si>
  <si>
    <t>6-4-2-11</t>
  </si>
  <si>
    <t>R. Bernotas</t>
  </si>
  <si>
    <t>6-5 Uždavinys: Prižiūrėti ir gerinti kitą Klaipėdos rajono inžinerinę infrastruktūrą</t>
  </si>
  <si>
    <t>6-5-2</t>
  </si>
  <si>
    <t>6-5-1</t>
  </si>
  <si>
    <t>6-5-1-1</t>
  </si>
  <si>
    <t>K. Stulpinienė</t>
  </si>
  <si>
    <t>Sodininkų bendrijų išnagrinėtos praiškos, vnt.</t>
  </si>
  <si>
    <t>Užtikrinti keleivių pervežimą viešuoju transportu</t>
  </si>
  <si>
    <t>6-5-2-1</t>
  </si>
  <si>
    <t>Kompensuoti vežėjų nuostoliai, proc.</t>
  </si>
  <si>
    <t>6-5-2-2</t>
  </si>
  <si>
    <t>Kontroliuojamų maršrutų pagal pateiktas paraiškas, vnt.</t>
  </si>
  <si>
    <t>6-5-2-3</t>
  </si>
  <si>
    <t xml:space="preserve">Įrengtos stotelės, vnt. </t>
  </si>
  <si>
    <t>6-6 Uždavinys: Modernizuoti bei plėtoti vandens tiekimo, buitinių nuotekų bei paviršinių nuotekų tvarkymo infrastruktūrą Klaipėdos rajone</t>
  </si>
  <si>
    <t>6-6-1</t>
  </si>
  <si>
    <t>Modernizuoti vandens tiekimo ir buitinių nuotekų tvarkymo infrastruktūrą</t>
  </si>
  <si>
    <t>6-6-1-1</t>
  </si>
  <si>
    <t>Vandentiekio ir nuotekų tinklų plėtra Sendvario seniūnijoje - Smeltaitės gatvėje (nuo Sniego g. iki A.Bruožio g.,), Klemiškės II k.</t>
  </si>
  <si>
    <t>3.1.1.81.</t>
  </si>
  <si>
    <t>AB "Klaipėdos vanduo"</t>
  </si>
  <si>
    <t>6-6-1-5</t>
  </si>
  <si>
    <t>Svencelės/Drevernos Nuotekų valyklos plėtra</t>
  </si>
  <si>
    <t xml:space="preserve">Priekulės </t>
  </si>
  <si>
    <t xml:space="preserve">Pervestos lėšos, proc. </t>
  </si>
  <si>
    <t>6-6-1-6</t>
  </si>
  <si>
    <t>Buitinių nuotekų tinklų projektavimas ir statyba Endriejavo mstl. Žemaičių g., Liepų g., Paežerio g.</t>
  </si>
  <si>
    <t>6-6-1-7</t>
  </si>
  <si>
    <t>Buitinių nuotekų tinklų projektavimas ir statyba Girininkų k.</t>
  </si>
  <si>
    <t>Atlikti projektavimo darbai, vnt.</t>
  </si>
  <si>
    <t>6-6-1-8</t>
  </si>
  <si>
    <t>Vandentiekio ir buitinių nuotekų tinklų projektavimas ir  statyba 176 gyvenamųjų namų kvartale, Gargžduose</t>
  </si>
  <si>
    <t>F. Žemgulys, AB "Klaipėdos vanduo"</t>
  </si>
  <si>
    <t>Atlikta tinklų statyba, proc.</t>
  </si>
  <si>
    <t>6-6-1-9</t>
  </si>
  <si>
    <t>Vandentiekio ir buitinių nuotekų tinklų statyba Dituvos soduose</t>
  </si>
  <si>
    <t>Parengta galimybių studija</t>
  </si>
  <si>
    <t>6-6-1-10</t>
  </si>
  <si>
    <t>Buitinių nuotekų valymo įrenginio socialiniam būstui projektavimo darbai Pėžaičių g. 18, Pėžaičių k.</t>
  </si>
  <si>
    <t>Veiviržėnų sen.</t>
  </si>
  <si>
    <t>6-6-1-11</t>
  </si>
  <si>
    <t>Vamzdynų ir šulinių statybos darbai Laisvės g.4, Veiviržėnai</t>
  </si>
  <si>
    <t>Įrengti tinklai, proc.</t>
  </si>
  <si>
    <t>6-6-1-12</t>
  </si>
  <si>
    <t>Vandens tiekimo įrenginių bei vandentiekio tinklų statyba ir rekonstrukcija Venckų km</t>
  </si>
  <si>
    <t>Vykdomi darbai, proc.</t>
  </si>
  <si>
    <t>6-6-2</t>
  </si>
  <si>
    <r>
      <rPr>
        <sz val="8"/>
        <color rgb="FF000000"/>
        <rFont val="Arial"/>
        <family val="2"/>
        <charset val="186"/>
      </rPr>
      <t xml:space="preserve">Prižiūrėti esamą ir planuoti naują </t>
    </r>
    <r>
      <rPr>
        <b/>
        <sz val="8"/>
        <color rgb="FF000000"/>
        <rFont val="Arial"/>
        <family val="2"/>
        <charset val="186"/>
      </rPr>
      <t xml:space="preserve">paviršinių </t>
    </r>
    <r>
      <rPr>
        <sz val="8"/>
        <color rgb="FF000000"/>
        <rFont val="Arial"/>
        <family val="2"/>
        <charset val="186"/>
      </rPr>
      <t>nuotekų infrastruktūrą</t>
    </r>
  </si>
  <si>
    <t>6-6-2-1</t>
  </si>
  <si>
    <t>J. Tamošauskienė</t>
  </si>
  <si>
    <t xml:space="preserve">Klaipėdos rajono lietaus nuotekų tinklų sepcialiojo plano patvirtinimas, vnt. </t>
  </si>
  <si>
    <t>6-6-2-2</t>
  </si>
  <si>
    <t>Klaipėdos rajono paviršinių nuotekų infrastruktūros projektavimas</t>
  </si>
  <si>
    <t>36,5</t>
  </si>
  <si>
    <t>Gargždų miesto Dariaus ir Girėno g., Pušų g., Vingio g. paviršinių nuotekų šalinimo tinklų projektavimas</t>
  </si>
  <si>
    <t>Įvykdyti projektavimo darbai, gautas statybą leidžiantis dokumentas, vnt</t>
  </si>
  <si>
    <t>Paviršinių nuotekų šalinimo tinklų projektavimas Gargždų miesto Laugalių ir Aleksandro Lengvino g. sankryžoje</t>
  </si>
  <si>
    <t>6-6-2-3</t>
  </si>
  <si>
    <t xml:space="preserve">Paviršinių nuotekų šalinimo tinklų projektavimas Gargždų miesto Žemaitės g. </t>
  </si>
  <si>
    <t>6-6-2-4</t>
  </si>
  <si>
    <t>Paviršinių nuotekų šalinimo tinklų projektavimas Gargždų m. nuo Lakštingalų g. iki Minijos upės</t>
  </si>
  <si>
    <t>6-6-2-5</t>
  </si>
  <si>
    <t>Paviršinių nuotekų šalinimo tinklų nauja statyba Gargždų miesto Užmiesčio g. projekto parengimas</t>
  </si>
  <si>
    <t>6-6-2-6</t>
  </si>
  <si>
    <t>Paviršinių nuotekų šalinimo tinklų nauja statyba Jakų k. Šviesos g., Kaštonų g., Vilties g. projekto parengimas</t>
  </si>
  <si>
    <t>6-6-2-7</t>
  </si>
  <si>
    <t>Paviršinių nuotekų šalinimo tinklų nauja statyba Lapių k. Žvelsos g. projekto parengimas</t>
  </si>
  <si>
    <t>6-6-2-8</t>
  </si>
  <si>
    <t>Paviršinių nuotekų šalinimo tinklų nauja statyba Slengių k. Lietaus ir Ežero g. projekto parengimas</t>
  </si>
  <si>
    <t>6-6-2-9</t>
  </si>
  <si>
    <t>6-6-2-10</t>
  </si>
  <si>
    <t>100,6</t>
  </si>
  <si>
    <t>Prižiūrimi tinklai, km</t>
  </si>
  <si>
    <t>84,6</t>
  </si>
  <si>
    <t>6-6-2-11</t>
  </si>
  <si>
    <t>Klaipėdos rajono teritorijos paviršinių  nuotekų infrastruktūros statyba</t>
  </si>
  <si>
    <t>420,6</t>
  </si>
  <si>
    <t>6-6-2-11-1</t>
  </si>
  <si>
    <r>
      <t>Paviršinių nuotekų tinklų Mazūriškių k.,</t>
    </r>
    <r>
      <rPr>
        <b/>
        <sz val="8"/>
        <rFont val="Arial"/>
        <family val="2"/>
        <charset val="186"/>
      </rPr>
      <t xml:space="preserve"> Stonės</t>
    </r>
    <r>
      <rPr>
        <sz val="8"/>
        <rFont val="Arial"/>
        <family val="2"/>
        <charset val="186"/>
      </rPr>
      <t xml:space="preserve"> g., Gvildžių k., Vėtrungių g. statyba (rangos darbai)  </t>
    </r>
  </si>
  <si>
    <t>6-6-2-11-2</t>
  </si>
  <si>
    <t>Paviršinių nuotekų šalinimo tinklų įrengimas Ketvergių k. (I ir II projekto etapų įgyvendinimas)</t>
  </si>
  <si>
    <t>Atlikti ir įforminti darbai, proc.</t>
  </si>
  <si>
    <t>6-6-2-11-3</t>
  </si>
  <si>
    <t>Nuotekų šalinimo tinklų, nuo Klaipėdos g. 14 iki Priekulės Naujosios g. ir Sodų g. sankryžos, Priekulė, statybos, remonto, rekonstravimo projekto įgyvendinimas</t>
  </si>
  <si>
    <t>6-6-2-11-4</t>
  </si>
  <si>
    <t>Paviršinių nuotekų šalinimo tinklų įrengimas Gargždų m. Gėlių g.</t>
  </si>
  <si>
    <t>M. Kernagienė</t>
  </si>
  <si>
    <t>6-6-2-11-6</t>
  </si>
  <si>
    <t>Gargždų miesto Dariaus ir Girėno g., Pušų g., Vingio g. paviršinių nuotekų šalinimo tinklų statyba</t>
  </si>
  <si>
    <t>6-6-2-11-10</t>
  </si>
  <si>
    <t>30,0</t>
  </si>
  <si>
    <t>6-6-2-11-11</t>
  </si>
  <si>
    <t>Vandentiekio ir nuotekų tinklų inventorizavimas ir įteisinimas</t>
  </si>
  <si>
    <t>A. Indzelė, F. Žemgulys, M. Kernagienė</t>
  </si>
  <si>
    <t>Inventorizuotų ir įteisintų tinklų kiekis, km.</t>
  </si>
  <si>
    <t>6-6-3</t>
  </si>
  <si>
    <t>Kompensacijos iniciatoriams už įrengtą savivaldybės infrastruktūrą, pagal savivaldybės infrastruktūros plėtros sutartis</t>
  </si>
  <si>
    <t>NEPRIORITETINĖS</t>
  </si>
  <si>
    <t>6.1.1.45.</t>
  </si>
  <si>
    <t>Lėšų panaudota, proc.</t>
  </si>
  <si>
    <t>NEPRIORITETINĖS LIKUČIAI</t>
  </si>
  <si>
    <t>7-1 Uždavinys: Užtikrinti kultūros srities paslaugų teikimą</t>
  </si>
  <si>
    <t>7-1-1</t>
  </si>
  <si>
    <t>7-1-1-10</t>
  </si>
  <si>
    <t>Kultūros įstaigų elektros, šildymo ir kuro išlaidų finansavimas</t>
  </si>
  <si>
    <t>7-1-2</t>
  </si>
  <si>
    <t>KS, 
I. Sliužinskaitė</t>
  </si>
  <si>
    <t xml:space="preserve">Paskirstyti lėšas pagal pateiktas paraiškas, vnt. </t>
  </si>
  <si>
    <t>Prisidėti prie Kultūros tarybos finansuojamų projektų, vnt.</t>
  </si>
  <si>
    <t>J. Polekauskienė</t>
  </si>
  <si>
    <t>Barono Rene iniciatyvų įgyvendinimas Gargždų parke, vnt.</t>
  </si>
  <si>
    <t>7-2 Uždavinys: Modernizuoti kultūros įstaigų infrastruktūrą</t>
  </si>
  <si>
    <t>7-2-1</t>
  </si>
  <si>
    <t>Kultūros įstaigų infrastruktūros atnaujinimas, remontas ir plėtra</t>
  </si>
  <si>
    <t>7-2-1-1</t>
  </si>
  <si>
    <t>7-2-1-3</t>
  </si>
  <si>
    <t>Baigtos pastato modernizavimo veiklos, vnt.</t>
  </si>
  <si>
    <t>7-2-1-4</t>
  </si>
  <si>
    <t>Įsigyti rangos darbai, vnt.</t>
  </si>
  <si>
    <t>7-2-1-5</t>
  </si>
  <si>
    <t>Gargždų krašto muziejaus pastato projektavimas ir statyba</t>
  </si>
  <si>
    <t>7.3.1.40.</t>
  </si>
  <si>
    <t>Nupirkta techninio projekto parengimo paslauga, vnt.</t>
  </si>
  <si>
    <t>7-2-1-6</t>
  </si>
  <si>
    <t>7.3.1.41.</t>
  </si>
  <si>
    <t>7-3 Uždavinys: Užtikrinti krašto etninės kultūros vertybių perimamumą, apsaugą ir populiarinimą, tenkinant visuomenės etnokultūrinius poreikius</t>
  </si>
  <si>
    <t>7-3-1</t>
  </si>
  <si>
    <t>I. Sliužinskaitė</t>
  </si>
  <si>
    <t>Įgyvendintų projektų skaičius, vnt.</t>
  </si>
  <si>
    <t>7-3-2</t>
  </si>
  <si>
    <t>G. Bareikis,
I. Sliužinskaitė</t>
  </si>
  <si>
    <t>Organizuotos premijų skyrimo ir įteikimo procedūros ir renginiai, vnt.</t>
  </si>
  <si>
    <t>7-4 Uždavinys: Išsaugoti kultūros paveldą ir jo kultūrinę vertę</t>
  </si>
  <si>
    <t>7-4-1</t>
  </si>
  <si>
    <t>7-4-1-1</t>
  </si>
  <si>
    <t>7-4-1-1-1</t>
  </si>
  <si>
    <t>Senųjų kapinių tvarkymo darbų programa</t>
  </si>
  <si>
    <t>S. Šmatauskienė</t>
  </si>
  <si>
    <t>Sutvarkytos Klaipėdos rajono senosios kapinės, vnt.</t>
  </si>
  <si>
    <t>7-4-1-1-2</t>
  </si>
  <si>
    <t>Senųjų kapinių ženklinimas</t>
  </si>
  <si>
    <t>Senųjų kapinių informacinių ženklų pagaminimas ir įrengimas, vnt.</t>
  </si>
  <si>
    <t>7-4-1-2</t>
  </si>
  <si>
    <t>7-4-1-2-2</t>
  </si>
  <si>
    <t>Vėžaičių dvaro sodybos arklidžių fasadų tvarkybos darbai ir stogo paprastojo remonto darbai</t>
  </si>
  <si>
    <t>Sutvarkytas Vėžaičių KC pastato stogas, vnt.</t>
  </si>
  <si>
    <t>7-4-1-2-3</t>
  </si>
  <si>
    <t>Vėžaičių dvaro sodybos parko tvarkybos darbų projekto parengimas</t>
  </si>
  <si>
    <t>7.5.1.35.35</t>
  </si>
  <si>
    <t>Ž. Samoškienė</t>
  </si>
  <si>
    <t>7-4-1-2-4</t>
  </si>
  <si>
    <t xml:space="preserve">Memorialinio paminklo Priekulės I k. civilinėse kapinėse remontas (ID 1391) </t>
  </si>
  <si>
    <t>Suremontuotas memorialas, vnt.</t>
  </si>
  <si>
    <t>7-4-1-2-6</t>
  </si>
  <si>
    <t>Gargždų pėsčiųjų viaduko tyrimai, tvarkybos darbų projekto parengimas ir įgyvendinimas</t>
  </si>
  <si>
    <t xml:space="preserve">Atlikta statinio ekspertizė, vnt. 
</t>
  </si>
  <si>
    <t>7-4-1-2-8</t>
  </si>
  <si>
    <t xml:space="preserve">Šernų tilto sutvarkymas </t>
  </si>
  <si>
    <t>Atlikta statinio ekspertizė, vnt.</t>
  </si>
  <si>
    <t>7-4-1-3</t>
  </si>
  <si>
    <t>Sutvarkyta Veiviržėnų žydų žudynių vieta ir kapas,  Trepkalnių k., Veiviržėnų sen., vnt.</t>
  </si>
  <si>
    <t>7-4-1-5</t>
  </si>
  <si>
    <t xml:space="preserve">S. Šmatauskienė </t>
  </si>
  <si>
    <t xml:space="preserve">Finansuotų paraiškų skaičius, vnt. </t>
  </si>
  <si>
    <t>7-4-1-6</t>
  </si>
  <si>
    <t xml:space="preserve">
S. Šmatauskienė</t>
  </si>
  <si>
    <t>7-4-1-6-1</t>
  </si>
  <si>
    <t xml:space="preserve">Veiviržėnų piliakalnio sutvarkymas ir pritaikymas </t>
  </si>
  <si>
    <t>Įvykdyti tvarkybos darbai, proc.</t>
  </si>
  <si>
    <t>7-4-1-6-2</t>
  </si>
  <si>
    <t>Eketės piliakalnio sutvarkymas ir pritaikymas (projekto parengimas)</t>
  </si>
  <si>
    <t>Eketės piliakalnio sutvarkymo ir pritaikymo projekto parengimas, vnt.</t>
  </si>
  <si>
    <t>7-4-1-7</t>
  </si>
  <si>
    <t>7-4-1-7-1</t>
  </si>
  <si>
    <t>Nekilnojamojo kultūros paveldo objektų apskaitos dokumentų rengimas</t>
  </si>
  <si>
    <t>Parengta apskaitos, tyrimų dokumentų, vnt.</t>
  </si>
  <si>
    <t>7-4-1-7-2</t>
  </si>
  <si>
    <t>Savivaldybės nekilnojamojo kultūros paveldo vertinimo tarybos veiklos organizavimas</t>
  </si>
  <si>
    <t xml:space="preserve"> Vertinimo tarybos posėdžių skaičius, vnt.</t>
  </si>
  <si>
    <t>7-4-1-7-3</t>
  </si>
  <si>
    <t>Europos paveldo dienų organizavimas</t>
  </si>
  <si>
    <t>Suorganizuota Europos paveldo dienų renginių, vnt.</t>
  </si>
  <si>
    <t>7-4-1-7-7</t>
  </si>
  <si>
    <t>Kiti pagal poreikį atliekami išsaugojimo darbai</t>
  </si>
  <si>
    <t>7-4-2</t>
  </si>
  <si>
    <t>7-4-2-1</t>
  </si>
  <si>
    <t>7-4-2-1-2</t>
  </si>
  <si>
    <t>Veiviržėnų lurdo tvarkybos darbai ir skulptūros restauravimas</t>
  </si>
  <si>
    <t>7-4-2-1-3</t>
  </si>
  <si>
    <t>Koplytėlių/koplytstulpių atnaujinimas</t>
  </si>
  <si>
    <t>Atnaujintos koplytėlės/koplytstulpiai, vnt.</t>
  </si>
  <si>
    <t>7-4-2-1-4</t>
  </si>
  <si>
    <t>8-1 Uždavinys: Plėtoti sporto paslaugas ir vykdyti aktyvią sporto politiką</t>
  </si>
  <si>
    <t>8-1-2</t>
  </si>
  <si>
    <t>ŠSS, U. Tamošauskienė</t>
  </si>
  <si>
    <t>Sudaryta sutartis, vnt.
Surinktų ataskaitų skaičius, vnt.</t>
  </si>
  <si>
    <t>15
63</t>
  </si>
  <si>
    <t>8-1-6</t>
  </si>
  <si>
    <t>Sporto renginių finansavimas Klaipėdos rajone</t>
  </si>
  <si>
    <t>8.1.2.15.</t>
  </si>
  <si>
    <t>8-2 Uždavinys: Plėtoti fizinio aktyvumo veikloms palankią infrastruktūrą</t>
  </si>
  <si>
    <t>8-2-1</t>
  </si>
  <si>
    <t>Sporto ir laisvalaikio infrastruktūros priežiūra ir plėtra Klaipėdos rajone</t>
  </si>
  <si>
    <t>8-2-1-2</t>
  </si>
  <si>
    <t>8-2-2</t>
  </si>
  <si>
    <t>Daugiafunkcio sporto ir pramogų centro Gargžduose, Dariaus ir Girėno g. 4, statyba</t>
  </si>
  <si>
    <t>Atlikti daugiafunkcio sporto ir pramogų centro statybos darbai, proc.</t>
  </si>
  <si>
    <t>90</t>
  </si>
  <si>
    <t>9-1 Uždavinys: Efektyviai organizuoti Savivaldybės darbą, tinkamai įgyvendinant jos funkcijas</t>
  </si>
  <si>
    <t>9-1-1</t>
  </si>
  <si>
    <t>Klaipėdos rajono savivaldybės tarybos darbo organizavimas ir užtikrinimas</t>
  </si>
  <si>
    <t>Iš viso SB</t>
  </si>
  <si>
    <t>Iš viso VBD</t>
  </si>
  <si>
    <t>9-1-1-1</t>
  </si>
  <si>
    <t>CB, V. Bražinskienė, A. Andriejauskienė</t>
  </si>
  <si>
    <t>Pervesta lėšų, proc.</t>
  </si>
  <si>
    <t>CB,  A. Andriejauskienė</t>
  </si>
  <si>
    <t>Tarybos nariai</t>
  </si>
  <si>
    <t>CB, V. Bražinskienė</t>
  </si>
  <si>
    <t>9-1-2</t>
  </si>
  <si>
    <t>Savivaldybės tarnybų, administracijos veiklos ir funkcijų užtikrinimas</t>
  </si>
  <si>
    <t>Iš viso S</t>
  </si>
  <si>
    <t>9-1-2-1</t>
  </si>
  <si>
    <t>Administracijos darbo organizavimas (01.03.02.09.)</t>
  </si>
  <si>
    <t>CB, R. Petrauskienė ir A.Andriejauskienė</t>
  </si>
  <si>
    <t>Suskaičiuoti ir išmokėti Administracijai darbo užmokestį, apmokėti veiklos išlaidas</t>
  </si>
  <si>
    <t>BRS, M. Miežetis</t>
  </si>
  <si>
    <t>Laiku pateikti gautas sąskaitas (turto)</t>
  </si>
  <si>
    <t>ITS, S. Martinkus</t>
  </si>
  <si>
    <t>Laiku pateikti gautas sąskaitas (IT)</t>
  </si>
  <si>
    <t>SPPVS,
R. Grubliauskytė</t>
  </si>
  <si>
    <t>Laiku pateikti gautas sąskaitas (Informaciniai stendai su LED ekranais seniūnijose)</t>
  </si>
  <si>
    <t>CB, V. Burokaitė</t>
  </si>
  <si>
    <t>Laiku apmokėti gautas sąskaitas</t>
  </si>
  <si>
    <t xml:space="preserve">CB, R. Petrauskienė </t>
  </si>
  <si>
    <t>Suskaičiuoti ir išmokėti Administracijai darbo užmokestį</t>
  </si>
  <si>
    <t>Laiku pateikti sąskaitas</t>
  </si>
  <si>
    <t>Mero rezervas</t>
  </si>
  <si>
    <t>CB, A.Andriejauskienė</t>
  </si>
  <si>
    <t>Laiku apmokėti gautas sąskaitas už stichinių nelaimių padarytus materialinius nuostolius, proc.</t>
  </si>
  <si>
    <t>9-1-2-2</t>
  </si>
  <si>
    <t>CB,  R.Slavinskienė</t>
  </si>
  <si>
    <t>Suskaičiuoti ir išmokėti Kontrolės ir audito tarnybos darbo užmokestį, apmokėti veiklos išlaidas</t>
  </si>
  <si>
    <t>9-1-2-3</t>
  </si>
  <si>
    <t>L. Tučienė</t>
  </si>
  <si>
    <t>Užtikrinta seniūnijos veikla, vnt.</t>
  </si>
  <si>
    <t>9-1-2-4</t>
  </si>
  <si>
    <t>9-1-2-5</t>
  </si>
  <si>
    <t>9-1-2-6</t>
  </si>
  <si>
    <t>9-1-2-7</t>
  </si>
  <si>
    <t>I. Žiedienė</t>
  </si>
  <si>
    <t>9-1-2-8</t>
  </si>
  <si>
    <t>9-1-2-9</t>
  </si>
  <si>
    <t>9-1-2-10</t>
  </si>
  <si>
    <t>9-1-2-11</t>
  </si>
  <si>
    <t>K. Novikova</t>
  </si>
  <si>
    <t>9-1-2-12</t>
  </si>
  <si>
    <t>9-1-2-13</t>
  </si>
  <si>
    <t>9-1-2-14</t>
  </si>
  <si>
    <t>Viešinimo priemonės 01.03.02.09.</t>
  </si>
  <si>
    <t>R. Rapalienė</t>
  </si>
  <si>
    <t>Užtikrinta funkcija, vnt</t>
  </si>
  <si>
    <t>Viešinimo priemonės (gyventojo kortelė) 08.02.01.08.</t>
  </si>
  <si>
    <t>R.Zubienė</t>
  </si>
  <si>
    <t>9-1-3</t>
  </si>
  <si>
    <t>Savivaldybei perduotų funkcijų įgyvendinimo užtikrinimas</t>
  </si>
  <si>
    <t>Iš viso VBL</t>
  </si>
  <si>
    <t>Iš viso VBR</t>
  </si>
  <si>
    <t>Iš viso VBD(UK)</t>
  </si>
  <si>
    <t>Iš viso VBM(UK)</t>
  </si>
  <si>
    <t>Iš viso VBM</t>
  </si>
  <si>
    <t>Iš viso ES:</t>
  </si>
  <si>
    <t>Iš viso VBES:</t>
  </si>
  <si>
    <t>Iš viso KT:</t>
  </si>
  <si>
    <t>9-1-3-1</t>
  </si>
  <si>
    <t>PCMS, V. Jasaitienė,
 A. Zikienė</t>
  </si>
  <si>
    <t>Tinkamai vykdyta funkcija, vnt.</t>
  </si>
  <si>
    <t>9-1-3-2</t>
  </si>
  <si>
    <t>BRS, D. Gliožerienė,
 J. Žąsytienė</t>
  </si>
  <si>
    <t>9-1-3-3</t>
  </si>
  <si>
    <t>O. Bajorinienė</t>
  </si>
  <si>
    <t>9-1-3-4</t>
  </si>
  <si>
    <t>D. Beliokaitė</t>
  </si>
  <si>
    <t>9-1-3-5</t>
  </si>
  <si>
    <t>PCMS, D. Freigofaitė, 
V. Jasaitienė</t>
  </si>
  <si>
    <t>PCMS, D. Freigofaitė, 
V. Jasaitienė,
 A. Zikienė</t>
  </si>
  <si>
    <t>9-1-3-6</t>
  </si>
  <si>
    <t>TVS, A. Riškienė, V. Pabrėžienė, A. Tunaitienė</t>
  </si>
  <si>
    <t>9-1-3-7</t>
  </si>
  <si>
    <t>TPS, V. Jasas, 
V. Matulaitytė,
 A. Andrijauskienė, 
R. Kasparienė</t>
  </si>
  <si>
    <t>9-1-3-8</t>
  </si>
  <si>
    <t>VTS, V. Grekštienė</t>
  </si>
  <si>
    <t>9-1-3-9</t>
  </si>
  <si>
    <t>VTS, R. Uosytė, 
R. Jonelaitis</t>
  </si>
  <si>
    <t>9-1-3-10</t>
  </si>
  <si>
    <t>Panaudota lėšų dalis, proc.</t>
  </si>
  <si>
    <t>AGL, V. Bertulytė</t>
  </si>
  <si>
    <t>Ūkininkų, kuriems teikiamos paslaugos, sk.</t>
  </si>
  <si>
    <t>DOV, V. Jurgutienė</t>
  </si>
  <si>
    <t>JDR, D. Daugėlienė</t>
  </si>
  <si>
    <t>PRKL, J. Liutikė</t>
  </si>
  <si>
    <t>Pareiškėjų, kuriems teikiamos paslaugos, skaičius, vnt.</t>
  </si>
  <si>
    <t>SND, J. Gečienė</t>
  </si>
  <si>
    <t>Ūkininkų, kuriems teikiamos paslaugos, vnt.</t>
  </si>
  <si>
    <t>VEIV, Z. Rimkienė</t>
  </si>
  <si>
    <t>Ūkininkų, kuriems teikiamos paslaugos sk.</t>
  </si>
  <si>
    <t>VĖŽ, E. Kundrotienė</t>
  </si>
  <si>
    <t>9-1-3-12</t>
  </si>
  <si>
    <t>SSAS, I. Gailienė</t>
  </si>
  <si>
    <t>10.7.1.1.</t>
  </si>
  <si>
    <t>10.1.02.40.</t>
  </si>
  <si>
    <t>10.4.1.40.</t>
  </si>
  <si>
    <t>9-1-3-13</t>
  </si>
  <si>
    <t>CB, A. Andriejauskienė</t>
  </si>
  <si>
    <t>9-1-3-14</t>
  </si>
  <si>
    <t>Gyvenamosios vietos deklaravimas seniūnijose</t>
  </si>
  <si>
    <t>AGL, V. Ronkienė</t>
  </si>
  <si>
    <t>DKS, S. Petkė</t>
  </si>
  <si>
    <t>GRG, S. Jurjonienė</t>
  </si>
  <si>
    <t>JDR, J. Bružienė</t>
  </si>
  <si>
    <t>KRTG, B. Gedrimaitė-Miliuvienė</t>
  </si>
  <si>
    <t>PRKL, R. Kučinskienė</t>
  </si>
  <si>
    <t>SND, I. Charunova</t>
  </si>
  <si>
    <t>VEIV, L. Dėringė</t>
  </si>
  <si>
    <t xml:space="preserve">VĖŽ, V. Želvienė </t>
  </si>
  <si>
    <t>9-1-3-15</t>
  </si>
  <si>
    <t>9-1-3-16</t>
  </si>
  <si>
    <t>Patenkinti pagalbos prašymai, vnt.</t>
  </si>
  <si>
    <t>9-1-3-17</t>
  </si>
  <si>
    <t>9-1-3-18</t>
  </si>
  <si>
    <t>SSAS, J. Papievienė</t>
  </si>
  <si>
    <t>9-1-3-19</t>
  </si>
  <si>
    <t>Socialinės reabilitacijos paslaugų neįgaliesiems finansavimo administravimas</t>
  </si>
  <si>
    <t>9.1.2.28.</t>
  </si>
  <si>
    <t>SSAS, L. Virkutienė</t>
  </si>
  <si>
    <t>9-1-3-20</t>
  </si>
  <si>
    <t>Būsto pritaikymo neįgaliesiems administravimas</t>
  </si>
  <si>
    <t>9.1.2.29.</t>
  </si>
  <si>
    <t>SSAS, S. Budrė</t>
  </si>
  <si>
    <t>9-1-3-21</t>
  </si>
  <si>
    <t xml:space="preserve">Kompensacijos už būsto suteikimą užsieniečiams administravimas </t>
  </si>
  <si>
    <t>9.1.2.30.</t>
  </si>
  <si>
    <t>SSAS, D. Beržanskytė-Bučinskienė</t>
  </si>
  <si>
    <t>9-1-3-22</t>
  </si>
  <si>
    <t>Asmenų su negalia reikalų koordinavimo funkcijos atlikimas</t>
  </si>
  <si>
    <t>9.1.2.31.</t>
  </si>
  <si>
    <t>9-1-3-23</t>
  </si>
  <si>
    <t xml:space="preserve">Vienkartinėms išmokoms įsikurti gyvenamojoje vietoje savivaldybės teritorijoje ir (ar) mėnesinėms kompensacijoms ugdomų vaikų išlaikymo išlaidoms apmokėti administruoti </t>
  </si>
  <si>
    <t>9.1.2.32.</t>
  </si>
  <si>
    <t>9-1-3-24</t>
  </si>
  <si>
    <t>Koordinatorių modelio išbandymas ir lyčių lygybės politikos stiprinimas</t>
  </si>
  <si>
    <t>9.1.2.33.</t>
  </si>
  <si>
    <t>SSAS, S. Kalinauskaitė</t>
  </si>
  <si>
    <t>9-1-3-25</t>
  </si>
  <si>
    <t>Perėjimas nuo institucinės globos prie bendruomeninių paslaugų sostinės regione, vidurio ir vakarų Lietuvos regione</t>
  </si>
  <si>
    <t>9.1.2.34.</t>
  </si>
  <si>
    <t>SSAS, S. Duoblytė Žvinklienė</t>
  </si>
  <si>
    <t>9-1-3-26</t>
  </si>
  <si>
    <t>Laikino atokvėpio paslaugos organizavimo administravimas</t>
  </si>
  <si>
    <t>9.1.2.35.</t>
  </si>
  <si>
    <t>9-1-3-27</t>
  </si>
  <si>
    <t>Projektas "Užsienio kilmės Lietuvos gyventojų integracijos procesų koordinavimas"</t>
  </si>
  <si>
    <t>9.1.2.36.</t>
  </si>
  <si>
    <t>9-1-4</t>
  </si>
  <si>
    <t>Savivaldybės paskolų valdymas ir aptarnavimas</t>
  </si>
  <si>
    <t>iš viso SB</t>
  </si>
  <si>
    <t>9-1-4-1</t>
  </si>
  <si>
    <t>BES, E. Pušinskienė</t>
  </si>
  <si>
    <t>9-1-4-2</t>
  </si>
  <si>
    <t>9-2 Uždavinys: Plėtoti Savivaldybės tarptautinį bendradarbiavimą bei bendradarbiavimą su kitomis Lietuvos savivaldybėmis, institucijomis ir vietos bendruomene</t>
  </si>
  <si>
    <t>9-2-1</t>
  </si>
  <si>
    <t>Santykių su vietos ir tarptautine bendruomene užtikrinimas ir parama</t>
  </si>
  <si>
    <t>Iš viso Kt</t>
  </si>
  <si>
    <t>Iš viso LK</t>
  </si>
  <si>
    <t>Iš viso ES</t>
  </si>
  <si>
    <t>9-2-1-1</t>
  </si>
  <si>
    <t>Nusikalstamumo prevencijos užtikrinimo programa</t>
  </si>
  <si>
    <t>VTS, G. Bajorinienė</t>
  </si>
  <si>
    <t>Įgyvendinama programa, proc.</t>
  </si>
  <si>
    <t>9-2-1-2</t>
  </si>
  <si>
    <t>Pagalba Ukrainai ir jos žmonėms</t>
  </si>
  <si>
    <t xml:space="preserve">9.1.1.18. </t>
  </si>
  <si>
    <t>BRS, R. Zubienė</t>
  </si>
  <si>
    <t>Panaudota lėšų, proc.</t>
  </si>
  <si>
    <t>9-2-1-3</t>
  </si>
  <si>
    <r>
      <t xml:space="preserve">Tarptautinio bendradarbiavimo stiprinimas 
</t>
    </r>
    <r>
      <rPr>
        <i/>
        <sz val="8"/>
        <color theme="1"/>
        <rFont val="Arial"/>
        <family val="2"/>
        <charset val="186"/>
      </rPr>
      <t>(Tarptautinių projektų programos įgyvendinimas; tarptautinių ryšių su esamais ir galimais užsienio partneriais plėtojimas)</t>
    </r>
  </si>
  <si>
    <t xml:space="preserve">Sumokėtas mokestis, proc.
Suorganizuoti partnerių vizitai Klaipėdos rajone, vnt. 
Suorganizuoti Savivaldybės delegacijos vizitai, vnt.
Paskelbtas konkursas, vnt.
Pasirašytos dalinio finansavimo sutartys, vnt.
</t>
  </si>
  <si>
    <t>100
2
2
1
10</t>
  </si>
  <si>
    <t>9-2-1-4</t>
  </si>
  <si>
    <t>SPPVS, M. Šatkus</t>
  </si>
  <si>
    <t>Sumokėtas mokestis, proc.</t>
  </si>
  <si>
    <t>9-2-1-5</t>
  </si>
  <si>
    <t>CB,V. Berenė</t>
  </si>
  <si>
    <t>9-2-1-6</t>
  </si>
  <si>
    <t>ATPS G.Kasperavičius, SKPS, A. Ronkus</t>
  </si>
  <si>
    <t>Įgyvendintų iniciatyvų, vnt.</t>
  </si>
  <si>
    <t>9-2-1-7</t>
  </si>
  <si>
    <t>TVS, A. Indzelė</t>
  </si>
  <si>
    <t>Pasirašytos paramos skyrimo sutartys, vnt.</t>
  </si>
  <si>
    <t>9-2-1-8</t>
  </si>
  <si>
    <t>TVS,A. Kondrotienė</t>
  </si>
  <si>
    <t>Skirtas finansavimas paraiškoms, vnt.</t>
  </si>
  <si>
    <t>9-2-1-9</t>
  </si>
  <si>
    <t>Pilietinio pasipriešinimo organizacijų rėmimo Klaipėdos rajone programos įgyvendinimas</t>
  </si>
  <si>
    <t>9.4.1.8.</t>
  </si>
  <si>
    <t xml:space="preserve">VTS, V. Grekštienė </t>
  </si>
  <si>
    <t xml:space="preserve">Išnagrinėtos paraiškos, vnt. </t>
  </si>
  <si>
    <t>9-2-1-10</t>
  </si>
  <si>
    <t>„Klaipėdos rajono savivaldybės dalyvaujamojo biudžeto „Tavo idėja“ skaitmeninio įrankio įdiegimas“</t>
  </si>
  <si>
    <t>9.4.1.9.</t>
  </si>
  <si>
    <t>SPPVS, V. Juknienė</t>
  </si>
  <si>
    <t>9-3 Uždavinys: Užtikrinti efektyvų Savivaldybei nuosavybės teise priklausančio turto valdymą</t>
  </si>
  <si>
    <t>9-3-1</t>
  </si>
  <si>
    <t>Savivaldybės turto valdymas ir plėtra</t>
  </si>
  <si>
    <t>iš viso Ž</t>
  </si>
  <si>
    <t>iš viso LŽ</t>
  </si>
  <si>
    <t>iš viso S</t>
  </si>
  <si>
    <t>iš viso LS</t>
  </si>
  <si>
    <t>iš viso ES</t>
  </si>
  <si>
    <t>iš viso LK</t>
  </si>
  <si>
    <t>9-3-1-1</t>
  </si>
  <si>
    <t>SPPVS, V. Kazlauskienė</t>
  </si>
  <si>
    <t>Parengti dokumentai, vnt.</t>
  </si>
  <si>
    <t>9-3-1-2</t>
  </si>
  <si>
    <t>Savivaldybės turto kadastriniai, topografiniai matavimai ir teisinė registracija, paskirties keitimas</t>
  </si>
  <si>
    <t>9-3-1-3</t>
  </si>
  <si>
    <t xml:space="preserve">Atliktų turto vertinimų skaičius, vnt. </t>
  </si>
  <si>
    <t>9-3-1-4</t>
  </si>
  <si>
    <t>TVS,A. Indzelė</t>
  </si>
  <si>
    <t>Įsigyti NT vienetai</t>
  </si>
  <si>
    <t>9-3-1-5</t>
  </si>
  <si>
    <t>SKPS, J. Blinstrubienė</t>
  </si>
  <si>
    <t>9-3-1-6</t>
  </si>
  <si>
    <t>Statybos objektų statinių techninės priežiūros, projektų vykdymo priežiūros, projektų ir objektų ekspertizės, ataskaitų po projekto įgyvendinimo rengimo paslaugų pirkimas ir vykdymas</t>
  </si>
  <si>
    <t>SKPS, A. Ronkus</t>
  </si>
  <si>
    <t>Panaudotų lėšų dalis, proc.</t>
  </si>
  <si>
    <t>9-3-1-7</t>
  </si>
  <si>
    <t>TVS, E. Jasienė</t>
  </si>
  <si>
    <t>Parengtų direktoriaus įsakymų, vnt.</t>
  </si>
  <si>
    <t>9-3-1-8</t>
  </si>
  <si>
    <t>KŪAS, Gabrilavičius</t>
  </si>
  <si>
    <t xml:space="preserve">Atnaujintos, sutvarkytos katilinės, vnt.
Sutvarkyta Judrėnų sen. šildymo sistema, vnt. </t>
  </si>
  <si>
    <t>7
1</t>
  </si>
  <si>
    <t>9-3-1-9</t>
  </si>
  <si>
    <t>KŪAS, R. Gabrilavičius</t>
  </si>
  <si>
    <t>9-3-1-10</t>
  </si>
  <si>
    <t>Gargždų autobusų stoties pastato projektavimas bei statyba ir dviejų autobusų stotelių įrengimas</t>
  </si>
  <si>
    <t>SPPVS. Kazlauskienė</t>
  </si>
  <si>
    <t>Parengtas ir pateiktas projekto investicinis planas ES finansavimui gauti, vnt.</t>
  </si>
  <si>
    <t>9-3-1-11</t>
  </si>
  <si>
    <t>Kompensuotos lėšos, proc.</t>
  </si>
  <si>
    <t>9-3-1-12</t>
  </si>
  <si>
    <t>Seniūnijų pastatų atnaujinimo ir sutvarkymo projektų rengimas</t>
  </si>
  <si>
    <t>9.1.1.20.</t>
  </si>
  <si>
    <r>
      <t xml:space="preserve">Gargždai KL7036 </t>
    </r>
    <r>
      <rPr>
        <b/>
        <sz val="8"/>
        <rFont val="Arial"/>
        <family val="2"/>
        <charset val="186"/>
      </rPr>
      <t>Kvietinių g</t>
    </r>
    <r>
      <rPr>
        <sz val="8"/>
        <rFont val="Arial"/>
        <family val="2"/>
        <charset val="186"/>
      </rPr>
      <t>. projektavimas ir remontas</t>
    </r>
  </si>
  <si>
    <t>Gautas statybą leidžiantis dokumentas, vnt.</t>
  </si>
  <si>
    <t>Nupirkta techninio projekto parengimo paslauga, vnt. 
Atlikti energetinį auditą, vnt.</t>
  </si>
  <si>
    <t>27</t>
  </si>
  <si>
    <t>J. Lankučio viešosios bibliotekos filialo Purmalių k. projektavimas ir statyba</t>
  </si>
  <si>
    <t>1 PROGRAMA</t>
  </si>
  <si>
    <t>2 PROGRAMA</t>
  </si>
  <si>
    <t>3 PROGRAMA</t>
  </si>
  <si>
    <t>4 PROGRAMA</t>
  </si>
  <si>
    <t>5 PROGRAMA</t>
  </si>
  <si>
    <t>6 PROGRAMA</t>
  </si>
  <si>
    <t>7 PROGRAMA</t>
  </si>
  <si>
    <t>8 PROGRAMA</t>
  </si>
  <si>
    <t>9 PROGRAMA</t>
  </si>
  <si>
    <t>Prisidėjimas prie AB "Via Lietuva" pirmumo teise įgyvendinamų projektų rajone ir techninių projektų parengimas</t>
  </si>
  <si>
    <t>s</t>
  </si>
  <si>
    <t xml:space="preserve">Suorganizuotas želdynų tvarkymas, vnt. </t>
  </si>
  <si>
    <t>Sendvario sen.</t>
  </si>
  <si>
    <t>Įvykdytas dokumentacijos pirkimas, vnt.</t>
  </si>
  <si>
    <t>V. Charunov</t>
  </si>
  <si>
    <t xml:space="preserve">Stovyklavietės namelių pirkimo techninės specifikacijos parengimas ir tiekėjų techninių pasiūlymų vertinimą viešojo pirkimo procedūrų metu, vnt. </t>
  </si>
  <si>
    <t>ENDR, R. Šiaulytienė</t>
  </si>
  <si>
    <t>SPVVS, M.Šatkus</t>
  </si>
  <si>
    <t xml:space="preserve">Vykdyti įrangos įsigijimo darbai, proc. </t>
  </si>
  <si>
    <t>2.4.1.26.</t>
  </si>
  <si>
    <t>Pervestos lėšos, proc.
Gavėjų skaičius, vnt.</t>
  </si>
  <si>
    <t>100
112</t>
  </si>
  <si>
    <t>100
39</t>
  </si>
  <si>
    <t>Konkursų laureatų skaičius, vnt.
Mokymai, susitikimai, renginiai, vnt.</t>
  </si>
  <si>
    <t>10
10</t>
  </si>
  <si>
    <t xml:space="preserve">Vasaros laikotarpiu įdarbintų nepilnamečių  skaičius, vnt.
</t>
  </si>
  <si>
    <t>9.4.3.2.</t>
  </si>
  <si>
    <t xml:space="preserve">Paskirstytos lėšos įstaigoms turtui įsigyti, remontuoti, proc. </t>
  </si>
  <si>
    <t>2, 29, 26</t>
  </si>
  <si>
    <t>Įgytų būstų skaičius, vnt.</t>
  </si>
  <si>
    <t>Atlikti remonto darbai, vnt.</t>
  </si>
  <si>
    <t>Sulaikytos lėšos</t>
  </si>
  <si>
    <t>Sulaikytoms lėšoms</t>
  </si>
  <si>
    <t>Pastato – bendrabučio, esančio Klaipėdos g. 6, Priekulės mieste, paskirties pakeitimas į mokslo paskirties pastatą</t>
  </si>
  <si>
    <t>Pastato – parduotuvės, esančios Klaipėdos g. 34, Kretingalės miestelyje, paskirties pakeitimas į mokslo paskirties pastatą</t>
  </si>
  <si>
    <t>1-2-3-17</t>
  </si>
  <si>
    <t>1-2-3-20</t>
  </si>
  <si>
    <t>Pradėti pirkimai projektavimo darbų rangovo parinkimui, vnt.</t>
  </si>
  <si>
    <t>1-1-1-32</t>
  </si>
  <si>
    <t>Projekto „Švietimo pagalbos ir
koordinuotai teikiamų paslaugų modelio
diegimas ir sklaida “ įgyvendinimas</t>
  </si>
  <si>
    <t xml:space="preserve">1.1.3.23. </t>
  </si>
  <si>
    <t>Vaikų, gaunančių koordinuotai teikiamas paslaugas 2025 m., skaičius</t>
  </si>
  <si>
    <t>2025 m.
(tūkst. Eur)</t>
  </si>
  <si>
    <t>2-4-3-1-5</t>
  </si>
  <si>
    <t>Jakų parko sporto ir laisvalaikio erdvės projektavimas</t>
  </si>
  <si>
    <t>6-6-4</t>
  </si>
  <si>
    <t>Klaipėdos rajono savivaldybės išlaidos apmokant už vandentiekio ir buitinių nuotekų tinklų nuomą (UAB "Baltic casings")</t>
  </si>
  <si>
    <t>6.1.1.46.</t>
  </si>
  <si>
    <t>SKPS, F. Žemgulys</t>
  </si>
  <si>
    <t>Lėšų paskirstymas švietimo įstaigoms pagal pateiktus prašymus ir lėšų poreikį, įgyvendinta veikla, vnt.</t>
  </si>
  <si>
    <t>CB</t>
  </si>
  <si>
    <t xml:space="preserve">Įmokos mokėjimo įsigaliojimo faktas, vnt. </t>
  </si>
  <si>
    <t>Pareiškėjų skaičius, vnt. 
Verslumo renginiai, vnt.</t>
  </si>
  <si>
    <t>27
1</t>
  </si>
  <si>
    <t>Įgyvendintas remonto techninis projektas, atlikta darbų, proc.</t>
  </si>
  <si>
    <t>SPPVS</t>
  </si>
  <si>
    <t xml:space="preserve">Drevernos mokyklos vykdyti rangos darbai, proc.  </t>
  </si>
  <si>
    <t xml:space="preserve">
20</t>
  </si>
  <si>
    <t>Baigti rangos darbai, proc. (sulaikytos lėšos)</t>
  </si>
  <si>
    <t xml:space="preserve">Finansuotų sporto renginių skaičius vnt. </t>
  </si>
  <si>
    <t>Seniūnas</t>
  </si>
  <si>
    <t>Skaitmeninio įrankio įdiegimas, vnt.</t>
  </si>
  <si>
    <t xml:space="preserve">Parengta Dovilų seniūnijos pastato ekspertizė, vnt.
Judrėnų sen. projektas, vnt.  </t>
  </si>
  <si>
    <t>Sendvario "Saulės" mokyklos įveiklinimas</t>
  </si>
  <si>
    <t>2-3-2-14</t>
  </si>
  <si>
    <t>Projektas "Klaipėdos regiono turistinio patrauklumo didinimas"</t>
  </si>
  <si>
    <t>2.3.2.32.</t>
  </si>
  <si>
    <t>SPPVS, 
V. Kazlauskienė</t>
  </si>
  <si>
    <t>Pervestas prisidėjimo prie projekto mokestis, proc.</t>
  </si>
  <si>
    <t xml:space="preserve">Įvykdytas pirkimas, vnt. </t>
  </si>
  <si>
    <t>Žemėtvarkos, geodezijos ir GIS skyrius</t>
  </si>
  <si>
    <t>ŽGGS, J. Tarvydė</t>
  </si>
  <si>
    <t>ŽGGS</t>
  </si>
  <si>
    <t>BRS</t>
  </si>
  <si>
    <t>BES</t>
  </si>
  <si>
    <t>CVAS</t>
  </si>
  <si>
    <t>ŽGGS, G. Jurjonė</t>
  </si>
  <si>
    <t xml:space="preserve">
Priekulės seniūnija 
</t>
  </si>
  <si>
    <t>Klaipėdos r. bendruomenių ir nevyriausybinių organizacijų projektų, įgyvendinamų pagal vietos veiklos grupių vietos plėtros strategijų priemones bei vietos veiklos grupių administravimo lėšų dalinis finansavimas</t>
  </si>
  <si>
    <t>Kultūros paveldo statinių tvarkymo darbų dalinis finansavimas</t>
  </si>
  <si>
    <t>Atliktas V. Gaigalaičio atminimo įamžinimas Priekulėje, vnt.</t>
  </si>
  <si>
    <t>Priekulės seniūnija, 
D. Bliūdžiuvienė</t>
  </si>
  <si>
    <t>9-2-1-11</t>
  </si>
  <si>
    <t xml:space="preserve">Klaipėdos regiono plėtros tarybos dalyvio mokestis </t>
  </si>
  <si>
    <t>9.1.1.21.</t>
  </si>
  <si>
    <t>9-3-1-13</t>
  </si>
  <si>
    <t>Sendvario seniūnijos viešųjų paslaugų centro kūrimas</t>
  </si>
  <si>
    <t xml:space="preserve">9.1.1.22. </t>
  </si>
  <si>
    <t>Atliktas architektūrinio konkurso organizavimas, vnt.</t>
  </si>
  <si>
    <t>Dovilų seniūnija, 
SKPS, A. Ronkus</t>
  </si>
  <si>
    <t>VGF</t>
  </si>
  <si>
    <t>VTS, R. Jonelaitis</t>
  </si>
  <si>
    <t xml:space="preserve">Modernizuotos esamos priedangos, vnt. </t>
  </si>
  <si>
    <t>6-5-4</t>
  </si>
  <si>
    <t xml:space="preserve">Dviračių ir pėsčiųjų takų plėtra ir remontas </t>
  </si>
  <si>
    <t>6-5-4-1</t>
  </si>
  <si>
    <t>6-5-4-2</t>
  </si>
  <si>
    <t>Dviračių ir pėsčiųjų takų įrengimas pagal Ekonomikos gaivinimo ir atsparumo didinimo priemonės (EGADP) lėšas</t>
  </si>
  <si>
    <t>9, 9.1</t>
  </si>
  <si>
    <t>6.1.4.20.</t>
  </si>
  <si>
    <t>6-5-4-5</t>
  </si>
  <si>
    <t>Pajūrio regioninio parko teritorija einančios tarptautinės dviračių trasos "Eurovelo 10" dalies, esančios Klaipėdos r. sav. teritorijoje, paprastasis remontas</t>
  </si>
  <si>
    <t>6.1.4.23.</t>
  </si>
  <si>
    <t>A. Ronkus,
V. Valantinas,
K. Jokubaitytė, 
E. Vasylienė</t>
  </si>
  <si>
    <t>Įrengtas Gargždų Melioratorių g. (KL7030), Janonio g.,  Kastyčio g. (KL7032), Vingio g., Smėlio g. dviračių ir pėsčiųjų takas, km</t>
  </si>
  <si>
    <t>Dariaus Girėno g., Gargždų m. šaligatvio rekonstravimas, įrengiant dviračių ir pėsčiųjų taką, įrengtas dviračių ir pėsčiųjų takas, km</t>
  </si>
  <si>
    <t xml:space="preserve">Atliktas lėšų susigrąžinimas už Sendvario sen. privažiuojamojo kelio prie Trušelių nuo kelio Nr. 2212 Klaipėda–Triušiai–Kretinga (Nr. KL1421) ir kelio Klemiškė II–Trušeliai (Nr. KL1412), kurie sutampa su Danės gatve, rekonstravimo projektas (I etapas), vnt. </t>
  </si>
  <si>
    <t xml:space="preserve">Atlikti remonto darbai, proc. </t>
  </si>
  <si>
    <t>Kretingalės seniūnija ir ATPS</t>
  </si>
  <si>
    <t>ŠSS, A. Petravičius</t>
  </si>
  <si>
    <t>ŠSS, N. Gotlibienė</t>
  </si>
  <si>
    <t>SKPS, V. Viršilas</t>
  </si>
  <si>
    <t>ŠSS, I. Barbšienė</t>
  </si>
  <si>
    <t>SKPS, R. Rudgalvienė</t>
  </si>
  <si>
    <t>Finansuojamų spec. reisų skaičius, vnt.</t>
  </si>
  <si>
    <t>KŪAS, V. Gabrilavičius</t>
  </si>
  <si>
    <t>Santrumpa</t>
  </si>
  <si>
    <t>Klaipėdos rajono savivaldybės administracija</t>
  </si>
  <si>
    <t>TVS</t>
  </si>
  <si>
    <t>PCMS</t>
  </si>
  <si>
    <t>ŽŪS</t>
  </si>
  <si>
    <t>KS</t>
  </si>
  <si>
    <t>SKPS</t>
  </si>
  <si>
    <t>IPS</t>
  </si>
  <si>
    <t>ŠSS</t>
  </si>
  <si>
    <t>TPS</t>
  </si>
  <si>
    <t>VTS</t>
  </si>
  <si>
    <t>VPS</t>
  </si>
  <si>
    <t>VRBS</t>
  </si>
  <si>
    <t>Vyriausioji specialistė (jaunimo reikalų koordinatorė)</t>
  </si>
  <si>
    <t>KUAS</t>
  </si>
  <si>
    <t>KRSA</t>
  </si>
  <si>
    <t>-*</t>
  </si>
  <si>
    <t>ITS</t>
  </si>
  <si>
    <t>-* nenaudojama santrumpa, naudojamas pilnas pavadinimas</t>
  </si>
  <si>
    <t xml:space="preserve">CB, D. Drungilaitė </t>
  </si>
  <si>
    <t>TIBK</t>
  </si>
  <si>
    <t>JRK</t>
  </si>
  <si>
    <t>LGK</t>
  </si>
  <si>
    <t>KAAK</t>
  </si>
  <si>
    <t>TIBK, T. Stonkė</t>
  </si>
  <si>
    <t>ŠSS, V. Gudzevičienė</t>
  </si>
  <si>
    <t>ŠSS, S. Muravjova</t>
  </si>
  <si>
    <t>SKPS, K. Jokubaitytė</t>
  </si>
  <si>
    <t>SKPS, R. Sarulienė, 
J. Blinstrubienė</t>
  </si>
  <si>
    <t>SKPS, R. Sarulienė</t>
  </si>
  <si>
    <t xml:space="preserve">SPPVS, M. Virbauskas </t>
  </si>
  <si>
    <t>ŽŪS, A. Bazilienė</t>
  </si>
  <si>
    <t>SPPVS, 
R. Grubliauskytė</t>
  </si>
  <si>
    <t>KŪAS, R. Bakaitienė, 
K. Lūžaitė</t>
  </si>
  <si>
    <t>Agluonėnų seniūnija,
A. Žilienė</t>
  </si>
  <si>
    <t>Dovilų seniūnija, 
N. Ilginienė</t>
  </si>
  <si>
    <t>Endriejavo seniūnija,
S. Bakšinskis</t>
  </si>
  <si>
    <t>Gargždų seniūnija, A.Srėbalienė, N. Verbaitė</t>
  </si>
  <si>
    <t>Judrėnų seniūnija,
Z. Siminauskas</t>
  </si>
  <si>
    <t>Kretingalės seniūnija,
A. Monstavičienė</t>
  </si>
  <si>
    <t>Priekulės seniūnija,
D. Bliūdžiuvienė, R. Narkienė</t>
  </si>
  <si>
    <t xml:space="preserve">Sendvario seniūnija,
V. Charunov      </t>
  </si>
  <si>
    <t>Veiviržėnų seniūnija,
R. Justa</t>
  </si>
  <si>
    <t>Vėžaičių seniūnija,
R. Bernotas</t>
  </si>
  <si>
    <t>SSAS, R. Stonkienė</t>
  </si>
  <si>
    <t xml:space="preserve">SSAS, G. Rekašienė, </t>
  </si>
  <si>
    <t xml:space="preserve"> SSAS, G. Rekašienė, </t>
  </si>
  <si>
    <t>SSAS,R. Stonkienė</t>
  </si>
  <si>
    <t>SSAS, R. Stonkienė,</t>
  </si>
  <si>
    <t xml:space="preserve"> SSAS, L. Bakšinskienė, </t>
  </si>
  <si>
    <t>SSAS, L. Pocienė</t>
  </si>
  <si>
    <t>SSAS, D. Skiotienė</t>
  </si>
  <si>
    <t>SSAS,D. Beržanskytė- Bučinskienė</t>
  </si>
  <si>
    <t xml:space="preserve">KŪAS, R. Gabrilavičius </t>
  </si>
  <si>
    <t>SSAS, I.Gailienė</t>
  </si>
  <si>
    <t>SSAS, I. Gailienė, S. Paulienė,
J. Papievienė,  L.Virkutienė,
S. Tverskienė</t>
  </si>
  <si>
    <t>SSAS, I. Vytienė</t>
  </si>
  <si>
    <t>KS, J. Dobrovolskienė</t>
  </si>
  <si>
    <t>Gargždų seniūnija, seniūnas</t>
  </si>
  <si>
    <t>Dauparų-Kvietinių seniūnija, seniūnas</t>
  </si>
  <si>
    <t>Kretingalės seniūnija, 
A. Monstavičienė</t>
  </si>
  <si>
    <t>Agluonėnų seniūnija, 
L. Tučienė</t>
  </si>
  <si>
    <t>Judrėnų seniūnija, 
Z. Siminauskas</t>
  </si>
  <si>
    <t>Endriejavo seniūnija, 
S. Bakšinskis</t>
  </si>
  <si>
    <t>Priekulės seniūnija,
D. Bliūdžiuvienė,
R. Narkienė</t>
  </si>
  <si>
    <t>Sendvario seniūnija,
V. Charunov</t>
  </si>
  <si>
    <t>Veiviržėnų seniūnija,
E. Sluckienė</t>
  </si>
  <si>
    <t>Vėžaičių seniūnija, 
R. Bernotas</t>
  </si>
  <si>
    <t>36, 38, 9.1</t>
  </si>
  <si>
    <t>TVS, E. Jasienė, ŽGGS, G. Jurjonė, IPS, A. Daukantienė, J. Jackus, Š. Čičinis</t>
  </si>
  <si>
    <t>SKPS, V. Ramanauskas</t>
  </si>
  <si>
    <t>SKPS, A. Ronkus, F. Žemgulys</t>
  </si>
  <si>
    <t>IPS, A. Daukantienė</t>
  </si>
  <si>
    <t>SKPS, E. Vasylienė</t>
  </si>
  <si>
    <t>Piekulės seniūnija, 
D. Bliūdžiuvienė</t>
  </si>
  <si>
    <t>Melioracijos griovių (NGR-3, NG-1, NGR Nr.1, GR1-4, GR1-2, GR-1, NS-1, NS-1-3 ir griovio/up. N Smeltaitė) esančių Klaipėdos r. sav., Dauparų-Kvietinių sen., remonto techninio darbo projekto parengimas ir įgyvendinimas (rangos darbai, rangos rangos darbų techninė priežiūra, projekto ekspertizė)</t>
  </si>
  <si>
    <t xml:space="preserve">Įvykdytas projekto ekspertizės pirkimas, vnt. </t>
  </si>
  <si>
    <t xml:space="preserve">Dauparų-Kvietinių seniūnija </t>
  </si>
  <si>
    <t>Atlikta ekspertizė, vnt.</t>
  </si>
  <si>
    <t>1-1-1-33</t>
  </si>
  <si>
    <t>Projekto "Ugdymo priemonės mokykloms" įgyvendinimas</t>
  </si>
  <si>
    <t>1.1.3.24.</t>
  </si>
  <si>
    <t>1-2-3-21</t>
  </si>
  <si>
    <t>Sendvario „Saulės“ mokyklos Agilos g. 12, Trušelių k., mokslo paskirties pastato projektavimas ir statyba</t>
  </si>
  <si>
    <t>1.3.3.26.</t>
  </si>
  <si>
    <t xml:space="preserve">Kapinių plėtros techniam projektui parengti 2025 m., vnt.
Vandentiekio įvedimo projektavimo ir rangos darbai Daukšaičių kapinėse, vnt. </t>
  </si>
  <si>
    <t>0
1</t>
  </si>
  <si>
    <t>36, 9, 9.1</t>
  </si>
  <si>
    <t>6-2-1-19</t>
  </si>
  <si>
    <t xml:space="preserve">Savivaldybės prisidėjimas prie fizinių ar juridinių asmenų, pageidaujančių skirti tikslinių lėšų Klaipėdos rajono vietinės reikšmės kelių juostoje esantiems kelių statiniams ir daugiabučių kiemams projektuoti, rekonstruoti, taisyti </t>
  </si>
  <si>
    <t>6.1.3.8.</t>
  </si>
  <si>
    <t>„Stančių Parkas“ Tvenkinių g. Stančių k.</t>
  </si>
  <si>
    <t>SKPS, J. Jackus</t>
  </si>
  <si>
    <t xml:space="preserve">Atliktas pirkimas, vnt. </t>
  </si>
  <si>
    <t xml:space="preserve">Administruotas projektas, vnt. </t>
  </si>
  <si>
    <t xml:space="preserve">ŠSS, R. Mickienė </t>
  </si>
  <si>
    <t>Įvykdytas projektinio pasiūlymo pirkimas, vnt.</t>
  </si>
  <si>
    <t>Š. Čičinis</t>
  </si>
  <si>
    <t>ŽŪS, A. Latakienė</t>
  </si>
  <si>
    <t>SKPS, V. Lengvinaitė</t>
  </si>
  <si>
    <t xml:space="preserve">Nupirkti projektavimo darbai, vnt. </t>
  </si>
  <si>
    <t>Paviršinių nuotekų šalinimo tinklų nauja statyba Agluonėnų mstl. Ievos Simonaitytės g. projekto parengimas</t>
  </si>
  <si>
    <t>J. Dobrovolskienė</t>
  </si>
  <si>
    <t xml:space="preserve">Analizės ir tyrimo parengimas bei veiksmų plano sudarymas (rinkinys), vnt.          </t>
  </si>
  <si>
    <t>1-1-1-34</t>
  </si>
  <si>
    <t>Visos dienos mokyklos paslaugų prieinamumo didinimas Klaipėdos rajono savivaldybėje</t>
  </si>
  <si>
    <t>1.1.3.25.</t>
  </si>
  <si>
    <t>Projekte dalyvaujančių mokinių skaičius, vnt.</t>
  </si>
  <si>
    <t>6.3.3.24.29.</t>
  </si>
  <si>
    <t>Atliktas pralaidos remontas, vnt.
Atliktas šachtinės pralaidos polių įrengimas, vnt.</t>
  </si>
  <si>
    <t>5-4-1-5</t>
  </si>
  <si>
    <t xml:space="preserve"> Projektas "Gebėjimų stiprinimas ir nevyriausybinių organizacijų veiklos internacionalizavimas Liepojos mieste ir Klaipėdos rajone"</t>
  </si>
  <si>
    <t>5.2.1.3.</t>
  </si>
  <si>
    <t>8-1-7</t>
  </si>
  <si>
    <t>Viešosios įstaigos krepšinio klubo „Gargždai“ 2025 metų programos „Gargždų „Gargždai“ krepšinio komandos dalyvavimas Lietuvos krepšinio lygoje“ dalinis finansavimas</t>
  </si>
  <si>
    <t>8.5.1.25.</t>
  </si>
  <si>
    <t>ŠSS, U.Tamošauskienė</t>
  </si>
  <si>
    <t xml:space="preserve">Finansuota programa, vnt. </t>
  </si>
  <si>
    <t>6.4.1.3.29.</t>
  </si>
  <si>
    <t>3.1.1.79.29.</t>
  </si>
  <si>
    <t>6-5-4-4</t>
  </si>
  <si>
    <t>Dviračių ir pėsčiųjų takų remontas ir statyba prie AB "Via Lietuva" kelių</t>
  </si>
  <si>
    <t xml:space="preserve">6.1.4.22. </t>
  </si>
  <si>
    <t>Parengti priešprojektiniai pasiūlymai dėl Vėžaičių mst. pėsčiųjų tako statybos Gargždų g. nuo Samališkės iki Užtvankos g., vnt.</t>
  </si>
  <si>
    <t>2.2.1.8.26.</t>
  </si>
  <si>
    <t>2.2.1.8.27.</t>
  </si>
  <si>
    <t>2.4.1.37.32.</t>
  </si>
  <si>
    <t>2.4.5.1.33.</t>
  </si>
  <si>
    <t>2.4.5.1.31.</t>
  </si>
  <si>
    <t>6.1.4.19.32.</t>
  </si>
  <si>
    <t>6.1.4.19.35.</t>
  </si>
  <si>
    <t>3.1.1.81.34.</t>
  </si>
  <si>
    <t>3.1.1.79.32.</t>
  </si>
  <si>
    <t>7.5.1.68.34.</t>
  </si>
  <si>
    <r>
      <t xml:space="preserve">Klaipėdos raj., </t>
    </r>
    <r>
      <rPr>
        <b/>
        <sz val="8"/>
        <rFont val="Arial"/>
        <family val="2"/>
        <charset val="186"/>
      </rPr>
      <t>Priekulės sen. Rokų g. (Nr. KL8471), Butkų g. (Nr. KL1341) ir Santakos g</t>
    </r>
    <r>
      <rPr>
        <sz val="8"/>
        <rFont val="Arial"/>
        <family val="2"/>
        <charset val="186"/>
      </rPr>
      <t>. (Nr. KL1297) kapitalinis remontas projektavimas, ekspertizė</t>
    </r>
  </si>
  <si>
    <t>5-2-2-7</t>
  </si>
  <si>
    <t>Projektas "Paslaugų teikimas užsieniečiams Klaipėdos rajono savivaldybėje"</t>
  </si>
  <si>
    <t>5.1.2.32</t>
  </si>
  <si>
    <t>G. Domarkė</t>
  </si>
  <si>
    <t>6-6-1-14</t>
  </si>
  <si>
    <t>Buitinių nuotekų tinklų projektavimo ir statybos projektų sulaikytoms lėšoms</t>
  </si>
  <si>
    <t>Sulaikytoms lėšoms apmokėti</t>
  </si>
  <si>
    <t>Administracijos darbo organizavimas</t>
  </si>
  <si>
    <t>Klaipėdos rajono savivaldybės administracijos 2025 m. metinis veiklos planas</t>
  </si>
  <si>
    <t>PATVIRTINTA 
Klaipėdos rajono savivaldybės administracijos 
direktoriaus 2025 m. kovo 19 d.
įsakymu Nr. AV-385 (Klaipėdos rajono savivaldybės administracijos direktoriaus  2025 m. gruodžio 31 d.             įsakymo Nr. AV-1925 redakcija)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</si>
</sst>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
    <numFmt numFmtId="165" formatCode="0.000"/>
    <numFmt numFmtId="166" formatCode="#,##0.0"/>
    <numFmt numFmtId="167" formatCode="[$-427]yyyy\.mm\.dd"/>
    <numFmt numFmtId="168" formatCode="_-* #,##0.00\ _L_t_-;\-* #,##0.00\ _L_t_-;_-* &quot;-&quot;??\ _L_t_-;_-@_-"/>
    <numFmt numFmtId="169" formatCode="#,##0.000"/>
  </numFmts>
  <fonts count="87" x14ac:knownFonts="1">
    <font>
      <sz val="10"/>
      <name val="Arial"/>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charset val="186"/>
    </font>
    <font>
      <b/>
      <sz val="15"/>
      <color indexed="56"/>
      <name val="Calibri"/>
      <family val="2"/>
      <charset val="186"/>
    </font>
    <font>
      <b/>
      <sz val="13"/>
      <color indexed="56"/>
      <name val="Calibri"/>
      <family val="2"/>
      <charset val="186"/>
    </font>
    <font>
      <sz val="11"/>
      <color indexed="8"/>
      <name val="Calibri"/>
      <family val="2"/>
      <charset val="186"/>
    </font>
    <font>
      <b/>
      <sz val="11"/>
      <color indexed="56"/>
      <name val="Calibri"/>
      <family val="2"/>
      <charset val="186"/>
    </font>
    <font>
      <sz val="11"/>
      <color indexed="9"/>
      <name val="Calibri"/>
      <family val="2"/>
      <charset val="186"/>
    </font>
    <font>
      <i/>
      <sz val="11"/>
      <color indexed="23"/>
      <name val="Calibri"/>
      <family val="2"/>
      <charset val="186"/>
    </font>
    <font>
      <sz val="11"/>
      <color indexed="20"/>
      <name val="Calibri"/>
      <family val="2"/>
      <charset val="186"/>
    </font>
    <font>
      <sz val="11"/>
      <color indexed="17"/>
      <name val="Calibri"/>
      <family val="2"/>
      <charset val="186"/>
    </font>
    <font>
      <sz val="11"/>
      <color indexed="10"/>
      <name val="Calibri"/>
      <family val="2"/>
      <charset val="186"/>
    </font>
    <font>
      <b/>
      <sz val="11"/>
      <color indexed="63"/>
      <name val="Calibri"/>
      <family val="2"/>
      <charset val="186"/>
    </font>
    <font>
      <sz val="11"/>
      <color indexed="62"/>
      <name val="Calibri"/>
      <family val="2"/>
      <charset val="186"/>
    </font>
    <font>
      <sz val="11"/>
      <color indexed="60"/>
      <name val="Calibri"/>
      <family val="2"/>
      <charset val="186"/>
    </font>
    <font>
      <sz val="10"/>
      <name val="Arial"/>
      <family val="2"/>
      <charset val="186"/>
    </font>
    <font>
      <b/>
      <sz val="18"/>
      <color indexed="56"/>
      <name val="Cambria"/>
      <family val="2"/>
      <charset val="186"/>
    </font>
    <font>
      <b/>
      <sz val="11"/>
      <color indexed="52"/>
      <name val="Calibri"/>
      <family val="2"/>
      <charset val="186"/>
    </font>
    <font>
      <b/>
      <sz val="11"/>
      <color indexed="8"/>
      <name val="Calibri"/>
      <family val="2"/>
      <charset val="186"/>
    </font>
    <font>
      <sz val="11"/>
      <color indexed="52"/>
      <name val="Calibri"/>
      <family val="2"/>
      <charset val="186"/>
    </font>
    <font>
      <b/>
      <sz val="11"/>
      <color indexed="9"/>
      <name val="Calibri"/>
      <family val="2"/>
      <charset val="186"/>
    </font>
    <font>
      <b/>
      <sz val="8"/>
      <name val="Arial"/>
      <family val="2"/>
      <charset val="186"/>
    </font>
    <font>
      <sz val="8"/>
      <name val="Arial"/>
      <family val="2"/>
      <charset val="186"/>
    </font>
    <font>
      <sz val="8"/>
      <color rgb="FFFF0000"/>
      <name val="Arial"/>
      <family val="2"/>
      <charset val="186"/>
    </font>
    <font>
      <i/>
      <sz val="8"/>
      <name val="Arial"/>
      <family val="2"/>
      <charset val="186"/>
    </font>
    <font>
      <sz val="11"/>
      <color rgb="FF9C0006"/>
      <name val="Calibri"/>
      <family val="2"/>
      <charset val="186"/>
      <scheme val="minor"/>
    </font>
    <font>
      <sz val="8"/>
      <name val="Arial"/>
      <family val="2"/>
    </font>
    <font>
      <sz val="9"/>
      <name val="Arial"/>
      <family val="2"/>
      <charset val="186"/>
    </font>
    <font>
      <sz val="8"/>
      <color indexed="8"/>
      <name val="Arial"/>
      <family val="2"/>
      <charset val="186"/>
    </font>
    <font>
      <i/>
      <sz val="8"/>
      <color theme="1"/>
      <name val="Arial"/>
      <family val="2"/>
      <charset val="186"/>
    </font>
    <font>
      <sz val="8"/>
      <color rgb="FF000000"/>
      <name val="Arial"/>
      <family val="2"/>
      <charset val="186"/>
    </font>
    <font>
      <b/>
      <sz val="8"/>
      <color rgb="FF000000"/>
      <name val="Arial"/>
      <family val="2"/>
      <charset val="186"/>
    </font>
    <font>
      <u/>
      <sz val="10"/>
      <color theme="10"/>
      <name val="Arial"/>
      <family val="2"/>
      <charset val="186"/>
    </font>
    <font>
      <b/>
      <sz val="8"/>
      <color theme="0"/>
      <name val="Arial"/>
      <family val="2"/>
      <charset val="186"/>
    </font>
    <font>
      <sz val="8"/>
      <color rgb="FF444444"/>
      <name val="Arial"/>
      <family val="2"/>
      <charset val="186"/>
    </font>
    <font>
      <sz val="11"/>
      <color theme="1"/>
      <name val="Calibri"/>
      <family val="2"/>
      <scheme val="minor"/>
    </font>
    <font>
      <b/>
      <sz val="8"/>
      <color theme="1"/>
      <name val="Arial"/>
      <family val="2"/>
      <charset val="186"/>
    </font>
    <font>
      <strike/>
      <sz val="8"/>
      <color rgb="FF000000"/>
      <name val="Arial"/>
      <family val="2"/>
      <charset val="186"/>
    </font>
    <font>
      <sz val="8"/>
      <name val="Calibri"/>
      <family val="2"/>
      <charset val="186"/>
      <scheme val="minor"/>
    </font>
    <font>
      <strike/>
      <sz val="8"/>
      <name val="Arial"/>
      <family val="2"/>
      <charset val="186"/>
    </font>
    <font>
      <sz val="10"/>
      <color theme="1"/>
      <name val="Arial"/>
      <family val="2"/>
      <charset val="186"/>
    </font>
    <font>
      <sz val="8"/>
      <color rgb="FF424242"/>
      <name val="Arial"/>
      <family val="2"/>
      <charset val="186"/>
    </font>
    <font>
      <sz val="8"/>
      <color rgb="FF00B050"/>
      <name val="Arial"/>
      <family val="2"/>
      <charset val="186"/>
    </font>
    <font>
      <sz val="11"/>
      <color indexed="8"/>
      <name val="Calibri"/>
      <family val="2"/>
    </font>
    <font>
      <u/>
      <sz val="8"/>
      <color theme="10"/>
      <name val="Arial"/>
      <family val="2"/>
      <charset val="186"/>
    </font>
    <font>
      <sz val="11"/>
      <name val="Calibri"/>
      <family val="2"/>
      <charset val="1"/>
    </font>
    <font>
      <sz val="8"/>
      <color rgb="FF000000"/>
      <name val="Arial"/>
      <family val="2"/>
      <charset val="1"/>
    </font>
    <font>
      <sz val="11"/>
      <name val="Times New Roman"/>
      <family val="1"/>
      <charset val="186"/>
    </font>
    <font>
      <b/>
      <sz val="11"/>
      <name val="Times New Roman"/>
      <family val="1"/>
      <charset val="186"/>
    </font>
    <font>
      <sz val="11"/>
      <color rgb="FF010101"/>
      <name val="Times New Roman"/>
      <family val="1"/>
      <charset val="186"/>
    </font>
    <font>
      <sz val="8"/>
      <name val="Arial"/>
      <family val="2"/>
      <charset val="186"/>
    </font>
    <font>
      <sz val="8"/>
      <color rgb="FF000000"/>
      <name val="Arial"/>
      <family val="2"/>
      <charset val="186"/>
    </font>
    <font>
      <sz val="8"/>
      <color theme="0"/>
      <name val="Arial"/>
      <family val="2"/>
      <charset val="186"/>
    </font>
    <font>
      <sz val="8"/>
      <color rgb="FF000000"/>
      <name val="Arial"/>
      <family val="2"/>
      <charset val="186"/>
    </font>
    <font>
      <sz val="10"/>
      <color rgb="FF000000"/>
      <name val="Arial"/>
      <family val="2"/>
      <charset val="186"/>
    </font>
    <font>
      <b/>
      <sz val="8"/>
      <color rgb="FF6600CC"/>
      <name val="Arial"/>
      <family val="2"/>
      <charset val="186"/>
    </font>
    <font>
      <sz val="12"/>
      <color rgb="FF000000"/>
      <name val="Arial"/>
      <family val="2"/>
      <charset val="186"/>
    </font>
  </fonts>
  <fills count="5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53"/>
        <bgColor indexed="64"/>
      </patternFill>
    </fill>
    <fill>
      <patternFill patternType="solid">
        <fgColor indexed="13"/>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FFFFFF"/>
        <bgColor indexed="64"/>
      </patternFill>
    </fill>
    <fill>
      <patternFill patternType="solid">
        <fgColor rgb="FFFFC7CE"/>
      </patternFill>
    </fill>
    <fill>
      <patternFill patternType="solid">
        <fgColor rgb="FFFFFFFF"/>
        <bgColor rgb="FFFFFFCC"/>
      </patternFill>
    </fill>
    <fill>
      <patternFill patternType="solid">
        <fgColor rgb="FFFFFFCC"/>
        <bgColor indexed="64"/>
      </patternFill>
    </fill>
    <fill>
      <patternFill patternType="solid">
        <fgColor theme="2"/>
        <bgColor indexed="64"/>
      </patternFill>
    </fill>
    <fill>
      <patternFill patternType="solid">
        <fgColor rgb="FFFFDAB9"/>
        <bgColor indexed="64"/>
      </patternFill>
    </fill>
    <fill>
      <patternFill patternType="solid">
        <fgColor rgb="FFCAE9F6"/>
        <bgColor rgb="FFFFC000"/>
      </patternFill>
    </fill>
    <fill>
      <patternFill patternType="solid">
        <fgColor rgb="FFCAE9F6"/>
        <bgColor indexed="64"/>
      </patternFill>
    </fill>
    <fill>
      <patternFill patternType="solid">
        <fgColor rgb="FFD1ECF7"/>
        <bgColor indexed="64"/>
      </patternFill>
    </fill>
    <fill>
      <patternFill patternType="solid">
        <fgColor rgb="FFE6E6E6"/>
        <bgColor indexed="64"/>
      </patternFill>
    </fill>
    <fill>
      <patternFill patternType="solid">
        <fgColor theme="0"/>
        <bgColor rgb="FFFFC000"/>
      </patternFill>
    </fill>
    <fill>
      <patternFill patternType="solid">
        <fgColor rgb="FFA9DCF1"/>
        <bgColor indexed="64"/>
      </patternFill>
    </fill>
    <fill>
      <patternFill patternType="solid">
        <fgColor rgb="FFFF0000"/>
        <bgColor indexed="64"/>
      </patternFill>
    </fill>
    <fill>
      <patternFill patternType="solid">
        <fgColor rgb="FFFFFFFF"/>
        <bgColor rgb="FFFFC000"/>
      </patternFill>
    </fill>
    <fill>
      <patternFill patternType="solid">
        <fgColor rgb="FFD1ECF7"/>
        <bgColor rgb="FFFFC000"/>
      </patternFill>
    </fill>
    <fill>
      <patternFill patternType="solid">
        <fgColor rgb="FF4FBED1"/>
        <bgColor indexed="64"/>
      </patternFill>
    </fill>
    <fill>
      <patternFill patternType="solid">
        <fgColor rgb="FFCCCCFF"/>
        <bgColor indexed="64"/>
      </patternFill>
    </fill>
    <fill>
      <patternFill patternType="solid">
        <fgColor rgb="FFFFFFFF"/>
        <bgColor rgb="FF000000"/>
      </patternFill>
    </fill>
    <fill>
      <patternFill patternType="solid">
        <fgColor rgb="FFE6E6E6"/>
        <bgColor rgb="FF000000"/>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DAB9"/>
        <bgColor rgb="FF000000"/>
      </patternFill>
    </fill>
    <fill>
      <patternFill patternType="solid">
        <fgColor rgb="FF92D050"/>
        <bgColor rgb="FF000000"/>
      </patternFill>
    </fill>
    <fill>
      <patternFill patternType="solid">
        <fgColor rgb="FFA9DCF1"/>
        <bgColor rgb="FF000000"/>
      </patternFill>
    </fill>
    <fill>
      <patternFill patternType="solid">
        <fgColor theme="2" tint="-0.249977111117893"/>
        <bgColor indexed="64"/>
      </patternFill>
    </fill>
    <fill>
      <patternFill patternType="solid">
        <fgColor theme="0"/>
        <bgColor rgb="FF000000"/>
      </patternFill>
    </fill>
    <fill>
      <patternFill patternType="solid">
        <fgColor rgb="FF53D2FF"/>
        <bgColor indexed="64"/>
      </patternFill>
    </fill>
    <fill>
      <patternFill patternType="solid">
        <fgColor rgb="FF7030A0"/>
        <bgColor indexed="64"/>
      </patternFill>
    </fill>
  </fills>
  <borders count="55">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top/>
      <bottom style="thin">
        <color rgb="FF000000"/>
      </bottom>
      <diagonal/>
    </border>
    <border>
      <left style="thin">
        <color indexed="64"/>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right/>
      <top/>
      <bottom style="medium">
        <color indexed="64"/>
      </bottom>
      <diagonal/>
    </border>
    <border>
      <left/>
      <right/>
      <top style="thin">
        <color rgb="FF000000"/>
      </top>
      <bottom/>
      <diagonal/>
    </border>
    <border>
      <left style="thin">
        <color indexed="64"/>
      </left>
      <right style="thin">
        <color indexed="64"/>
      </right>
      <top style="thin">
        <color rgb="FF000000"/>
      </top>
      <bottom/>
      <diagonal/>
    </border>
  </borders>
  <cellStyleXfs count="90">
    <xf numFmtId="0" fontId="0" fillId="0" borderId="0"/>
    <xf numFmtId="0" fontId="33" fillId="0" borderId="1" applyNumberFormat="0" applyFill="0" applyAlignment="0" applyProtection="0"/>
    <xf numFmtId="0" fontId="34" fillId="0" borderId="2" applyNumberFormat="0" applyFill="0" applyAlignment="0" applyProtection="0"/>
    <xf numFmtId="0" fontId="35" fillId="2" borderId="0" applyNumberFormat="0" applyBorder="0" applyAlignment="0" applyProtection="0"/>
    <xf numFmtId="0" fontId="35" fillId="3" borderId="0" applyNumberFormat="0" applyBorder="0" applyAlignment="0" applyProtection="0"/>
    <xf numFmtId="0" fontId="35" fillId="4" borderId="0" applyNumberFormat="0" applyBorder="0" applyAlignment="0" applyProtection="0"/>
    <xf numFmtId="0" fontId="35" fillId="5" borderId="0" applyNumberFormat="0" applyBorder="0" applyAlignment="0" applyProtection="0"/>
    <xf numFmtId="0" fontId="35" fillId="6" borderId="0" applyNumberFormat="0" applyBorder="0" applyAlignment="0" applyProtection="0"/>
    <xf numFmtId="0" fontId="35" fillId="7" borderId="0" applyNumberFormat="0" applyBorder="0" applyAlignment="0" applyProtection="0"/>
    <xf numFmtId="0" fontId="36" fillId="0" borderId="3" applyNumberFormat="0" applyFill="0" applyAlignment="0" applyProtection="0"/>
    <xf numFmtId="0" fontId="36" fillId="0" borderId="0" applyNumberFormat="0" applyFill="0" applyBorder="0" applyAlignment="0" applyProtection="0"/>
    <xf numFmtId="0" fontId="35" fillId="8" borderId="0" applyNumberFormat="0" applyBorder="0" applyAlignment="0" applyProtection="0"/>
    <xf numFmtId="0" fontId="35" fillId="9" borderId="0" applyNumberFormat="0" applyBorder="0" applyAlignment="0" applyProtection="0"/>
    <xf numFmtId="0" fontId="35" fillId="10" borderId="0" applyNumberFormat="0" applyBorder="0" applyAlignment="0" applyProtection="0"/>
    <xf numFmtId="0" fontId="35" fillId="5" borderId="0" applyNumberFormat="0" applyBorder="0" applyAlignment="0" applyProtection="0"/>
    <xf numFmtId="0" fontId="35" fillId="8" borderId="0" applyNumberFormat="0" applyBorder="0" applyAlignment="0" applyProtection="0"/>
    <xf numFmtId="0" fontId="35" fillId="11" borderId="0" applyNumberFormat="0" applyBorder="0" applyAlignment="0" applyProtection="0"/>
    <xf numFmtId="0" fontId="37" fillId="12" borderId="0" applyNumberFormat="0" applyBorder="0" applyAlignment="0" applyProtection="0"/>
    <xf numFmtId="0" fontId="37" fillId="9" borderId="0" applyNumberFormat="0" applyBorder="0" applyAlignment="0" applyProtection="0"/>
    <xf numFmtId="0" fontId="37" fillId="10" borderId="0" applyNumberFormat="0" applyBorder="0" applyAlignment="0" applyProtection="0"/>
    <xf numFmtId="0" fontId="37" fillId="13" borderId="0" applyNumberFormat="0" applyBorder="0" applyAlignment="0" applyProtection="0"/>
    <xf numFmtId="0" fontId="37" fillId="14" borderId="0" applyNumberFormat="0" applyBorder="0" applyAlignment="0" applyProtection="0"/>
    <xf numFmtId="0" fontId="37" fillId="15" borderId="0" applyNumberFormat="0" applyBorder="0" applyAlignment="0" applyProtection="0"/>
    <xf numFmtId="0" fontId="38" fillId="0" borderId="0" applyNumberFormat="0" applyFill="0" applyBorder="0" applyAlignment="0" applyProtection="0"/>
    <xf numFmtId="0" fontId="39" fillId="3" borderId="0" applyNumberFormat="0" applyBorder="0" applyAlignment="0" applyProtection="0"/>
    <xf numFmtId="0" fontId="40" fillId="4" borderId="0" applyNumberFormat="0" applyBorder="0" applyAlignment="0" applyProtection="0"/>
    <xf numFmtId="0" fontId="42" fillId="20" borderId="6" applyNumberFormat="0" applyAlignment="0" applyProtection="0"/>
    <xf numFmtId="0" fontId="41" fillId="0" borderId="0" applyNumberFormat="0" applyFill="0" applyBorder="0" applyAlignment="0" applyProtection="0"/>
    <xf numFmtId="0" fontId="43" fillId="7" borderId="4" applyNumberFormat="0" applyAlignment="0" applyProtection="0"/>
    <xf numFmtId="0" fontId="44" fillId="22" borderId="0" applyNumberFormat="0" applyBorder="0" applyAlignment="0" applyProtection="0"/>
    <xf numFmtId="0" fontId="32" fillId="0" borderId="0"/>
    <xf numFmtId="0" fontId="37" fillId="16"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3" borderId="0" applyNumberFormat="0" applyBorder="0" applyAlignment="0" applyProtection="0"/>
    <xf numFmtId="0" fontId="37" fillId="14" borderId="0" applyNumberFormat="0" applyBorder="0" applyAlignment="0" applyProtection="0"/>
    <xf numFmtId="0" fontId="37" fillId="19" borderId="0" applyNumberFormat="0" applyBorder="0" applyAlignment="0" applyProtection="0"/>
    <xf numFmtId="0" fontId="45" fillId="23" borderId="8" applyNumberFormat="0" applyFont="0" applyAlignment="0" applyProtection="0"/>
    <xf numFmtId="0" fontId="46" fillId="0" borderId="0" applyNumberFormat="0" applyFill="0" applyBorder="0" applyAlignment="0" applyProtection="0"/>
    <xf numFmtId="0" fontId="47" fillId="20" borderId="4" applyNumberFormat="0" applyAlignment="0" applyProtection="0"/>
    <xf numFmtId="0" fontId="48" fillId="0" borderId="9" applyNumberFormat="0" applyFill="0" applyAlignment="0" applyProtection="0"/>
    <xf numFmtId="0" fontId="49" fillId="0" borderId="7" applyNumberFormat="0" applyFill="0" applyAlignment="0" applyProtection="0"/>
    <xf numFmtId="0" fontId="50" fillId="21" borderId="5" applyNumberFormat="0" applyAlignment="0" applyProtection="0"/>
    <xf numFmtId="0" fontId="45" fillId="0" borderId="0"/>
    <xf numFmtId="0" fontId="45" fillId="0" borderId="0"/>
    <xf numFmtId="0" fontId="32" fillId="23" borderId="8" applyNumberFormat="0" applyFont="0" applyAlignment="0" applyProtection="0"/>
    <xf numFmtId="0" fontId="32" fillId="0" borderId="0"/>
    <xf numFmtId="0" fontId="32" fillId="0" borderId="0"/>
    <xf numFmtId="0" fontId="31" fillId="0" borderId="0"/>
    <xf numFmtId="0" fontId="55" fillId="31" borderId="0" applyNumberFormat="0" applyBorder="0" applyAlignment="0" applyProtection="0"/>
    <xf numFmtId="0" fontId="35" fillId="0" borderId="0"/>
    <xf numFmtId="0" fontId="31" fillId="0" borderId="0"/>
    <xf numFmtId="0" fontId="35" fillId="0" borderId="0"/>
    <xf numFmtId="168" fontId="32" fillId="0" borderId="0" applyFont="0" applyFill="0" applyBorder="0" applyAlignment="0" applyProtection="0"/>
    <xf numFmtId="0" fontId="32" fillId="0" borderId="0"/>
    <xf numFmtId="43" fontId="32" fillId="0" borderId="0" applyFont="0" applyFill="0" applyBorder="0" applyAlignment="0" applyProtection="0"/>
    <xf numFmtId="0" fontId="30" fillId="0" borderId="0"/>
    <xf numFmtId="0" fontId="29" fillId="0" borderId="0"/>
    <xf numFmtId="0" fontId="28" fillId="0" borderId="0"/>
    <xf numFmtId="9" fontId="32" fillId="0" borderId="0" applyFont="0" applyFill="0" applyBorder="0" applyAlignment="0" applyProtection="0"/>
    <xf numFmtId="0" fontId="28" fillId="0" borderId="0"/>
    <xf numFmtId="0" fontId="27" fillId="0" borderId="0"/>
    <xf numFmtId="0" fontId="26" fillId="0" borderId="0"/>
    <xf numFmtId="0" fontId="26" fillId="0" borderId="0"/>
    <xf numFmtId="0" fontId="26" fillId="0" borderId="0"/>
    <xf numFmtId="9" fontId="26" fillId="0" borderId="0" applyFont="0" applyFill="0" applyBorder="0" applyAlignment="0" applyProtection="0"/>
    <xf numFmtId="0" fontId="26" fillId="0" borderId="0"/>
    <xf numFmtId="0" fontId="26" fillId="0" borderId="0"/>
    <xf numFmtId="9" fontId="26" fillId="0" borderId="0" applyFont="0" applyFill="0" applyBorder="0" applyAlignment="0" applyProtection="0"/>
    <xf numFmtId="0" fontId="25" fillId="0" borderId="0"/>
    <xf numFmtId="9" fontId="25" fillId="0" borderId="0" applyFont="0" applyFill="0" applyBorder="0" applyAlignment="0" applyProtection="0"/>
    <xf numFmtId="0" fontId="62" fillId="0" borderId="0" applyNumberFormat="0" applyFill="0" applyBorder="0" applyAlignment="0" applyProtection="0"/>
    <xf numFmtId="0" fontId="65" fillId="0" borderId="0"/>
    <xf numFmtId="0" fontId="32" fillId="0" borderId="0"/>
    <xf numFmtId="0" fontId="24" fillId="0" borderId="0"/>
    <xf numFmtId="0" fontId="35" fillId="0" borderId="0"/>
    <xf numFmtId="0" fontId="24" fillId="0" borderId="0"/>
    <xf numFmtId="0" fontId="24" fillId="0" borderId="0"/>
    <xf numFmtId="0" fontId="32" fillId="0" borderId="0"/>
    <xf numFmtId="0" fontId="24" fillId="0" borderId="0"/>
    <xf numFmtId="0" fontId="32" fillId="0" borderId="0"/>
    <xf numFmtId="0" fontId="23" fillId="0" borderId="0"/>
    <xf numFmtId="0" fontId="23" fillId="0" borderId="0"/>
    <xf numFmtId="9" fontId="23" fillId="0" borderId="0" applyFont="0" applyFill="0" applyBorder="0" applyAlignment="0" applyProtection="0"/>
    <xf numFmtId="0" fontId="22" fillId="0" borderId="0"/>
    <xf numFmtId="9" fontId="22" fillId="0" borderId="0" applyFont="0" applyFill="0" applyBorder="0" applyAlignment="0" applyProtection="0"/>
    <xf numFmtId="0" fontId="22" fillId="0" borderId="0"/>
    <xf numFmtId="0" fontId="22" fillId="0" borderId="0"/>
    <xf numFmtId="0" fontId="22" fillId="0" borderId="0"/>
    <xf numFmtId="0" fontId="22" fillId="0" borderId="0"/>
  </cellStyleXfs>
  <cellXfs count="1274">
    <xf numFmtId="0" fontId="0" fillId="0" borderId="0" xfId="0"/>
    <xf numFmtId="0" fontId="52" fillId="0" borderId="0" xfId="0" applyFont="1"/>
    <xf numFmtId="0" fontId="0" fillId="0" borderId="0" xfId="0" applyAlignment="1">
      <alignment horizontal="left" vertical="center"/>
    </xf>
    <xf numFmtId="166" fontId="51" fillId="0" borderId="14" xfId="0" applyNumberFormat="1" applyFont="1" applyBorder="1" applyAlignment="1">
      <alignment horizontal="center" vertical="center" wrapText="1"/>
    </xf>
    <xf numFmtId="166" fontId="52" fillId="0" borderId="14" xfId="0" applyNumberFormat="1" applyFont="1" applyBorder="1" applyAlignment="1">
      <alignment horizontal="center" vertical="center" wrapText="1"/>
    </xf>
    <xf numFmtId="166" fontId="52" fillId="0" borderId="23" xfId="0" applyNumberFormat="1" applyFont="1" applyBorder="1" applyAlignment="1">
      <alignment horizontal="center" vertical="center"/>
    </xf>
    <xf numFmtId="166" fontId="52" fillId="0" borderId="14" xfId="46" applyNumberFormat="1" applyFont="1" applyBorder="1" applyAlignment="1">
      <alignment horizontal="center" vertical="center"/>
    </xf>
    <xf numFmtId="166" fontId="52" fillId="0" borderId="14" xfId="0" applyNumberFormat="1" applyFont="1" applyBorder="1" applyAlignment="1">
      <alignment horizontal="center" vertical="center"/>
    </xf>
    <xf numFmtId="166" fontId="51" fillId="0" borderId="14" xfId="0" applyNumberFormat="1" applyFont="1" applyBorder="1" applyAlignment="1">
      <alignment horizontal="center" vertical="center"/>
    </xf>
    <xf numFmtId="166" fontId="51" fillId="0" borderId="16" xfId="0" applyNumberFormat="1" applyFont="1" applyBorder="1" applyAlignment="1">
      <alignment horizontal="center" vertical="center"/>
    </xf>
    <xf numFmtId="166" fontId="0" fillId="0" borderId="0" xfId="0" applyNumberFormat="1"/>
    <xf numFmtId="166" fontId="51" fillId="27" borderId="14" xfId="0" applyNumberFormat="1" applyFont="1" applyFill="1" applyBorder="1" applyAlignment="1">
      <alignment horizontal="center" vertical="center"/>
    </xf>
    <xf numFmtId="166" fontId="52" fillId="0" borderId="23" xfId="46" applyNumberFormat="1" applyFont="1" applyBorder="1" applyAlignment="1">
      <alignment horizontal="center" vertical="center" wrapText="1"/>
    </xf>
    <xf numFmtId="166" fontId="52" fillId="27" borderId="23" xfId="46" applyNumberFormat="1" applyFont="1" applyFill="1" applyBorder="1" applyAlignment="1">
      <alignment horizontal="center" vertical="center" wrapText="1"/>
    </xf>
    <xf numFmtId="166" fontId="52" fillId="27" borderId="17" xfId="46" applyNumberFormat="1" applyFont="1" applyFill="1" applyBorder="1" applyAlignment="1">
      <alignment horizontal="center" vertical="center" wrapText="1"/>
    </xf>
    <xf numFmtId="166" fontId="52" fillId="27" borderId="14" xfId="46" applyNumberFormat="1" applyFont="1" applyFill="1" applyBorder="1" applyAlignment="1">
      <alignment horizontal="center" vertical="center" wrapText="1"/>
    </xf>
    <xf numFmtId="166" fontId="53" fillId="27" borderId="14" xfId="46" applyNumberFormat="1" applyFont="1" applyFill="1" applyBorder="1" applyAlignment="1">
      <alignment horizontal="center" vertical="center" wrapText="1"/>
    </xf>
    <xf numFmtId="166" fontId="52" fillId="27" borderId="31" xfId="46" applyNumberFormat="1" applyFont="1" applyFill="1" applyBorder="1" applyAlignment="1">
      <alignment horizontal="center" vertical="center" wrapText="1"/>
    </xf>
    <xf numFmtId="166" fontId="52" fillId="27" borderId="21" xfId="46" applyNumberFormat="1" applyFont="1" applyFill="1" applyBorder="1" applyAlignment="1">
      <alignment horizontal="center" vertical="center" wrapText="1"/>
    </xf>
    <xf numFmtId="165" fontId="52" fillId="0" borderId="14" xfId="46" quotePrefix="1" applyNumberFormat="1" applyFont="1" applyBorder="1" applyAlignment="1">
      <alignment horizontal="center" vertical="center" wrapText="1"/>
    </xf>
    <xf numFmtId="166" fontId="51" fillId="0" borderId="14" xfId="46" applyNumberFormat="1" applyFont="1" applyBorder="1" applyAlignment="1">
      <alignment horizontal="center" vertical="center" wrapText="1"/>
    </xf>
    <xf numFmtId="166" fontId="51" fillId="0" borderId="17" xfId="46" applyNumberFormat="1" applyFont="1" applyBorder="1" applyAlignment="1">
      <alignment horizontal="center" vertical="center" wrapText="1"/>
    </xf>
    <xf numFmtId="164" fontId="52" fillId="27" borderId="14" xfId="46" applyNumberFormat="1" applyFont="1" applyFill="1" applyBorder="1" applyAlignment="1">
      <alignment horizontal="center" vertical="center" wrapText="1"/>
    </xf>
    <xf numFmtId="166" fontId="51" fillId="0" borderId="26" xfId="46" applyNumberFormat="1" applyFont="1" applyBorder="1" applyAlignment="1">
      <alignment horizontal="center" vertical="center" wrapText="1"/>
    </xf>
    <xf numFmtId="166" fontId="52" fillId="0" borderId="16" xfId="46" applyNumberFormat="1" applyFont="1" applyBorder="1" applyAlignment="1">
      <alignment horizontal="center" vertical="center"/>
    </xf>
    <xf numFmtId="166" fontId="52" fillId="27" borderId="14" xfId="46" applyNumberFormat="1" applyFont="1" applyFill="1" applyBorder="1" applyAlignment="1">
      <alignment horizontal="center" vertical="center"/>
    </xf>
    <xf numFmtId="166" fontId="52" fillId="27" borderId="16" xfId="46" applyNumberFormat="1" applyFont="1" applyFill="1" applyBorder="1" applyAlignment="1">
      <alignment horizontal="center" vertical="center"/>
    </xf>
    <xf numFmtId="166" fontId="52" fillId="0" borderId="23" xfId="46" applyNumberFormat="1" applyFont="1" applyBorder="1" applyAlignment="1">
      <alignment horizontal="center" vertical="center"/>
    </xf>
    <xf numFmtId="166" fontId="52" fillId="0" borderId="10" xfId="46" applyNumberFormat="1" applyFont="1" applyBorder="1" applyAlignment="1">
      <alignment horizontal="center" vertical="center"/>
    </xf>
    <xf numFmtId="166" fontId="52" fillId="0" borderId="14" xfId="52" applyNumberFormat="1" applyFont="1" applyBorder="1" applyAlignment="1">
      <alignment horizontal="center" vertical="center" wrapText="1"/>
    </xf>
    <xf numFmtId="166" fontId="52" fillId="27" borderId="14" xfId="52" applyNumberFormat="1" applyFont="1" applyFill="1" applyBorder="1" applyAlignment="1">
      <alignment horizontal="center" vertical="center" wrapText="1"/>
    </xf>
    <xf numFmtId="0" fontId="52" fillId="0" borderId="14" xfId="52" quotePrefix="1" applyFont="1" applyBorder="1" applyAlignment="1">
      <alignment horizontal="center" vertical="center" wrapText="1"/>
    </xf>
    <xf numFmtId="0" fontId="52" fillId="27" borderId="14" xfId="52" applyFont="1" applyFill="1" applyBorder="1" applyAlignment="1">
      <alignment horizontal="center" vertical="center" wrapText="1"/>
    </xf>
    <xf numFmtId="166" fontId="52" fillId="27" borderId="16" xfId="46" applyNumberFormat="1" applyFont="1" applyFill="1" applyBorder="1" applyAlignment="1">
      <alignment horizontal="center" vertical="center" wrapText="1"/>
    </xf>
    <xf numFmtId="0" fontId="52" fillId="24" borderId="14" xfId="46" applyFont="1" applyFill="1" applyBorder="1" applyAlignment="1">
      <alignment vertical="center" wrapText="1"/>
    </xf>
    <xf numFmtId="0" fontId="52" fillId="27" borderId="14" xfId="46" applyFont="1" applyFill="1" applyBorder="1" applyAlignment="1">
      <alignment vertical="center" wrapText="1"/>
    </xf>
    <xf numFmtId="166" fontId="52" fillId="33" borderId="14" xfId="46" applyNumberFormat="1" applyFont="1" applyFill="1" applyBorder="1" applyAlignment="1">
      <alignment horizontal="center" vertical="center"/>
    </xf>
    <xf numFmtId="166" fontId="52" fillId="0" borderId="14" xfId="46" applyNumberFormat="1" applyFont="1" applyBorder="1" applyAlignment="1">
      <alignment horizontal="center" vertical="center" wrapText="1"/>
    </xf>
    <xf numFmtId="0" fontId="52" fillId="0" borderId="22" xfId="0" applyFont="1" applyBorder="1" applyAlignment="1">
      <alignment horizontal="center" vertical="center"/>
    </xf>
    <xf numFmtId="0" fontId="52" fillId="0" borderId="23" xfId="46" applyFont="1" applyBorder="1" applyAlignment="1">
      <alignment horizontal="center" vertical="center"/>
    </xf>
    <xf numFmtId="0" fontId="52" fillId="0" borderId="0" xfId="0" applyFont="1" applyAlignment="1">
      <alignment horizontal="center" vertical="center"/>
    </xf>
    <xf numFmtId="0" fontId="52" fillId="0" borderId="23" xfId="46" applyFont="1" applyBorder="1" applyAlignment="1">
      <alignment horizontal="center" vertical="center" wrapText="1"/>
    </xf>
    <xf numFmtId="0" fontId="52" fillId="0" borderId="14" xfId="46" applyFont="1" applyBorder="1" applyAlignment="1">
      <alignment horizontal="center" vertical="center" wrapText="1"/>
    </xf>
    <xf numFmtId="0" fontId="52" fillId="0" borderId="17" xfId="46" applyFont="1" applyBorder="1" applyAlignment="1">
      <alignment horizontal="center" vertical="center" wrapText="1"/>
    </xf>
    <xf numFmtId="49" fontId="52" fillId="0" borderId="16" xfId="46" applyNumberFormat="1" applyFont="1" applyBorder="1" applyAlignment="1">
      <alignment horizontal="center" vertical="center" wrapText="1"/>
    </xf>
    <xf numFmtId="0" fontId="52" fillId="0" borderId="16" xfId="46" applyFont="1" applyBorder="1" applyAlignment="1">
      <alignment horizontal="center" vertical="center" wrapText="1"/>
    </xf>
    <xf numFmtId="49" fontId="52" fillId="0" borderId="14" xfId="46" applyNumberFormat="1" applyFont="1" applyBorder="1" applyAlignment="1">
      <alignment horizontal="center" vertical="center" wrapText="1"/>
    </xf>
    <xf numFmtId="49" fontId="52" fillId="0" borderId="23" xfId="46" applyNumberFormat="1" applyFont="1" applyBorder="1" applyAlignment="1">
      <alignment horizontal="center" vertical="center" wrapText="1"/>
    </xf>
    <xf numFmtId="166" fontId="52" fillId="0" borderId="16" xfId="46" applyNumberFormat="1" applyFont="1" applyBorder="1" applyAlignment="1">
      <alignment horizontal="center" vertical="center" wrapText="1"/>
    </xf>
    <xf numFmtId="0" fontId="52" fillId="0" borderId="14" xfId="46" applyFont="1" applyBorder="1" applyAlignment="1">
      <alignment vertical="center" wrapText="1"/>
    </xf>
    <xf numFmtId="49" fontId="56" fillId="0" borderId="14" xfId="46" applyNumberFormat="1" applyFont="1" applyBorder="1" applyAlignment="1">
      <alignment horizontal="center" vertical="center"/>
    </xf>
    <xf numFmtId="0" fontId="52" fillId="0" borderId="14" xfId="52" applyFont="1" applyBorder="1" applyAlignment="1">
      <alignment horizontal="center" vertical="center" wrapText="1"/>
    </xf>
    <xf numFmtId="49" fontId="52" fillId="0" borderId="14" xfId="52" applyNumberFormat="1" applyFont="1" applyBorder="1" applyAlignment="1">
      <alignment horizontal="center" vertical="center" wrapText="1"/>
    </xf>
    <xf numFmtId="0" fontId="52" fillId="24" borderId="14" xfId="46" applyFont="1" applyFill="1" applyBorder="1" applyAlignment="1">
      <alignment horizontal="left" vertical="center" wrapText="1"/>
    </xf>
    <xf numFmtId="0" fontId="52" fillId="24" borderId="14" xfId="46" applyFont="1" applyFill="1" applyBorder="1" applyAlignment="1">
      <alignment horizontal="center" vertical="center" wrapText="1"/>
    </xf>
    <xf numFmtId="0" fontId="52" fillId="0" borderId="23" xfId="46" applyFont="1" applyBorder="1" applyAlignment="1">
      <alignment horizontal="left" vertical="center" wrapText="1"/>
    </xf>
    <xf numFmtId="166" fontId="51" fillId="0" borderId="16" xfId="46" applyNumberFormat="1" applyFont="1" applyBorder="1" applyAlignment="1">
      <alignment horizontal="center" vertical="center" wrapText="1"/>
    </xf>
    <xf numFmtId="0" fontId="52" fillId="0" borderId="38" xfId="0" applyFont="1" applyBorder="1"/>
    <xf numFmtId="164" fontId="0" fillId="0" borderId="0" xfId="0" applyNumberFormat="1"/>
    <xf numFmtId="166" fontId="52" fillId="27" borderId="14" xfId="0" applyNumberFormat="1" applyFont="1" applyFill="1" applyBorder="1" applyAlignment="1">
      <alignment horizontal="center" vertical="center"/>
    </xf>
    <xf numFmtId="0" fontId="52" fillId="0" borderId="17" xfId="46" applyFont="1" applyBorder="1" applyAlignment="1">
      <alignment vertical="center" wrapText="1"/>
    </xf>
    <xf numFmtId="0" fontId="52" fillId="27" borderId="23" xfId="46" applyFont="1" applyFill="1" applyBorder="1" applyAlignment="1">
      <alignment horizontal="center" vertical="center" wrapText="1"/>
    </xf>
    <xf numFmtId="0" fontId="52" fillId="27" borderId="14" xfId="46" applyFont="1" applyFill="1" applyBorder="1" applyAlignment="1">
      <alignment horizontal="center" vertical="center" wrapText="1"/>
    </xf>
    <xf numFmtId="1" fontId="52" fillId="0" borderId="14" xfId="46" applyNumberFormat="1" applyFont="1" applyBorder="1" applyAlignment="1">
      <alignment horizontal="center" vertical="center" wrapText="1"/>
    </xf>
    <xf numFmtId="49" fontId="52" fillId="0" borderId="17" xfId="46" applyNumberFormat="1" applyFont="1" applyBorder="1" applyAlignment="1">
      <alignment horizontal="center" vertical="center" wrapText="1"/>
    </xf>
    <xf numFmtId="0" fontId="52" fillId="0" borderId="14" xfId="46" applyFont="1" applyBorder="1" applyAlignment="1">
      <alignment horizontal="center" vertical="center"/>
    </xf>
    <xf numFmtId="0" fontId="52" fillId="0" borderId="14" xfId="46" applyFont="1" applyBorder="1" applyAlignment="1">
      <alignment horizontal="left" vertical="center" wrapText="1"/>
    </xf>
    <xf numFmtId="0" fontId="52" fillId="27" borderId="14" xfId="46" applyFont="1" applyFill="1" applyBorder="1" applyAlignment="1">
      <alignment horizontal="left" vertical="center" wrapText="1"/>
    </xf>
    <xf numFmtId="0" fontId="52" fillId="27" borderId="14" xfId="46" applyFont="1" applyFill="1" applyBorder="1" applyAlignment="1">
      <alignment horizontal="center" vertical="center"/>
    </xf>
    <xf numFmtId="0" fontId="56" fillId="0" borderId="14" xfId="46" applyFont="1" applyBorder="1" applyAlignment="1">
      <alignment horizontal="center" vertical="center" wrapText="1"/>
    </xf>
    <xf numFmtId="0" fontId="52" fillId="0" borderId="23" xfId="0" applyFont="1" applyBorder="1" applyAlignment="1">
      <alignment horizontal="left" vertical="center" wrapText="1"/>
    </xf>
    <xf numFmtId="0" fontId="52" fillId="0" borderId="14" xfId="52" applyFont="1" applyBorder="1" applyAlignment="1">
      <alignment horizontal="left" vertical="center" wrapText="1"/>
    </xf>
    <xf numFmtId="0" fontId="52" fillId="0" borderId="14" xfId="52" applyFont="1" applyBorder="1" applyAlignment="1">
      <alignment horizontal="center" vertical="center"/>
    </xf>
    <xf numFmtId="0" fontId="52" fillId="0" borderId="14" xfId="0" applyFont="1" applyBorder="1" applyAlignment="1">
      <alignment horizontal="center" vertical="center" wrapText="1"/>
    </xf>
    <xf numFmtId="0" fontId="52" fillId="0" borderId="14" xfId="0" applyFont="1" applyBorder="1" applyAlignment="1">
      <alignment vertical="center" wrapText="1"/>
    </xf>
    <xf numFmtId="0" fontId="52" fillId="32" borderId="14" xfId="0" applyFont="1" applyFill="1" applyBorder="1" applyAlignment="1">
      <alignment horizontal="center" vertical="center" wrapText="1"/>
    </xf>
    <xf numFmtId="0" fontId="52" fillId="0" borderId="23" xfId="0" applyFont="1" applyBorder="1" applyAlignment="1">
      <alignment horizontal="center" vertical="center" wrapText="1"/>
    </xf>
    <xf numFmtId="49" fontId="52" fillId="0" borderId="14" xfId="0" applyNumberFormat="1" applyFont="1" applyBorder="1" applyAlignment="1">
      <alignment horizontal="center" vertical="center" wrapText="1"/>
    </xf>
    <xf numFmtId="0" fontId="52" fillId="24" borderId="14" xfId="46" applyFont="1" applyFill="1" applyBorder="1" applyAlignment="1">
      <alignment horizontal="center" vertical="center"/>
    </xf>
    <xf numFmtId="49" fontId="56" fillId="27" borderId="14" xfId="46" applyNumberFormat="1" applyFont="1" applyFill="1" applyBorder="1" applyAlignment="1">
      <alignment horizontal="center" vertical="center"/>
    </xf>
    <xf numFmtId="0" fontId="52" fillId="27" borderId="14" xfId="0" applyFont="1" applyFill="1" applyBorder="1" applyAlignment="1">
      <alignment horizontal="center" vertical="center" wrapText="1"/>
    </xf>
    <xf numFmtId="0" fontId="52" fillId="0" borderId="14" xfId="0" applyFont="1" applyBorder="1" applyAlignment="1">
      <alignment horizontal="left" vertical="center" wrapText="1"/>
    </xf>
    <xf numFmtId="0" fontId="52" fillId="27" borderId="14" xfId="0" applyFont="1" applyFill="1" applyBorder="1" applyAlignment="1">
      <alignment horizontal="left" vertical="center" wrapText="1"/>
    </xf>
    <xf numFmtId="0" fontId="52" fillId="27" borderId="14" xfId="0" applyFont="1" applyFill="1" applyBorder="1" applyAlignment="1">
      <alignment vertical="center" wrapText="1"/>
    </xf>
    <xf numFmtId="0" fontId="51" fillId="0" borderId="0" xfId="0" applyFont="1" applyAlignment="1">
      <alignment horizontal="center" vertical="center"/>
    </xf>
    <xf numFmtId="0" fontId="51" fillId="0" borderId="0" xfId="0" applyFont="1" applyAlignment="1">
      <alignment vertical="center"/>
    </xf>
    <xf numFmtId="0" fontId="52" fillId="0" borderId="0" xfId="0" applyFont="1" applyAlignment="1">
      <alignment vertical="center" wrapText="1"/>
    </xf>
    <xf numFmtId="0" fontId="52" fillId="0" borderId="0" xfId="0" applyFont="1" applyAlignment="1">
      <alignment horizontal="left" vertical="center" wrapText="1"/>
    </xf>
    <xf numFmtId="0" fontId="52" fillId="0" borderId="0" xfId="0" applyFont="1" applyAlignment="1">
      <alignment wrapText="1"/>
    </xf>
    <xf numFmtId="0" fontId="52" fillId="0" borderId="0" xfId="0" applyFont="1" applyAlignment="1">
      <alignment vertical="center"/>
    </xf>
    <xf numFmtId="164" fontId="52" fillId="0" borderId="0" xfId="0" applyNumberFormat="1" applyFont="1" applyAlignment="1">
      <alignment horizontal="center" vertical="center"/>
    </xf>
    <xf numFmtId="3" fontId="52" fillId="0" borderId="14" xfId="0" applyNumberFormat="1" applyFont="1" applyBorder="1" applyAlignment="1">
      <alignment horizontal="center" vertical="center" textRotation="90" wrapText="1"/>
    </xf>
    <xf numFmtId="3" fontId="52" fillId="0" borderId="14" xfId="0" applyNumberFormat="1" applyFont="1" applyBorder="1" applyAlignment="1">
      <alignment horizontal="center" vertical="center" wrapText="1"/>
    </xf>
    <xf numFmtId="0" fontId="52" fillId="35" borderId="14" xfId="0" applyFont="1" applyFill="1" applyBorder="1" applyAlignment="1">
      <alignment horizontal="center" vertical="center" textRotation="90" wrapText="1"/>
    </xf>
    <xf numFmtId="0" fontId="52" fillId="35" borderId="14" xfId="0" applyFont="1" applyFill="1" applyBorder="1" applyAlignment="1">
      <alignment vertical="center" wrapText="1"/>
    </xf>
    <xf numFmtId="3" fontId="52" fillId="35" borderId="14" xfId="0" applyNumberFormat="1" applyFont="1" applyFill="1" applyBorder="1" applyAlignment="1">
      <alignment horizontal="center" vertical="center" wrapText="1"/>
    </xf>
    <xf numFmtId="3" fontId="52" fillId="35" borderId="14" xfId="0" applyNumberFormat="1" applyFont="1" applyFill="1" applyBorder="1" applyAlignment="1">
      <alignment horizontal="center" vertical="center" textRotation="90" wrapText="1"/>
    </xf>
    <xf numFmtId="14" fontId="52" fillId="0" borderId="14" xfId="0" quotePrefix="1" applyNumberFormat="1" applyFont="1" applyBorder="1" applyAlignment="1">
      <alignment horizontal="center" vertical="center" wrapText="1"/>
    </xf>
    <xf numFmtId="166" fontId="52" fillId="39" borderId="14" xfId="46" applyNumberFormat="1" applyFont="1" applyFill="1" applyBorder="1" applyAlignment="1">
      <alignment horizontal="center" vertical="center" wrapText="1"/>
    </xf>
    <xf numFmtId="166" fontId="52" fillId="0" borderId="14" xfId="46" applyNumberFormat="1" applyFont="1" applyBorder="1" applyAlignment="1">
      <alignment vertical="center" wrapText="1"/>
    </xf>
    <xf numFmtId="164" fontId="52" fillId="40" borderId="14" xfId="0" applyNumberFormat="1" applyFont="1" applyFill="1" applyBorder="1" applyAlignment="1">
      <alignment horizontal="left" vertical="center" wrapText="1"/>
    </xf>
    <xf numFmtId="0" fontId="52" fillId="40" borderId="14" xfId="0" applyFont="1" applyFill="1" applyBorder="1" applyAlignment="1">
      <alignment horizontal="center" vertical="center" wrapText="1"/>
    </xf>
    <xf numFmtId="164" fontId="52" fillId="40" borderId="14" xfId="0" applyNumberFormat="1" applyFont="1" applyFill="1" applyBorder="1" applyAlignment="1">
      <alignment horizontal="center" vertical="center" wrapText="1"/>
    </xf>
    <xf numFmtId="0" fontId="52" fillId="41" borderId="14" xfId="0" applyFont="1" applyFill="1" applyBorder="1" applyAlignment="1">
      <alignment horizontal="center" vertical="center" wrapText="1"/>
    </xf>
    <xf numFmtId="166" fontId="51" fillId="41" borderId="14" xfId="46" applyNumberFormat="1" applyFont="1" applyFill="1" applyBorder="1" applyAlignment="1">
      <alignment horizontal="center" vertical="center" wrapText="1"/>
    </xf>
    <xf numFmtId="166" fontId="52" fillId="41" borderId="14" xfId="46" applyNumberFormat="1" applyFont="1" applyFill="1" applyBorder="1" applyAlignment="1">
      <alignment horizontal="center" vertical="center" wrapText="1"/>
    </xf>
    <xf numFmtId="166" fontId="52" fillId="29" borderId="14" xfId="46" applyNumberFormat="1" applyFont="1" applyFill="1" applyBorder="1" applyAlignment="1">
      <alignment horizontal="center" vertical="center" wrapText="1"/>
    </xf>
    <xf numFmtId="164" fontId="53" fillId="0" borderId="14" xfId="0" applyNumberFormat="1" applyFont="1" applyBorder="1" applyAlignment="1">
      <alignment horizontal="center" vertical="center" wrapText="1"/>
    </xf>
    <xf numFmtId="164" fontId="52" fillId="0" borderId="14" xfId="0" applyNumberFormat="1" applyFont="1" applyBorder="1" applyAlignment="1">
      <alignment horizontal="center" vertical="center" wrapText="1"/>
    </xf>
    <xf numFmtId="166" fontId="60" fillId="39" borderId="14" xfId="46" applyNumberFormat="1" applyFont="1" applyFill="1" applyBorder="1" applyAlignment="1">
      <alignment horizontal="center" vertical="center" wrapText="1"/>
    </xf>
    <xf numFmtId="49" fontId="52" fillId="0" borderId="14" xfId="46" applyNumberFormat="1" applyFont="1" applyBorder="1" applyAlignment="1">
      <alignment vertical="center" wrapText="1"/>
    </xf>
    <xf numFmtId="49" fontId="52" fillId="0" borderId="14" xfId="46" applyNumberFormat="1" applyFont="1" applyBorder="1" applyAlignment="1">
      <alignment horizontal="center" vertical="center"/>
    </xf>
    <xf numFmtId="49" fontId="52" fillId="44" borderId="14" xfId="0" quotePrefix="1" applyNumberFormat="1" applyFont="1" applyFill="1" applyBorder="1" applyAlignment="1">
      <alignment horizontal="center" vertical="center" wrapText="1"/>
    </xf>
    <xf numFmtId="166" fontId="51" fillId="39" borderId="14" xfId="46" applyNumberFormat="1" applyFont="1" applyFill="1" applyBorder="1" applyAlignment="1">
      <alignment horizontal="center" vertical="center" wrapText="1"/>
    </xf>
    <xf numFmtId="164" fontId="52" fillId="0" borderId="14" xfId="0" applyNumberFormat="1" applyFont="1" applyBorder="1" applyAlignment="1">
      <alignment horizontal="left" vertical="center" wrapText="1"/>
    </xf>
    <xf numFmtId="0" fontId="52" fillId="0" borderId="14" xfId="0" applyFont="1" applyBorder="1"/>
    <xf numFmtId="0" fontId="52" fillId="0" borderId="14" xfId="0" quotePrefix="1" applyFont="1" applyBorder="1" applyAlignment="1">
      <alignment horizontal="center" vertical="center" wrapText="1"/>
    </xf>
    <xf numFmtId="166" fontId="52" fillId="0" borderId="14" xfId="46" applyNumberFormat="1" applyFont="1" applyBorder="1" applyAlignment="1">
      <alignment horizontal="left" vertical="center" wrapText="1"/>
    </xf>
    <xf numFmtId="0" fontId="52" fillId="0" borderId="14" xfId="46" applyFont="1" applyBorder="1" applyAlignment="1">
      <alignment horizontal="right" vertical="center" wrapText="1"/>
    </xf>
    <xf numFmtId="49" fontId="52" fillId="0" borderId="14" xfId="0" quotePrefix="1" applyNumberFormat="1" applyFont="1" applyBorder="1" applyAlignment="1">
      <alignment horizontal="center" vertical="center" wrapText="1"/>
    </xf>
    <xf numFmtId="166" fontId="52" fillId="42" borderId="14" xfId="46" applyNumberFormat="1" applyFont="1" applyFill="1" applyBorder="1" applyAlignment="1">
      <alignment horizontal="center" vertical="center" wrapText="1"/>
    </xf>
    <xf numFmtId="0" fontId="52" fillId="0" borderId="14" xfId="0" applyFont="1" applyBorder="1" applyAlignment="1">
      <alignment horizontal="center"/>
    </xf>
    <xf numFmtId="166" fontId="60" fillId="0" borderId="14" xfId="0" applyNumberFormat="1" applyFont="1" applyBorder="1" applyAlignment="1">
      <alignment horizontal="center" vertical="center"/>
    </xf>
    <xf numFmtId="166" fontId="60" fillId="27" borderId="14" xfId="46" applyNumberFormat="1" applyFont="1" applyFill="1" applyBorder="1" applyAlignment="1">
      <alignment horizontal="center" vertical="center" wrapText="1"/>
    </xf>
    <xf numFmtId="166" fontId="52" fillId="39" borderId="14" xfId="0" applyNumberFormat="1" applyFont="1" applyFill="1" applyBorder="1" applyAlignment="1">
      <alignment horizontal="center" vertical="center"/>
    </xf>
    <xf numFmtId="166" fontId="52" fillId="39" borderId="16" xfId="46" applyNumberFormat="1" applyFont="1" applyFill="1" applyBorder="1" applyAlignment="1">
      <alignment horizontal="center" vertical="center" wrapText="1"/>
    </xf>
    <xf numFmtId="166" fontId="52" fillId="0" borderId="38" xfId="0" applyNumberFormat="1" applyFont="1" applyBorder="1" applyAlignment="1">
      <alignment horizontal="center"/>
    </xf>
    <xf numFmtId="166" fontId="52" fillId="27" borderId="38" xfId="46" applyNumberFormat="1" applyFont="1" applyFill="1" applyBorder="1" applyAlignment="1">
      <alignment horizontal="center" vertical="center" wrapText="1"/>
    </xf>
    <xf numFmtId="0" fontId="52" fillId="27" borderId="14" xfId="0" applyFont="1" applyFill="1" applyBorder="1" applyAlignment="1">
      <alignment horizontal="right" vertical="center" wrapText="1"/>
    </xf>
    <xf numFmtId="166" fontId="51" fillId="25" borderId="14" xfId="46" applyNumberFormat="1" applyFont="1" applyFill="1" applyBorder="1" applyAlignment="1">
      <alignment horizontal="center" vertical="center" wrapText="1"/>
    </xf>
    <xf numFmtId="3" fontId="52" fillId="0" borderId="14" xfId="72" applyNumberFormat="1" applyFont="1" applyBorder="1" applyAlignment="1">
      <alignment horizontal="left" vertical="center" wrapText="1"/>
    </xf>
    <xf numFmtId="3" fontId="52" fillId="0" borderId="14" xfId="72" applyNumberFormat="1" applyFont="1" applyBorder="1" applyAlignment="1">
      <alignment horizontal="center" vertical="center" wrapText="1"/>
    </xf>
    <xf numFmtId="0" fontId="52" fillId="38" borderId="14" xfId="0" applyFont="1" applyFill="1" applyBorder="1" applyAlignment="1">
      <alignment horizontal="left" vertical="center" wrapText="1"/>
    </xf>
    <xf numFmtId="0" fontId="52" fillId="0" borderId="14" xfId="0" applyFont="1" applyBorder="1" applyAlignment="1">
      <alignment horizontal="center" vertical="center"/>
    </xf>
    <xf numFmtId="164" fontId="60" fillId="47" borderId="14" xfId="0" applyNumberFormat="1" applyFont="1" applyFill="1" applyBorder="1" applyAlignment="1">
      <alignment horizontal="center" vertical="center" wrapText="1"/>
    </xf>
    <xf numFmtId="0" fontId="53" fillId="0" borderId="14" xfId="46" applyFont="1" applyBorder="1" applyAlignment="1">
      <alignment horizontal="left" vertical="center" wrapText="1"/>
    </xf>
    <xf numFmtId="0" fontId="52" fillId="47" borderId="14" xfId="0" applyFont="1" applyFill="1" applyBorder="1" applyAlignment="1">
      <alignment horizontal="center" vertical="center" wrapText="1"/>
    </xf>
    <xf numFmtId="0" fontId="60" fillId="0" borderId="14" xfId="0" applyFont="1" applyBorder="1" applyAlignment="1">
      <alignment horizontal="left" vertical="center" wrapText="1"/>
    </xf>
    <xf numFmtId="0" fontId="60" fillId="0" borderId="14" xfId="0" applyFont="1" applyBorder="1" applyAlignment="1">
      <alignment horizontal="center" vertical="center" wrapText="1"/>
    </xf>
    <xf numFmtId="0" fontId="60" fillId="0" borderId="14" xfId="0" applyFont="1" applyBorder="1" applyAlignment="1">
      <alignment vertical="center" wrapText="1"/>
    </xf>
    <xf numFmtId="0" fontId="60" fillId="48" borderId="14" xfId="0" applyFont="1" applyFill="1" applyBorder="1" applyAlignment="1">
      <alignment horizontal="center" vertical="center" wrapText="1"/>
    </xf>
    <xf numFmtId="0" fontId="60" fillId="0" borderId="17" xfId="0" applyFont="1" applyBorder="1" applyAlignment="1">
      <alignment horizontal="center" vertical="center" wrapText="1"/>
    </xf>
    <xf numFmtId="0" fontId="60" fillId="48" borderId="17" xfId="0" applyFont="1" applyFill="1" applyBorder="1" applyAlignment="1">
      <alignment horizontal="center" vertical="center" wrapText="1"/>
    </xf>
    <xf numFmtId="164" fontId="60" fillId="47" borderId="17" xfId="0" applyNumberFormat="1" applyFont="1" applyFill="1" applyBorder="1" applyAlignment="1">
      <alignment horizontal="center" vertical="center" wrapText="1"/>
    </xf>
    <xf numFmtId="49" fontId="52" fillId="0" borderId="40" xfId="46" applyNumberFormat="1" applyFont="1" applyBorder="1" applyAlignment="1">
      <alignment horizontal="center" vertical="center" wrapText="1"/>
    </xf>
    <xf numFmtId="0" fontId="60" fillId="0" borderId="40" xfId="0" applyFont="1" applyBorder="1" applyAlignment="1">
      <alignment vertical="top" wrapText="1"/>
    </xf>
    <xf numFmtId="0" fontId="60" fillId="0" borderId="40" xfId="0" applyFont="1" applyBorder="1" applyAlignment="1">
      <alignment horizontal="center" vertical="center" wrapText="1"/>
    </xf>
    <xf numFmtId="0" fontId="60" fillId="48" borderId="40" xfId="0" applyFont="1" applyFill="1" applyBorder="1" applyAlignment="1">
      <alignment horizontal="center" vertical="center" wrapText="1"/>
    </xf>
    <xf numFmtId="164" fontId="60" fillId="48" borderId="40" xfId="0" applyNumberFormat="1" applyFont="1" applyFill="1" applyBorder="1" applyAlignment="1">
      <alignment horizontal="center" vertical="center" wrapText="1"/>
    </xf>
    <xf numFmtId="0" fontId="52" fillId="0" borderId="40" xfId="0" applyFont="1" applyBorder="1" applyAlignment="1">
      <alignment horizontal="center" vertical="center"/>
    </xf>
    <xf numFmtId="164" fontId="60" fillId="47" borderId="40" xfId="0" applyNumberFormat="1" applyFont="1" applyFill="1" applyBorder="1" applyAlignment="1">
      <alignment horizontal="center" vertical="center" wrapText="1"/>
    </xf>
    <xf numFmtId="49" fontId="52" fillId="0" borderId="38" xfId="46" applyNumberFormat="1" applyFont="1" applyBorder="1" applyAlignment="1">
      <alignment horizontal="center" vertical="center" wrapText="1"/>
    </xf>
    <xf numFmtId="0" fontId="52" fillId="47" borderId="38" xfId="0" applyFont="1" applyFill="1" applyBorder="1" applyAlignment="1">
      <alignment horizontal="center" vertical="center" wrapText="1"/>
    </xf>
    <xf numFmtId="0" fontId="52" fillId="0" borderId="38" xfId="0" applyFont="1" applyBorder="1" applyAlignment="1">
      <alignment horizontal="center" vertical="center" wrapText="1"/>
    </xf>
    <xf numFmtId="0" fontId="60" fillId="47" borderId="38" xfId="0" applyFont="1" applyFill="1" applyBorder="1" applyAlignment="1">
      <alignment horizontal="center" vertical="center" wrapText="1"/>
    </xf>
    <xf numFmtId="0" fontId="52" fillId="0" borderId="38" xfId="0" applyFont="1" applyBorder="1" applyAlignment="1">
      <alignment horizontal="center" vertical="center"/>
    </xf>
    <xf numFmtId="0" fontId="60" fillId="0" borderId="38" xfId="0" applyFont="1" applyBorder="1" applyAlignment="1">
      <alignment horizontal="left" vertical="center" wrapText="1"/>
    </xf>
    <xf numFmtId="0" fontId="52" fillId="0" borderId="38" xfId="0" applyFont="1" applyBorder="1" applyAlignment="1">
      <alignment horizontal="left" vertical="center" wrapText="1"/>
    </xf>
    <xf numFmtId="0" fontId="52" fillId="0" borderId="38" xfId="46" applyFont="1" applyBorder="1" applyAlignment="1">
      <alignment horizontal="left" vertical="center" wrapText="1"/>
    </xf>
    <xf numFmtId="0" fontId="52" fillId="47" borderId="23" xfId="0" applyFont="1" applyFill="1" applyBorder="1" applyAlignment="1">
      <alignment horizontal="center" vertical="center" wrapText="1"/>
    </xf>
    <xf numFmtId="0" fontId="60" fillId="47" borderId="23" xfId="0" applyFont="1" applyFill="1" applyBorder="1" applyAlignment="1">
      <alignment horizontal="center" vertical="center" wrapText="1"/>
    </xf>
    <xf numFmtId="0" fontId="60" fillId="48" borderId="23" xfId="0" applyFont="1" applyFill="1" applyBorder="1" applyAlignment="1">
      <alignment horizontal="center" vertical="center" wrapText="1"/>
    </xf>
    <xf numFmtId="0" fontId="60" fillId="47" borderId="14" xfId="0" applyFont="1" applyFill="1" applyBorder="1" applyAlignment="1">
      <alignment horizontal="center" vertical="center" wrapText="1"/>
    </xf>
    <xf numFmtId="0" fontId="52" fillId="48" borderId="14" xfId="0" applyFont="1" applyFill="1" applyBorder="1" applyAlignment="1">
      <alignment horizontal="center" vertical="center" wrapText="1"/>
    </xf>
    <xf numFmtId="0" fontId="60" fillId="0" borderId="14" xfId="0" applyFont="1" applyBorder="1" applyAlignment="1">
      <alignment vertical="top" wrapText="1"/>
    </xf>
    <xf numFmtId="164" fontId="60" fillId="0" borderId="14" xfId="0" applyNumberFormat="1" applyFont="1" applyBorder="1" applyAlignment="1">
      <alignment horizontal="center" vertical="center" wrapText="1"/>
    </xf>
    <xf numFmtId="0" fontId="52" fillId="0" borderId="23" xfId="73" applyFont="1" applyBorder="1" applyAlignment="1">
      <alignment horizontal="center" vertical="center" wrapText="1"/>
    </xf>
    <xf numFmtId="0" fontId="60" fillId="47" borderId="14" xfId="73" applyFont="1" applyFill="1" applyBorder="1" applyAlignment="1">
      <alignment horizontal="center" vertical="center" wrapText="1"/>
    </xf>
    <xf numFmtId="0" fontId="60" fillId="0" borderId="14" xfId="73" applyFont="1" applyBorder="1" applyAlignment="1">
      <alignment horizontal="center" vertical="center" wrapText="1"/>
    </xf>
    <xf numFmtId="0" fontId="60" fillId="0" borderId="23" xfId="0" applyFont="1" applyBorder="1" applyAlignment="1">
      <alignment horizontal="center" vertical="center" wrapText="1"/>
    </xf>
    <xf numFmtId="49" fontId="60" fillId="0" borderId="23" xfId="46" applyNumberFormat="1" applyFont="1" applyBorder="1" applyAlignment="1">
      <alignment horizontal="center" vertical="center" wrapText="1"/>
    </xf>
    <xf numFmtId="0" fontId="60" fillId="0" borderId="23" xfId="46" applyFont="1" applyBorder="1" applyAlignment="1">
      <alignment horizontal="center" vertical="center" wrapText="1"/>
    </xf>
    <xf numFmtId="0" fontId="60" fillId="0" borderId="23" xfId="46" applyFont="1" applyBorder="1" applyAlignment="1">
      <alignment vertical="center" wrapText="1"/>
    </xf>
    <xf numFmtId="0" fontId="60" fillId="27" borderId="23" xfId="46" applyFont="1" applyFill="1" applyBorder="1" applyAlignment="1">
      <alignment horizontal="center" vertical="center" wrapText="1"/>
    </xf>
    <xf numFmtId="164" fontId="60" fillId="0" borderId="23" xfId="46" applyNumberFormat="1" applyFont="1" applyBorder="1" applyAlignment="1">
      <alignment horizontal="center" vertical="center" wrapText="1"/>
    </xf>
    <xf numFmtId="164" fontId="60" fillId="0" borderId="14" xfId="46" applyNumberFormat="1" applyFont="1" applyBorder="1" applyAlignment="1">
      <alignment horizontal="center" vertical="center" wrapText="1"/>
    </xf>
    <xf numFmtId="166" fontId="60" fillId="0" borderId="14" xfId="46" applyNumberFormat="1" applyFont="1" applyBorder="1" applyAlignment="1">
      <alignment horizontal="left" vertical="center" wrapText="1"/>
    </xf>
    <xf numFmtId="49" fontId="60" fillId="0" borderId="14" xfId="46" applyNumberFormat="1" applyFont="1" applyBorder="1" applyAlignment="1">
      <alignment horizontal="center" vertical="center" wrapText="1"/>
    </xf>
    <xf numFmtId="0" fontId="60" fillId="0" borderId="14" xfId="46" applyFont="1" applyBorder="1" applyAlignment="1">
      <alignment vertical="center" wrapText="1"/>
    </xf>
    <xf numFmtId="0" fontId="60" fillId="0" borderId="14" xfId="46" applyFont="1" applyBorder="1" applyAlignment="1">
      <alignment horizontal="center" vertical="center" wrapText="1"/>
    </xf>
    <xf numFmtId="0" fontId="60" fillId="41" borderId="14" xfId="0" applyFont="1" applyFill="1" applyBorder="1" applyAlignment="1">
      <alignment horizontal="center" vertical="center" wrapText="1"/>
    </xf>
    <xf numFmtId="166" fontId="60" fillId="41" borderId="14" xfId="46" applyNumberFormat="1" applyFont="1" applyFill="1" applyBorder="1" applyAlignment="1">
      <alignment horizontal="center" vertical="center" wrapText="1"/>
    </xf>
    <xf numFmtId="0" fontId="60" fillId="27" borderId="14" xfId="0" applyFont="1" applyFill="1" applyBorder="1" applyAlignment="1">
      <alignment horizontal="center" vertical="center" wrapText="1"/>
    </xf>
    <xf numFmtId="166" fontId="60" fillId="0" borderId="14" xfId="46" applyNumberFormat="1" applyFont="1" applyBorder="1" applyAlignment="1">
      <alignment horizontal="center" vertical="center" wrapText="1"/>
    </xf>
    <xf numFmtId="0" fontId="53" fillId="0" borderId="14" xfId="46" applyFont="1" applyBorder="1" applyAlignment="1">
      <alignment horizontal="center" vertical="center" wrapText="1"/>
    </xf>
    <xf numFmtId="0" fontId="52" fillId="27" borderId="14" xfId="0" applyFont="1" applyFill="1" applyBorder="1" applyAlignment="1">
      <alignment horizontal="center" vertical="center"/>
    </xf>
    <xf numFmtId="166" fontId="52" fillId="27" borderId="14" xfId="46" applyNumberFormat="1" applyFont="1" applyFill="1" applyBorder="1" applyAlignment="1">
      <alignment horizontal="left" vertical="center" wrapText="1"/>
    </xf>
    <xf numFmtId="166" fontId="52" fillId="27" borderId="14" xfId="0" applyNumberFormat="1" applyFont="1" applyFill="1" applyBorder="1" applyAlignment="1">
      <alignment horizontal="center" vertical="center" wrapText="1"/>
    </xf>
    <xf numFmtId="166" fontId="51" fillId="27" borderId="14" xfId="46" applyNumberFormat="1" applyFont="1" applyFill="1" applyBorder="1" applyAlignment="1">
      <alignment horizontal="center" vertical="center" wrapText="1"/>
    </xf>
    <xf numFmtId="166" fontId="53" fillId="0" borderId="14" xfId="46" applyNumberFormat="1" applyFont="1" applyBorder="1" applyAlignment="1">
      <alignment horizontal="left" vertical="center" wrapText="1"/>
    </xf>
    <xf numFmtId="0" fontId="52" fillId="27" borderId="14" xfId="0" applyFont="1" applyFill="1" applyBorder="1" applyAlignment="1">
      <alignment horizontal="right" vertical="top" wrapText="1"/>
    </xf>
    <xf numFmtId="0" fontId="60" fillId="0" borderId="14" xfId="0" applyFont="1" applyBorder="1" applyAlignment="1">
      <alignment horizontal="center" wrapText="1"/>
    </xf>
    <xf numFmtId="166" fontId="60" fillId="27" borderId="16" xfId="46" applyNumberFormat="1" applyFont="1" applyFill="1" applyBorder="1" applyAlignment="1">
      <alignment horizontal="center" vertical="center" wrapText="1"/>
    </xf>
    <xf numFmtId="166" fontId="51" fillId="0" borderId="38" xfId="46" applyNumberFormat="1" applyFont="1" applyBorder="1" applyAlignment="1">
      <alignment horizontal="center" vertical="center" wrapText="1"/>
    </xf>
    <xf numFmtId="0" fontId="52" fillId="0" borderId="38" xfId="0" applyFont="1" applyBorder="1" applyAlignment="1">
      <alignment horizontal="center"/>
    </xf>
    <xf numFmtId="0" fontId="52" fillId="0" borderId="31" xfId="46" applyFont="1" applyBorder="1" applyAlignment="1">
      <alignment horizontal="center" vertical="center" wrapText="1"/>
    </xf>
    <xf numFmtId="166" fontId="52" fillId="0" borderId="23" xfId="46" applyNumberFormat="1" applyFont="1" applyBorder="1" applyAlignment="1">
      <alignment horizontal="left" vertical="center" wrapText="1"/>
    </xf>
    <xf numFmtId="0" fontId="52" fillId="32" borderId="14" xfId="0" applyFont="1" applyFill="1" applyBorder="1" applyAlignment="1">
      <alignment horizontal="left" vertical="center" wrapText="1"/>
    </xf>
    <xf numFmtId="166" fontId="52" fillId="29" borderId="14" xfId="46" applyNumberFormat="1" applyFont="1" applyFill="1" applyBorder="1" applyAlignment="1">
      <alignment vertical="center" wrapText="1"/>
    </xf>
    <xf numFmtId="166" fontId="52" fillId="0" borderId="31" xfId="46" applyNumberFormat="1" applyFont="1" applyBorder="1" applyAlignment="1">
      <alignment vertical="center" wrapText="1"/>
    </xf>
    <xf numFmtId="0" fontId="52" fillId="27" borderId="38" xfId="0" applyFont="1" applyFill="1" applyBorder="1" applyAlignment="1">
      <alignment horizontal="center" vertical="center"/>
    </xf>
    <xf numFmtId="0" fontId="52" fillId="0" borderId="14" xfId="0" applyFont="1" applyBorder="1" applyAlignment="1">
      <alignment horizontal="right" wrapText="1"/>
    </xf>
    <xf numFmtId="166" fontId="52" fillId="0" borderId="41" xfId="46" applyNumberFormat="1" applyFont="1" applyBorder="1" applyAlignment="1">
      <alignment horizontal="center" vertical="center" wrapText="1"/>
    </xf>
    <xf numFmtId="3" fontId="52" fillId="0" borderId="14" xfId="0" applyNumberFormat="1" applyFont="1" applyBorder="1" applyAlignment="1">
      <alignment horizontal="left" vertical="center" wrapText="1"/>
    </xf>
    <xf numFmtId="0" fontId="52" fillId="0" borderId="14" xfId="46" applyFont="1" applyBorder="1" applyAlignment="1">
      <alignment horizontal="left"/>
    </xf>
    <xf numFmtId="0" fontId="52" fillId="0" borderId="14" xfId="0" applyFont="1" applyBorder="1" applyAlignment="1">
      <alignment wrapText="1"/>
    </xf>
    <xf numFmtId="166" fontId="52" fillId="39" borderId="14" xfId="46" applyNumberFormat="1" applyFont="1" applyFill="1" applyBorder="1" applyAlignment="1">
      <alignment horizontal="center" vertical="center"/>
    </xf>
    <xf numFmtId="166" fontId="52" fillId="29" borderId="14" xfId="46" applyNumberFormat="1" applyFont="1" applyFill="1" applyBorder="1" applyAlignment="1">
      <alignment horizontal="center" vertical="center"/>
    </xf>
    <xf numFmtId="0" fontId="68" fillId="0" borderId="14" xfId="0" applyFont="1" applyBorder="1" applyAlignment="1">
      <alignment vertical="center" wrapText="1"/>
    </xf>
    <xf numFmtId="166" fontId="51" fillId="37" borderId="14" xfId="46" applyNumberFormat="1" applyFont="1" applyFill="1" applyBorder="1" applyAlignment="1">
      <alignment horizontal="center" vertical="center" wrapText="1"/>
    </xf>
    <xf numFmtId="0" fontId="56" fillId="39" borderId="14" xfId="46" applyFont="1" applyFill="1" applyBorder="1" applyAlignment="1">
      <alignment horizontal="center" vertical="center" wrapText="1"/>
    </xf>
    <xf numFmtId="49" fontId="52" fillId="39" borderId="14" xfId="46" applyNumberFormat="1" applyFont="1" applyFill="1" applyBorder="1" applyAlignment="1">
      <alignment horizontal="center" vertical="center"/>
    </xf>
    <xf numFmtId="0" fontId="52" fillId="39" borderId="14" xfId="0" applyFont="1" applyFill="1" applyBorder="1"/>
    <xf numFmtId="166" fontId="51" fillId="39" borderId="14" xfId="46" applyNumberFormat="1" applyFont="1" applyFill="1" applyBorder="1" applyAlignment="1">
      <alignment horizontal="center" vertical="center"/>
    </xf>
    <xf numFmtId="0" fontId="52" fillId="0" borderId="14" xfId="0" applyFont="1" applyBorder="1" applyAlignment="1">
      <alignment vertical="center"/>
    </xf>
    <xf numFmtId="0" fontId="52" fillId="27" borderId="14" xfId="0" applyFont="1" applyFill="1" applyBorder="1"/>
    <xf numFmtId="166" fontId="52" fillId="24" borderId="14" xfId="74" applyNumberFormat="1" applyFont="1" applyFill="1" applyBorder="1" applyAlignment="1">
      <alignment horizontal="center" vertical="center"/>
    </xf>
    <xf numFmtId="166" fontId="52" fillId="0" borderId="14" xfId="74" applyNumberFormat="1" applyFont="1" applyBorder="1" applyAlignment="1">
      <alignment horizontal="center" vertical="center" wrapText="1"/>
    </xf>
    <xf numFmtId="49" fontId="52" fillId="27" borderId="14" xfId="46" applyNumberFormat="1" applyFont="1" applyFill="1" applyBorder="1" applyAlignment="1">
      <alignment horizontal="center" vertical="center"/>
    </xf>
    <xf numFmtId="0" fontId="52" fillId="0" borderId="14" xfId="75" applyFont="1" applyBorder="1" applyAlignment="1">
      <alignment horizontal="center" vertical="center"/>
    </xf>
    <xf numFmtId="49" fontId="52" fillId="0" borderId="14" xfId="75" applyNumberFormat="1" applyFont="1" applyBorder="1" applyAlignment="1">
      <alignment horizontal="center" vertical="center"/>
    </xf>
    <xf numFmtId="0" fontId="52" fillId="0" borderId="14" xfId="75" applyFont="1" applyBorder="1" applyAlignment="1">
      <alignment vertical="center" wrapText="1"/>
    </xf>
    <xf numFmtId="166" fontId="56" fillId="0" borderId="14" xfId="75" applyNumberFormat="1" applyFont="1" applyBorder="1" applyAlignment="1">
      <alignment horizontal="center" vertical="center"/>
    </xf>
    <xf numFmtId="0" fontId="52" fillId="0" borderId="14" xfId="75" applyFont="1" applyBorder="1"/>
    <xf numFmtId="0" fontId="52" fillId="27" borderId="14" xfId="75" applyFont="1" applyFill="1" applyBorder="1" applyAlignment="1">
      <alignment vertical="center" wrapText="1"/>
    </xf>
    <xf numFmtId="166" fontId="52" fillId="29" borderId="14" xfId="75" applyNumberFormat="1" applyFont="1" applyFill="1" applyBorder="1" applyAlignment="1">
      <alignment horizontal="center" vertical="center"/>
    </xf>
    <xf numFmtId="0" fontId="69" fillId="27" borderId="14" xfId="75" applyFont="1" applyFill="1" applyBorder="1" applyAlignment="1">
      <alignment vertical="center" wrapText="1"/>
    </xf>
    <xf numFmtId="166" fontId="52" fillId="0" borderId="14" xfId="75" applyNumberFormat="1" applyFont="1" applyBorder="1" applyAlignment="1">
      <alignment horizontal="center" vertical="center"/>
    </xf>
    <xf numFmtId="0" fontId="52" fillId="0" borderId="14" xfId="75" applyFont="1" applyBorder="1" applyAlignment="1">
      <alignment horizontal="center" vertical="center" wrapText="1"/>
    </xf>
    <xf numFmtId="0" fontId="57" fillId="0" borderId="14" xfId="75" applyFont="1" applyBorder="1" applyAlignment="1">
      <alignment vertical="center" wrapText="1"/>
    </xf>
    <xf numFmtId="166" fontId="56" fillId="27" borderId="14" xfId="75" applyNumberFormat="1" applyFont="1" applyFill="1" applyBorder="1" applyAlignment="1">
      <alignment horizontal="center" vertical="center"/>
    </xf>
    <xf numFmtId="0" fontId="52" fillId="0" borderId="23" xfId="0" applyFont="1" applyBorder="1"/>
    <xf numFmtId="164" fontId="52" fillId="0" borderId="14" xfId="0" applyNumberFormat="1" applyFont="1" applyBorder="1" applyAlignment="1">
      <alignment horizontal="center" vertical="center"/>
    </xf>
    <xf numFmtId="0" fontId="0" fillId="0" borderId="14" xfId="0" applyBorder="1"/>
    <xf numFmtId="0" fontId="52" fillId="0" borderId="31" xfId="75" applyFont="1" applyBorder="1" applyAlignment="1">
      <alignment horizontal="center" vertical="center"/>
    </xf>
    <xf numFmtId="0" fontId="52" fillId="0" borderId="38" xfId="75" applyFont="1" applyBorder="1" applyAlignment="1">
      <alignment horizontal="left" vertical="center" wrapText="1"/>
    </xf>
    <xf numFmtId="166" fontId="52" fillId="41" borderId="40" xfId="46" applyNumberFormat="1" applyFont="1" applyFill="1" applyBorder="1" applyAlignment="1">
      <alignment horizontal="center" vertical="center" wrapText="1"/>
    </xf>
    <xf numFmtId="49" fontId="52" fillId="35" borderId="14" xfId="0" applyNumberFormat="1" applyFont="1" applyFill="1" applyBorder="1" applyAlignment="1">
      <alignment horizontal="center" vertical="center" textRotation="90" wrapText="1"/>
    </xf>
    <xf numFmtId="49" fontId="52" fillId="37" borderId="14" xfId="46" applyNumberFormat="1" applyFont="1" applyFill="1" applyBorder="1" applyAlignment="1">
      <alignment horizontal="center" vertical="center" wrapText="1"/>
    </xf>
    <xf numFmtId="0" fontId="52" fillId="37" borderId="14" xfId="46" applyFont="1" applyFill="1" applyBorder="1" applyAlignment="1">
      <alignment vertical="center" wrapText="1"/>
    </xf>
    <xf numFmtId="1" fontId="52" fillId="0" borderId="14" xfId="46" quotePrefix="1" applyNumberFormat="1" applyFont="1" applyBorder="1" applyAlignment="1">
      <alignment horizontal="center" vertical="center" wrapText="1"/>
    </xf>
    <xf numFmtId="166" fontId="52" fillId="0" borderId="14" xfId="46" applyNumberFormat="1" applyFont="1" applyBorder="1"/>
    <xf numFmtId="0" fontId="52" fillId="0" borderId="14" xfId="46" quotePrefix="1" applyFont="1" applyBorder="1" applyAlignment="1">
      <alignment horizontal="center" vertical="center" wrapText="1"/>
    </xf>
    <xf numFmtId="0" fontId="52" fillId="0" borderId="14" xfId="46" applyFont="1" applyBorder="1" applyAlignment="1">
      <alignment vertical="top" wrapText="1"/>
    </xf>
    <xf numFmtId="164" fontId="52" fillId="0" borderId="14" xfId="46" applyNumberFormat="1" applyFont="1" applyBorder="1" applyAlignment="1">
      <alignment horizontal="center" vertical="center"/>
    </xf>
    <xf numFmtId="3" fontId="52" fillId="27" borderId="14" xfId="78" applyNumberFormat="1" applyFont="1" applyFill="1" applyBorder="1" applyAlignment="1">
      <alignment horizontal="left" vertical="center" wrapText="1"/>
    </xf>
    <xf numFmtId="0" fontId="52" fillId="27" borderId="14" xfId="78" applyFont="1" applyFill="1" applyBorder="1" applyAlignment="1">
      <alignment horizontal="center" vertical="center" wrapText="1"/>
    </xf>
    <xf numFmtId="166" fontId="52" fillId="0" borderId="14" xfId="79" applyNumberFormat="1" applyFont="1" applyBorder="1" applyAlignment="1">
      <alignment horizontal="center" vertical="center" wrapText="1"/>
    </xf>
    <xf numFmtId="0" fontId="52" fillId="27" borderId="14" xfId="72" applyFont="1" applyFill="1" applyBorder="1" applyAlignment="1">
      <alignment horizontal="left" vertical="center" wrapText="1"/>
    </xf>
    <xf numFmtId="0" fontId="52" fillId="0" borderId="14" xfId="72" applyFont="1" applyBorder="1" applyAlignment="1">
      <alignment horizontal="left" vertical="center" wrapText="1"/>
    </xf>
    <xf numFmtId="166" fontId="52" fillId="39" borderId="23" xfId="46" applyNumberFormat="1" applyFont="1" applyFill="1" applyBorder="1" applyAlignment="1">
      <alignment horizontal="center" vertical="center" wrapText="1"/>
    </xf>
    <xf numFmtId="166" fontId="51" fillId="41" borderId="14" xfId="79" applyNumberFormat="1" applyFont="1" applyFill="1" applyBorder="1" applyAlignment="1">
      <alignment horizontal="center" vertical="center" wrapText="1"/>
    </xf>
    <xf numFmtId="166" fontId="51" fillId="49" borderId="14" xfId="79" applyNumberFormat="1" applyFont="1" applyFill="1" applyBorder="1" applyAlignment="1">
      <alignment horizontal="center" vertical="center" wrapText="1"/>
    </xf>
    <xf numFmtId="166" fontId="70" fillId="0" borderId="14" xfId="79" applyNumberFormat="1" applyFont="1" applyBorder="1" applyAlignment="1">
      <alignment horizontal="left" vertical="center"/>
    </xf>
    <xf numFmtId="166" fontId="70" fillId="0" borderId="14" xfId="79" applyNumberFormat="1" applyFont="1" applyBorder="1" applyAlignment="1">
      <alignment horizontal="center" vertical="center"/>
    </xf>
    <xf numFmtId="166" fontId="51" fillId="0" borderId="14" xfId="79" applyNumberFormat="1" applyFont="1" applyBorder="1" applyAlignment="1">
      <alignment horizontal="center" vertical="center" wrapText="1"/>
    </xf>
    <xf numFmtId="166" fontId="52" fillId="41" borderId="14" xfId="79" applyNumberFormat="1" applyFont="1" applyFill="1" applyBorder="1" applyAlignment="1">
      <alignment horizontal="center" vertical="center"/>
    </xf>
    <xf numFmtId="14" fontId="52" fillId="27" borderId="14" xfId="0" applyNumberFormat="1" applyFont="1" applyFill="1" applyBorder="1" applyAlignment="1">
      <alignment wrapText="1"/>
    </xf>
    <xf numFmtId="0" fontId="52" fillId="27" borderId="31" xfId="0" applyFont="1" applyFill="1" applyBorder="1" applyAlignment="1">
      <alignment wrapText="1"/>
    </xf>
    <xf numFmtId="0" fontId="52" fillId="35" borderId="14" xfId="0" applyFont="1" applyFill="1" applyBorder="1" applyAlignment="1">
      <alignment horizontal="left" vertical="center" wrapText="1"/>
    </xf>
    <xf numFmtId="166" fontId="52" fillId="38" borderId="14" xfId="79" applyNumberFormat="1" applyFont="1" applyFill="1" applyBorder="1" applyAlignment="1">
      <alignment horizontal="center" vertical="center"/>
    </xf>
    <xf numFmtId="0" fontId="71" fillId="0" borderId="14" xfId="0" applyFont="1" applyBorder="1" applyAlignment="1">
      <alignment vertical="center" wrapText="1"/>
    </xf>
    <xf numFmtId="49" fontId="52" fillId="0" borderId="14" xfId="79" applyNumberFormat="1" applyFont="1" applyBorder="1" applyAlignment="1">
      <alignment horizontal="center" vertical="center" wrapText="1"/>
    </xf>
    <xf numFmtId="166" fontId="52" fillId="38" borderId="14" xfId="79" applyNumberFormat="1" applyFont="1" applyFill="1" applyBorder="1" applyAlignment="1">
      <alignment horizontal="center" vertical="center" wrapText="1"/>
    </xf>
    <xf numFmtId="0" fontId="51" fillId="38" borderId="14" xfId="0" applyFont="1" applyFill="1" applyBorder="1" applyAlignment="1">
      <alignment horizontal="center" wrapText="1"/>
    </xf>
    <xf numFmtId="166" fontId="51" fillId="38" borderId="14" xfId="0" applyNumberFormat="1" applyFont="1" applyFill="1" applyBorder="1" applyAlignment="1">
      <alignment horizontal="center" wrapText="1"/>
    </xf>
    <xf numFmtId="0" fontId="52" fillId="44" borderId="14" xfId="0" applyFont="1" applyFill="1" applyBorder="1" applyAlignment="1">
      <alignment horizontal="center" wrapText="1"/>
    </xf>
    <xf numFmtId="166" fontId="52" fillId="35" borderId="14" xfId="46" applyNumberFormat="1" applyFont="1" applyFill="1" applyBorder="1" applyAlignment="1">
      <alignment horizontal="center" vertical="center" wrapText="1"/>
    </xf>
    <xf numFmtId="0" fontId="52" fillId="0" borderId="14" xfId="52" applyFont="1" applyBorder="1" applyAlignment="1">
      <alignment horizontal="center" vertical="center" textRotation="90" wrapText="1"/>
    </xf>
    <xf numFmtId="0" fontId="52" fillId="0" borderId="14" xfId="52" applyFont="1" applyBorder="1" applyAlignment="1">
      <alignment vertical="center" wrapText="1"/>
    </xf>
    <xf numFmtId="0" fontId="52" fillId="0" borderId="14" xfId="52" applyFont="1" applyBorder="1"/>
    <xf numFmtId="166" fontId="52" fillId="24" borderId="14" xfId="52" applyNumberFormat="1" applyFont="1" applyFill="1" applyBorder="1" applyAlignment="1">
      <alignment horizontal="center" vertical="center" wrapText="1"/>
    </xf>
    <xf numFmtId="164" fontId="52" fillId="0" borderId="14" xfId="52" applyNumberFormat="1" applyFont="1" applyBorder="1" applyAlignment="1">
      <alignment horizontal="center" vertical="center" wrapText="1"/>
    </xf>
    <xf numFmtId="164" fontId="52" fillId="27" borderId="14" xfId="52" applyNumberFormat="1" applyFont="1" applyFill="1" applyBorder="1" applyAlignment="1">
      <alignment horizontal="center" vertical="center" wrapText="1"/>
    </xf>
    <xf numFmtId="49" fontId="52" fillId="0" borderId="14" xfId="52" quotePrefix="1" applyNumberFormat="1" applyFont="1" applyBorder="1" applyAlignment="1">
      <alignment horizontal="center" vertical="center" wrapText="1"/>
    </xf>
    <xf numFmtId="166" fontId="52" fillId="39" borderId="14" xfId="52" applyNumberFormat="1" applyFont="1" applyFill="1" applyBorder="1" applyAlignment="1">
      <alignment horizontal="center" vertical="center" wrapText="1"/>
    </xf>
    <xf numFmtId="166" fontId="52" fillId="0" borderId="14" xfId="52" applyNumberFormat="1" applyFont="1" applyBorder="1"/>
    <xf numFmtId="49" fontId="72" fillId="0" borderId="14" xfId="52" quotePrefix="1" applyNumberFormat="1" applyFont="1" applyBorder="1" applyAlignment="1">
      <alignment horizontal="center" vertical="center" wrapText="1"/>
    </xf>
    <xf numFmtId="0" fontId="52" fillId="37" borderId="14" xfId="0" applyFont="1" applyFill="1" applyBorder="1" applyAlignment="1">
      <alignment horizontal="left" vertical="center" wrapText="1"/>
    </xf>
    <xf numFmtId="0" fontId="58" fillId="0" borderId="14" xfId="52" applyFont="1" applyBorder="1" applyAlignment="1">
      <alignment horizontal="left" vertical="center" wrapText="1"/>
    </xf>
    <xf numFmtId="49" fontId="60" fillId="0" borderId="14" xfId="52" applyNumberFormat="1" applyFont="1" applyBorder="1" applyAlignment="1">
      <alignment horizontal="center" vertical="center" wrapText="1"/>
    </xf>
    <xf numFmtId="0" fontId="60" fillId="0" borderId="14" xfId="52" applyFont="1" applyBorder="1" applyAlignment="1">
      <alignment vertical="center" wrapText="1"/>
    </xf>
    <xf numFmtId="166" fontId="60" fillId="0" borderId="14" xfId="52" applyNumberFormat="1" applyFont="1" applyBorder="1" applyAlignment="1">
      <alignment horizontal="center" vertical="center" wrapText="1"/>
    </xf>
    <xf numFmtId="0" fontId="35" fillId="0" borderId="14" xfId="52" applyBorder="1"/>
    <xf numFmtId="0" fontId="58" fillId="0" borderId="14" xfId="52" applyFont="1" applyBorder="1" applyAlignment="1">
      <alignment vertical="center" wrapText="1"/>
    </xf>
    <xf numFmtId="0" fontId="58" fillId="0" borderId="14" xfId="52" applyFont="1" applyBorder="1" applyAlignment="1">
      <alignment horizontal="center" vertical="center"/>
    </xf>
    <xf numFmtId="0" fontId="58" fillId="0" borderId="14" xfId="52" applyFont="1" applyBorder="1"/>
    <xf numFmtId="0" fontId="58" fillId="0" borderId="14" xfId="52" quotePrefix="1" applyFont="1" applyBorder="1" applyAlignment="1">
      <alignment horizontal="center" vertical="center"/>
    </xf>
    <xf numFmtId="0" fontId="60" fillId="0" borderId="31" xfId="0" applyFont="1" applyBorder="1"/>
    <xf numFmtId="0" fontId="58" fillId="0" borderId="14" xfId="52" applyFont="1" applyBorder="1" applyAlignment="1">
      <alignment horizontal="center" vertical="center" wrapText="1"/>
    </xf>
    <xf numFmtId="0" fontId="60" fillId="0" borderId="14" xfId="52" quotePrefix="1" applyFont="1" applyBorder="1" applyAlignment="1">
      <alignment horizontal="center" vertical="center" wrapText="1"/>
    </xf>
    <xf numFmtId="0" fontId="60" fillId="0" borderId="14" xfId="52" applyFont="1" applyBorder="1" applyAlignment="1">
      <alignment horizontal="center" vertical="center" wrapText="1"/>
    </xf>
    <xf numFmtId="3" fontId="52" fillId="0" borderId="14" xfId="80" applyNumberFormat="1" applyFont="1" applyBorder="1" applyAlignment="1">
      <alignment horizontal="left" vertical="center" wrapText="1"/>
    </xf>
    <xf numFmtId="49" fontId="52" fillId="0" borderId="14" xfId="52" applyNumberFormat="1" applyFont="1" applyBorder="1" applyAlignment="1">
      <alignment horizontal="center" vertical="center"/>
    </xf>
    <xf numFmtId="166" fontId="52" fillId="50" borderId="14" xfId="52" applyNumberFormat="1" applyFont="1" applyFill="1" applyBorder="1" applyAlignment="1">
      <alignment horizontal="center" vertical="center" wrapText="1"/>
    </xf>
    <xf numFmtId="0" fontId="52" fillId="0" borderId="14" xfId="0" applyFont="1" applyBorder="1" applyAlignment="1">
      <alignment horizontal="center" vertical="center" textRotation="255" wrapText="1"/>
    </xf>
    <xf numFmtId="49" fontId="52" fillId="40" borderId="14" xfId="0" applyNumberFormat="1" applyFont="1" applyFill="1" applyBorder="1" applyAlignment="1">
      <alignment horizontal="center" vertical="center" wrapText="1"/>
    </xf>
    <xf numFmtId="49" fontId="52" fillId="27" borderId="14" xfId="0" quotePrefix="1" applyNumberFormat="1" applyFont="1" applyFill="1" applyBorder="1" applyAlignment="1">
      <alignment horizontal="center" vertical="center" wrapText="1"/>
    </xf>
    <xf numFmtId="1" fontId="52" fillId="0" borderId="14" xfId="0" quotePrefix="1" applyNumberFormat="1" applyFont="1" applyBorder="1" applyAlignment="1">
      <alignment horizontal="center" vertical="center" wrapText="1"/>
    </xf>
    <xf numFmtId="167" fontId="52" fillId="0" borderId="14" xfId="0" applyNumberFormat="1" applyFont="1" applyBorder="1" applyAlignment="1">
      <alignment horizontal="center" vertical="center"/>
    </xf>
    <xf numFmtId="0" fontId="74" fillId="0" borderId="14" xfId="71" applyFont="1" applyBorder="1" applyAlignment="1" applyProtection="1">
      <alignment vertical="center" wrapText="1"/>
    </xf>
    <xf numFmtId="0" fontId="52" fillId="0" borderId="14" xfId="71" applyFont="1" applyBorder="1" applyAlignment="1" applyProtection="1">
      <alignment vertical="center" wrapText="1"/>
    </xf>
    <xf numFmtId="164" fontId="52" fillId="27" borderId="14" xfId="0" applyNumberFormat="1" applyFont="1" applyFill="1" applyBorder="1" applyAlignment="1">
      <alignment horizontal="left" vertical="center" wrapText="1"/>
    </xf>
    <xf numFmtId="49" fontId="51" fillId="44" borderId="14" xfId="0" quotePrefix="1" applyNumberFormat="1" applyFont="1" applyFill="1" applyBorder="1" applyAlignment="1">
      <alignment horizontal="center" vertical="center" wrapText="1"/>
    </xf>
    <xf numFmtId="0" fontId="51" fillId="38" borderId="14" xfId="0" applyFont="1" applyFill="1" applyBorder="1" applyAlignment="1">
      <alignment horizontal="left" vertical="center" wrapText="1"/>
    </xf>
    <xf numFmtId="166" fontId="66" fillId="27" borderId="14" xfId="76" applyNumberFormat="1" applyFont="1" applyFill="1" applyBorder="1" applyAlignment="1">
      <alignment horizontal="center" vertical="center"/>
    </xf>
    <xf numFmtId="0" fontId="51" fillId="54" borderId="14" xfId="0" applyFont="1" applyFill="1" applyBorder="1" applyAlignment="1">
      <alignment horizontal="center" vertical="center" wrapText="1"/>
    </xf>
    <xf numFmtId="166" fontId="51" fillId="54" borderId="14" xfId="46" applyNumberFormat="1" applyFont="1" applyFill="1" applyBorder="1" applyAlignment="1">
      <alignment horizontal="center" vertical="center" wrapText="1"/>
    </xf>
    <xf numFmtId="0" fontId="52" fillId="24" borderId="14" xfId="46" applyFont="1" applyFill="1" applyBorder="1" applyAlignment="1">
      <alignment horizontal="right" vertical="center"/>
    </xf>
    <xf numFmtId="0" fontId="51" fillId="39" borderId="14" xfId="0" applyFont="1" applyFill="1" applyBorder="1" applyAlignment="1">
      <alignment horizontal="center" vertical="center" wrapText="1"/>
    </xf>
    <xf numFmtId="166" fontId="66" fillId="33" borderId="14" xfId="76" applyNumberFormat="1" applyFont="1" applyFill="1" applyBorder="1" applyAlignment="1">
      <alignment horizontal="center" vertical="center"/>
    </xf>
    <xf numFmtId="0" fontId="51" fillId="41" borderId="14" xfId="0" applyFont="1" applyFill="1" applyBorder="1" applyAlignment="1">
      <alignment horizontal="center" vertical="center" wrapText="1"/>
    </xf>
    <xf numFmtId="0" fontId="51" fillId="39" borderId="14" xfId="46" applyFont="1" applyFill="1" applyBorder="1" applyAlignment="1">
      <alignment horizontal="center" vertical="center" wrapText="1"/>
    </xf>
    <xf numFmtId="166" fontId="52" fillId="34" borderId="14" xfId="46" applyNumberFormat="1" applyFont="1" applyFill="1" applyBorder="1" applyAlignment="1">
      <alignment horizontal="center" vertical="center" wrapText="1"/>
    </xf>
    <xf numFmtId="0" fontId="60" fillId="55" borderId="14" xfId="0" applyFont="1" applyFill="1" applyBorder="1" applyAlignment="1">
      <alignment horizontal="center" vertical="center" wrapText="1"/>
    </xf>
    <xf numFmtId="0" fontId="60" fillId="55" borderId="17" xfId="0" applyFont="1" applyFill="1" applyBorder="1" applyAlignment="1">
      <alignment horizontal="center" vertical="center" wrapText="1"/>
    </xf>
    <xf numFmtId="0" fontId="60" fillId="55" borderId="40" xfId="0" applyFont="1" applyFill="1" applyBorder="1" applyAlignment="1">
      <alignment horizontal="center" vertical="center" wrapText="1"/>
    </xf>
    <xf numFmtId="0" fontId="52" fillId="27" borderId="31" xfId="46" applyFont="1" applyFill="1" applyBorder="1" applyAlignment="1">
      <alignment horizontal="center" vertical="center" wrapText="1"/>
    </xf>
    <xf numFmtId="0" fontId="60" fillId="27" borderId="14" xfId="46" applyFont="1" applyFill="1" applyBorder="1" applyAlignment="1">
      <alignment horizontal="center" vertical="center" wrapText="1"/>
    </xf>
    <xf numFmtId="0" fontId="52" fillId="0" borderId="14" xfId="75" applyFont="1" applyBorder="1" applyAlignment="1">
      <alignment horizontal="left" vertical="center" wrapText="1"/>
    </xf>
    <xf numFmtId="0" fontId="52" fillId="0" borderId="14" xfId="0" applyFont="1" applyBorder="1" applyAlignment="1">
      <alignment horizontal="left" vertical="center"/>
    </xf>
    <xf numFmtId="166" fontId="52" fillId="0" borderId="17" xfId="79" applyNumberFormat="1" applyFont="1" applyBorder="1" applyAlignment="1">
      <alignment horizontal="left" vertical="center" wrapText="1"/>
    </xf>
    <xf numFmtId="0" fontId="52" fillId="0" borderId="17" xfId="0" applyFont="1" applyBorder="1" applyAlignment="1">
      <alignment horizontal="left" vertical="center"/>
    </xf>
    <xf numFmtId="166" fontId="52" fillId="27" borderId="38" xfId="79" applyNumberFormat="1" applyFont="1" applyFill="1" applyBorder="1" applyAlignment="1">
      <alignment horizontal="left" vertical="center" wrapText="1"/>
    </xf>
    <xf numFmtId="0" fontId="52" fillId="0" borderId="38" xfId="0" applyFont="1" applyBorder="1" applyAlignment="1">
      <alignment wrapText="1"/>
    </xf>
    <xf numFmtId="0" fontId="60" fillId="0" borderId="38" xfId="0" applyFont="1" applyBorder="1" applyAlignment="1">
      <alignment wrapText="1"/>
    </xf>
    <xf numFmtId="0" fontId="51" fillId="0" borderId="14" xfId="0" applyFont="1" applyBorder="1" applyAlignment="1">
      <alignment vertical="center" wrapText="1"/>
    </xf>
    <xf numFmtId="0" fontId="52" fillId="39" borderId="14" xfId="0" applyFont="1" applyFill="1" applyBorder="1" applyAlignment="1">
      <alignment vertical="center" wrapText="1"/>
    </xf>
    <xf numFmtId="4" fontId="51" fillId="0" borderId="22" xfId="0" applyNumberFormat="1" applyFont="1" applyBorder="1" applyAlignment="1">
      <alignment wrapText="1"/>
    </xf>
    <xf numFmtId="0" fontId="51" fillId="0" borderId="22" xfId="0" applyFont="1" applyBorder="1" applyAlignment="1">
      <alignment wrapText="1"/>
    </xf>
    <xf numFmtId="0" fontId="52" fillId="0" borderId="14" xfId="75" applyFont="1" applyBorder="1" applyAlignment="1">
      <alignment wrapText="1"/>
    </xf>
    <xf numFmtId="0" fontId="52" fillId="0" borderId="22" xfId="0" applyFont="1" applyBorder="1" applyAlignment="1">
      <alignment wrapText="1"/>
    </xf>
    <xf numFmtId="0" fontId="52" fillId="0" borderId="23" xfId="75" applyFont="1" applyBorder="1" applyAlignment="1">
      <alignment vertical="center" wrapText="1"/>
    </xf>
    <xf numFmtId="49" fontId="52" fillId="27" borderId="14" xfId="75" applyNumberFormat="1" applyFont="1" applyFill="1" applyBorder="1" applyAlignment="1">
      <alignment horizontal="center" vertical="center"/>
    </xf>
    <xf numFmtId="0" fontId="52" fillId="0" borderId="17" xfId="75" applyFont="1" applyBorder="1" applyAlignment="1">
      <alignment horizontal="center" vertical="center" wrapText="1"/>
    </xf>
    <xf numFmtId="166" fontId="52" fillId="0" borderId="17" xfId="75" applyNumberFormat="1" applyFont="1" applyBorder="1" applyAlignment="1">
      <alignment horizontal="center" vertical="center"/>
    </xf>
    <xf numFmtId="166" fontId="52" fillId="0" borderId="17" xfId="0" applyNumberFormat="1" applyFont="1" applyBorder="1" applyAlignment="1">
      <alignment horizontal="center" vertical="center"/>
    </xf>
    <xf numFmtId="0" fontId="52" fillId="0" borderId="39" xfId="75" applyFont="1" applyBorder="1" applyAlignment="1">
      <alignment horizontal="left" vertical="center" wrapText="1"/>
    </xf>
    <xf numFmtId="0" fontId="52" fillId="0" borderId="16" xfId="75" applyFont="1" applyBorder="1" applyAlignment="1">
      <alignment horizontal="center" vertical="center" wrapText="1"/>
    </xf>
    <xf numFmtId="166" fontId="52" fillId="0" borderId="38" xfId="75" applyNumberFormat="1" applyFont="1" applyBorder="1" applyAlignment="1">
      <alignment horizontal="center" vertical="center"/>
    </xf>
    <xf numFmtId="0" fontId="52" fillId="41" borderId="40" xfId="0" applyFont="1" applyFill="1" applyBorder="1" applyAlignment="1">
      <alignment horizontal="center" vertical="center" wrapText="1"/>
    </xf>
    <xf numFmtId="166" fontId="32" fillId="0" borderId="14" xfId="46" applyNumberFormat="1" applyBorder="1"/>
    <xf numFmtId="3" fontId="52" fillId="0" borderId="14" xfId="78" applyNumberFormat="1" applyFont="1" applyBorder="1" applyAlignment="1">
      <alignment horizontal="left" vertical="center" wrapText="1"/>
    </xf>
    <xf numFmtId="166" fontId="52" fillId="34" borderId="14" xfId="46" applyNumberFormat="1" applyFont="1" applyFill="1" applyBorder="1" applyAlignment="1">
      <alignment horizontal="center" vertical="center"/>
    </xf>
    <xf numFmtId="0" fontId="52" fillId="0" borderId="16" xfId="46" applyFont="1" applyBorder="1" applyAlignment="1">
      <alignment horizontal="center" vertical="center"/>
    </xf>
    <xf numFmtId="0" fontId="0" fillId="27" borderId="0" xfId="0" applyFill="1"/>
    <xf numFmtId="0" fontId="52" fillId="0" borderId="38" xfId="46" applyFont="1" applyBorder="1" applyAlignment="1">
      <alignment horizontal="left"/>
    </xf>
    <xf numFmtId="0" fontId="0" fillId="0" borderId="38" xfId="0" applyBorder="1"/>
    <xf numFmtId="164" fontId="52" fillId="40" borderId="38" xfId="0" applyNumberFormat="1" applyFont="1" applyFill="1" applyBorder="1" applyAlignment="1">
      <alignment horizontal="left" vertical="center" wrapText="1"/>
    </xf>
    <xf numFmtId="166" fontId="52" fillId="0" borderId="38" xfId="46" applyNumberFormat="1" applyFont="1" applyBorder="1" applyAlignment="1">
      <alignment horizontal="left" vertical="center"/>
    </xf>
    <xf numFmtId="166" fontId="52" fillId="0" borderId="38" xfId="46" applyNumberFormat="1" applyFont="1" applyBorder="1" applyAlignment="1">
      <alignment horizontal="left" vertical="center" wrapText="1"/>
    </xf>
    <xf numFmtId="166" fontId="52" fillId="27" borderId="38" xfId="46" applyNumberFormat="1" applyFont="1" applyFill="1" applyBorder="1" applyAlignment="1">
      <alignment horizontal="left" vertical="center"/>
    </xf>
    <xf numFmtId="0" fontId="52" fillId="40" borderId="16" xfId="0" applyFont="1" applyFill="1" applyBorder="1" applyAlignment="1">
      <alignment horizontal="center" vertical="center" wrapText="1"/>
    </xf>
    <xf numFmtId="49" fontId="52" fillId="0" borderId="16" xfId="52" applyNumberFormat="1" applyFont="1" applyBorder="1" applyAlignment="1">
      <alignment horizontal="center" vertical="center" wrapText="1"/>
    </xf>
    <xf numFmtId="0" fontId="52" fillId="0" borderId="38" xfId="52" applyFont="1" applyBorder="1"/>
    <xf numFmtId="0" fontId="35" fillId="0" borderId="38" xfId="52" applyBorder="1"/>
    <xf numFmtId="0" fontId="52" fillId="0" borderId="16" xfId="52" applyFont="1" applyBorder="1" applyAlignment="1">
      <alignment horizontal="center" vertical="center"/>
    </xf>
    <xf numFmtId="0" fontId="52" fillId="0" borderId="17" xfId="52" applyFont="1" applyBorder="1"/>
    <xf numFmtId="0" fontId="35" fillId="0" borderId="23" xfId="52" applyBorder="1"/>
    <xf numFmtId="0" fontId="73" fillId="0" borderId="38" xfId="52" applyFont="1" applyBorder="1"/>
    <xf numFmtId="0" fontId="52" fillId="0" borderId="16" xfId="52" quotePrefix="1" applyFont="1" applyBorder="1" applyAlignment="1">
      <alignment horizontal="center" vertical="center"/>
    </xf>
    <xf numFmtId="0" fontId="58" fillId="0" borderId="16" xfId="52" applyFont="1" applyBorder="1" applyAlignment="1">
      <alignment horizontal="center" vertical="center"/>
    </xf>
    <xf numFmtId="0" fontId="52" fillId="0" borderId="17" xfId="52" applyFont="1" applyBorder="1" applyAlignment="1">
      <alignment horizontal="center" vertical="center"/>
    </xf>
    <xf numFmtId="0" fontId="52" fillId="0" borderId="31" xfId="0" applyFont="1" applyBorder="1" applyAlignment="1">
      <alignment horizontal="center" vertical="center"/>
    </xf>
    <xf numFmtId="0" fontId="52" fillId="27" borderId="38" xfId="46" applyFont="1" applyFill="1" applyBorder="1" applyAlignment="1">
      <alignment vertical="center" wrapText="1"/>
    </xf>
    <xf numFmtId="0" fontId="76" fillId="0" borderId="0" xfId="0" applyFont="1" applyAlignment="1">
      <alignment wrapText="1"/>
    </xf>
    <xf numFmtId="166" fontId="52" fillId="56" borderId="14" xfId="0" applyNumberFormat="1" applyFont="1" applyFill="1" applyBorder="1" applyAlignment="1">
      <alignment horizontal="center" vertical="center"/>
    </xf>
    <xf numFmtId="166" fontId="52" fillId="39" borderId="17" xfId="46" applyNumberFormat="1" applyFont="1" applyFill="1" applyBorder="1" applyAlignment="1">
      <alignment horizontal="center" vertical="center" wrapText="1"/>
    </xf>
    <xf numFmtId="166" fontId="52" fillId="27" borderId="17" xfId="0" applyNumberFormat="1" applyFont="1" applyFill="1" applyBorder="1" applyAlignment="1">
      <alignment horizontal="center" vertical="center"/>
    </xf>
    <xf numFmtId="0" fontId="0" fillId="0" borderId="0" xfId="0" applyAlignment="1">
      <alignment horizontal="center"/>
    </xf>
    <xf numFmtId="0" fontId="52" fillId="27" borderId="31" xfId="0" applyFont="1" applyFill="1" applyBorder="1" applyAlignment="1">
      <alignment horizontal="center" vertical="center" wrapText="1"/>
    </xf>
    <xf numFmtId="166" fontId="52" fillId="29" borderId="0" xfId="46" applyNumberFormat="1" applyFont="1" applyFill="1" applyAlignment="1">
      <alignment horizontal="center" vertical="center" wrapText="1"/>
    </xf>
    <xf numFmtId="0" fontId="52" fillId="0" borderId="42" xfId="0" applyFont="1" applyBorder="1" applyAlignment="1">
      <alignment horizontal="center" vertical="center"/>
    </xf>
    <xf numFmtId="0" fontId="52" fillId="27" borderId="23" xfId="0" applyFont="1" applyFill="1" applyBorder="1" applyAlignment="1">
      <alignment horizontal="center" vertical="center" wrapText="1"/>
    </xf>
    <xf numFmtId="166" fontId="52" fillId="27" borderId="14" xfId="0" applyNumberFormat="1" applyFont="1" applyFill="1" applyBorder="1" applyAlignment="1">
      <alignment horizontal="center" wrapText="1"/>
    </xf>
    <xf numFmtId="166" fontId="52" fillId="27" borderId="31" xfId="0" applyNumberFormat="1" applyFont="1" applyFill="1" applyBorder="1" applyAlignment="1">
      <alignment horizontal="center" wrapText="1"/>
    </xf>
    <xf numFmtId="0" fontId="52" fillId="27" borderId="14" xfId="0" applyFont="1" applyFill="1" applyBorder="1" applyAlignment="1">
      <alignment wrapText="1"/>
    </xf>
    <xf numFmtId="0" fontId="51" fillId="27" borderId="38" xfId="0" applyFont="1" applyFill="1" applyBorder="1" applyAlignment="1">
      <alignment wrapText="1"/>
    </xf>
    <xf numFmtId="4" fontId="51" fillId="27" borderId="38" xfId="0" applyNumberFormat="1" applyFont="1" applyFill="1" applyBorder="1" applyAlignment="1">
      <alignment wrapText="1"/>
    </xf>
    <xf numFmtId="4" fontId="51" fillId="27" borderId="36" xfId="0" applyNumberFormat="1" applyFont="1" applyFill="1" applyBorder="1" applyAlignment="1">
      <alignment wrapText="1"/>
    </xf>
    <xf numFmtId="166" fontId="70" fillId="0" borderId="17" xfId="79" applyNumberFormat="1" applyFont="1" applyBorder="1" applyAlignment="1">
      <alignment horizontal="left" vertical="center"/>
    </xf>
    <xf numFmtId="0" fontId="52" fillId="0" borderId="17" xfId="46" applyFont="1" applyBorder="1" applyAlignment="1">
      <alignment horizontal="center" vertical="center"/>
    </xf>
    <xf numFmtId="0" fontId="52" fillId="0" borderId="16" xfId="46" applyFont="1" applyBorder="1" applyAlignment="1">
      <alignment vertical="center" wrapText="1"/>
    </xf>
    <xf numFmtId="0" fontId="52" fillId="41" borderId="31" xfId="0" applyFont="1" applyFill="1" applyBorder="1" applyAlignment="1">
      <alignment horizontal="center" vertical="center" wrapText="1"/>
    </xf>
    <xf numFmtId="0" fontId="52" fillId="39" borderId="23" xfId="46" applyFont="1" applyFill="1" applyBorder="1" applyAlignment="1">
      <alignment horizontal="center" vertical="center"/>
    </xf>
    <xf numFmtId="0" fontId="52" fillId="39" borderId="23" xfId="46" applyFont="1" applyFill="1" applyBorder="1" applyAlignment="1">
      <alignment horizontal="center" vertical="center" wrapText="1"/>
    </xf>
    <xf numFmtId="0" fontId="52" fillId="0" borderId="47" xfId="46" applyFont="1" applyBorder="1" applyAlignment="1">
      <alignment horizontal="center" vertical="center"/>
    </xf>
    <xf numFmtId="0" fontId="52" fillId="0" borderId="36" xfId="46" applyFont="1" applyBorder="1" applyAlignment="1">
      <alignment horizontal="center" vertical="center"/>
    </xf>
    <xf numFmtId="0" fontId="52" fillId="0" borderId="40" xfId="46" applyFont="1" applyBorder="1" applyAlignment="1">
      <alignment horizontal="center" vertical="center"/>
    </xf>
    <xf numFmtId="166" fontId="52" fillId="0" borderId="31" xfId="46" applyNumberFormat="1" applyFont="1" applyBorder="1" applyAlignment="1">
      <alignment horizontal="left" vertical="center" wrapText="1"/>
    </xf>
    <xf numFmtId="166" fontId="52" fillId="0" borderId="17" xfId="46" applyNumberFormat="1" applyFont="1" applyBorder="1" applyAlignment="1">
      <alignment horizontal="left" vertical="center" wrapText="1"/>
    </xf>
    <xf numFmtId="0" fontId="52" fillId="27" borderId="0" xfId="0" applyFont="1" applyFill="1" applyAlignment="1">
      <alignment wrapText="1"/>
    </xf>
    <xf numFmtId="166" fontId="52" fillId="27" borderId="38" xfId="0" applyNumberFormat="1" applyFont="1" applyFill="1" applyBorder="1" applyAlignment="1">
      <alignment horizontal="center" vertical="center"/>
    </xf>
    <xf numFmtId="0" fontId="52" fillId="41" borderId="38" xfId="0" applyFont="1" applyFill="1" applyBorder="1" applyAlignment="1">
      <alignment horizontal="center" vertical="center" wrapText="1"/>
    </xf>
    <xf numFmtId="166" fontId="52" fillId="41" borderId="38" xfId="46" applyNumberFormat="1" applyFont="1" applyFill="1" applyBorder="1" applyAlignment="1">
      <alignment horizontal="center" vertical="center" wrapText="1"/>
    </xf>
    <xf numFmtId="166" fontId="52" fillId="0" borderId="40" xfId="75" applyNumberFormat="1" applyFont="1" applyBorder="1" applyAlignment="1">
      <alignment horizontal="center" vertical="center"/>
    </xf>
    <xf numFmtId="166" fontId="52" fillId="0" borderId="40" xfId="0" applyNumberFormat="1" applyFont="1" applyBorder="1" applyAlignment="1">
      <alignment horizontal="center"/>
    </xf>
    <xf numFmtId="0" fontId="52" fillId="50" borderId="14" xfId="0" applyFont="1" applyFill="1" applyBorder="1" applyAlignment="1">
      <alignment vertical="center" wrapText="1"/>
    </xf>
    <xf numFmtId="0" fontId="52" fillId="50" borderId="14" xfId="0" applyFont="1" applyFill="1" applyBorder="1" applyAlignment="1">
      <alignment horizontal="center" vertical="center" wrapText="1"/>
    </xf>
    <xf numFmtId="164" fontId="51" fillId="0" borderId="14" xfId="0" quotePrefix="1" applyNumberFormat="1" applyFont="1" applyBorder="1" applyAlignment="1">
      <alignment horizontal="center" vertical="center" wrapText="1"/>
    </xf>
    <xf numFmtId="166" fontId="60" fillId="27" borderId="14" xfId="0" applyNumberFormat="1" applyFont="1" applyFill="1" applyBorder="1" applyAlignment="1">
      <alignment horizontal="center" vertical="center"/>
    </xf>
    <xf numFmtId="166" fontId="53" fillId="0" borderId="31" xfId="46" applyNumberFormat="1" applyFont="1" applyBorder="1" applyAlignment="1">
      <alignment horizontal="left" vertical="center" wrapText="1"/>
    </xf>
    <xf numFmtId="0" fontId="52" fillId="0" borderId="31" xfId="46" applyFont="1" applyBorder="1" applyAlignment="1">
      <alignment horizontal="left" vertical="center" wrapText="1"/>
    </xf>
    <xf numFmtId="166" fontId="53" fillId="0" borderId="23" xfId="46" applyNumberFormat="1" applyFont="1" applyBorder="1" applyAlignment="1">
      <alignment horizontal="left" vertical="center" wrapText="1"/>
    </xf>
    <xf numFmtId="0" fontId="51" fillId="27" borderId="14" xfId="0" applyFont="1" applyFill="1" applyBorder="1" applyAlignment="1">
      <alignment horizontal="center" vertical="center"/>
    </xf>
    <xf numFmtId="164" fontId="51" fillId="41" borderId="14" xfId="79" applyNumberFormat="1" applyFont="1" applyFill="1" applyBorder="1" applyAlignment="1">
      <alignment horizontal="center" vertical="center" wrapText="1"/>
    </xf>
    <xf numFmtId="164" fontId="51" fillId="49" borderId="14" xfId="79" applyNumberFormat="1" applyFont="1" applyFill="1" applyBorder="1" applyAlignment="1">
      <alignment horizontal="center" vertical="center" wrapText="1"/>
    </xf>
    <xf numFmtId="164" fontId="52" fillId="0" borderId="14" xfId="79" applyNumberFormat="1" applyFont="1" applyBorder="1" applyAlignment="1">
      <alignment horizontal="center" vertical="center" wrapText="1"/>
    </xf>
    <xf numFmtId="164" fontId="51" fillId="0" borderId="14" xfId="79" applyNumberFormat="1" applyFont="1" applyBorder="1" applyAlignment="1">
      <alignment horizontal="center" vertical="center" wrapText="1"/>
    </xf>
    <xf numFmtId="164" fontId="51" fillId="38" borderId="14" xfId="0" applyNumberFormat="1" applyFont="1" applyFill="1" applyBorder="1" applyAlignment="1">
      <alignment horizontal="center" wrapText="1"/>
    </xf>
    <xf numFmtId="166" fontId="52" fillId="27" borderId="30" xfId="46" applyNumberFormat="1" applyFont="1" applyFill="1" applyBorder="1" applyAlignment="1">
      <alignment horizontal="center" vertical="center" wrapText="1"/>
    </xf>
    <xf numFmtId="0" fontId="52" fillId="24" borderId="17" xfId="46" applyFont="1" applyFill="1" applyBorder="1" applyAlignment="1">
      <alignment horizontal="left" vertical="center" wrapText="1"/>
    </xf>
    <xf numFmtId="164" fontId="51" fillId="41" borderId="16" xfId="79" applyNumberFormat="1" applyFont="1" applyFill="1" applyBorder="1" applyAlignment="1">
      <alignment horizontal="center" vertical="center" wrapText="1"/>
    </xf>
    <xf numFmtId="164" fontId="51" fillId="49" borderId="16" xfId="79" applyNumberFormat="1" applyFont="1" applyFill="1" applyBorder="1" applyAlignment="1">
      <alignment horizontal="center" vertical="center" wrapText="1"/>
    </xf>
    <xf numFmtId="164" fontId="51" fillId="0" borderId="16" xfId="79" applyNumberFormat="1" applyFont="1" applyBorder="1" applyAlignment="1">
      <alignment horizontal="center" vertical="center" wrapText="1"/>
    </xf>
    <xf numFmtId="164" fontId="51" fillId="38" borderId="16" xfId="0" applyNumberFormat="1" applyFont="1" applyFill="1" applyBorder="1" applyAlignment="1">
      <alignment horizontal="center" wrapText="1"/>
    </xf>
    <xf numFmtId="0" fontId="60" fillId="0" borderId="14" xfId="0" applyFont="1" applyBorder="1" applyAlignment="1">
      <alignment horizontal="center"/>
    </xf>
    <xf numFmtId="49" fontId="52" fillId="47" borderId="14" xfId="0" applyNumberFormat="1" applyFont="1" applyFill="1" applyBorder="1" applyAlignment="1">
      <alignment horizontal="center"/>
    </xf>
    <xf numFmtId="49" fontId="52" fillId="0" borderId="14" xfId="0" applyNumberFormat="1" applyFont="1" applyBorder="1" applyAlignment="1">
      <alignment horizontal="center"/>
    </xf>
    <xf numFmtId="164" fontId="52" fillId="0" borderId="24" xfId="0" applyNumberFormat="1" applyFont="1" applyBorder="1" applyAlignment="1">
      <alignment horizontal="center" vertical="center"/>
    </xf>
    <xf numFmtId="0" fontId="52" fillId="0" borderId="24" xfId="0" applyFont="1" applyBorder="1"/>
    <xf numFmtId="3" fontId="52" fillId="0" borderId="16" xfId="0" applyNumberFormat="1" applyFont="1" applyBorder="1" applyAlignment="1">
      <alignment horizontal="center" vertical="center" wrapText="1"/>
    </xf>
    <xf numFmtId="3" fontId="52" fillId="35" borderId="16" xfId="0" applyNumberFormat="1" applyFont="1" applyFill="1" applyBorder="1" applyAlignment="1">
      <alignment horizontal="center" vertical="center" wrapText="1"/>
    </xf>
    <xf numFmtId="0" fontId="60" fillId="0" borderId="14" xfId="0" applyFont="1" applyBorder="1" applyAlignment="1">
      <alignment horizontal="center" vertical="center"/>
    </xf>
    <xf numFmtId="166" fontId="52" fillId="29" borderId="23" xfId="46" applyNumberFormat="1" applyFont="1" applyFill="1" applyBorder="1" applyAlignment="1">
      <alignment horizontal="center" vertical="center" wrapText="1"/>
    </xf>
    <xf numFmtId="49" fontId="52" fillId="44" borderId="23" xfId="0" quotePrefix="1" applyNumberFormat="1" applyFont="1" applyFill="1" applyBorder="1" applyAlignment="1">
      <alignment horizontal="center" vertical="center" wrapText="1"/>
    </xf>
    <xf numFmtId="0" fontId="52" fillId="38" borderId="23" xfId="0" applyFont="1" applyFill="1" applyBorder="1" applyAlignment="1">
      <alignment horizontal="left" vertical="center" wrapText="1"/>
    </xf>
    <xf numFmtId="0" fontId="52" fillId="0" borderId="23" xfId="0" quotePrefix="1" applyFont="1" applyBorder="1" applyAlignment="1">
      <alignment horizontal="center" vertical="center" wrapText="1"/>
    </xf>
    <xf numFmtId="0" fontId="52" fillId="27" borderId="23" xfId="0" applyFont="1" applyFill="1" applyBorder="1" applyAlignment="1">
      <alignment horizontal="center" vertical="center"/>
    </xf>
    <xf numFmtId="166" fontId="51" fillId="39" borderId="23" xfId="46" applyNumberFormat="1" applyFont="1" applyFill="1" applyBorder="1" applyAlignment="1">
      <alignment horizontal="center" vertical="center" wrapText="1"/>
    </xf>
    <xf numFmtId="0" fontId="52" fillId="0" borderId="0" xfId="0" applyFont="1" applyAlignment="1" applyProtection="1">
      <alignment horizontal="left" vertical="center" wrapText="1"/>
      <protection locked="0"/>
    </xf>
    <xf numFmtId="0" fontId="0" fillId="0" borderId="0" xfId="0" applyProtection="1">
      <protection locked="0"/>
    </xf>
    <xf numFmtId="0" fontId="52" fillId="0" borderId="14" xfId="0" applyFont="1" applyBorder="1" applyAlignment="1" applyProtection="1">
      <alignment horizontal="left" vertical="center" wrapText="1"/>
      <protection locked="0"/>
    </xf>
    <xf numFmtId="0" fontId="52" fillId="0" borderId="14" xfId="0" applyFont="1" applyBorder="1" applyAlignment="1" applyProtection="1">
      <alignment horizontal="center" vertical="center" wrapText="1"/>
      <protection locked="0"/>
    </xf>
    <xf numFmtId="0" fontId="52" fillId="0" borderId="23" xfId="0" applyFont="1" applyBorder="1" applyAlignment="1">
      <alignment horizontal="center" vertical="center"/>
    </xf>
    <xf numFmtId="0" fontId="52" fillId="27" borderId="17" xfId="0" applyFont="1" applyFill="1" applyBorder="1" applyAlignment="1">
      <alignment horizontal="center" vertical="center" wrapText="1"/>
    </xf>
    <xf numFmtId="0" fontId="21" fillId="0" borderId="17" xfId="46" applyFont="1" applyBorder="1" applyAlignment="1">
      <alignment horizontal="left" vertical="center" wrapText="1"/>
    </xf>
    <xf numFmtId="0" fontId="21" fillId="0" borderId="23" xfId="46" applyFont="1" applyBorder="1" applyAlignment="1">
      <alignment horizontal="left" vertical="center" wrapText="1"/>
    </xf>
    <xf numFmtId="0" fontId="60" fillId="38" borderId="14" xfId="0" applyFont="1" applyFill="1" applyBorder="1" applyAlignment="1">
      <alignment horizontal="left" vertical="center" wrapText="1"/>
    </xf>
    <xf numFmtId="0" fontId="21" fillId="47" borderId="14" xfId="0" applyFont="1" applyFill="1" applyBorder="1" applyAlignment="1">
      <alignment horizontal="center" vertical="center" wrapText="1"/>
    </xf>
    <xf numFmtId="0" fontId="21" fillId="0" borderId="39" xfId="0" applyFont="1" applyBorder="1" applyAlignment="1">
      <alignment vertical="center" wrapText="1"/>
    </xf>
    <xf numFmtId="0" fontId="21" fillId="0" borderId="14" xfId="0" applyFont="1" applyBorder="1" applyAlignment="1">
      <alignment horizontal="center" vertical="center" wrapText="1"/>
    </xf>
    <xf numFmtId="0" fontId="21" fillId="0" borderId="14" xfId="0" applyFont="1" applyBorder="1" applyAlignment="1">
      <alignment vertical="center" wrapText="1"/>
    </xf>
    <xf numFmtId="0" fontId="21" fillId="55" borderId="14" xfId="0" applyFont="1" applyFill="1" applyBorder="1" applyAlignment="1">
      <alignment horizontal="center" vertical="center" wrapText="1"/>
    </xf>
    <xf numFmtId="0" fontId="21" fillId="48" borderId="14" xfId="0" applyFont="1" applyFill="1" applyBorder="1" applyAlignment="1">
      <alignment horizontal="center" vertical="center" wrapText="1"/>
    </xf>
    <xf numFmtId="0" fontId="21" fillId="47" borderId="17" xfId="0" applyFont="1" applyFill="1" applyBorder="1" applyAlignment="1">
      <alignment horizontal="center" vertical="center" wrapText="1"/>
    </xf>
    <xf numFmtId="0" fontId="60" fillId="0" borderId="0" xfId="0" applyFont="1" applyAlignment="1">
      <alignment vertical="top" wrapText="1"/>
    </xf>
    <xf numFmtId="0" fontId="21" fillId="47" borderId="40" xfId="0" applyFont="1" applyFill="1" applyBorder="1" applyAlignment="1">
      <alignment horizontal="center" vertical="center" wrapText="1"/>
    </xf>
    <xf numFmtId="0" fontId="21" fillId="0" borderId="38" xfId="0" applyFont="1" applyBorder="1" applyAlignment="1">
      <alignment vertical="center" wrapText="1"/>
    </xf>
    <xf numFmtId="0" fontId="21" fillId="48" borderId="38" xfId="0" applyFont="1" applyFill="1" applyBorder="1" applyAlignment="1">
      <alignment horizontal="center" vertical="center" wrapText="1"/>
    </xf>
    <xf numFmtId="164" fontId="21" fillId="47" borderId="38" xfId="0" applyNumberFormat="1" applyFont="1" applyFill="1" applyBorder="1" applyAlignment="1">
      <alignment horizontal="center" vertical="center" wrapText="1"/>
    </xf>
    <xf numFmtId="0" fontId="21" fillId="0" borderId="23" xfId="0" applyFont="1" applyBorder="1" applyAlignment="1">
      <alignment wrapText="1"/>
    </xf>
    <xf numFmtId="164" fontId="21" fillId="47" borderId="23" xfId="0" applyNumberFormat="1" applyFont="1" applyFill="1" applyBorder="1" applyAlignment="1">
      <alignment horizontal="center" vertical="center" wrapText="1"/>
    </xf>
    <xf numFmtId="0" fontId="21" fillId="0" borderId="14" xfId="0" applyFont="1" applyBorder="1" applyAlignment="1">
      <alignment vertical="top" wrapText="1"/>
    </xf>
    <xf numFmtId="164" fontId="21" fillId="0" borderId="14" xfId="0" applyNumberFormat="1" applyFont="1" applyBorder="1" applyAlignment="1">
      <alignment horizontal="center" vertical="center" wrapText="1"/>
    </xf>
    <xf numFmtId="0" fontId="21" fillId="0" borderId="14" xfId="0" applyFont="1" applyBorder="1" applyAlignment="1">
      <alignment horizontal="right"/>
    </xf>
    <xf numFmtId="0" fontId="21" fillId="0" borderId="14" xfId="0" applyFont="1" applyBorder="1" applyAlignment="1">
      <alignment horizontal="right" wrapText="1"/>
    </xf>
    <xf numFmtId="0" fontId="21" fillId="0" borderId="14" xfId="0" applyFont="1" applyBorder="1" applyAlignment="1">
      <alignment horizontal="left"/>
    </xf>
    <xf numFmtId="0" fontId="21" fillId="27" borderId="14" xfId="0" applyFont="1" applyFill="1" applyBorder="1" applyAlignment="1">
      <alignment horizontal="left"/>
    </xf>
    <xf numFmtId="0" fontId="60" fillId="27" borderId="14" xfId="0" applyFont="1" applyFill="1" applyBorder="1" applyAlignment="1">
      <alignment horizontal="right" vertical="center" wrapText="1"/>
    </xf>
    <xf numFmtId="0" fontId="60" fillId="0" borderId="17" xfId="46" applyFont="1" applyBorder="1" applyAlignment="1">
      <alignment horizontal="right" vertical="center" wrapText="1"/>
    </xf>
    <xf numFmtId="0" fontId="60" fillId="0" borderId="38" xfId="46" applyFont="1" applyBorder="1" applyAlignment="1">
      <alignment horizontal="right" vertical="center" wrapText="1"/>
    </xf>
    <xf numFmtId="49" fontId="21" fillId="0" borderId="14" xfId="46" applyNumberFormat="1" applyFont="1" applyBorder="1" applyAlignment="1">
      <alignment horizontal="center" vertical="center"/>
    </xf>
    <xf numFmtId="1" fontId="52" fillId="0" borderId="14" xfId="79" applyNumberFormat="1" applyFont="1" applyBorder="1" applyAlignment="1">
      <alignment horizontal="center" vertical="center" wrapText="1"/>
    </xf>
    <xf numFmtId="49" fontId="32" fillId="35" borderId="14" xfId="0" applyNumberFormat="1" applyFont="1" applyFill="1" applyBorder="1" applyAlignment="1">
      <alignment horizontal="center" vertical="center" textRotation="90" wrapText="1"/>
    </xf>
    <xf numFmtId="3" fontId="32" fillId="35" borderId="14" xfId="0" applyNumberFormat="1" applyFont="1" applyFill="1" applyBorder="1" applyAlignment="1">
      <alignment horizontal="center" vertical="center" textRotation="90" wrapText="1"/>
    </xf>
    <xf numFmtId="3" fontId="32" fillId="35" borderId="14" xfId="0" applyNumberFormat="1" applyFont="1" applyFill="1" applyBorder="1" applyAlignment="1">
      <alignment horizontal="center" vertical="center" wrapText="1"/>
    </xf>
    <xf numFmtId="164" fontId="32" fillId="35" borderId="14" xfId="0" applyNumberFormat="1" applyFont="1" applyFill="1" applyBorder="1" applyAlignment="1">
      <alignment horizontal="center" vertical="center" wrapText="1"/>
    </xf>
    <xf numFmtId="164" fontId="32" fillId="35" borderId="14" xfId="46" applyNumberFormat="1" applyFill="1" applyBorder="1" applyAlignment="1">
      <alignment horizontal="center" vertical="center" wrapText="1"/>
    </xf>
    <xf numFmtId="164" fontId="32" fillId="35" borderId="16" xfId="46" applyNumberFormat="1" applyFill="1" applyBorder="1" applyAlignment="1">
      <alignment horizontal="center" vertical="center" wrapText="1"/>
    </xf>
    <xf numFmtId="0" fontId="32" fillId="0" borderId="14" xfId="0" applyFont="1" applyBorder="1" applyAlignment="1">
      <alignment horizontal="center" vertical="center"/>
    </xf>
    <xf numFmtId="49" fontId="52" fillId="44" borderId="14" xfId="0" quotePrefix="1" applyNumberFormat="1" applyFont="1" applyFill="1" applyBorder="1" applyAlignment="1">
      <alignment horizontal="left" vertical="center" wrapText="1"/>
    </xf>
    <xf numFmtId="49" fontId="52" fillId="44" borderId="14" xfId="0" applyNumberFormat="1" applyFont="1" applyFill="1" applyBorder="1" applyAlignment="1">
      <alignment horizontal="center" vertical="center" wrapText="1"/>
    </xf>
    <xf numFmtId="164" fontId="52" fillId="44" borderId="14" xfId="0" applyNumberFormat="1" applyFont="1" applyFill="1" applyBorder="1" applyAlignment="1">
      <alignment horizontal="center" vertical="center" wrapText="1"/>
    </xf>
    <xf numFmtId="164" fontId="52" fillId="44" borderId="16" xfId="0" applyNumberFormat="1" applyFont="1" applyFill="1" applyBorder="1" applyAlignment="1">
      <alignment horizontal="center" vertical="center" wrapText="1"/>
    </xf>
    <xf numFmtId="49" fontId="21" fillId="0" borderId="14" xfId="77" applyNumberFormat="1" applyFont="1" applyBorder="1" applyAlignment="1">
      <alignment horizontal="center"/>
    </xf>
    <xf numFmtId="166" fontId="52" fillId="0" borderId="14" xfId="79" applyNumberFormat="1" applyFont="1" applyBorder="1" applyAlignment="1">
      <alignment horizontal="left" vertical="center" wrapText="1"/>
    </xf>
    <xf numFmtId="1" fontId="52" fillId="0" borderId="14" xfId="79" applyNumberFormat="1" applyFont="1" applyBorder="1" applyAlignment="1">
      <alignment horizontal="center" wrapText="1"/>
    </xf>
    <xf numFmtId="166" fontId="52" fillId="29" borderId="14" xfId="79" applyNumberFormat="1" applyFont="1" applyFill="1" applyBorder="1" applyAlignment="1">
      <alignment horizontal="center" vertical="center" wrapText="1"/>
    </xf>
    <xf numFmtId="164" fontId="60" fillId="27" borderId="14" xfId="79" applyNumberFormat="1" applyFont="1" applyFill="1" applyBorder="1" applyAlignment="1">
      <alignment horizontal="center" vertical="center" wrapText="1"/>
    </xf>
    <xf numFmtId="164" fontId="60" fillId="27" borderId="16" xfId="79" applyNumberFormat="1" applyFont="1" applyFill="1" applyBorder="1" applyAlignment="1">
      <alignment horizontal="center" vertical="center" wrapText="1"/>
    </xf>
    <xf numFmtId="166" fontId="52" fillId="27" borderId="14" xfId="79" applyNumberFormat="1" applyFont="1" applyFill="1" applyBorder="1" applyAlignment="1">
      <alignment horizontal="center" vertical="center" wrapText="1"/>
    </xf>
    <xf numFmtId="164" fontId="52" fillId="27" borderId="14" xfId="79" applyNumberFormat="1" applyFont="1" applyFill="1" applyBorder="1" applyAlignment="1">
      <alignment horizontal="center" vertical="center" wrapText="1"/>
    </xf>
    <xf numFmtId="164" fontId="52" fillId="27" borderId="16" xfId="79" applyNumberFormat="1" applyFont="1" applyFill="1" applyBorder="1" applyAlignment="1">
      <alignment horizontal="center" vertical="center" wrapText="1"/>
    </xf>
    <xf numFmtId="164" fontId="52" fillId="41" borderId="14" xfId="46" applyNumberFormat="1" applyFont="1" applyFill="1" applyBorder="1" applyAlignment="1">
      <alignment horizontal="center" vertical="center" wrapText="1"/>
    </xf>
    <xf numFmtId="164" fontId="52" fillId="41" borderId="16" xfId="46" applyNumberFormat="1" applyFont="1" applyFill="1" applyBorder="1" applyAlignment="1">
      <alignment horizontal="center" vertical="center" wrapText="1"/>
    </xf>
    <xf numFmtId="164" fontId="60" fillId="41" borderId="14" xfId="46" applyNumberFormat="1" applyFont="1" applyFill="1" applyBorder="1" applyAlignment="1">
      <alignment horizontal="center" vertical="center" wrapText="1"/>
    </xf>
    <xf numFmtId="49" fontId="52" fillId="0" borderId="14" xfId="79" applyNumberFormat="1" applyFont="1" applyBorder="1" applyAlignment="1">
      <alignment horizontal="center" vertical="center"/>
    </xf>
    <xf numFmtId="0" fontId="52" fillId="0" borderId="0" xfId="0" applyFont="1" applyAlignment="1">
      <alignment vertical="top" wrapText="1"/>
    </xf>
    <xf numFmtId="164" fontId="51" fillId="27" borderId="14" xfId="79" applyNumberFormat="1" applyFont="1" applyFill="1" applyBorder="1" applyAlignment="1">
      <alignment horizontal="center" vertical="center" wrapText="1"/>
    </xf>
    <xf numFmtId="164" fontId="51" fillId="27" borderId="16" xfId="79" applyNumberFormat="1" applyFont="1" applyFill="1" applyBorder="1" applyAlignment="1">
      <alignment horizontal="center" vertical="center" wrapText="1"/>
    </xf>
    <xf numFmtId="166" fontId="32" fillId="35" borderId="14" xfId="79" applyNumberFormat="1" applyFont="1" applyFill="1" applyBorder="1" applyAlignment="1">
      <alignment horizontal="center" vertical="center" wrapText="1"/>
    </xf>
    <xf numFmtId="166" fontId="32" fillId="35" borderId="14" xfId="79" applyNumberFormat="1" applyFont="1" applyFill="1" applyBorder="1" applyAlignment="1">
      <alignment horizontal="center" vertical="center"/>
    </xf>
    <xf numFmtId="164" fontId="32" fillId="35" borderId="14" xfId="79" applyNumberFormat="1" applyFont="1" applyFill="1" applyBorder="1" applyAlignment="1">
      <alignment horizontal="center" vertical="center"/>
    </xf>
    <xf numFmtId="164" fontId="32" fillId="35" borderId="16" xfId="79" applyNumberFormat="1" applyFont="1" applyFill="1" applyBorder="1" applyAlignment="1">
      <alignment horizontal="center" vertical="center"/>
    </xf>
    <xf numFmtId="0" fontId="60" fillId="27" borderId="14" xfId="0" applyFont="1" applyFill="1" applyBorder="1" applyAlignment="1">
      <alignment horizontal="center" vertical="center"/>
    </xf>
    <xf numFmtId="0" fontId="60" fillId="27" borderId="23" xfId="0" applyFont="1" applyFill="1" applyBorder="1" applyAlignment="1">
      <alignment horizontal="center" vertical="center"/>
    </xf>
    <xf numFmtId="166" fontId="52" fillId="34" borderId="14" xfId="0" applyNumberFormat="1" applyFont="1" applyFill="1" applyBorder="1" applyAlignment="1">
      <alignment horizontal="center" vertical="center"/>
    </xf>
    <xf numFmtId="166" fontId="52" fillId="0" borderId="14" xfId="79" applyNumberFormat="1" applyFont="1" applyBorder="1" applyAlignment="1">
      <alignment horizontal="center" vertical="center"/>
    </xf>
    <xf numFmtId="164" fontId="52" fillId="0" borderId="14" xfId="46" applyNumberFormat="1" applyFont="1" applyBorder="1" applyAlignment="1">
      <alignment horizontal="center" vertical="center" wrapText="1"/>
    </xf>
    <xf numFmtId="164" fontId="52" fillId="0" borderId="30" xfId="46" applyNumberFormat="1" applyFont="1" applyBorder="1" applyAlignment="1">
      <alignment horizontal="center" vertical="center" wrapText="1"/>
    </xf>
    <xf numFmtId="164" fontId="52" fillId="0" borderId="16" xfId="46" applyNumberFormat="1" applyFont="1" applyBorder="1" applyAlignment="1">
      <alignment horizontal="center" vertical="center" wrapText="1"/>
    </xf>
    <xf numFmtId="164" fontId="52" fillId="0" borderId="41" xfId="46" applyNumberFormat="1" applyFont="1" applyBorder="1" applyAlignment="1">
      <alignment horizontal="center" vertical="center" wrapText="1"/>
    </xf>
    <xf numFmtId="164" fontId="52" fillId="0" borderId="10" xfId="46" applyNumberFormat="1" applyFont="1" applyBorder="1" applyAlignment="1">
      <alignment horizontal="center" vertical="center" wrapText="1"/>
    </xf>
    <xf numFmtId="164" fontId="52" fillId="27" borderId="16" xfId="46" applyNumberFormat="1" applyFont="1" applyFill="1" applyBorder="1" applyAlignment="1">
      <alignment horizontal="center" vertical="center" wrapText="1"/>
    </xf>
    <xf numFmtId="49" fontId="52" fillId="0" borderId="17" xfId="79" applyNumberFormat="1" applyFont="1" applyBorder="1" applyAlignment="1">
      <alignment horizontal="center" vertical="center" wrapText="1"/>
    </xf>
    <xf numFmtId="1" fontId="52" fillId="0" borderId="17" xfId="79" applyNumberFormat="1" applyFont="1" applyBorder="1" applyAlignment="1">
      <alignment horizontal="center" vertical="center" wrapText="1"/>
    </xf>
    <xf numFmtId="0" fontId="52" fillId="27" borderId="35" xfId="0" applyFont="1" applyFill="1" applyBorder="1" applyAlignment="1">
      <alignment horizontal="center" vertical="center"/>
    </xf>
    <xf numFmtId="0" fontId="52" fillId="0" borderId="17" xfId="0" applyFont="1" applyBorder="1" applyAlignment="1">
      <alignment horizontal="center" vertical="center"/>
    </xf>
    <xf numFmtId="164" fontId="52" fillId="27" borderId="17" xfId="46" applyNumberFormat="1" applyFont="1" applyFill="1" applyBorder="1" applyAlignment="1">
      <alignment horizontal="center" vertical="center" wrapText="1"/>
    </xf>
    <xf numFmtId="164" fontId="52" fillId="27" borderId="30" xfId="46" applyNumberFormat="1" applyFont="1" applyFill="1" applyBorder="1" applyAlignment="1">
      <alignment horizontal="center" vertical="center" wrapText="1"/>
    </xf>
    <xf numFmtId="49" fontId="52" fillId="0" borderId="38" xfId="79" applyNumberFormat="1" applyFont="1" applyBorder="1" applyAlignment="1">
      <alignment horizontal="center" vertical="center" wrapText="1"/>
    </xf>
    <xf numFmtId="1" fontId="52" fillId="0" borderId="38" xfId="79" applyNumberFormat="1" applyFont="1" applyBorder="1" applyAlignment="1">
      <alignment horizontal="center" vertical="center" wrapText="1"/>
    </xf>
    <xf numFmtId="166" fontId="52" fillId="0" borderId="38" xfId="0" applyNumberFormat="1" applyFont="1" applyBorder="1" applyAlignment="1">
      <alignment horizontal="center" vertical="center"/>
    </xf>
    <xf numFmtId="164" fontId="52" fillId="27" borderId="38" xfId="46" applyNumberFormat="1" applyFont="1" applyFill="1" applyBorder="1" applyAlignment="1">
      <alignment horizontal="center" vertical="center" wrapText="1"/>
    </xf>
    <xf numFmtId="164" fontId="52" fillId="27" borderId="41" xfId="46" applyNumberFormat="1" applyFont="1" applyFill="1" applyBorder="1" applyAlignment="1">
      <alignment horizontal="center" vertical="center" wrapText="1"/>
    </xf>
    <xf numFmtId="166" fontId="52" fillId="0" borderId="38" xfId="79" applyNumberFormat="1" applyFont="1" applyBorder="1" applyAlignment="1">
      <alignment horizontal="center" vertical="center" wrapText="1"/>
    </xf>
    <xf numFmtId="166" fontId="52" fillId="0" borderId="38" xfId="79" applyNumberFormat="1" applyFont="1" applyBorder="1" applyAlignment="1">
      <alignment horizontal="center" vertical="center"/>
    </xf>
    <xf numFmtId="166" fontId="53" fillId="29" borderId="38" xfId="79" applyNumberFormat="1" applyFont="1" applyFill="1" applyBorder="1" applyAlignment="1">
      <alignment horizontal="center" vertical="center" wrapText="1"/>
    </xf>
    <xf numFmtId="164" fontId="52" fillId="27" borderId="38" xfId="79" applyNumberFormat="1" applyFont="1" applyFill="1" applyBorder="1" applyAlignment="1">
      <alignment horizontal="center" vertical="center" wrapText="1"/>
    </xf>
    <xf numFmtId="164" fontId="52" fillId="27" borderId="41" xfId="79" applyNumberFormat="1" applyFont="1" applyFill="1" applyBorder="1" applyAlignment="1">
      <alignment horizontal="center" vertical="center" wrapText="1"/>
    </xf>
    <xf numFmtId="0" fontId="21" fillId="0" borderId="17" xfId="0" applyFont="1" applyBorder="1" applyAlignment="1">
      <alignment horizontal="left" vertical="center" wrapText="1"/>
    </xf>
    <xf numFmtId="0" fontId="52" fillId="0" borderId="17" xfId="0" applyFont="1" applyBorder="1" applyAlignment="1">
      <alignment horizontal="center" vertical="center" wrapText="1"/>
    </xf>
    <xf numFmtId="166" fontId="52" fillId="0" borderId="17" xfId="79" applyNumberFormat="1" applyFont="1" applyBorder="1" applyAlignment="1">
      <alignment horizontal="center" vertical="center"/>
    </xf>
    <xf numFmtId="164" fontId="52" fillId="0" borderId="17" xfId="46" applyNumberFormat="1" applyFont="1" applyBorder="1" applyAlignment="1">
      <alignment horizontal="center" vertical="center" wrapText="1"/>
    </xf>
    <xf numFmtId="49" fontId="52" fillId="0" borderId="16" xfId="79" applyNumberFormat="1" applyFont="1" applyBorder="1" applyAlignment="1">
      <alignment horizontal="center" vertical="center" wrapText="1"/>
    </xf>
    <xf numFmtId="0" fontId="60" fillId="27" borderId="38" xfId="0" applyFont="1" applyFill="1" applyBorder="1" applyAlignment="1">
      <alignment horizontal="center" vertical="center" wrapText="1"/>
    </xf>
    <xf numFmtId="164" fontId="52" fillId="0" borderId="38" xfId="46" applyNumberFormat="1" applyFont="1" applyBorder="1" applyAlignment="1">
      <alignment horizontal="center" vertical="center" wrapText="1"/>
    </xf>
    <xf numFmtId="0" fontId="52" fillId="27" borderId="42" xfId="0" applyFont="1" applyFill="1" applyBorder="1" applyAlignment="1">
      <alignment horizontal="center" vertical="center"/>
    </xf>
    <xf numFmtId="49" fontId="52" fillId="0" borderId="10" xfId="79" applyNumberFormat="1" applyFont="1" applyBorder="1" applyAlignment="1">
      <alignment horizontal="center" vertical="center" wrapText="1"/>
    </xf>
    <xf numFmtId="1" fontId="52" fillId="0" borderId="42" xfId="79" applyNumberFormat="1" applyFont="1" applyBorder="1" applyAlignment="1">
      <alignment horizontal="center" vertical="center" wrapText="1"/>
    </xf>
    <xf numFmtId="166" fontId="52" fillId="0" borderId="42" xfId="79" applyNumberFormat="1" applyFont="1" applyBorder="1" applyAlignment="1">
      <alignment horizontal="center" vertical="center"/>
    </xf>
    <xf numFmtId="166" fontId="52" fillId="26" borderId="42" xfId="79" applyNumberFormat="1" applyFont="1" applyFill="1" applyBorder="1" applyAlignment="1">
      <alignment horizontal="center" vertical="center"/>
    </xf>
    <xf numFmtId="164" fontId="60" fillId="0" borderId="42" xfId="46" applyNumberFormat="1" applyFont="1" applyBorder="1" applyAlignment="1">
      <alignment horizontal="center" vertical="center" wrapText="1"/>
    </xf>
    <xf numFmtId="164" fontId="53" fillId="0" borderId="48" xfId="46" applyNumberFormat="1" applyFont="1" applyBorder="1" applyAlignment="1">
      <alignment horizontal="center" vertical="center" wrapText="1"/>
    </xf>
    <xf numFmtId="166" fontId="52" fillId="26" borderId="38" xfId="79" applyNumberFormat="1" applyFont="1" applyFill="1" applyBorder="1" applyAlignment="1">
      <alignment horizontal="center" vertical="center"/>
    </xf>
    <xf numFmtId="164" fontId="53" fillId="0" borderId="38" xfId="46" applyNumberFormat="1" applyFont="1" applyBorder="1" applyAlignment="1">
      <alignment horizontal="center" vertical="center" wrapText="1"/>
    </xf>
    <xf numFmtId="164" fontId="53" fillId="0" borderId="41" xfId="46" applyNumberFormat="1" applyFont="1" applyBorder="1" applyAlignment="1">
      <alignment horizontal="center" vertical="center" wrapText="1"/>
    </xf>
    <xf numFmtId="164" fontId="21" fillId="27" borderId="38" xfId="46" applyNumberFormat="1" applyFont="1" applyFill="1" applyBorder="1" applyAlignment="1">
      <alignment horizontal="center" vertical="center" wrapText="1"/>
    </xf>
    <xf numFmtId="166" fontId="52" fillId="27" borderId="38" xfId="79" applyNumberFormat="1" applyFont="1" applyFill="1" applyBorder="1" applyAlignment="1">
      <alignment horizontal="center" vertical="center"/>
    </xf>
    <xf numFmtId="164" fontId="60" fillId="27" borderId="38" xfId="46" applyNumberFormat="1" applyFont="1" applyFill="1" applyBorder="1" applyAlignment="1">
      <alignment horizontal="center" vertical="center" wrapText="1"/>
    </xf>
    <xf numFmtId="49" fontId="52" fillId="0" borderId="41" xfId="79" applyNumberFormat="1" applyFont="1" applyBorder="1" applyAlignment="1">
      <alignment horizontal="center" vertical="center" wrapText="1"/>
    </xf>
    <xf numFmtId="0" fontId="52" fillId="0" borderId="38" xfId="77" applyFont="1" applyBorder="1" applyAlignment="1">
      <alignment horizontal="center" vertical="center"/>
    </xf>
    <xf numFmtId="0" fontId="60" fillId="0" borderId="42" xfId="0" applyFont="1" applyBorder="1" applyAlignment="1">
      <alignment wrapText="1"/>
    </xf>
    <xf numFmtId="1" fontId="52" fillId="0" borderId="22" xfId="79" applyNumberFormat="1" applyFont="1" applyBorder="1" applyAlignment="1">
      <alignment horizontal="center" vertical="center" wrapText="1"/>
    </xf>
    <xf numFmtId="0" fontId="52" fillId="0" borderId="23" xfId="77" applyFont="1" applyBorder="1" applyAlignment="1">
      <alignment horizontal="center" vertical="center"/>
    </xf>
    <xf numFmtId="164" fontId="52" fillId="0" borderId="48" xfId="46" applyNumberFormat="1" applyFont="1" applyBorder="1" applyAlignment="1">
      <alignment horizontal="center" vertical="center" wrapText="1"/>
    </xf>
    <xf numFmtId="1" fontId="52" fillId="0" borderId="31" xfId="79" applyNumberFormat="1" applyFont="1" applyBorder="1" applyAlignment="1">
      <alignment horizontal="center" vertical="center" wrapText="1"/>
    </xf>
    <xf numFmtId="164" fontId="52" fillId="0" borderId="16" xfId="0" applyNumberFormat="1" applyFont="1" applyBorder="1" applyAlignment="1">
      <alignment horizontal="center" vertical="center"/>
    </xf>
    <xf numFmtId="164" fontId="52" fillId="0" borderId="41" xfId="0" applyNumberFormat="1" applyFont="1" applyBorder="1" applyAlignment="1">
      <alignment horizontal="center" vertical="center"/>
    </xf>
    <xf numFmtId="164" fontId="60" fillId="0" borderId="14" xfId="0" applyNumberFormat="1" applyFont="1" applyBorder="1" applyAlignment="1">
      <alignment horizontal="center" vertical="center"/>
    </xf>
    <xf numFmtId="164" fontId="52" fillId="0" borderId="16" xfId="79" applyNumberFormat="1" applyFont="1" applyBorder="1" applyAlignment="1">
      <alignment horizontal="center" vertical="center" wrapText="1"/>
    </xf>
    <xf numFmtId="166" fontId="52" fillId="26" borderId="14" xfId="79" applyNumberFormat="1" applyFont="1" applyFill="1" applyBorder="1" applyAlignment="1">
      <alignment horizontal="center" vertical="center"/>
    </xf>
    <xf numFmtId="166" fontId="52" fillId="0" borderId="16" xfId="79" applyNumberFormat="1" applyFont="1" applyBorder="1" applyAlignment="1">
      <alignment horizontal="center" vertical="center"/>
    </xf>
    <xf numFmtId="49" fontId="52" fillId="44" borderId="23" xfId="0" applyNumberFormat="1" applyFont="1" applyFill="1" applyBorder="1" applyAlignment="1">
      <alignment horizontal="center" vertical="center" wrapText="1"/>
    </xf>
    <xf numFmtId="49" fontId="52" fillId="27" borderId="23" xfId="0" quotePrefix="1" applyNumberFormat="1" applyFont="1" applyFill="1" applyBorder="1" applyAlignment="1">
      <alignment horizontal="center" vertical="center" wrapText="1"/>
    </xf>
    <xf numFmtId="49" fontId="51" fillId="27" borderId="23" xfId="0" quotePrefix="1" applyNumberFormat="1" applyFont="1" applyFill="1" applyBorder="1" applyAlignment="1">
      <alignment horizontal="left" vertical="center" wrapText="1"/>
    </xf>
    <xf numFmtId="1" fontId="52" fillId="27" borderId="23" xfId="79" applyNumberFormat="1" applyFont="1" applyFill="1" applyBorder="1" applyAlignment="1">
      <alignment horizontal="center" vertical="center" wrapText="1"/>
    </xf>
    <xf numFmtId="166" fontId="52" fillId="27" borderId="23" xfId="79" applyNumberFormat="1" applyFont="1" applyFill="1" applyBorder="1" applyAlignment="1">
      <alignment horizontal="center" vertical="center" wrapText="1"/>
    </xf>
    <xf numFmtId="166" fontId="52" fillId="41" borderId="23" xfId="79" applyNumberFormat="1" applyFont="1" applyFill="1" applyBorder="1" applyAlignment="1">
      <alignment horizontal="center" vertical="center"/>
    </xf>
    <xf numFmtId="166" fontId="52" fillId="41" borderId="23" xfId="79" applyNumberFormat="1" applyFont="1" applyFill="1" applyBorder="1" applyAlignment="1">
      <alignment horizontal="center" vertical="center" wrapText="1"/>
    </xf>
    <xf numFmtId="166" fontId="60" fillId="41" borderId="23" xfId="79" applyNumberFormat="1" applyFont="1" applyFill="1" applyBorder="1" applyAlignment="1">
      <alignment horizontal="center" vertical="center" wrapText="1"/>
    </xf>
    <xf numFmtId="164" fontId="60" fillId="41" borderId="23" xfId="79" applyNumberFormat="1" applyFont="1" applyFill="1" applyBorder="1" applyAlignment="1">
      <alignment horizontal="center" vertical="center" wrapText="1"/>
    </xf>
    <xf numFmtId="164" fontId="60" fillId="41" borderId="10" xfId="79" applyNumberFormat="1" applyFont="1" applyFill="1" applyBorder="1" applyAlignment="1">
      <alignment horizontal="center" vertical="center" wrapText="1"/>
    </xf>
    <xf numFmtId="49" fontId="52" fillId="27" borderId="14" xfId="79" applyNumberFormat="1" applyFont="1" applyFill="1" applyBorder="1" applyAlignment="1">
      <alignment horizontal="center" vertical="center" wrapText="1"/>
    </xf>
    <xf numFmtId="1" fontId="52" fillId="27" borderId="14" xfId="79" applyNumberFormat="1" applyFont="1" applyFill="1" applyBorder="1" applyAlignment="1">
      <alignment horizontal="center" vertical="center" wrapText="1"/>
    </xf>
    <xf numFmtId="166" fontId="52" fillId="41" borderId="14" xfId="79" applyNumberFormat="1" applyFont="1" applyFill="1" applyBorder="1" applyAlignment="1">
      <alignment horizontal="center" vertical="center" wrapText="1"/>
    </xf>
    <xf numFmtId="164" fontId="52" fillId="41" borderId="14" xfId="79" applyNumberFormat="1" applyFont="1" applyFill="1" applyBorder="1" applyAlignment="1">
      <alignment horizontal="center" vertical="center" wrapText="1"/>
    </xf>
    <xf numFmtId="164" fontId="52" fillId="41" borderId="16" xfId="79" applyNumberFormat="1" applyFont="1" applyFill="1" applyBorder="1" applyAlignment="1">
      <alignment horizontal="center" vertical="center" wrapText="1"/>
    </xf>
    <xf numFmtId="49" fontId="52" fillId="27" borderId="31" xfId="79" applyNumberFormat="1" applyFont="1" applyFill="1" applyBorder="1" applyAlignment="1">
      <alignment horizontal="center" vertical="center" wrapText="1"/>
    </xf>
    <xf numFmtId="164" fontId="60" fillId="27" borderId="14" xfId="46" applyNumberFormat="1" applyFont="1" applyFill="1" applyBorder="1" applyAlignment="1">
      <alignment horizontal="center" vertical="center" wrapText="1"/>
    </xf>
    <xf numFmtId="164" fontId="60" fillId="27" borderId="16" xfId="46" applyNumberFormat="1" applyFont="1" applyFill="1" applyBorder="1" applyAlignment="1">
      <alignment horizontal="center" vertical="center" wrapText="1"/>
    </xf>
    <xf numFmtId="164" fontId="60" fillId="27" borderId="14" xfId="0" applyNumberFormat="1" applyFont="1" applyFill="1" applyBorder="1" applyAlignment="1">
      <alignment horizontal="center" vertical="center"/>
    </xf>
    <xf numFmtId="49" fontId="60" fillId="0" borderId="14" xfId="79" applyNumberFormat="1" applyFont="1" applyBorder="1" applyAlignment="1">
      <alignment horizontal="center" vertical="center" wrapText="1"/>
    </xf>
    <xf numFmtId="1" fontId="60" fillId="0" borderId="14" xfId="79" applyNumberFormat="1" applyFont="1" applyBorder="1" applyAlignment="1">
      <alignment horizontal="center" vertical="center" wrapText="1"/>
    </xf>
    <xf numFmtId="0" fontId="60" fillId="27" borderId="23" xfId="0" applyFont="1" applyFill="1" applyBorder="1" applyAlignment="1">
      <alignment horizontal="center" vertical="center" wrapText="1"/>
    </xf>
    <xf numFmtId="164" fontId="60" fillId="0" borderId="16" xfId="0" applyNumberFormat="1" applyFont="1" applyBorder="1" applyAlignment="1">
      <alignment horizontal="center" vertical="center"/>
    </xf>
    <xf numFmtId="164" fontId="53" fillId="0" borderId="16" xfId="0" applyNumberFormat="1" applyFont="1" applyBorder="1" applyAlignment="1">
      <alignment horizontal="center" vertical="center"/>
    </xf>
    <xf numFmtId="164" fontId="53" fillId="0" borderId="14" xfId="0" applyNumberFormat="1" applyFont="1" applyBorder="1" applyAlignment="1">
      <alignment horizontal="center" vertical="center"/>
    </xf>
    <xf numFmtId="0" fontId="60" fillId="0" borderId="0" xfId="0" applyFont="1" applyAlignment="1">
      <alignment wrapText="1"/>
    </xf>
    <xf numFmtId="49" fontId="52" fillId="27" borderId="14" xfId="0" quotePrefix="1" applyNumberFormat="1" applyFont="1" applyFill="1" applyBorder="1" applyAlignment="1">
      <alignment horizontal="left" vertical="center" wrapText="1"/>
    </xf>
    <xf numFmtId="164" fontId="21" fillId="0" borderId="14" xfId="79" applyNumberFormat="1" applyFont="1" applyBorder="1" applyAlignment="1">
      <alignment horizontal="center" vertical="center" wrapText="1"/>
    </xf>
    <xf numFmtId="164" fontId="21" fillId="0" borderId="16" xfId="79" applyNumberFormat="1" applyFont="1" applyBorder="1" applyAlignment="1">
      <alignment horizontal="center" vertical="center" wrapText="1"/>
    </xf>
    <xf numFmtId="164" fontId="52" fillId="39" borderId="14" xfId="46" applyNumberFormat="1" applyFont="1" applyFill="1" applyBorder="1" applyAlignment="1">
      <alignment horizontal="center" vertical="center" wrapText="1"/>
    </xf>
    <xf numFmtId="164" fontId="52" fillId="39" borderId="16" xfId="46" applyNumberFormat="1" applyFont="1" applyFill="1" applyBorder="1" applyAlignment="1">
      <alignment horizontal="center" vertical="center" wrapText="1"/>
    </xf>
    <xf numFmtId="166" fontId="52" fillId="0" borderId="14" xfId="79" applyNumberFormat="1" applyFont="1" applyBorder="1" applyAlignment="1">
      <alignment horizontal="right" vertical="center" wrapText="1"/>
    </xf>
    <xf numFmtId="166" fontId="32" fillId="35" borderId="14" xfId="46" applyNumberFormat="1" applyFill="1" applyBorder="1" applyAlignment="1">
      <alignment horizontal="center" vertical="center" wrapText="1"/>
    </xf>
    <xf numFmtId="49" fontId="52" fillId="38" borderId="14" xfId="0" applyNumberFormat="1" applyFont="1" applyFill="1" applyBorder="1" applyAlignment="1">
      <alignment horizontal="center" vertical="center" wrapText="1"/>
    </xf>
    <xf numFmtId="166" fontId="52" fillId="27" borderId="14" xfId="79" applyNumberFormat="1" applyFont="1" applyFill="1" applyBorder="1" applyAlignment="1">
      <alignment horizontal="center" wrapText="1"/>
    </xf>
    <xf numFmtId="166" fontId="51" fillId="38" borderId="14" xfId="46" applyNumberFormat="1" applyFont="1" applyFill="1" applyBorder="1" applyAlignment="1">
      <alignment horizontal="center" vertical="center" wrapText="1"/>
    </xf>
    <xf numFmtId="164" fontId="51" fillId="38" borderId="14" xfId="46" applyNumberFormat="1" applyFont="1" applyFill="1" applyBorder="1" applyAlignment="1">
      <alignment horizontal="center" vertical="center" wrapText="1"/>
    </xf>
    <xf numFmtId="164" fontId="51" fillId="38" borderId="16" xfId="46" applyNumberFormat="1" applyFont="1" applyFill="1" applyBorder="1" applyAlignment="1">
      <alignment horizontal="center" vertical="center" wrapText="1"/>
    </xf>
    <xf numFmtId="166" fontId="52" fillId="27" borderId="14" xfId="79" applyNumberFormat="1" applyFont="1" applyFill="1" applyBorder="1" applyAlignment="1">
      <alignment horizontal="left" vertical="center" wrapText="1"/>
    </xf>
    <xf numFmtId="166" fontId="52" fillId="29" borderId="14" xfId="79" applyNumberFormat="1" applyFont="1" applyFill="1" applyBorder="1" applyAlignment="1">
      <alignment horizontal="center" vertical="center"/>
    </xf>
    <xf numFmtId="164" fontId="52" fillId="0" borderId="14" xfId="79" applyNumberFormat="1" applyFont="1" applyBorder="1" applyAlignment="1">
      <alignment horizontal="center" vertical="center"/>
    </xf>
    <xf numFmtId="164" fontId="52" fillId="0" borderId="16" xfId="79" applyNumberFormat="1" applyFont="1" applyBorder="1" applyAlignment="1">
      <alignment horizontal="center" vertical="center"/>
    </xf>
    <xf numFmtId="1" fontId="52" fillId="0" borderId="14" xfId="79" applyNumberFormat="1" applyFont="1" applyBorder="1" applyAlignment="1">
      <alignment horizontal="center" vertical="center"/>
    </xf>
    <xf numFmtId="164" fontId="21" fillId="27" borderId="14" xfId="79" applyNumberFormat="1" applyFont="1" applyFill="1" applyBorder="1" applyAlignment="1">
      <alignment horizontal="center" vertical="center" wrapText="1"/>
    </xf>
    <xf numFmtId="164" fontId="21" fillId="27" borderId="16" xfId="79" applyNumberFormat="1" applyFont="1" applyFill="1" applyBorder="1" applyAlignment="1">
      <alignment horizontal="center" vertical="center" wrapText="1"/>
    </xf>
    <xf numFmtId="1" fontId="52" fillId="27" borderId="14" xfId="79" applyNumberFormat="1" applyFont="1" applyFill="1" applyBorder="1" applyAlignment="1">
      <alignment horizontal="center" vertical="center"/>
    </xf>
    <xf numFmtId="166" fontId="52" fillId="27" borderId="14" xfId="79" applyNumberFormat="1" applyFont="1" applyFill="1" applyBorder="1" applyAlignment="1">
      <alignment horizontal="center" vertical="center"/>
    </xf>
    <xf numFmtId="49" fontId="52" fillId="27" borderId="14" xfId="79" applyNumberFormat="1" applyFont="1" applyFill="1" applyBorder="1" applyAlignment="1">
      <alignment horizontal="center" vertical="center"/>
    </xf>
    <xf numFmtId="166" fontId="52" fillId="0" borderId="14" xfId="79" applyNumberFormat="1" applyFont="1" applyBorder="1" applyAlignment="1">
      <alignment horizontal="left" vertical="center" wrapText="1" shrinkToFit="1"/>
    </xf>
    <xf numFmtId="0" fontId="52" fillId="51" borderId="14" xfId="0" applyFont="1" applyFill="1" applyBorder="1" applyAlignment="1">
      <alignment wrapText="1"/>
    </xf>
    <xf numFmtId="166" fontId="32" fillId="35" borderId="17" xfId="79" applyNumberFormat="1" applyFont="1" applyFill="1" applyBorder="1" applyAlignment="1">
      <alignment horizontal="center" vertical="center" wrapText="1"/>
    </xf>
    <xf numFmtId="166" fontId="32" fillId="35" borderId="17" xfId="79" applyNumberFormat="1" applyFont="1" applyFill="1" applyBorder="1" applyAlignment="1">
      <alignment horizontal="center" vertical="center"/>
    </xf>
    <xf numFmtId="166" fontId="32" fillId="35" borderId="17" xfId="46" applyNumberFormat="1" applyFill="1" applyBorder="1" applyAlignment="1">
      <alignment horizontal="center" vertical="center" wrapText="1"/>
    </xf>
    <xf numFmtId="164" fontId="32" fillId="35" borderId="17" xfId="79" applyNumberFormat="1" applyFont="1" applyFill="1" applyBorder="1" applyAlignment="1">
      <alignment horizontal="center" vertical="center"/>
    </xf>
    <xf numFmtId="164" fontId="32" fillId="35" borderId="30" xfId="79" applyNumberFormat="1" applyFont="1" applyFill="1" applyBorder="1" applyAlignment="1">
      <alignment horizontal="center" vertical="center"/>
    </xf>
    <xf numFmtId="49" fontId="52" fillId="27" borderId="14" xfId="0" quotePrefix="1" applyNumberFormat="1" applyFont="1" applyFill="1" applyBorder="1" applyAlignment="1">
      <alignment horizontal="center" wrapText="1"/>
    </xf>
    <xf numFmtId="49" fontId="52" fillId="27" borderId="14" xfId="0" applyNumberFormat="1" applyFont="1" applyFill="1" applyBorder="1" applyAlignment="1">
      <alignment horizontal="center" wrapText="1"/>
    </xf>
    <xf numFmtId="49" fontId="60" fillId="0" borderId="14" xfId="0" applyNumberFormat="1" applyFont="1" applyBorder="1" applyAlignment="1">
      <alignment horizontal="center"/>
    </xf>
    <xf numFmtId="164" fontId="60" fillId="0" borderId="14" xfId="0" applyNumberFormat="1" applyFont="1" applyBorder="1" applyAlignment="1">
      <alignment horizontal="center" wrapText="1"/>
    </xf>
    <xf numFmtId="164" fontId="53" fillId="0" borderId="16" xfId="0" applyNumberFormat="1" applyFont="1" applyBorder="1" applyAlignment="1">
      <alignment horizontal="center" wrapText="1"/>
    </xf>
    <xf numFmtId="164" fontId="52" fillId="0" borderId="16" xfId="0" applyNumberFormat="1" applyFont="1" applyBorder="1" applyAlignment="1">
      <alignment horizontal="center" wrapText="1"/>
    </xf>
    <xf numFmtId="164" fontId="53" fillId="0" borderId="14" xfId="0" applyNumberFormat="1" applyFont="1" applyBorder="1" applyAlignment="1">
      <alignment horizontal="center" wrapText="1"/>
    </xf>
    <xf numFmtId="164" fontId="60" fillId="0" borderId="16" xfId="0" applyNumberFormat="1" applyFont="1" applyBorder="1" applyAlignment="1">
      <alignment horizontal="center" wrapText="1"/>
    </xf>
    <xf numFmtId="49" fontId="60" fillId="0" borderId="17" xfId="0" applyNumberFormat="1" applyFont="1" applyBorder="1" applyAlignment="1">
      <alignment horizontal="center"/>
    </xf>
    <xf numFmtId="164" fontId="60" fillId="0" borderId="30" xfId="0" applyNumberFormat="1" applyFont="1" applyBorder="1" applyAlignment="1">
      <alignment horizontal="center" wrapText="1"/>
    </xf>
    <xf numFmtId="0" fontId="60" fillId="0" borderId="17" xfId="0" applyFont="1" applyBorder="1" applyAlignment="1">
      <alignment horizontal="center" wrapText="1"/>
    </xf>
    <xf numFmtId="164" fontId="60" fillId="0" borderId="17" xfId="0" applyNumberFormat="1" applyFont="1" applyBorder="1" applyAlignment="1">
      <alignment horizontal="center" wrapText="1"/>
    </xf>
    <xf numFmtId="49" fontId="60" fillId="0" borderId="38" xfId="0" applyNumberFormat="1" applyFont="1" applyBorder="1" applyAlignment="1">
      <alignment horizontal="center"/>
    </xf>
    <xf numFmtId="0" fontId="60" fillId="0" borderId="38" xfId="0" applyFont="1" applyBorder="1" applyAlignment="1">
      <alignment horizontal="center" wrapText="1"/>
    </xf>
    <xf numFmtId="164" fontId="60" fillId="0" borderId="38" xfId="0" applyNumberFormat="1" applyFont="1" applyBorder="1" applyAlignment="1">
      <alignment horizontal="center" wrapText="1"/>
    </xf>
    <xf numFmtId="164" fontId="60" fillId="0" borderId="41" xfId="0" applyNumberFormat="1" applyFont="1" applyBorder="1" applyAlignment="1">
      <alignment horizontal="center" wrapText="1"/>
    </xf>
    <xf numFmtId="49" fontId="60" fillId="0" borderId="40" xfId="0" applyNumberFormat="1" applyFont="1" applyBorder="1" applyAlignment="1">
      <alignment horizontal="center"/>
    </xf>
    <xf numFmtId="0" fontId="60" fillId="0" borderId="40" xfId="0" applyFont="1" applyBorder="1" applyAlignment="1">
      <alignment horizontal="center" wrapText="1"/>
    </xf>
    <xf numFmtId="164" fontId="60" fillId="0" borderId="40" xfId="0" applyNumberFormat="1" applyFont="1" applyBorder="1" applyAlignment="1">
      <alignment horizontal="center" wrapText="1"/>
    </xf>
    <xf numFmtId="164" fontId="60" fillId="0" borderId="45" xfId="0" applyNumberFormat="1" applyFont="1" applyBorder="1" applyAlignment="1">
      <alignment horizontal="center" wrapText="1"/>
    </xf>
    <xf numFmtId="49" fontId="60" fillId="0" borderId="41" xfId="0" applyNumberFormat="1" applyFont="1" applyBorder="1" applyAlignment="1">
      <alignment horizontal="center"/>
    </xf>
    <xf numFmtId="49" fontId="60" fillId="0" borderId="45" xfId="0" applyNumberFormat="1" applyFont="1" applyBorder="1" applyAlignment="1">
      <alignment horizontal="center"/>
    </xf>
    <xf numFmtId="49" fontId="52" fillId="0" borderId="38" xfId="0" applyNumberFormat="1" applyFont="1" applyBorder="1" applyAlignment="1">
      <alignment horizontal="center"/>
    </xf>
    <xf numFmtId="164" fontId="52" fillId="0" borderId="38" xfId="0" applyNumberFormat="1" applyFont="1" applyBorder="1" applyAlignment="1">
      <alignment horizontal="center"/>
    </xf>
    <xf numFmtId="164" fontId="52" fillId="0" borderId="41" xfId="0" applyNumberFormat="1" applyFont="1" applyBorder="1" applyAlignment="1">
      <alignment horizontal="center"/>
    </xf>
    <xf numFmtId="0" fontId="52" fillId="0" borderId="40" xfId="0" applyFont="1" applyBorder="1" applyAlignment="1">
      <alignment horizontal="center"/>
    </xf>
    <xf numFmtId="164" fontId="52" fillId="0" borderId="40" xfId="0" applyNumberFormat="1" applyFont="1" applyBorder="1" applyAlignment="1">
      <alignment horizontal="center"/>
    </xf>
    <xf numFmtId="164" fontId="52" fillId="0" borderId="45" xfId="0" applyNumberFormat="1" applyFont="1" applyBorder="1" applyAlignment="1">
      <alignment horizontal="center"/>
    </xf>
    <xf numFmtId="49" fontId="52" fillId="44" borderId="14" xfId="0" applyNumberFormat="1" applyFont="1" applyFill="1" applyBorder="1" applyAlignment="1">
      <alignment horizontal="center" wrapText="1"/>
    </xf>
    <xf numFmtId="0" fontId="60" fillId="44" borderId="14" xfId="0" applyFont="1" applyFill="1" applyBorder="1" applyAlignment="1">
      <alignment wrapText="1"/>
    </xf>
    <xf numFmtId="166" fontId="51" fillId="44" borderId="14" xfId="0" applyNumberFormat="1" applyFont="1" applyFill="1" applyBorder="1" applyAlignment="1">
      <alignment horizontal="center" wrapText="1"/>
    </xf>
    <xf numFmtId="164" fontId="51" fillId="44" borderId="14" xfId="0" applyNumberFormat="1" applyFont="1" applyFill="1" applyBorder="1" applyAlignment="1">
      <alignment horizontal="center" wrapText="1"/>
    </xf>
    <xf numFmtId="164" fontId="51" fillId="44" borderId="16" xfId="0" applyNumberFormat="1" applyFont="1" applyFill="1" applyBorder="1" applyAlignment="1">
      <alignment horizontal="center" wrapText="1"/>
    </xf>
    <xf numFmtId="0" fontId="52" fillId="44" borderId="14" xfId="0" applyFont="1" applyFill="1" applyBorder="1" applyAlignment="1">
      <alignment wrapText="1"/>
    </xf>
    <xf numFmtId="0" fontId="53" fillId="52" borderId="14" xfId="0" applyFont="1" applyFill="1" applyBorder="1" applyAlignment="1">
      <alignment horizontal="center"/>
    </xf>
    <xf numFmtId="164" fontId="52" fillId="0" borderId="14" xfId="0" applyNumberFormat="1" applyFont="1" applyBorder="1" applyAlignment="1">
      <alignment horizontal="center"/>
    </xf>
    <xf numFmtId="164" fontId="52" fillId="0" borderId="16" xfId="0" applyNumberFormat="1" applyFont="1" applyBorder="1" applyAlignment="1">
      <alignment horizontal="center"/>
    </xf>
    <xf numFmtId="49" fontId="52" fillId="50" borderId="14" xfId="0" applyNumberFormat="1" applyFont="1" applyFill="1" applyBorder="1" applyAlignment="1">
      <alignment horizontal="center"/>
    </xf>
    <xf numFmtId="0" fontId="52" fillId="50" borderId="14" xfId="0" applyFont="1" applyFill="1" applyBorder="1" applyAlignment="1">
      <alignment wrapText="1"/>
    </xf>
    <xf numFmtId="0" fontId="52" fillId="50" borderId="14" xfId="0" applyFont="1" applyFill="1" applyBorder="1" applyAlignment="1">
      <alignment horizontal="center"/>
    </xf>
    <xf numFmtId="164" fontId="52" fillId="50" borderId="14" xfId="0" applyNumberFormat="1" applyFont="1" applyFill="1" applyBorder="1" applyAlignment="1">
      <alignment horizontal="center" wrapText="1"/>
    </xf>
    <xf numFmtId="164" fontId="52" fillId="50" borderId="16" xfId="0" applyNumberFormat="1" applyFont="1" applyFill="1" applyBorder="1" applyAlignment="1">
      <alignment horizontal="center" wrapText="1"/>
    </xf>
    <xf numFmtId="0" fontId="52" fillId="53" borderId="14" xfId="0" applyFont="1" applyFill="1" applyBorder="1" applyAlignment="1">
      <alignment horizontal="center" wrapText="1"/>
    </xf>
    <xf numFmtId="164" fontId="52" fillId="0" borderId="14" xfId="0" applyNumberFormat="1" applyFont="1" applyBorder="1" applyAlignment="1">
      <alignment horizontal="center" wrapText="1"/>
    </xf>
    <xf numFmtId="0" fontId="60" fillId="0" borderId="14" xfId="0" applyFont="1" applyBorder="1" applyAlignment="1">
      <alignment horizontal="right" wrapText="1"/>
    </xf>
    <xf numFmtId="0" fontId="60" fillId="53" borderId="14" xfId="0" applyFont="1" applyFill="1" applyBorder="1" applyAlignment="1">
      <alignment horizontal="center" wrapText="1"/>
    </xf>
    <xf numFmtId="0" fontId="52" fillId="0" borderId="0" xfId="0" applyFont="1" applyAlignment="1">
      <alignment horizontal="right" wrapText="1"/>
    </xf>
    <xf numFmtId="49" fontId="52" fillId="0" borderId="14" xfId="0" applyNumberFormat="1" applyFont="1" applyBorder="1" applyAlignment="1">
      <alignment horizontal="center" wrapText="1"/>
    </xf>
    <xf numFmtId="0" fontId="52" fillId="52" borderId="14" xfId="0" applyFont="1" applyFill="1" applyBorder="1" applyAlignment="1">
      <alignment horizontal="center" wrapText="1"/>
    </xf>
    <xf numFmtId="0" fontId="52" fillId="27" borderId="14" xfId="77" applyFont="1" applyFill="1" applyBorder="1" applyAlignment="1">
      <alignment horizontal="center" vertical="center"/>
    </xf>
    <xf numFmtId="164" fontId="52" fillId="27" borderId="17" xfId="0" applyNumberFormat="1" applyFont="1" applyFill="1" applyBorder="1" applyAlignment="1">
      <alignment horizontal="center" wrapText="1"/>
    </xf>
    <xf numFmtId="164" fontId="52" fillId="27" borderId="30" xfId="0" applyNumberFormat="1" applyFont="1" applyFill="1" applyBorder="1" applyAlignment="1">
      <alignment horizontal="center" wrapText="1"/>
    </xf>
    <xf numFmtId="164" fontId="52" fillId="27" borderId="38" xfId="0" applyNumberFormat="1" applyFont="1" applyFill="1" applyBorder="1" applyAlignment="1">
      <alignment horizontal="center"/>
    </xf>
    <xf numFmtId="164" fontId="52" fillId="27" borderId="41" xfId="0" applyNumberFormat="1" applyFont="1" applyFill="1" applyBorder="1" applyAlignment="1">
      <alignment horizontal="center"/>
    </xf>
    <xf numFmtId="0" fontId="60" fillId="0" borderId="42" xfId="0" applyFont="1" applyBorder="1" applyAlignment="1">
      <alignment horizontal="left" vertical="center" wrapText="1"/>
    </xf>
    <xf numFmtId="0" fontId="21" fillId="0" borderId="14" xfId="71" applyFont="1" applyBorder="1" applyAlignment="1" applyProtection="1">
      <alignment vertical="center" wrapText="1"/>
    </xf>
    <xf numFmtId="0" fontId="21" fillId="0" borderId="14" xfId="76" applyFont="1" applyBorder="1" applyAlignment="1">
      <alignment horizontal="center" vertical="center"/>
    </xf>
    <xf numFmtId="49" fontId="21" fillId="0" borderId="14" xfId="76" applyNumberFormat="1" applyFont="1" applyBorder="1"/>
    <xf numFmtId="0" fontId="21" fillId="0" borderId="14" xfId="76" applyFont="1" applyBorder="1" applyAlignment="1">
      <alignment vertical="center" wrapText="1"/>
    </xf>
    <xf numFmtId="0" fontId="21" fillId="27" borderId="14" xfId="76" applyFont="1" applyFill="1" applyBorder="1" applyAlignment="1">
      <alignment horizontal="center" vertical="center"/>
    </xf>
    <xf numFmtId="166" fontId="21" fillId="27" borderId="14" xfId="76" applyNumberFormat="1" applyFont="1" applyFill="1" applyBorder="1" applyAlignment="1">
      <alignment horizontal="center" vertical="center"/>
    </xf>
    <xf numFmtId="166" fontId="21" fillId="0" borderId="14" xfId="76" applyNumberFormat="1" applyFont="1" applyBorder="1" applyAlignment="1">
      <alignment horizontal="center" vertical="center"/>
    </xf>
    <xf numFmtId="0" fontId="21" fillId="0" borderId="14" xfId="76" applyFont="1" applyBorder="1" applyAlignment="1">
      <alignment vertical="center"/>
    </xf>
    <xf numFmtId="166" fontId="21" fillId="33" borderId="14" xfId="76" applyNumberFormat="1" applyFont="1" applyFill="1" applyBorder="1" applyAlignment="1">
      <alignment horizontal="center" vertical="center"/>
    </xf>
    <xf numFmtId="166" fontId="21" fillId="34" borderId="14" xfId="76" applyNumberFormat="1" applyFont="1" applyFill="1" applyBorder="1" applyAlignment="1">
      <alignment horizontal="center" vertical="center"/>
    </xf>
    <xf numFmtId="0" fontId="21" fillId="0" borderId="14" xfId="76" applyFont="1" applyBorder="1" applyAlignment="1">
      <alignment horizontal="right" vertical="center" wrapText="1"/>
    </xf>
    <xf numFmtId="49" fontId="21" fillId="0" borderId="14" xfId="76" applyNumberFormat="1" applyFont="1" applyBorder="1" applyAlignment="1">
      <alignment horizontal="center" vertical="center"/>
    </xf>
    <xf numFmtId="0" fontId="21" fillId="0" borderId="14" xfId="76" applyFont="1" applyBorder="1"/>
    <xf numFmtId="0" fontId="21" fillId="0" borderId="14" xfId="46" applyFont="1" applyBorder="1" applyAlignment="1">
      <alignment horizontal="center" vertical="center" wrapText="1"/>
    </xf>
    <xf numFmtId="0" fontId="21" fillId="0" borderId="14" xfId="0" applyFont="1" applyBorder="1" applyAlignment="1">
      <alignment horizontal="left" vertical="center" wrapText="1"/>
    </xf>
    <xf numFmtId="0" fontId="21" fillId="0" borderId="16" xfId="0" applyFont="1" applyBorder="1" applyAlignment="1">
      <alignment horizontal="center" vertical="center" wrapText="1"/>
    </xf>
    <xf numFmtId="0" fontId="21" fillId="0" borderId="14" xfId="46" applyFont="1" applyBorder="1" applyAlignment="1">
      <alignment horizontal="left" vertical="center" wrapText="1"/>
    </xf>
    <xf numFmtId="0" fontId="21" fillId="0" borderId="30" xfId="0" applyFont="1" applyBorder="1" applyAlignment="1">
      <alignment horizontal="center" vertical="center" wrapText="1"/>
    </xf>
    <xf numFmtId="0" fontId="21" fillId="0" borderId="40" xfId="0" applyFont="1" applyBorder="1" applyAlignment="1">
      <alignment horizontal="left" vertical="center" wrapText="1"/>
    </xf>
    <xf numFmtId="0" fontId="21" fillId="0" borderId="40" xfId="46" applyFont="1" applyBorder="1" applyAlignment="1">
      <alignment horizontal="left" vertical="center" wrapText="1"/>
    </xf>
    <xf numFmtId="0" fontId="21" fillId="0" borderId="38" xfId="0" applyFont="1" applyBorder="1" applyAlignment="1">
      <alignment horizontal="center" vertical="center" wrapText="1"/>
    </xf>
    <xf numFmtId="0" fontId="21" fillId="0" borderId="23" xfId="0" applyFont="1" applyBorder="1" applyAlignment="1">
      <alignment horizontal="center" vertical="center" wrapText="1"/>
    </xf>
    <xf numFmtId="166" fontId="60" fillId="0" borderId="23" xfId="46" applyNumberFormat="1" applyFont="1" applyBorder="1" applyAlignment="1">
      <alignment horizontal="left" vertical="center" wrapText="1"/>
    </xf>
    <xf numFmtId="0" fontId="21" fillId="0" borderId="23" xfId="46" applyFont="1" applyBorder="1" applyAlignment="1">
      <alignment horizontal="center" vertical="center" wrapText="1"/>
    </xf>
    <xf numFmtId="166" fontId="21" fillId="0" borderId="14" xfId="46" applyNumberFormat="1" applyFont="1" applyBorder="1" applyAlignment="1">
      <alignment horizontal="left" vertical="center" wrapText="1"/>
    </xf>
    <xf numFmtId="0" fontId="32" fillId="0" borderId="14" xfId="0" applyFont="1" applyBorder="1" applyAlignment="1">
      <alignment horizontal="left" vertical="center" wrapText="1"/>
    </xf>
    <xf numFmtId="49" fontId="32" fillId="0" borderId="14" xfId="0" applyNumberFormat="1" applyFont="1" applyBorder="1" applyAlignment="1">
      <alignment horizontal="center" vertical="center" wrapText="1"/>
    </xf>
    <xf numFmtId="166" fontId="66" fillId="0" borderId="14" xfId="79" applyNumberFormat="1" applyFont="1" applyBorder="1" applyAlignment="1">
      <alignment horizontal="left" vertical="center" wrapText="1"/>
    </xf>
    <xf numFmtId="166" fontId="21" fillId="0" borderId="14" xfId="79" applyNumberFormat="1" applyFont="1" applyBorder="1" applyAlignment="1">
      <alignment horizontal="center" vertical="center" wrapText="1"/>
    </xf>
    <xf numFmtId="166" fontId="21" fillId="0" borderId="14" xfId="79" applyNumberFormat="1" applyFont="1" applyBorder="1" applyAlignment="1">
      <alignment horizontal="left" vertical="center" wrapText="1"/>
    </xf>
    <xf numFmtId="3" fontId="21" fillId="0" borderId="14" xfId="79" applyNumberFormat="1" applyFont="1" applyBorder="1" applyAlignment="1">
      <alignment horizontal="center" vertical="center" wrapText="1"/>
    </xf>
    <xf numFmtId="166" fontId="21" fillId="0" borderId="14" xfId="79" applyNumberFormat="1" applyFont="1" applyBorder="1" applyAlignment="1">
      <alignment horizontal="left" vertical="center"/>
    </xf>
    <xf numFmtId="166" fontId="21" fillId="0" borderId="14" xfId="79" applyNumberFormat="1" applyFont="1" applyBorder="1" applyAlignment="1">
      <alignment horizontal="center" vertical="center"/>
    </xf>
    <xf numFmtId="166" fontId="21" fillId="0" borderId="17" xfId="79" applyNumberFormat="1" applyFont="1" applyBorder="1" applyAlignment="1">
      <alignment horizontal="left" vertical="center"/>
    </xf>
    <xf numFmtId="166" fontId="21" fillId="0" borderId="23" xfId="79" applyNumberFormat="1" applyFont="1" applyBorder="1" applyAlignment="1">
      <alignment horizontal="left" vertical="center" wrapText="1"/>
    </xf>
    <xf numFmtId="166" fontId="66" fillId="27" borderId="17" xfId="79" applyNumberFormat="1" applyFont="1" applyFill="1" applyBorder="1" applyAlignment="1">
      <alignment horizontal="left" vertical="center" wrapText="1"/>
    </xf>
    <xf numFmtId="166" fontId="21" fillId="27" borderId="38" xfId="79" applyNumberFormat="1" applyFont="1" applyFill="1" applyBorder="1" applyAlignment="1">
      <alignment horizontal="left" vertical="center" wrapText="1"/>
    </xf>
    <xf numFmtId="166" fontId="21" fillId="0" borderId="38" xfId="79" applyNumberFormat="1" applyFont="1" applyBorder="1" applyAlignment="1">
      <alignment horizontal="left" vertical="center" wrapText="1"/>
    </xf>
    <xf numFmtId="166" fontId="66" fillId="27" borderId="38" xfId="79" applyNumberFormat="1" applyFont="1" applyFill="1" applyBorder="1" applyAlignment="1">
      <alignment horizontal="center" vertical="center" wrapText="1"/>
    </xf>
    <xf numFmtId="166" fontId="21" fillId="0" borderId="22" xfId="79" applyNumberFormat="1" applyFont="1" applyBorder="1" applyAlignment="1">
      <alignment horizontal="left" vertical="center" wrapText="1"/>
    </xf>
    <xf numFmtId="166" fontId="21" fillId="0" borderId="16" xfId="79" applyNumberFormat="1" applyFont="1" applyBorder="1" applyAlignment="1">
      <alignment horizontal="left" vertical="center" wrapText="1"/>
    </xf>
    <xf numFmtId="166" fontId="21" fillId="0" borderId="31" xfId="79" applyNumberFormat="1" applyFont="1" applyBorder="1" applyAlignment="1">
      <alignment horizontal="left" vertical="center" wrapText="1"/>
    </xf>
    <xf numFmtId="3" fontId="52" fillId="0" borderId="14" xfId="79" applyNumberFormat="1" applyFont="1" applyBorder="1" applyAlignment="1">
      <alignment horizontal="center" vertical="center"/>
    </xf>
    <xf numFmtId="0" fontId="52" fillId="0" borderId="14" xfId="0" applyFont="1" applyBorder="1" applyAlignment="1">
      <alignment horizontal="left"/>
    </xf>
    <xf numFmtId="3" fontId="21" fillId="0" borderId="14" xfId="79" applyNumberFormat="1" applyFont="1" applyBorder="1" applyAlignment="1">
      <alignment horizontal="center" vertical="center"/>
    </xf>
    <xf numFmtId="166" fontId="21" fillId="0" borderId="17" xfId="79" applyNumberFormat="1" applyFont="1" applyBorder="1" applyAlignment="1">
      <alignment vertical="center"/>
    </xf>
    <xf numFmtId="166" fontId="21" fillId="0" borderId="38" xfId="79" applyNumberFormat="1" applyFont="1" applyBorder="1" applyAlignment="1">
      <alignment horizontal="left" vertical="center"/>
    </xf>
    <xf numFmtId="3" fontId="21" fillId="0" borderId="38" xfId="79" applyNumberFormat="1" applyFont="1" applyBorder="1" applyAlignment="1">
      <alignment horizontal="center" vertical="center"/>
    </xf>
    <xf numFmtId="0" fontId="52" fillId="0" borderId="38" xfId="0" applyFont="1" applyBorder="1" applyAlignment="1">
      <alignment horizontal="left"/>
    </xf>
    <xf numFmtId="166" fontId="21" fillId="0" borderId="23" xfId="79" applyNumberFormat="1" applyFont="1" applyBorder="1" applyAlignment="1">
      <alignment horizontal="left" vertical="center"/>
    </xf>
    <xf numFmtId="0" fontId="60" fillId="0" borderId="47" xfId="0" applyFont="1" applyBorder="1"/>
    <xf numFmtId="0" fontId="60" fillId="0" borderId="14" xfId="0" applyFont="1" applyBorder="1" applyAlignment="1">
      <alignment horizontal="left"/>
    </xf>
    <xf numFmtId="166" fontId="21" fillId="27" borderId="38" xfId="79" applyNumberFormat="1" applyFont="1" applyFill="1" applyBorder="1" applyAlignment="1">
      <alignment horizontal="left" vertical="center"/>
    </xf>
    <xf numFmtId="166" fontId="66" fillId="0" borderId="14" xfId="79" applyNumberFormat="1" applyFont="1" applyBorder="1" applyAlignment="1">
      <alignment horizontal="center" vertical="center" wrapText="1"/>
    </xf>
    <xf numFmtId="166" fontId="60" fillId="0" borderId="14" xfId="79" applyNumberFormat="1" applyFont="1" applyBorder="1" applyAlignment="1">
      <alignment horizontal="left" vertical="center"/>
    </xf>
    <xf numFmtId="166" fontId="60" fillId="0" borderId="14" xfId="79" applyNumberFormat="1" applyFont="1" applyBorder="1" applyAlignment="1">
      <alignment horizontal="center" vertical="center"/>
    </xf>
    <xf numFmtId="166" fontId="60" fillId="0" borderId="14" xfId="79" quotePrefix="1" applyNumberFormat="1" applyFont="1" applyBorder="1" applyAlignment="1">
      <alignment horizontal="center" vertical="center"/>
    </xf>
    <xf numFmtId="3" fontId="60" fillId="0" borderId="14" xfId="79" applyNumberFormat="1" applyFont="1" applyBorder="1" applyAlignment="1">
      <alignment horizontal="center" vertical="center"/>
    </xf>
    <xf numFmtId="166" fontId="21" fillId="0" borderId="30" xfId="79" applyNumberFormat="1" applyFont="1" applyBorder="1" applyAlignment="1">
      <alignment horizontal="left" vertical="center"/>
    </xf>
    <xf numFmtId="0" fontId="52" fillId="0" borderId="31" xfId="0" applyFont="1" applyBorder="1" applyAlignment="1">
      <alignment horizontal="left"/>
    </xf>
    <xf numFmtId="166" fontId="60" fillId="0" borderId="30" xfId="79" applyNumberFormat="1" applyFont="1" applyBorder="1" applyAlignment="1">
      <alignment horizontal="left" vertical="center"/>
    </xf>
    <xf numFmtId="0" fontId="60" fillId="0" borderId="31" xfId="0" applyFont="1" applyBorder="1" applyAlignment="1">
      <alignment horizontal="left" vertical="center"/>
    </xf>
    <xf numFmtId="3" fontId="21" fillId="0" borderId="23" xfId="79" applyNumberFormat="1" applyFont="1" applyBorder="1" applyAlignment="1">
      <alignment horizontal="center" vertical="center" wrapText="1"/>
    </xf>
    <xf numFmtId="166" fontId="66" fillId="0" borderId="14" xfId="79" applyNumberFormat="1" applyFont="1" applyBorder="1" applyAlignment="1">
      <alignment horizontal="left" vertical="center"/>
    </xf>
    <xf numFmtId="0" fontId="60" fillId="0" borderId="14" xfId="0" applyFont="1" applyBorder="1"/>
    <xf numFmtId="0" fontId="60" fillId="0" borderId="23" xfId="0" applyFont="1" applyBorder="1"/>
    <xf numFmtId="0" fontId="60" fillId="0" borderId="17" xfId="0" applyFont="1" applyBorder="1"/>
    <xf numFmtId="0" fontId="60" fillId="0" borderId="38" xfId="0" applyFont="1" applyBorder="1"/>
    <xf numFmtId="0" fontId="60" fillId="0" borderId="40" xfId="0" applyFont="1" applyBorder="1"/>
    <xf numFmtId="0" fontId="52" fillId="0" borderId="40" xfId="0" applyFont="1" applyBorder="1"/>
    <xf numFmtId="0" fontId="60" fillId="0" borderId="14" xfId="0" applyFont="1" applyBorder="1" applyAlignment="1">
      <alignment wrapText="1"/>
    </xf>
    <xf numFmtId="166" fontId="21" fillId="27" borderId="14" xfId="79" applyNumberFormat="1" applyFont="1" applyFill="1" applyBorder="1" applyAlignment="1">
      <alignment horizontal="left" vertical="center" wrapText="1"/>
    </xf>
    <xf numFmtId="0" fontId="21" fillId="0" borderId="14" xfId="76" applyFont="1" applyBorder="1" applyAlignment="1">
      <alignment horizontal="center" vertical="center" wrapText="1"/>
    </xf>
    <xf numFmtId="0" fontId="21" fillId="0" borderId="14" xfId="76" applyFont="1" applyBorder="1" applyAlignment="1">
      <alignment horizontal="left" vertical="center"/>
    </xf>
    <xf numFmtId="0" fontId="52" fillId="27" borderId="17" xfId="46" applyFont="1" applyFill="1" applyBorder="1" applyAlignment="1">
      <alignment horizontal="center" vertical="center" wrapText="1"/>
    </xf>
    <xf numFmtId="49" fontId="52" fillId="27" borderId="14" xfId="46" applyNumberFormat="1" applyFont="1" applyFill="1" applyBorder="1" applyAlignment="1">
      <alignment horizontal="center" vertical="center" wrapText="1"/>
    </xf>
    <xf numFmtId="0" fontId="58" fillId="0" borderId="23" xfId="52" applyFont="1" applyBorder="1" applyAlignment="1">
      <alignment horizontal="left" vertical="center" wrapText="1"/>
    </xf>
    <xf numFmtId="166" fontId="52" fillId="0" borderId="16" xfId="52" applyNumberFormat="1" applyFont="1" applyBorder="1" applyAlignment="1">
      <alignment horizontal="center" vertical="center" wrapText="1"/>
    </xf>
    <xf numFmtId="0" fontId="52" fillId="0" borderId="14" xfId="0" applyFont="1" applyBorder="1" applyAlignment="1">
      <alignment horizontal="center" vertical="center" textRotation="90" wrapText="1"/>
    </xf>
    <xf numFmtId="0" fontId="52" fillId="0" borderId="31" xfId="0" applyFont="1" applyBorder="1" applyAlignment="1">
      <alignment horizontal="left" vertical="center" wrapText="1"/>
    </xf>
    <xf numFmtId="166" fontId="60" fillId="0" borderId="38" xfId="79" applyNumberFormat="1" applyFont="1" applyBorder="1" applyAlignment="1">
      <alignment horizontal="left" vertical="center" wrapText="1"/>
    </xf>
    <xf numFmtId="49" fontId="52" fillId="36" borderId="14" xfId="0" quotePrefix="1" applyNumberFormat="1" applyFont="1" applyFill="1" applyBorder="1" applyAlignment="1">
      <alignment horizontal="center" vertical="center" wrapText="1"/>
    </xf>
    <xf numFmtId="0" fontId="52" fillId="37" borderId="14" xfId="0" applyFont="1" applyFill="1" applyBorder="1" applyAlignment="1">
      <alignment vertical="center" wrapText="1"/>
    </xf>
    <xf numFmtId="3" fontId="52" fillId="38" borderId="14" xfId="0" applyNumberFormat="1" applyFont="1" applyFill="1" applyBorder="1" applyAlignment="1">
      <alignment horizontal="center" vertical="center" textRotation="90" wrapText="1"/>
    </xf>
    <xf numFmtId="166" fontId="51" fillId="0" borderId="16" xfId="0" applyNumberFormat="1" applyFont="1" applyBorder="1" applyAlignment="1">
      <alignment horizontal="center" vertical="center" wrapText="1"/>
    </xf>
    <xf numFmtId="164" fontId="52" fillId="41" borderId="16" xfId="0" applyNumberFormat="1" applyFont="1" applyFill="1" applyBorder="1" applyAlignment="1">
      <alignment horizontal="center" vertical="center" wrapText="1"/>
    </xf>
    <xf numFmtId="166" fontId="52" fillId="41" borderId="16" xfId="46" applyNumberFormat="1" applyFont="1" applyFill="1" applyBorder="1" applyAlignment="1">
      <alignment horizontal="center" vertical="center" wrapText="1"/>
    </xf>
    <xf numFmtId="0" fontId="52" fillId="30" borderId="14" xfId="46" applyFont="1" applyFill="1" applyBorder="1" applyAlignment="1">
      <alignment horizontal="center" vertical="center" wrapText="1"/>
    </xf>
    <xf numFmtId="166" fontId="52" fillId="30" borderId="14" xfId="46" applyNumberFormat="1" applyFont="1" applyFill="1" applyBorder="1" applyAlignment="1">
      <alignment horizontal="center" vertical="center" wrapText="1"/>
    </xf>
    <xf numFmtId="166" fontId="52" fillId="30" borderId="16" xfId="46" applyNumberFormat="1" applyFont="1" applyFill="1" applyBorder="1" applyAlignment="1">
      <alignment horizontal="center" vertical="center" wrapText="1"/>
    </xf>
    <xf numFmtId="164" fontId="52" fillId="40" borderId="31" xfId="0" applyNumberFormat="1" applyFont="1" applyFill="1" applyBorder="1" applyAlignment="1">
      <alignment horizontal="left" vertical="center" wrapText="1"/>
    </xf>
    <xf numFmtId="166" fontId="60" fillId="29" borderId="14" xfId="46" applyNumberFormat="1" applyFont="1" applyFill="1" applyBorder="1" applyAlignment="1">
      <alignment horizontal="center" vertical="center" wrapText="1"/>
    </xf>
    <xf numFmtId="1" fontId="52" fillId="24" borderId="14" xfId="46" applyNumberFormat="1" applyFont="1" applyFill="1" applyBorder="1" applyAlignment="1">
      <alignment horizontal="center" vertical="center" wrapText="1"/>
    </xf>
    <xf numFmtId="164" fontId="52" fillId="47" borderId="31" xfId="0" applyNumberFormat="1" applyFont="1" applyFill="1" applyBorder="1" applyAlignment="1">
      <alignment horizontal="center" vertical="center" wrapText="1"/>
    </xf>
    <xf numFmtId="164" fontId="52" fillId="47" borderId="26" xfId="0" applyNumberFormat="1" applyFont="1" applyFill="1" applyBorder="1" applyAlignment="1">
      <alignment horizontal="center" vertical="center" wrapText="1"/>
    </xf>
    <xf numFmtId="164" fontId="52" fillId="41" borderId="14" xfId="0" applyNumberFormat="1" applyFont="1" applyFill="1" applyBorder="1" applyAlignment="1">
      <alignment horizontal="center" vertical="center" wrapText="1"/>
    </xf>
    <xf numFmtId="0" fontId="52" fillId="38" borderId="14" xfId="0" applyFont="1" applyFill="1" applyBorder="1" applyAlignment="1">
      <alignment vertical="center" wrapText="1"/>
    </xf>
    <xf numFmtId="1" fontId="52" fillId="24" borderId="14" xfId="46" quotePrefix="1" applyNumberFormat="1" applyFont="1" applyFill="1" applyBorder="1" applyAlignment="1">
      <alignment horizontal="center" vertical="center" wrapText="1"/>
    </xf>
    <xf numFmtId="166" fontId="52" fillId="47" borderId="31" xfId="0" applyNumberFormat="1" applyFont="1" applyFill="1" applyBorder="1" applyAlignment="1">
      <alignment horizontal="center" wrapText="1"/>
    </xf>
    <xf numFmtId="166" fontId="52" fillId="47" borderId="26" xfId="0" applyNumberFormat="1" applyFont="1" applyFill="1" applyBorder="1" applyAlignment="1">
      <alignment horizontal="center" wrapText="1"/>
    </xf>
    <xf numFmtId="0" fontId="52" fillId="35" borderId="16" xfId="0" applyFont="1" applyFill="1" applyBorder="1" applyAlignment="1">
      <alignment vertical="center" wrapText="1"/>
    </xf>
    <xf numFmtId="166" fontId="52" fillId="37" borderId="14" xfId="46" applyNumberFormat="1" applyFont="1" applyFill="1" applyBorder="1" applyAlignment="1">
      <alignment horizontal="center" vertical="center" wrapText="1"/>
    </xf>
    <xf numFmtId="166" fontId="52" fillId="46" borderId="14" xfId="46" applyNumberFormat="1" applyFont="1" applyFill="1" applyBorder="1" applyAlignment="1">
      <alignment horizontal="center" vertical="center" wrapText="1"/>
    </xf>
    <xf numFmtId="0" fontId="52" fillId="45" borderId="14" xfId="46" applyFont="1" applyFill="1" applyBorder="1" applyAlignment="1">
      <alignment horizontal="center" vertical="center" wrapText="1"/>
    </xf>
    <xf numFmtId="49" fontId="52" fillId="0" borderId="14" xfId="0" quotePrefix="1" applyNumberFormat="1" applyFont="1" applyBorder="1" applyAlignment="1">
      <alignment horizontal="left" vertical="center" wrapText="1"/>
    </xf>
    <xf numFmtId="14" fontId="52" fillId="27" borderId="14" xfId="46" applyNumberFormat="1" applyFont="1" applyFill="1" applyBorder="1" applyAlignment="1">
      <alignment horizontal="center" vertical="center" wrapText="1"/>
    </xf>
    <xf numFmtId="166" fontId="64" fillId="29" borderId="14" xfId="0" applyNumberFormat="1" applyFont="1" applyFill="1" applyBorder="1" applyAlignment="1">
      <alignment horizontal="center" vertical="center"/>
    </xf>
    <xf numFmtId="166" fontId="52" fillId="29" borderId="14" xfId="0" applyNumberFormat="1" applyFont="1" applyFill="1" applyBorder="1" applyAlignment="1">
      <alignment horizontal="center" vertical="center"/>
    </xf>
    <xf numFmtId="166" fontId="60" fillId="27" borderId="16" xfId="0" applyNumberFormat="1" applyFont="1" applyFill="1" applyBorder="1" applyAlignment="1">
      <alignment horizontal="center" vertical="center"/>
    </xf>
    <xf numFmtId="166" fontId="52" fillId="29" borderId="14" xfId="0" applyNumberFormat="1" applyFont="1" applyFill="1" applyBorder="1" applyAlignment="1">
      <alignment horizontal="center" vertical="center" wrapText="1"/>
    </xf>
    <xf numFmtId="164" fontId="52" fillId="27" borderId="31" xfId="0" applyNumberFormat="1" applyFont="1" applyFill="1" applyBorder="1" applyAlignment="1">
      <alignment horizontal="left" vertical="center" wrapText="1"/>
    </xf>
    <xf numFmtId="166" fontId="52" fillId="27" borderId="41" xfId="46" applyNumberFormat="1" applyFont="1" applyFill="1" applyBorder="1" applyAlignment="1">
      <alignment horizontal="center" vertical="center" wrapText="1"/>
    </xf>
    <xf numFmtId="166" fontId="52" fillId="41" borderId="23" xfId="46" applyNumberFormat="1" applyFont="1" applyFill="1" applyBorder="1" applyAlignment="1">
      <alignment horizontal="center" vertical="center" wrapText="1"/>
    </xf>
    <xf numFmtId="166" fontId="52" fillId="41" borderId="10" xfId="46" applyNumberFormat="1" applyFont="1" applyFill="1" applyBorder="1" applyAlignment="1">
      <alignment horizontal="center" vertical="center" wrapText="1"/>
    </xf>
    <xf numFmtId="0" fontId="52" fillId="40" borderId="17" xfId="0" applyFont="1" applyFill="1" applyBorder="1" applyAlignment="1">
      <alignment horizontal="center" vertical="center" wrapText="1"/>
    </xf>
    <xf numFmtId="0" fontId="52" fillId="32" borderId="17" xfId="0" applyFont="1" applyFill="1" applyBorder="1" applyAlignment="1">
      <alignment horizontal="center" vertical="center" wrapText="1"/>
    </xf>
    <xf numFmtId="0" fontId="52" fillId="34" borderId="14" xfId="0" applyFont="1" applyFill="1" applyBorder="1" applyAlignment="1">
      <alignment vertical="center" wrapText="1"/>
    </xf>
    <xf numFmtId="0" fontId="82" fillId="40" borderId="17" xfId="0" applyFont="1" applyFill="1" applyBorder="1" applyAlignment="1">
      <alignment horizontal="center" vertical="center" wrapText="1"/>
    </xf>
    <xf numFmtId="166" fontId="51" fillId="25" borderId="16" xfId="46" applyNumberFormat="1" applyFont="1" applyFill="1" applyBorder="1" applyAlignment="1">
      <alignment horizontal="center" vertical="center" wrapText="1"/>
    </xf>
    <xf numFmtId="166" fontId="60" fillId="0" borderId="16" xfId="0" applyNumberFormat="1" applyFont="1" applyBorder="1" applyAlignment="1">
      <alignment horizontal="center" vertical="center"/>
    </xf>
    <xf numFmtId="166" fontId="52" fillId="0" borderId="16" xfId="0" applyNumberFormat="1" applyFont="1" applyBorder="1" applyAlignment="1">
      <alignment horizontal="center" vertical="center"/>
    </xf>
    <xf numFmtId="166" fontId="51" fillId="27" borderId="16" xfId="46" applyNumberFormat="1" applyFont="1" applyFill="1" applyBorder="1" applyAlignment="1">
      <alignment horizontal="center" vertical="center" wrapText="1"/>
    </xf>
    <xf numFmtId="166" fontId="80" fillId="0" borderId="14" xfId="46" applyNumberFormat="1" applyFont="1" applyBorder="1" applyAlignment="1">
      <alignment horizontal="left" vertical="center" wrapText="1"/>
    </xf>
    <xf numFmtId="164" fontId="60" fillId="47" borderId="16" xfId="0" applyNumberFormat="1" applyFont="1" applyFill="1" applyBorder="1" applyAlignment="1">
      <alignment horizontal="center" vertical="center" wrapText="1"/>
    </xf>
    <xf numFmtId="0" fontId="60" fillId="0" borderId="31" xfId="0" applyFont="1" applyBorder="1" applyAlignment="1">
      <alignment horizontal="left" vertical="center" wrapText="1"/>
    </xf>
    <xf numFmtId="0" fontId="21" fillId="0" borderId="31" xfId="0" applyFont="1" applyBorder="1" applyAlignment="1">
      <alignment horizontal="left" vertical="center" wrapText="1"/>
    </xf>
    <xf numFmtId="164" fontId="60" fillId="47" borderId="30" xfId="0" applyNumberFormat="1" applyFont="1" applyFill="1" applyBorder="1" applyAlignment="1">
      <alignment horizontal="center" vertical="center" wrapText="1"/>
    </xf>
    <xf numFmtId="0" fontId="21" fillId="0" borderId="36" xfId="0" applyFont="1" applyBorder="1" applyAlignment="1">
      <alignment horizontal="left" vertical="center" wrapText="1"/>
    </xf>
    <xf numFmtId="0" fontId="21" fillId="0" borderId="46" xfId="0" applyFont="1" applyBorder="1" applyAlignment="1">
      <alignment horizontal="left" vertical="center" wrapText="1"/>
    </xf>
    <xf numFmtId="164" fontId="60" fillId="47" borderId="45" xfId="0" applyNumberFormat="1" applyFont="1" applyFill="1" applyBorder="1" applyAlignment="1">
      <alignment horizontal="center" vertical="center" wrapText="1"/>
    </xf>
    <xf numFmtId="164" fontId="21" fillId="47" borderId="41" xfId="0" applyNumberFormat="1" applyFont="1" applyFill="1" applyBorder="1" applyAlignment="1">
      <alignment horizontal="center" vertical="center" wrapText="1"/>
    </xf>
    <xf numFmtId="0" fontId="60" fillId="0" borderId="47" xfId="0" applyFont="1" applyBorder="1" applyAlignment="1">
      <alignment horizontal="left" vertical="center" wrapText="1"/>
    </xf>
    <xf numFmtId="164" fontId="21" fillId="47" borderId="10" xfId="0" applyNumberFormat="1" applyFont="1" applyFill="1" applyBorder="1" applyAlignment="1">
      <alignment horizontal="center" vertical="center" wrapText="1"/>
    </xf>
    <xf numFmtId="0" fontId="60" fillId="0" borderId="22" xfId="0" applyFont="1" applyBorder="1" applyAlignment="1">
      <alignment horizontal="left" vertical="center" wrapText="1"/>
    </xf>
    <xf numFmtId="164" fontId="21" fillId="0" borderId="16" xfId="0" applyNumberFormat="1" applyFont="1" applyBorder="1" applyAlignment="1">
      <alignment horizontal="center" vertical="center" wrapText="1"/>
    </xf>
    <xf numFmtId="0" fontId="60" fillId="0" borderId="16" xfId="0" applyFont="1" applyBorder="1" applyAlignment="1">
      <alignment horizontal="center" vertical="center" wrapText="1"/>
    </xf>
    <xf numFmtId="164" fontId="60" fillId="0" borderId="16" xfId="0" applyNumberFormat="1" applyFont="1" applyBorder="1" applyAlignment="1">
      <alignment horizontal="center" vertical="center" wrapText="1"/>
    </xf>
    <xf numFmtId="164" fontId="67" fillId="0" borderId="10" xfId="46" applyNumberFormat="1" applyFont="1" applyBorder="1" applyAlignment="1">
      <alignment horizontal="center" vertical="center" wrapText="1"/>
    </xf>
    <xf numFmtId="164" fontId="60" fillId="0" borderId="22" xfId="46" applyNumberFormat="1" applyFont="1" applyBorder="1" applyAlignment="1">
      <alignment horizontal="left" vertical="center" wrapText="1"/>
    </xf>
    <xf numFmtId="164" fontId="67" fillId="0" borderId="16" xfId="46" applyNumberFormat="1" applyFont="1" applyBorder="1" applyAlignment="1">
      <alignment horizontal="center" vertical="center" wrapText="1"/>
    </xf>
    <xf numFmtId="166" fontId="60" fillId="41" borderId="16" xfId="46" applyNumberFormat="1" applyFont="1" applyFill="1" applyBorder="1" applyAlignment="1">
      <alignment horizontal="center" vertical="center" wrapText="1"/>
    </xf>
    <xf numFmtId="166" fontId="67" fillId="0" borderId="16" xfId="46" applyNumberFormat="1" applyFont="1" applyBorder="1" applyAlignment="1">
      <alignment horizontal="center" vertical="center" wrapText="1"/>
    </xf>
    <xf numFmtId="166" fontId="51" fillId="39" borderId="16" xfId="46" applyNumberFormat="1" applyFont="1" applyFill="1" applyBorder="1" applyAlignment="1">
      <alignment horizontal="center" vertical="center" wrapText="1"/>
    </xf>
    <xf numFmtId="166" fontId="60" fillId="0" borderId="16" xfId="46" applyNumberFormat="1" applyFont="1" applyBorder="1" applyAlignment="1">
      <alignment horizontal="center" vertical="center" wrapText="1"/>
    </xf>
    <xf numFmtId="166" fontId="60" fillId="0" borderId="31" xfId="46" applyNumberFormat="1" applyFont="1" applyBorder="1" applyAlignment="1">
      <alignment horizontal="left" vertical="center" wrapText="1"/>
    </xf>
    <xf numFmtId="0" fontId="52" fillId="34" borderId="14" xfId="46" applyFont="1" applyFill="1" applyBorder="1" applyAlignment="1">
      <alignment vertical="center" wrapText="1"/>
    </xf>
    <xf numFmtId="0" fontId="52" fillId="34" borderId="17" xfId="46" applyFont="1" applyFill="1" applyBorder="1" applyAlignment="1">
      <alignment vertical="center" wrapText="1"/>
    </xf>
    <xf numFmtId="0" fontId="52" fillId="34" borderId="35" xfId="46" applyFont="1" applyFill="1" applyBorder="1" applyAlignment="1">
      <alignment vertical="center" wrapText="1"/>
    </xf>
    <xf numFmtId="166" fontId="81" fillId="0" borderId="14" xfId="46" applyNumberFormat="1" applyFont="1" applyBorder="1" applyAlignment="1">
      <alignment horizontal="left" vertical="center" wrapText="1"/>
    </xf>
    <xf numFmtId="0" fontId="52" fillId="34" borderId="23" xfId="46" applyFont="1" applyFill="1" applyBorder="1" applyAlignment="1">
      <alignment vertical="center" wrapText="1"/>
    </xf>
    <xf numFmtId="166" fontId="60" fillId="27" borderId="14" xfId="46" applyNumberFormat="1" applyFont="1" applyFill="1" applyBorder="1" applyAlignment="1">
      <alignment horizontal="left" vertical="center" wrapText="1"/>
    </xf>
    <xf numFmtId="166" fontId="52" fillId="0" borderId="16" xfId="0" applyNumberFormat="1" applyFont="1" applyBorder="1" applyAlignment="1">
      <alignment horizontal="center" vertical="center" wrapText="1"/>
    </xf>
    <xf numFmtId="166" fontId="52" fillId="0" borderId="48" xfId="46" applyNumberFormat="1" applyFont="1" applyBorder="1" applyAlignment="1">
      <alignment horizontal="center" vertical="center" wrapText="1"/>
    </xf>
    <xf numFmtId="166" fontId="52" fillId="0" borderId="45" xfId="46" applyNumberFormat="1" applyFont="1" applyBorder="1" applyAlignment="1">
      <alignment horizontal="center" vertical="center" wrapText="1"/>
    </xf>
    <xf numFmtId="0" fontId="52" fillId="27" borderId="38" xfId="46" applyFont="1" applyFill="1" applyBorder="1" applyAlignment="1">
      <alignment horizontal="center" vertical="center" wrapText="1"/>
    </xf>
    <xf numFmtId="0" fontId="52" fillId="34" borderId="10" xfId="46" applyFont="1" applyFill="1" applyBorder="1" applyAlignment="1">
      <alignment vertical="center" wrapText="1"/>
    </xf>
    <xf numFmtId="3" fontId="52" fillId="0" borderId="31" xfId="0" applyNumberFormat="1" applyFont="1" applyBorder="1" applyAlignment="1">
      <alignment horizontal="left" vertical="center" wrapText="1"/>
    </xf>
    <xf numFmtId="166" fontId="52" fillId="27" borderId="31" xfId="46" applyNumberFormat="1" applyFont="1" applyFill="1" applyBorder="1" applyAlignment="1">
      <alignment horizontal="left" vertical="center" wrapText="1"/>
    </xf>
    <xf numFmtId="166" fontId="52" fillId="0" borderId="26" xfId="46" applyNumberFormat="1" applyFont="1" applyBorder="1" applyAlignment="1">
      <alignment horizontal="left" vertical="center" wrapText="1"/>
    </xf>
    <xf numFmtId="0" fontId="52" fillId="0" borderId="31" xfId="46" applyFont="1" applyBorder="1" applyAlignment="1">
      <alignment horizontal="left"/>
    </xf>
    <xf numFmtId="166" fontId="51" fillId="39" borderId="16" xfId="46" applyNumberFormat="1" applyFont="1" applyFill="1" applyBorder="1" applyAlignment="1">
      <alignment horizontal="center" vertical="center"/>
    </xf>
    <xf numFmtId="49" fontId="21" fillId="27" borderId="14" xfId="46" applyNumberFormat="1" applyFont="1" applyFill="1" applyBorder="1" applyAlignment="1">
      <alignment horizontal="center" vertical="center"/>
    </xf>
    <xf numFmtId="166" fontId="56" fillId="0" borderId="16" xfId="75" applyNumberFormat="1" applyFont="1" applyBorder="1" applyAlignment="1">
      <alignment horizontal="center" vertical="center"/>
    </xf>
    <xf numFmtId="0" fontId="52" fillId="0" borderId="31" xfId="75" applyFont="1" applyBorder="1" applyAlignment="1">
      <alignment horizontal="left" vertical="center" wrapText="1"/>
    </xf>
    <xf numFmtId="0" fontId="52" fillId="27" borderId="31" xfId="75" applyFont="1" applyFill="1" applyBorder="1" applyAlignment="1">
      <alignment horizontal="left" vertical="center" wrapText="1"/>
    </xf>
    <xf numFmtId="166" fontId="52" fillId="0" borderId="30" xfId="0" applyNumberFormat="1" applyFont="1" applyBorder="1" applyAlignment="1">
      <alignment horizontal="center" vertical="center"/>
    </xf>
    <xf numFmtId="166" fontId="52" fillId="0" borderId="41" xfId="0" applyNumberFormat="1" applyFont="1" applyBorder="1" applyAlignment="1">
      <alignment horizontal="center"/>
    </xf>
    <xf numFmtId="166" fontId="52" fillId="41" borderId="45" xfId="46" applyNumberFormat="1" applyFont="1" applyFill="1" applyBorder="1" applyAlignment="1">
      <alignment horizontal="center" vertical="center" wrapText="1"/>
    </xf>
    <xf numFmtId="166" fontId="52" fillId="0" borderId="45" xfId="0" applyNumberFormat="1" applyFont="1" applyBorder="1" applyAlignment="1">
      <alignment horizontal="center"/>
    </xf>
    <xf numFmtId="166" fontId="52" fillId="41" borderId="41" xfId="46" applyNumberFormat="1" applyFont="1" applyFill="1" applyBorder="1" applyAlignment="1">
      <alignment horizontal="center" vertical="center" wrapText="1"/>
    </xf>
    <xf numFmtId="166" fontId="52" fillId="27" borderId="26" xfId="0" applyNumberFormat="1" applyFont="1" applyFill="1" applyBorder="1" applyAlignment="1">
      <alignment horizontal="center" wrapText="1"/>
    </xf>
    <xf numFmtId="164" fontId="52" fillId="0" borderId="16" xfId="46" applyNumberFormat="1" applyFont="1" applyBorder="1" applyAlignment="1">
      <alignment horizontal="center" vertical="center"/>
    </xf>
    <xf numFmtId="166" fontId="52" fillId="0" borderId="16" xfId="79" applyNumberFormat="1" applyFont="1" applyBorder="1" applyAlignment="1">
      <alignment horizontal="center" vertical="center" wrapText="1"/>
    </xf>
    <xf numFmtId="166" fontId="52" fillId="39" borderId="30" xfId="46" applyNumberFormat="1" applyFont="1" applyFill="1" applyBorder="1" applyAlignment="1">
      <alignment horizontal="center" vertical="center" wrapText="1"/>
    </xf>
    <xf numFmtId="166" fontId="32" fillId="27" borderId="14" xfId="46" applyNumberFormat="1" applyFill="1" applyBorder="1"/>
    <xf numFmtId="166" fontId="60" fillId="0" borderId="10" xfId="79" applyNumberFormat="1" applyFont="1" applyBorder="1" applyAlignment="1">
      <alignment horizontal="left" vertical="center"/>
    </xf>
    <xf numFmtId="166" fontId="60" fillId="0" borderId="16" xfId="79" applyNumberFormat="1" applyFont="1" applyBorder="1" applyAlignment="1">
      <alignment horizontal="left" vertical="center" wrapText="1"/>
    </xf>
    <xf numFmtId="166" fontId="60" fillId="0" borderId="14" xfId="79" applyNumberFormat="1" applyFont="1" applyBorder="1" applyAlignment="1">
      <alignment horizontal="left" vertical="center" wrapText="1"/>
    </xf>
    <xf numFmtId="166" fontId="60" fillId="0" borderId="38" xfId="79" applyNumberFormat="1" applyFont="1" applyBorder="1" applyAlignment="1">
      <alignment horizontal="left" vertical="center"/>
    </xf>
    <xf numFmtId="1" fontId="52" fillId="27" borderId="38" xfId="79" applyNumberFormat="1" applyFont="1" applyFill="1" applyBorder="1" applyAlignment="1">
      <alignment horizontal="center" vertical="center" wrapText="1"/>
    </xf>
    <xf numFmtId="166" fontId="60" fillId="0" borderId="31" xfId="79" applyNumberFormat="1" applyFont="1" applyBorder="1" applyAlignment="1">
      <alignment horizontal="left" vertical="center"/>
    </xf>
    <xf numFmtId="166" fontId="61" fillId="0" borderId="23" xfId="79" applyNumberFormat="1" applyFont="1" applyBorder="1" applyAlignment="1">
      <alignment horizontal="left" vertical="center" wrapText="1"/>
    </xf>
    <xf numFmtId="166" fontId="21" fillId="27" borderId="14" xfId="79" applyNumberFormat="1" applyFont="1" applyFill="1" applyBorder="1" applyAlignment="1">
      <alignment horizontal="left" vertical="center"/>
    </xf>
    <xf numFmtId="0" fontId="60" fillId="0" borderId="46" xfId="0" applyFont="1" applyBorder="1"/>
    <xf numFmtId="166" fontId="52" fillId="35" borderId="16" xfId="46" applyNumberFormat="1" applyFont="1" applyFill="1" applyBorder="1" applyAlignment="1">
      <alignment horizontal="center" vertical="center" wrapText="1"/>
    </xf>
    <xf numFmtId="0" fontId="52" fillId="0" borderId="31" xfId="52" applyFont="1" applyBorder="1" applyAlignment="1">
      <alignment horizontal="left" vertical="center" wrapText="1"/>
    </xf>
    <xf numFmtId="0" fontId="52" fillId="49" borderId="14" xfId="46" applyFont="1" applyFill="1" applyBorder="1" applyAlignment="1">
      <alignment vertical="center" wrapText="1"/>
    </xf>
    <xf numFmtId="166" fontId="52" fillId="24" borderId="16" xfId="52" applyNumberFormat="1" applyFont="1" applyFill="1" applyBorder="1" applyAlignment="1">
      <alignment horizontal="center" vertical="center" wrapText="1"/>
    </xf>
    <xf numFmtId="164" fontId="52" fillId="27" borderId="16" xfId="52" applyNumberFormat="1" applyFont="1" applyFill="1" applyBorder="1" applyAlignment="1">
      <alignment horizontal="center" vertical="center" wrapText="1"/>
    </xf>
    <xf numFmtId="166" fontId="52" fillId="0" borderId="31" xfId="52" applyNumberFormat="1" applyFont="1" applyBorder="1" applyAlignment="1">
      <alignment horizontal="left" vertical="center" wrapText="1"/>
    </xf>
    <xf numFmtId="166" fontId="52" fillId="39" borderId="16" xfId="52" applyNumberFormat="1" applyFont="1" applyFill="1" applyBorder="1" applyAlignment="1">
      <alignment horizontal="center" vertical="center" wrapText="1"/>
    </xf>
    <xf numFmtId="0" fontId="52" fillId="27" borderId="31" xfId="52" applyFont="1" applyFill="1" applyBorder="1" applyAlignment="1">
      <alignment horizontal="left" vertical="center" wrapText="1"/>
    </xf>
    <xf numFmtId="166" fontId="52" fillId="27" borderId="16" xfId="0" applyNumberFormat="1" applyFont="1" applyFill="1" applyBorder="1" applyAlignment="1">
      <alignment horizontal="center" vertical="center"/>
    </xf>
    <xf numFmtId="0" fontId="52" fillId="0" borderId="36" xfId="52" applyFont="1" applyBorder="1" applyAlignment="1">
      <alignment horizontal="left" vertical="center" wrapText="1"/>
    </xf>
    <xf numFmtId="166" fontId="52" fillId="0" borderId="17" xfId="52" applyNumberFormat="1" applyFont="1" applyBorder="1" applyAlignment="1">
      <alignment horizontal="left" vertical="center" wrapText="1"/>
    </xf>
    <xf numFmtId="166" fontId="52" fillId="27" borderId="16" xfId="52" applyNumberFormat="1" applyFont="1" applyFill="1" applyBorder="1" applyAlignment="1">
      <alignment horizontal="center" vertical="center" wrapText="1"/>
    </xf>
    <xf numFmtId="0" fontId="52" fillId="0" borderId="16" xfId="0" applyFont="1" applyBorder="1" applyAlignment="1">
      <alignment horizontal="center" vertical="center"/>
    </xf>
    <xf numFmtId="166" fontId="60" fillId="0" borderId="16" xfId="52" applyNumberFormat="1" applyFont="1" applyBorder="1" applyAlignment="1">
      <alignment horizontal="center" vertical="center" wrapText="1"/>
    </xf>
    <xf numFmtId="0" fontId="58" fillId="0" borderId="22" xfId="52" applyFont="1" applyBorder="1" applyAlignment="1">
      <alignment horizontal="left" vertical="center" wrapText="1"/>
    </xf>
    <xf numFmtId="0" fontId="58" fillId="0" borderId="31" xfId="52" applyFont="1" applyBorder="1" applyAlignment="1">
      <alignment horizontal="left" vertical="center" wrapText="1"/>
    </xf>
    <xf numFmtId="164" fontId="60" fillId="0" borderId="26" xfId="0" applyNumberFormat="1" applyFont="1" applyBorder="1" applyAlignment="1">
      <alignment horizontal="center" vertical="center" wrapText="1"/>
    </xf>
    <xf numFmtId="0" fontId="52" fillId="0" borderId="38" xfId="52" applyFont="1" applyBorder="1" applyAlignment="1">
      <alignment horizontal="left" vertical="center"/>
    </xf>
    <xf numFmtId="0" fontId="32" fillId="0" borderId="42" xfId="52" applyFont="1" applyBorder="1"/>
    <xf numFmtId="164" fontId="51" fillId="0" borderId="16" xfId="0" quotePrefix="1" applyNumberFormat="1" applyFont="1" applyBorder="1" applyAlignment="1">
      <alignment horizontal="center" vertical="center" wrapText="1"/>
    </xf>
    <xf numFmtId="1" fontId="52" fillId="27" borderId="14" xfId="0" quotePrefix="1" applyNumberFormat="1" applyFont="1" applyFill="1" applyBorder="1" applyAlignment="1">
      <alignment horizontal="center" vertical="center" wrapText="1"/>
    </xf>
    <xf numFmtId="166" fontId="51" fillId="54" borderId="16" xfId="46" applyNumberFormat="1" applyFont="1" applyFill="1" applyBorder="1" applyAlignment="1">
      <alignment horizontal="center" vertical="center" wrapText="1"/>
    </xf>
    <xf numFmtId="166" fontId="21" fillId="27" borderId="16" xfId="76" applyNumberFormat="1" applyFont="1" applyFill="1" applyBorder="1" applyAlignment="1">
      <alignment horizontal="center" vertical="center"/>
    </xf>
    <xf numFmtId="166" fontId="21" fillId="0" borderId="16" xfId="76" applyNumberFormat="1" applyFont="1" applyBorder="1" applyAlignment="1">
      <alignment horizontal="center" vertical="center"/>
    </xf>
    <xf numFmtId="166" fontId="51" fillId="41" borderId="16" xfId="46" applyNumberFormat="1" applyFont="1" applyFill="1" applyBorder="1" applyAlignment="1">
      <alignment horizontal="center" vertical="center" wrapText="1"/>
    </xf>
    <xf numFmtId="166" fontId="53" fillId="27" borderId="14" xfId="0" applyNumberFormat="1" applyFont="1" applyFill="1" applyBorder="1" applyAlignment="1">
      <alignment vertical="center"/>
    </xf>
    <xf numFmtId="164" fontId="21" fillId="55" borderId="14" xfId="0" applyNumberFormat="1" applyFont="1" applyFill="1" applyBorder="1" applyAlignment="1">
      <alignment horizontal="center" vertical="center" wrapText="1"/>
    </xf>
    <xf numFmtId="164" fontId="60" fillId="55" borderId="14" xfId="0" applyNumberFormat="1" applyFont="1" applyFill="1" applyBorder="1" applyAlignment="1">
      <alignment horizontal="center" vertical="center" wrapText="1"/>
    </xf>
    <xf numFmtId="164" fontId="60" fillId="55" borderId="17" xfId="0" applyNumberFormat="1" applyFont="1" applyFill="1" applyBorder="1" applyAlignment="1">
      <alignment horizontal="center" vertical="center" wrapText="1"/>
    </xf>
    <xf numFmtId="164" fontId="60" fillId="55" borderId="40" xfId="0" applyNumberFormat="1" applyFont="1" applyFill="1" applyBorder="1" applyAlignment="1">
      <alignment horizontal="center" vertical="center" wrapText="1"/>
    </xf>
    <xf numFmtId="164" fontId="21" fillId="55" borderId="38" xfId="0" applyNumberFormat="1" applyFont="1" applyFill="1" applyBorder="1" applyAlignment="1">
      <alignment horizontal="center" vertical="center" wrapText="1"/>
    </xf>
    <xf numFmtId="164" fontId="60" fillId="55" borderId="23" xfId="0" applyNumberFormat="1" applyFont="1" applyFill="1" applyBorder="1" applyAlignment="1">
      <alignment horizontal="center" vertical="center" wrapText="1"/>
    </xf>
    <xf numFmtId="164" fontId="52" fillId="55" borderId="14" xfId="0" applyNumberFormat="1" applyFont="1" applyFill="1" applyBorder="1" applyAlignment="1">
      <alignment horizontal="center" vertical="center" wrapText="1"/>
    </xf>
    <xf numFmtId="164" fontId="60" fillId="27" borderId="23" xfId="46" applyNumberFormat="1" applyFont="1" applyFill="1" applyBorder="1" applyAlignment="1">
      <alignment horizontal="center" vertical="center" wrapText="1"/>
    </xf>
    <xf numFmtId="166" fontId="60" fillId="55" borderId="14" xfId="0" applyNumberFormat="1" applyFont="1" applyFill="1" applyBorder="1" applyAlignment="1">
      <alignment horizontal="center" vertical="center" wrapText="1"/>
    </xf>
    <xf numFmtId="0" fontId="60" fillId="49" borderId="23" xfId="46" applyFont="1" applyFill="1" applyBorder="1" applyAlignment="1">
      <alignment vertical="center" wrapText="1"/>
    </xf>
    <xf numFmtId="166" fontId="51" fillId="27" borderId="23" xfId="46" applyNumberFormat="1" applyFont="1" applyFill="1" applyBorder="1" applyAlignment="1">
      <alignment horizontal="center" vertical="center" wrapText="1"/>
    </xf>
    <xf numFmtId="166" fontId="52" fillId="27" borderId="14" xfId="75" applyNumberFormat="1" applyFont="1" applyFill="1" applyBorder="1" applyAlignment="1">
      <alignment horizontal="center" vertical="center"/>
    </xf>
    <xf numFmtId="166" fontId="52" fillId="27" borderId="17" xfId="75" applyNumberFormat="1" applyFont="1" applyFill="1" applyBorder="1" applyAlignment="1">
      <alignment horizontal="center" vertical="center"/>
    </xf>
    <xf numFmtId="166" fontId="52" fillId="27" borderId="38" xfId="75" applyNumberFormat="1" applyFont="1" applyFill="1" applyBorder="1" applyAlignment="1">
      <alignment horizontal="center" vertical="center"/>
    </xf>
    <xf numFmtId="166" fontId="52" fillId="27" borderId="40" xfId="75" applyNumberFormat="1" applyFont="1" applyFill="1" applyBorder="1" applyAlignment="1">
      <alignment horizontal="center" vertical="center"/>
    </xf>
    <xf numFmtId="166" fontId="51" fillId="27" borderId="14" xfId="79" applyNumberFormat="1" applyFont="1" applyFill="1" applyBorder="1" applyAlignment="1">
      <alignment horizontal="center" vertical="center" wrapText="1"/>
    </xf>
    <xf numFmtId="166" fontId="60" fillId="27" borderId="38" xfId="79" applyNumberFormat="1" applyFont="1" applyFill="1" applyBorder="1" applyAlignment="1">
      <alignment horizontal="center" vertical="center" wrapText="1"/>
    </xf>
    <xf numFmtId="166" fontId="52" fillId="27" borderId="42" xfId="46" applyNumberFormat="1" applyFont="1" applyFill="1" applyBorder="1" applyAlignment="1">
      <alignment horizontal="center" vertical="center" wrapText="1"/>
    </xf>
    <xf numFmtId="166" fontId="52" fillId="27" borderId="23" xfId="0" applyNumberFormat="1" applyFont="1" applyFill="1" applyBorder="1" applyAlignment="1">
      <alignment horizontal="center" vertical="center"/>
    </xf>
    <xf numFmtId="166" fontId="52" fillId="27" borderId="40" xfId="46" applyNumberFormat="1" applyFont="1" applyFill="1" applyBorder="1" applyAlignment="1">
      <alignment horizontal="center" vertical="center" wrapText="1"/>
    </xf>
    <xf numFmtId="166" fontId="60" fillId="27" borderId="14" xfId="0" applyNumberFormat="1" applyFont="1" applyFill="1" applyBorder="1" applyAlignment="1">
      <alignment horizontal="center" wrapText="1"/>
    </xf>
    <xf numFmtId="166" fontId="60" fillId="27" borderId="17" xfId="0" applyNumberFormat="1" applyFont="1" applyFill="1" applyBorder="1" applyAlignment="1">
      <alignment horizontal="center" wrapText="1"/>
    </xf>
    <xf numFmtId="166" fontId="60" fillId="27" borderId="38" xfId="0" applyNumberFormat="1" applyFont="1" applyFill="1" applyBorder="1" applyAlignment="1">
      <alignment horizontal="center" wrapText="1"/>
    </xf>
    <xf numFmtId="166" fontId="60" fillId="27" borderId="40" xfId="0" applyNumberFormat="1" applyFont="1" applyFill="1" applyBorder="1" applyAlignment="1">
      <alignment horizontal="center" wrapText="1"/>
    </xf>
    <xf numFmtId="166" fontId="52" fillId="27" borderId="38" xfId="0" applyNumberFormat="1" applyFont="1" applyFill="1" applyBorder="1" applyAlignment="1">
      <alignment horizontal="center" wrapText="1"/>
    </xf>
    <xf numFmtId="166" fontId="52" fillId="27" borderId="40" xfId="0" applyNumberFormat="1" applyFont="1" applyFill="1" applyBorder="1" applyAlignment="1">
      <alignment horizontal="center" wrapText="1"/>
    </xf>
    <xf numFmtId="0" fontId="52" fillId="35" borderId="14" xfId="52" applyFont="1" applyFill="1" applyBorder="1" applyAlignment="1">
      <alignment horizontal="center" vertical="center"/>
    </xf>
    <xf numFmtId="49" fontId="51" fillId="40" borderId="14" xfId="0" quotePrefix="1" applyNumberFormat="1" applyFont="1" applyFill="1" applyBorder="1" applyAlignment="1">
      <alignment horizontal="center" vertical="center" wrapText="1"/>
    </xf>
    <xf numFmtId="0" fontId="51" fillId="27" borderId="14" xfId="0" applyFont="1" applyFill="1" applyBorder="1" applyAlignment="1">
      <alignment horizontal="left" vertical="center" wrapText="1"/>
    </xf>
    <xf numFmtId="3" fontId="52" fillId="27" borderId="14" xfId="80" applyNumberFormat="1" applyFont="1" applyFill="1" applyBorder="1" applyAlignment="1">
      <alignment horizontal="left" vertical="center" wrapText="1"/>
    </xf>
    <xf numFmtId="49" fontId="19" fillId="0" borderId="14" xfId="76" applyNumberFormat="1" applyFont="1" applyBorder="1"/>
    <xf numFmtId="49" fontId="19" fillId="0" borderId="14" xfId="76" applyNumberFormat="1" applyFont="1" applyBorder="1" applyAlignment="1">
      <alignment horizontal="center" vertical="center"/>
    </xf>
    <xf numFmtId="0" fontId="19" fillId="0" borderId="14" xfId="76" applyFont="1" applyBorder="1" applyAlignment="1">
      <alignment vertical="center" wrapText="1"/>
    </xf>
    <xf numFmtId="0" fontId="19" fillId="0" borderId="14" xfId="76" applyFont="1" applyBorder="1" applyAlignment="1">
      <alignment horizontal="center" vertical="center"/>
    </xf>
    <xf numFmtId="0" fontId="52" fillId="0" borderId="24" xfId="0" applyFont="1" applyBorder="1" applyAlignment="1">
      <alignment wrapText="1"/>
    </xf>
    <xf numFmtId="3" fontId="63" fillId="57" borderId="14" xfId="0" applyNumberFormat="1" applyFont="1" applyFill="1" applyBorder="1" applyAlignment="1">
      <alignment horizontal="center" vertical="center" wrapText="1"/>
    </xf>
    <xf numFmtId="3" fontId="85" fillId="57" borderId="23" xfId="0" applyNumberFormat="1" applyFont="1" applyFill="1" applyBorder="1" applyAlignment="1">
      <alignment horizontal="center" vertical="center" wrapText="1"/>
    </xf>
    <xf numFmtId="3" fontId="63" fillId="57" borderId="16" xfId="0" applyNumberFormat="1" applyFont="1" applyFill="1" applyBorder="1" applyAlignment="1">
      <alignment horizontal="center" vertical="center" wrapText="1"/>
    </xf>
    <xf numFmtId="3" fontId="63" fillId="57" borderId="23" xfId="0" applyNumberFormat="1" applyFont="1" applyFill="1" applyBorder="1" applyAlignment="1">
      <alignment horizontal="center" vertical="center" wrapText="1"/>
    </xf>
    <xf numFmtId="0" fontId="52" fillId="38" borderId="23" xfId="0" applyFont="1" applyFill="1" applyBorder="1" applyAlignment="1">
      <alignment vertical="center" wrapText="1"/>
    </xf>
    <xf numFmtId="0" fontId="52" fillId="0" borderId="17" xfId="52" applyFont="1" applyBorder="1" applyAlignment="1">
      <alignment horizontal="left" vertical="center" wrapText="1"/>
    </xf>
    <xf numFmtId="166" fontId="51" fillId="27" borderId="10" xfId="46" applyNumberFormat="1" applyFont="1" applyFill="1" applyBorder="1" applyAlignment="1">
      <alignment horizontal="center" vertical="center" wrapText="1"/>
    </xf>
    <xf numFmtId="166" fontId="51" fillId="27" borderId="48" xfId="46" applyNumberFormat="1" applyFont="1" applyFill="1" applyBorder="1" applyAlignment="1">
      <alignment horizontal="center" vertical="center" wrapText="1"/>
    </xf>
    <xf numFmtId="49" fontId="52" fillId="40" borderId="14" xfId="0" quotePrefix="1" applyNumberFormat="1" applyFont="1" applyFill="1" applyBorder="1" applyAlignment="1">
      <alignment horizontal="center" vertical="center" wrapText="1"/>
    </xf>
    <xf numFmtId="166" fontId="51" fillId="27" borderId="14" xfId="0" applyNumberFormat="1" applyFont="1" applyFill="1" applyBorder="1" applyAlignment="1">
      <alignment horizontal="center" vertical="center" wrapText="1"/>
    </xf>
    <xf numFmtId="166" fontId="51" fillId="27" borderId="16" xfId="0" applyNumberFormat="1" applyFont="1" applyFill="1" applyBorder="1" applyAlignment="1">
      <alignment horizontal="center" vertical="center" wrapText="1"/>
    </xf>
    <xf numFmtId="49" fontId="51" fillId="27" borderId="14" xfId="46" applyNumberFormat="1" applyFont="1" applyFill="1" applyBorder="1" applyAlignment="1">
      <alignment horizontal="center" vertical="center" wrapText="1"/>
    </xf>
    <xf numFmtId="0" fontId="51" fillId="27" borderId="14" xfId="0" applyFont="1" applyFill="1" applyBorder="1" applyAlignment="1">
      <alignment horizontal="center" vertical="center" wrapText="1"/>
    </xf>
    <xf numFmtId="3" fontId="63" fillId="27" borderId="31" xfId="0" applyNumberFormat="1" applyFont="1" applyFill="1" applyBorder="1" applyAlignment="1">
      <alignment horizontal="center" vertical="center" wrapText="1"/>
    </xf>
    <xf numFmtId="3" fontId="63" fillId="27" borderId="14" xfId="0" applyNumberFormat="1" applyFont="1" applyFill="1" applyBorder="1" applyAlignment="1" applyProtection="1">
      <alignment horizontal="center" vertical="center" wrapText="1"/>
      <protection locked="0"/>
    </xf>
    <xf numFmtId="3" fontId="52" fillId="0" borderId="23" xfId="80" applyNumberFormat="1" applyFont="1" applyBorder="1" applyAlignment="1">
      <alignment horizontal="left" vertical="center" wrapText="1"/>
    </xf>
    <xf numFmtId="0" fontId="52" fillId="0" borderId="42" xfId="52" applyFont="1" applyBorder="1" applyAlignment="1">
      <alignment horizontal="left" vertical="center"/>
    </xf>
    <xf numFmtId="166" fontId="14" fillId="0" borderId="14" xfId="79" applyNumberFormat="1" applyFont="1" applyBorder="1" applyAlignment="1">
      <alignment horizontal="left" vertical="center"/>
    </xf>
    <xf numFmtId="166" fontId="14" fillId="27" borderId="14" xfId="79" applyNumberFormat="1" applyFont="1" applyFill="1" applyBorder="1" applyAlignment="1">
      <alignment horizontal="left" vertical="center"/>
    </xf>
    <xf numFmtId="0" fontId="52" fillId="27" borderId="36" xfId="46" applyFont="1" applyFill="1" applyBorder="1" applyAlignment="1">
      <alignment horizontal="center" vertical="center" wrapText="1"/>
    </xf>
    <xf numFmtId="0" fontId="52" fillId="0" borderId="10" xfId="0" applyFont="1" applyBorder="1" applyAlignment="1">
      <alignment vertical="center" wrapText="1"/>
    </xf>
    <xf numFmtId="0" fontId="52" fillId="0" borderId="51" xfId="0" applyFont="1" applyBorder="1" applyAlignment="1">
      <alignment horizontal="center" vertical="center" wrapText="1"/>
    </xf>
    <xf numFmtId="0" fontId="52" fillId="28" borderId="22" xfId="0" applyFont="1" applyFill="1" applyBorder="1" applyAlignment="1">
      <alignment horizontal="center" vertical="center" textRotation="90" wrapText="1"/>
    </xf>
    <xf numFmtId="3" fontId="52" fillId="0" borderId="23" xfId="0" applyNumberFormat="1" applyFont="1" applyBorder="1" applyAlignment="1">
      <alignment horizontal="center" vertical="center" textRotation="90" wrapText="1"/>
    </xf>
    <xf numFmtId="14" fontId="52" fillId="0" borderId="23" xfId="0" quotePrefix="1" applyNumberFormat="1" applyFont="1" applyBorder="1" applyAlignment="1">
      <alignment horizontal="center" vertical="center" wrapText="1"/>
    </xf>
    <xf numFmtId="49" fontId="52" fillId="0" borderId="23" xfId="46" applyNumberFormat="1" applyFont="1" applyBorder="1" applyAlignment="1">
      <alignment horizontal="center" vertical="center"/>
    </xf>
    <xf numFmtId="0" fontId="60" fillId="0" borderId="14" xfId="46" applyFont="1" applyBorder="1" applyAlignment="1">
      <alignment horizontal="right" vertical="center" wrapText="1"/>
    </xf>
    <xf numFmtId="0" fontId="52" fillId="27" borderId="48" xfId="46" applyFont="1" applyFill="1" applyBorder="1" applyAlignment="1">
      <alignment horizontal="center" vertical="center" wrapText="1"/>
    </xf>
    <xf numFmtId="0" fontId="52" fillId="0" borderId="40" xfId="46" applyFont="1" applyBorder="1" applyAlignment="1">
      <alignment horizontal="center" vertical="center" wrapText="1"/>
    </xf>
    <xf numFmtId="164" fontId="52" fillId="27" borderId="0" xfId="0" applyNumberFormat="1" applyFont="1" applyFill="1" applyAlignment="1">
      <alignment horizontal="center"/>
    </xf>
    <xf numFmtId="166" fontId="13" fillId="27" borderId="14" xfId="79" applyNumberFormat="1" applyFont="1" applyFill="1" applyBorder="1" applyAlignment="1">
      <alignment horizontal="left" vertical="center" wrapText="1"/>
    </xf>
    <xf numFmtId="49" fontId="52" fillId="27" borderId="14" xfId="0" applyNumberFormat="1" applyFont="1" applyFill="1" applyBorder="1" applyAlignment="1">
      <alignment horizontal="center" vertical="center" wrapText="1"/>
    </xf>
    <xf numFmtId="0" fontId="13" fillId="0" borderId="40" xfId="0" applyFont="1" applyBorder="1" applyAlignment="1">
      <alignment horizontal="center" vertical="center" wrapText="1"/>
    </xf>
    <xf numFmtId="0" fontId="52" fillId="0" borderId="31" xfId="0" applyFont="1" applyBorder="1" applyAlignment="1">
      <alignment horizontal="center" vertical="center" wrapText="1"/>
    </xf>
    <xf numFmtId="0" fontId="52" fillId="43" borderId="23" xfId="0" applyFont="1" applyFill="1" applyBorder="1" applyAlignment="1">
      <alignment horizontal="center" vertical="center" wrapText="1"/>
    </xf>
    <xf numFmtId="0" fontId="0" fillId="0" borderId="38" xfId="0" applyBorder="1" applyAlignment="1">
      <alignment horizontal="center" vertical="center"/>
    </xf>
    <xf numFmtId="166" fontId="60" fillId="0" borderId="14" xfId="79" applyNumberFormat="1" applyFont="1" applyBorder="1" applyAlignment="1">
      <alignment horizontal="center" vertical="center" wrapText="1"/>
    </xf>
    <xf numFmtId="3" fontId="60" fillId="0" borderId="14" xfId="79" applyNumberFormat="1" applyFont="1" applyBorder="1" applyAlignment="1">
      <alignment horizontal="center" vertical="center" wrapText="1"/>
    </xf>
    <xf numFmtId="3" fontId="60" fillId="0" borderId="16" xfId="79" applyNumberFormat="1" applyFont="1" applyBorder="1" applyAlignment="1">
      <alignment horizontal="center" vertical="center" wrapText="1"/>
    </xf>
    <xf numFmtId="0" fontId="51" fillId="27" borderId="17" xfId="0" applyFont="1" applyFill="1" applyBorder="1" applyAlignment="1">
      <alignment horizontal="center" vertical="center" wrapText="1"/>
    </xf>
    <xf numFmtId="0" fontId="51" fillId="27" borderId="38" xfId="0" applyFont="1" applyFill="1" applyBorder="1" applyAlignment="1">
      <alignment horizontal="center" vertical="center" wrapText="1"/>
    </xf>
    <xf numFmtId="166" fontId="60" fillId="0" borderId="42" xfId="79" applyNumberFormat="1" applyFont="1" applyBorder="1" applyAlignment="1">
      <alignment horizontal="center" vertical="center" wrapText="1"/>
    </xf>
    <xf numFmtId="166" fontId="60" fillId="0" borderId="38" xfId="79" applyNumberFormat="1" applyFont="1" applyBorder="1" applyAlignment="1">
      <alignment horizontal="center" vertical="center" wrapText="1"/>
    </xf>
    <xf numFmtId="0" fontId="84" fillId="0" borderId="14" xfId="0" applyFont="1" applyBorder="1" applyAlignment="1">
      <alignment horizontal="center" vertical="center"/>
    </xf>
    <xf numFmtId="169" fontId="60" fillId="27" borderId="14" xfId="79" applyNumberFormat="1" applyFont="1" applyFill="1" applyBorder="1" applyAlignment="1">
      <alignment horizontal="center" vertical="center"/>
    </xf>
    <xf numFmtId="3" fontId="60" fillId="27" borderId="14" xfId="79" applyNumberFormat="1" applyFont="1" applyFill="1" applyBorder="1" applyAlignment="1">
      <alignment horizontal="center" vertical="center"/>
    </xf>
    <xf numFmtId="3" fontId="60" fillId="27" borderId="14" xfId="79" applyNumberFormat="1" applyFont="1" applyFill="1" applyBorder="1" applyAlignment="1">
      <alignment horizontal="center" vertical="center" wrapText="1"/>
    </xf>
    <xf numFmtId="3" fontId="60" fillId="27" borderId="17" xfId="79" applyNumberFormat="1" applyFont="1" applyFill="1" applyBorder="1" applyAlignment="1">
      <alignment horizontal="center" vertical="center"/>
    </xf>
    <xf numFmtId="3" fontId="60" fillId="27" borderId="38" xfId="79" applyNumberFormat="1" applyFont="1" applyFill="1" applyBorder="1" applyAlignment="1">
      <alignment horizontal="center" vertical="center"/>
    </xf>
    <xf numFmtId="166" fontId="60" fillId="27" borderId="23" xfId="79" applyNumberFormat="1" applyFont="1" applyFill="1" applyBorder="1" applyAlignment="1">
      <alignment horizontal="center" vertical="center"/>
    </xf>
    <xf numFmtId="0" fontId="60" fillId="0" borderId="31" xfId="0" applyFont="1" applyBorder="1" applyAlignment="1">
      <alignment horizontal="center" vertical="center" wrapText="1"/>
    </xf>
    <xf numFmtId="0" fontId="60" fillId="0" borderId="31" xfId="0" applyFont="1" applyBorder="1" applyAlignment="1">
      <alignment horizontal="center" vertical="center"/>
    </xf>
    <xf numFmtId="3" fontId="60" fillId="0" borderId="38" xfId="79" applyNumberFormat="1" applyFont="1" applyBorder="1" applyAlignment="1">
      <alignment horizontal="center" vertical="center"/>
    </xf>
    <xf numFmtId="0" fontId="61" fillId="0" borderId="23" xfId="0" applyFont="1" applyBorder="1" applyAlignment="1">
      <alignment horizontal="center" vertical="center"/>
    </xf>
    <xf numFmtId="0" fontId="51" fillId="0" borderId="23" xfId="0" applyFont="1" applyBorder="1" applyAlignment="1">
      <alignment horizontal="center" vertical="center"/>
    </xf>
    <xf numFmtId="0" fontId="60" fillId="0" borderId="38" xfId="0" applyFont="1" applyBorder="1" applyAlignment="1">
      <alignment horizontal="center" vertical="center"/>
    </xf>
    <xf numFmtId="0" fontId="60" fillId="0" borderId="17" xfId="0" applyFont="1" applyBorder="1" applyAlignment="1">
      <alignment horizontal="center" vertical="center"/>
    </xf>
    <xf numFmtId="0" fontId="60" fillId="0" borderId="40" xfId="0" applyFont="1" applyBorder="1" applyAlignment="1">
      <alignment horizontal="center" vertical="center"/>
    </xf>
    <xf numFmtId="0" fontId="60" fillId="0" borderId="23" xfId="0" applyFont="1" applyBorder="1" applyAlignment="1">
      <alignment horizontal="center" vertical="center"/>
    </xf>
    <xf numFmtId="0" fontId="52" fillId="0" borderId="26" xfId="52" applyFont="1" applyBorder="1" applyAlignment="1">
      <alignment horizontal="center" vertical="center"/>
    </xf>
    <xf numFmtId="0" fontId="52" fillId="0" borderId="10" xfId="52" applyFont="1" applyBorder="1" applyAlignment="1">
      <alignment horizontal="center" vertical="center"/>
    </xf>
    <xf numFmtId="0" fontId="0" fillId="0" borderId="14" xfId="0" applyBorder="1" applyAlignment="1">
      <alignment horizontal="center" vertical="center"/>
    </xf>
    <xf numFmtId="0" fontId="18" fillId="0" borderId="14" xfId="84" applyFont="1" applyBorder="1" applyAlignment="1">
      <alignment horizontal="center" vertical="center"/>
    </xf>
    <xf numFmtId="0" fontId="24" fillId="0" borderId="14" xfId="76" applyBorder="1" applyAlignment="1">
      <alignment horizontal="center" vertical="center"/>
    </xf>
    <xf numFmtId="0" fontId="0" fillId="0" borderId="0" xfId="0" applyAlignment="1" applyProtection="1">
      <alignment horizontal="center" vertical="center"/>
      <protection locked="0"/>
    </xf>
    <xf numFmtId="0" fontId="21" fillId="0" borderId="14" xfId="77" applyFont="1" applyBorder="1" applyAlignment="1">
      <alignment horizontal="center" vertical="center"/>
    </xf>
    <xf numFmtId="0" fontId="60" fillId="0" borderId="38" xfId="0" applyFont="1" applyBorder="1" applyAlignment="1">
      <alignment horizontal="center" vertical="center" wrapText="1"/>
    </xf>
    <xf numFmtId="0" fontId="0" fillId="0" borderId="0" xfId="0" applyAlignment="1" applyProtection="1">
      <alignment horizontal="left" vertical="center"/>
      <protection locked="0"/>
    </xf>
    <xf numFmtId="3" fontId="63" fillId="27" borderId="14" xfId="0" applyNumberFormat="1" applyFont="1" applyFill="1" applyBorder="1" applyAlignment="1" applyProtection="1">
      <alignment horizontal="left" vertical="center" wrapText="1"/>
      <protection locked="0"/>
    </xf>
    <xf numFmtId="0" fontId="52" fillId="43" borderId="31" xfId="0" applyFont="1" applyFill="1" applyBorder="1" applyAlignment="1">
      <alignment horizontal="left" vertical="center" wrapText="1"/>
    </xf>
    <xf numFmtId="0" fontId="0" fillId="0" borderId="38" xfId="0" applyBorder="1" applyAlignment="1">
      <alignment horizontal="left" vertical="center"/>
    </xf>
    <xf numFmtId="166" fontId="51" fillId="0" borderId="14" xfId="0" applyNumberFormat="1" applyFont="1" applyBorder="1" applyAlignment="1">
      <alignment horizontal="left" vertical="center"/>
    </xf>
    <xf numFmtId="4" fontId="80" fillId="0" borderId="38" xfId="0" applyNumberFormat="1" applyFont="1" applyBorder="1" applyAlignment="1">
      <alignment horizontal="left" vertical="center" wrapText="1"/>
    </xf>
    <xf numFmtId="4" fontId="75" fillId="0" borderId="38" xfId="0" applyNumberFormat="1" applyFont="1" applyBorder="1" applyAlignment="1">
      <alignment horizontal="left" vertical="center"/>
    </xf>
    <xf numFmtId="0" fontId="21" fillId="0" borderId="14" xfId="77" applyFont="1" applyBorder="1" applyAlignment="1">
      <alignment horizontal="left" vertical="center"/>
    </xf>
    <xf numFmtId="0" fontId="84" fillId="0" borderId="14" xfId="0" applyFont="1" applyBorder="1" applyAlignment="1">
      <alignment horizontal="left" vertical="center"/>
    </xf>
    <xf numFmtId="0" fontId="61" fillId="0" borderId="14" xfId="0" applyFont="1" applyBorder="1" applyAlignment="1">
      <alignment horizontal="left" vertical="center"/>
    </xf>
    <xf numFmtId="0" fontId="60" fillId="27" borderId="31" xfId="0" applyFont="1" applyFill="1" applyBorder="1" applyAlignment="1">
      <alignment horizontal="left" vertical="center"/>
    </xf>
    <xf numFmtId="0" fontId="60" fillId="27" borderId="36" xfId="0" applyFont="1" applyFill="1" applyBorder="1" applyAlignment="1">
      <alignment horizontal="left" vertical="center"/>
    </xf>
    <xf numFmtId="0" fontId="60" fillId="0" borderId="36" xfId="0" applyFont="1" applyBorder="1" applyAlignment="1">
      <alignment horizontal="left" vertical="center"/>
    </xf>
    <xf numFmtId="0" fontId="60" fillId="0" borderId="40" xfId="0" applyFont="1" applyBorder="1" applyAlignment="1">
      <alignment horizontal="left" vertical="center"/>
    </xf>
    <xf numFmtId="0" fontId="60" fillId="0" borderId="40" xfId="0" applyFont="1" applyBorder="1" applyAlignment="1">
      <alignment horizontal="left" vertical="center" wrapText="1"/>
    </xf>
    <xf numFmtId="0" fontId="60" fillId="0" borderId="36" xfId="0" applyFont="1" applyBorder="1" applyAlignment="1">
      <alignment horizontal="left" vertical="center" wrapText="1"/>
    </xf>
    <xf numFmtId="0" fontId="60" fillId="0" borderId="38" xfId="0" applyFont="1" applyBorder="1" applyAlignment="1">
      <alignment horizontal="left" vertical="center"/>
    </xf>
    <xf numFmtId="0" fontId="0" fillId="27" borderId="38" xfId="0" applyFill="1" applyBorder="1" applyAlignment="1">
      <alignment horizontal="left" vertical="center"/>
    </xf>
    <xf numFmtId="0" fontId="60" fillId="0" borderId="23" xfId="0" applyFont="1" applyBorder="1" applyAlignment="1">
      <alignment horizontal="left" vertical="center"/>
    </xf>
    <xf numFmtId="0" fontId="60" fillId="0" borderId="14" xfId="0" applyFont="1" applyBorder="1" applyAlignment="1">
      <alignment horizontal="left" vertical="center"/>
    </xf>
    <xf numFmtId="0" fontId="60" fillId="27" borderId="14" xfId="0" applyFont="1" applyFill="1" applyBorder="1" applyAlignment="1">
      <alignment horizontal="left" vertical="center" wrapText="1"/>
    </xf>
    <xf numFmtId="0" fontId="0" fillId="0" borderId="14" xfId="0" applyBorder="1" applyAlignment="1">
      <alignment horizontal="left" vertical="center"/>
    </xf>
    <xf numFmtId="0" fontId="86" fillId="0" borderId="0" xfId="0" applyFont="1" applyAlignment="1">
      <alignment horizontal="left" vertical="center"/>
    </xf>
    <xf numFmtId="0" fontId="21" fillId="0" borderId="14" xfId="76" applyFont="1" applyBorder="1" applyAlignment="1">
      <alignment horizontal="left" vertical="center" wrapText="1"/>
    </xf>
    <xf numFmtId="166" fontId="21" fillId="0" borderId="14" xfId="76" applyNumberFormat="1" applyFont="1" applyBorder="1" applyAlignment="1">
      <alignment horizontal="left" vertical="center" wrapText="1"/>
    </xf>
    <xf numFmtId="0" fontId="18" fillId="0" borderId="14" xfId="84" applyFont="1" applyBorder="1" applyAlignment="1">
      <alignment horizontal="left" vertical="center" wrapText="1"/>
    </xf>
    <xf numFmtId="0" fontId="24" fillId="0" borderId="14" xfId="76" applyBorder="1" applyAlignment="1">
      <alignment horizontal="left" vertical="center" wrapText="1"/>
    </xf>
    <xf numFmtId="0" fontId="19" fillId="0" borderId="14" xfId="76" applyFont="1" applyBorder="1" applyAlignment="1">
      <alignment horizontal="left" vertical="center" wrapText="1"/>
    </xf>
    <xf numFmtId="0" fontId="21" fillId="27" borderId="14" xfId="76" applyFont="1" applyFill="1" applyBorder="1" applyAlignment="1">
      <alignment horizontal="left" vertical="center" wrapText="1"/>
    </xf>
    <xf numFmtId="166" fontId="12" fillId="0" borderId="14" xfId="79" applyNumberFormat="1" applyFont="1" applyBorder="1" applyAlignment="1">
      <alignment horizontal="left" vertical="center" wrapText="1"/>
    </xf>
    <xf numFmtId="166" fontId="12" fillId="0" borderId="14" xfId="79" applyNumberFormat="1" applyFont="1" applyBorder="1" applyAlignment="1">
      <alignment horizontal="left" vertical="center"/>
    </xf>
    <xf numFmtId="3" fontId="52" fillId="0" borderId="31" xfId="0" applyNumberFormat="1" applyFont="1" applyBorder="1" applyAlignment="1" applyProtection="1">
      <alignment horizontal="left" vertical="center" wrapText="1"/>
      <protection locked="0"/>
    </xf>
    <xf numFmtId="3" fontId="63" fillId="27" borderId="31" xfId="0" applyNumberFormat="1" applyFont="1" applyFill="1" applyBorder="1" applyAlignment="1" applyProtection="1">
      <alignment horizontal="left" vertical="center" wrapText="1"/>
      <protection locked="0"/>
    </xf>
    <xf numFmtId="3" fontId="52" fillId="0" borderId="26" xfId="0" applyNumberFormat="1" applyFont="1" applyBorder="1" applyAlignment="1">
      <alignment horizontal="left" vertical="center" wrapText="1"/>
    </xf>
    <xf numFmtId="166" fontId="52" fillId="30" borderId="31" xfId="46" applyNumberFormat="1" applyFont="1" applyFill="1" applyBorder="1" applyAlignment="1">
      <alignment horizontal="left" vertical="center" wrapText="1"/>
    </xf>
    <xf numFmtId="166" fontId="52" fillId="0" borderId="36" xfId="46" applyNumberFormat="1" applyFont="1" applyBorder="1" applyAlignment="1">
      <alignment horizontal="left" vertical="center" wrapText="1"/>
    </xf>
    <xf numFmtId="164" fontId="60" fillId="0" borderId="31" xfId="46" applyNumberFormat="1" applyFont="1" applyBorder="1" applyAlignment="1">
      <alignment horizontal="left" vertical="center" wrapText="1"/>
    </xf>
    <xf numFmtId="166" fontId="60" fillId="27" borderId="31" xfId="46" applyNumberFormat="1" applyFont="1" applyFill="1" applyBorder="1" applyAlignment="1">
      <alignment horizontal="left" vertical="center" wrapText="1"/>
    </xf>
    <xf numFmtId="166" fontId="52" fillId="0" borderId="22" xfId="46" applyNumberFormat="1" applyFont="1" applyBorder="1" applyAlignment="1">
      <alignment horizontal="left" vertical="center" wrapText="1"/>
    </xf>
    <xf numFmtId="0" fontId="83" fillId="0" borderId="0" xfId="0" applyFont="1" applyAlignment="1">
      <alignment horizontal="left" vertical="center" wrapText="1"/>
    </xf>
    <xf numFmtId="166" fontId="52" fillId="0" borderId="47" xfId="46" applyNumberFormat="1" applyFont="1" applyBorder="1" applyAlignment="1">
      <alignment horizontal="left" vertical="center" wrapText="1"/>
    </xf>
    <xf numFmtId="0" fontId="52" fillId="27" borderId="31" xfId="0" applyFont="1" applyFill="1" applyBorder="1" applyAlignment="1">
      <alignment horizontal="left" vertical="center" wrapText="1"/>
    </xf>
    <xf numFmtId="166" fontId="52" fillId="27" borderId="46" xfId="46" applyNumberFormat="1" applyFont="1" applyFill="1" applyBorder="1" applyAlignment="1">
      <alignment horizontal="left" vertical="center" wrapText="1"/>
    </xf>
    <xf numFmtId="0" fontId="52" fillId="0" borderId="22" xfId="0" applyFont="1" applyBorder="1" applyAlignment="1">
      <alignment horizontal="left" vertical="center" wrapText="1"/>
    </xf>
    <xf numFmtId="0" fontId="32" fillId="0" borderId="31" xfId="0" applyFont="1" applyBorder="1" applyAlignment="1">
      <alignment horizontal="left" vertical="center" wrapText="1"/>
    </xf>
    <xf numFmtId="166" fontId="17" fillId="0" borderId="31" xfId="79" applyNumberFormat="1" applyFont="1" applyBorder="1" applyAlignment="1">
      <alignment horizontal="left" vertical="center" wrapText="1"/>
    </xf>
    <xf numFmtId="166" fontId="52" fillId="0" borderId="31" xfId="79" applyNumberFormat="1" applyFont="1" applyBorder="1" applyAlignment="1">
      <alignment horizontal="left" vertical="center" wrapText="1"/>
    </xf>
    <xf numFmtId="166" fontId="21" fillId="0" borderId="26" xfId="79" applyNumberFormat="1" applyFont="1" applyBorder="1" applyAlignment="1">
      <alignment horizontal="left" vertical="center" wrapText="1"/>
    </xf>
    <xf numFmtId="166" fontId="60" fillId="0" borderId="31" xfId="79" applyNumberFormat="1" applyFont="1" applyBorder="1" applyAlignment="1">
      <alignment horizontal="left" vertical="center" wrapText="1"/>
    </xf>
    <xf numFmtId="166" fontId="60" fillId="0" borderId="47" xfId="79" applyNumberFormat="1" applyFont="1" applyBorder="1" applyAlignment="1">
      <alignment horizontal="left" vertical="center" wrapText="1"/>
    </xf>
    <xf numFmtId="166" fontId="60" fillId="0" borderId="22" xfId="79" applyNumberFormat="1" applyFont="1" applyBorder="1" applyAlignment="1">
      <alignment horizontal="left" vertical="center" wrapText="1"/>
    </xf>
    <xf numFmtId="0" fontId="60" fillId="27" borderId="47" xfId="0" applyFont="1" applyFill="1" applyBorder="1" applyAlignment="1">
      <alignment horizontal="left" vertical="center" wrapText="1"/>
    </xf>
    <xf numFmtId="0" fontId="60" fillId="27" borderId="46" xfId="0" applyFont="1" applyFill="1" applyBorder="1" applyAlignment="1">
      <alignment horizontal="left" vertical="center" wrapText="1"/>
    </xf>
    <xf numFmtId="0" fontId="60" fillId="0" borderId="46" xfId="0" applyFont="1" applyBorder="1" applyAlignment="1">
      <alignment horizontal="left" vertical="center" wrapText="1"/>
    </xf>
    <xf numFmtId="0" fontId="60" fillId="0" borderId="39" xfId="0" applyFont="1" applyBorder="1" applyAlignment="1">
      <alignment horizontal="left" vertical="center" wrapText="1"/>
    </xf>
    <xf numFmtId="166" fontId="13" fillId="0" borderId="14" xfId="79" applyNumberFormat="1" applyFont="1" applyBorder="1" applyAlignment="1">
      <alignment horizontal="left" vertical="center" wrapText="1"/>
    </xf>
    <xf numFmtId="0" fontId="52" fillId="27" borderId="22" xfId="0" applyFont="1" applyFill="1" applyBorder="1" applyAlignment="1">
      <alignment horizontal="left" vertical="center" wrapText="1"/>
    </xf>
    <xf numFmtId="0" fontId="21" fillId="0" borderId="31" xfId="76" applyFont="1" applyBorder="1" applyAlignment="1">
      <alignment horizontal="left" vertical="center" wrapText="1"/>
    </xf>
    <xf numFmtId="0" fontId="16" fillId="0" borderId="31" xfId="76" applyFont="1" applyBorder="1" applyAlignment="1">
      <alignment horizontal="left" vertical="center" wrapText="1"/>
    </xf>
    <xf numFmtId="0" fontId="21" fillId="27" borderId="31" xfId="76" applyFont="1" applyFill="1" applyBorder="1" applyAlignment="1">
      <alignment horizontal="left" vertical="center" wrapText="1"/>
    </xf>
    <xf numFmtId="3" fontId="52" fillId="0" borderId="31" xfId="46" applyNumberFormat="1" applyFont="1" applyBorder="1" applyAlignment="1">
      <alignment horizontal="left" vertical="center" wrapText="1"/>
    </xf>
    <xf numFmtId="0" fontId="15" fillId="0" borderId="31" xfId="0" applyFont="1" applyBorder="1" applyAlignment="1">
      <alignment horizontal="left" vertical="center" wrapText="1"/>
    </xf>
    <xf numFmtId="3" fontId="52" fillId="27" borderId="31" xfId="0" applyNumberFormat="1" applyFont="1" applyFill="1" applyBorder="1" applyAlignment="1">
      <alignment horizontal="left" vertical="center" wrapText="1"/>
    </xf>
    <xf numFmtId="3" fontId="52" fillId="27" borderId="31" xfId="46" applyNumberFormat="1" applyFont="1" applyFill="1" applyBorder="1" applyAlignment="1">
      <alignment horizontal="left" vertical="center" wrapText="1"/>
    </xf>
    <xf numFmtId="3" fontId="52" fillId="0" borderId="31" xfId="73" applyNumberFormat="1" applyFont="1" applyBorder="1" applyAlignment="1">
      <alignment horizontal="left" vertical="center" wrapText="1"/>
    </xf>
    <xf numFmtId="3" fontId="52" fillId="0" borderId="31" xfId="80" applyNumberFormat="1" applyFont="1" applyBorder="1" applyAlignment="1">
      <alignment horizontal="left" vertical="center" wrapText="1"/>
    </xf>
    <xf numFmtId="3" fontId="52" fillId="0" borderId="31" xfId="72" applyNumberFormat="1" applyFont="1" applyBorder="1" applyAlignment="1">
      <alignment horizontal="left" vertical="center" wrapText="1"/>
    </xf>
    <xf numFmtId="0" fontId="52" fillId="27" borderId="31" xfId="72" applyFont="1" applyFill="1" applyBorder="1" applyAlignment="1">
      <alignment horizontal="left" vertical="center" wrapText="1"/>
    </xf>
    <xf numFmtId="3" fontId="60" fillId="0" borderId="31" xfId="78" applyNumberFormat="1" applyFont="1" applyBorder="1" applyAlignment="1">
      <alignment horizontal="left" vertical="center" wrapText="1"/>
    </xf>
    <xf numFmtId="3" fontId="21" fillId="0" borderId="31" xfId="78" applyNumberFormat="1" applyFont="1" applyBorder="1" applyAlignment="1">
      <alignment horizontal="left" vertical="center" wrapText="1"/>
    </xf>
    <xf numFmtId="0" fontId="19" fillId="0" borderId="31" xfId="76" applyFont="1" applyBorder="1" applyAlignment="1">
      <alignment horizontal="left" vertical="center" wrapText="1"/>
    </xf>
    <xf numFmtId="3" fontId="21" fillId="0" borderId="31" xfId="0" applyNumberFormat="1" applyFont="1" applyBorder="1" applyAlignment="1">
      <alignment horizontal="left" vertical="center" wrapText="1"/>
    </xf>
    <xf numFmtId="0" fontId="18" fillId="0" borderId="31" xfId="76" applyFont="1" applyBorder="1" applyAlignment="1">
      <alignment horizontal="left" vertical="center" wrapText="1"/>
    </xf>
    <xf numFmtId="0" fontId="24" fillId="0" borderId="31" xfId="76" applyBorder="1" applyAlignment="1">
      <alignment horizontal="left" vertical="center" wrapText="1"/>
    </xf>
    <xf numFmtId="0" fontId="51" fillId="38" borderId="14" xfId="0" applyFont="1" applyFill="1" applyBorder="1" applyAlignment="1">
      <alignment horizontal="center" vertical="center"/>
    </xf>
    <xf numFmtId="0" fontId="61" fillId="38" borderId="14" xfId="0" applyFont="1" applyFill="1" applyBorder="1" applyAlignment="1">
      <alignment horizontal="center" vertical="center" wrapText="1"/>
    </xf>
    <xf numFmtId="0" fontId="51" fillId="38" borderId="14" xfId="0" applyFont="1" applyFill="1" applyBorder="1" applyAlignment="1">
      <alignment horizontal="center" vertical="center" wrapText="1"/>
    </xf>
    <xf numFmtId="0" fontId="60" fillId="47" borderId="17" xfId="0" applyFont="1" applyFill="1" applyBorder="1" applyAlignment="1">
      <alignment horizontal="center" vertical="center" wrapText="1"/>
    </xf>
    <xf numFmtId="0" fontId="60" fillId="47" borderId="40" xfId="0" applyFont="1" applyFill="1" applyBorder="1" applyAlignment="1">
      <alignment horizontal="center" vertical="center" wrapText="1"/>
    </xf>
    <xf numFmtId="0" fontId="52" fillId="0" borderId="40" xfId="0" applyFont="1" applyBorder="1" applyAlignment="1">
      <alignment horizontal="center" vertical="center" wrapText="1"/>
    </xf>
    <xf numFmtId="0" fontId="52" fillId="44" borderId="14" xfId="0" applyFont="1" applyFill="1" applyBorder="1" applyAlignment="1">
      <alignment horizontal="center" vertical="center" wrapText="1"/>
    </xf>
    <xf numFmtId="0" fontId="52" fillId="50" borderId="14" xfId="0" applyFont="1" applyFill="1" applyBorder="1" applyAlignment="1">
      <alignment horizontal="center" vertical="center"/>
    </xf>
    <xf numFmtId="0" fontId="32" fillId="35" borderId="14" xfId="0" applyFont="1" applyFill="1" applyBorder="1" applyAlignment="1">
      <alignment horizontal="center" vertical="center" textRotation="90" wrapText="1"/>
    </xf>
    <xf numFmtId="166" fontId="52" fillId="24" borderId="14" xfId="79" applyNumberFormat="1" applyFont="1" applyFill="1" applyBorder="1" applyAlignment="1">
      <alignment horizontal="center" vertical="center" wrapText="1"/>
    </xf>
    <xf numFmtId="0" fontId="52" fillId="47" borderId="22" xfId="0" applyFont="1" applyFill="1" applyBorder="1" applyAlignment="1">
      <alignment horizontal="center" vertical="center"/>
    </xf>
    <xf numFmtId="0" fontId="32" fillId="35" borderId="14" xfId="52" applyFont="1" applyFill="1" applyBorder="1" applyAlignment="1">
      <alignment horizontal="center" vertical="center"/>
    </xf>
    <xf numFmtId="1" fontId="32" fillId="35" borderId="14" xfId="79" applyNumberFormat="1" applyFont="1" applyFill="1" applyBorder="1" applyAlignment="1">
      <alignment horizontal="center" vertical="center" wrapText="1"/>
    </xf>
    <xf numFmtId="0" fontId="60" fillId="27" borderId="17" xfId="0" applyFont="1" applyFill="1" applyBorder="1" applyAlignment="1">
      <alignment horizontal="center" vertical="center"/>
    </xf>
    <xf numFmtId="0" fontId="60" fillId="27" borderId="38" xfId="0" applyFont="1" applyFill="1" applyBorder="1" applyAlignment="1">
      <alignment horizontal="center" vertical="center"/>
    </xf>
    <xf numFmtId="0" fontId="60" fillId="27" borderId="40" xfId="0" applyFont="1" applyFill="1" applyBorder="1" applyAlignment="1">
      <alignment horizontal="center" vertical="center"/>
    </xf>
    <xf numFmtId="0" fontId="52" fillId="0" borderId="46" xfId="0" applyFont="1" applyBorder="1" applyAlignment="1">
      <alignment horizontal="center" vertical="center"/>
    </xf>
    <xf numFmtId="0" fontId="52" fillId="47" borderId="14" xfId="0" applyFont="1" applyFill="1" applyBorder="1" applyAlignment="1">
      <alignment horizontal="center" vertical="center"/>
    </xf>
    <xf numFmtId="0" fontId="20" fillId="27" borderId="14" xfId="76" applyFont="1" applyFill="1" applyBorder="1" applyAlignment="1">
      <alignment horizontal="center" vertical="center"/>
    </xf>
    <xf numFmtId="0" fontId="52" fillId="27" borderId="14" xfId="46" applyFont="1" applyFill="1" applyBorder="1" applyAlignment="1">
      <alignment horizontal="center" vertical="center" shrinkToFit="1"/>
    </xf>
    <xf numFmtId="0" fontId="19" fillId="27" borderId="14" xfId="76" applyFont="1" applyFill="1" applyBorder="1" applyAlignment="1">
      <alignment horizontal="center" vertical="center"/>
    </xf>
    <xf numFmtId="0" fontId="52" fillId="27" borderId="14" xfId="76" applyFont="1" applyFill="1" applyBorder="1" applyAlignment="1">
      <alignment horizontal="center" vertical="center"/>
    </xf>
    <xf numFmtId="3" fontId="13" fillId="0" borderId="14" xfId="79" applyNumberFormat="1" applyFont="1" applyBorder="1" applyAlignment="1">
      <alignment horizontal="center" vertical="center" wrapText="1"/>
    </xf>
    <xf numFmtId="0" fontId="12" fillId="0" borderId="31" xfId="76" applyFont="1" applyBorder="1" applyAlignment="1">
      <alignment horizontal="left" vertical="center" wrapText="1"/>
    </xf>
    <xf numFmtId="0" fontId="12" fillId="0" borderId="14" xfId="84" applyFont="1" applyBorder="1" applyAlignment="1">
      <alignment vertical="center" wrapText="1"/>
    </xf>
    <xf numFmtId="0" fontId="12" fillId="0" borderId="14" xfId="84" applyFont="1" applyBorder="1" applyAlignment="1">
      <alignment horizontal="center" vertical="center"/>
    </xf>
    <xf numFmtId="0" fontId="12" fillId="0" borderId="14" xfId="76" applyFont="1" applyBorder="1" applyAlignment="1">
      <alignment horizontal="left" vertical="center" wrapText="1"/>
    </xf>
    <xf numFmtId="0" fontId="12" fillId="0" borderId="14" xfId="76" applyFont="1" applyBorder="1" applyAlignment="1">
      <alignment horizontal="center" vertical="center" wrapText="1"/>
    </xf>
    <xf numFmtId="166" fontId="52" fillId="39" borderId="16" xfId="46" applyNumberFormat="1" applyFont="1" applyFill="1" applyBorder="1" applyAlignment="1">
      <alignment horizontal="left" vertical="center" wrapText="1"/>
    </xf>
    <xf numFmtId="0" fontId="11" fillId="0" borderId="31" xfId="76" applyFont="1" applyBorder="1" applyAlignment="1">
      <alignment horizontal="left" vertical="center" wrapText="1"/>
    </xf>
    <xf numFmtId="166" fontId="52" fillId="27" borderId="46" xfId="46" applyNumberFormat="1" applyFont="1" applyFill="1" applyBorder="1" applyAlignment="1">
      <alignment horizontal="left" wrapText="1"/>
    </xf>
    <xf numFmtId="49" fontId="10" fillId="0" borderId="14" xfId="84" applyNumberFormat="1" applyFont="1" applyBorder="1" applyAlignment="1">
      <alignment horizontal="center" vertical="center"/>
    </xf>
    <xf numFmtId="0" fontId="10" fillId="27" borderId="14" xfId="84" applyFont="1" applyFill="1" applyBorder="1" applyAlignment="1">
      <alignment vertical="center" wrapText="1"/>
    </xf>
    <xf numFmtId="0" fontId="10" fillId="0" borderId="14" xfId="84" applyFont="1" applyBorder="1" applyAlignment="1">
      <alignment horizontal="center" vertical="center"/>
    </xf>
    <xf numFmtId="0" fontId="10" fillId="0" borderId="14" xfId="84" applyFont="1" applyBorder="1" applyAlignment="1">
      <alignment vertical="center" wrapText="1"/>
    </xf>
    <xf numFmtId="0" fontId="10" fillId="0" borderId="17" xfId="84" applyFont="1" applyBorder="1" applyAlignment="1">
      <alignment horizontal="center" vertical="center"/>
    </xf>
    <xf numFmtId="0" fontId="10" fillId="27" borderId="14" xfId="84" applyFont="1" applyFill="1" applyBorder="1" applyAlignment="1">
      <alignment horizontal="center" vertical="center"/>
    </xf>
    <xf numFmtId="0" fontId="10" fillId="0" borderId="31" xfId="76" applyFont="1" applyBorder="1" applyAlignment="1">
      <alignment horizontal="left" vertical="center" wrapText="1"/>
    </xf>
    <xf numFmtId="0" fontId="10" fillId="27" borderId="14" xfId="76" applyFont="1" applyFill="1" applyBorder="1" applyAlignment="1">
      <alignment horizontal="center" vertical="center"/>
    </xf>
    <xf numFmtId="166" fontId="60" fillId="0" borderId="37" xfId="79" applyNumberFormat="1" applyFont="1" applyBorder="1" applyAlignment="1">
      <alignment horizontal="left" vertical="center"/>
    </xf>
    <xf numFmtId="3" fontId="60" fillId="0" borderId="35" xfId="79" applyNumberFormat="1" applyFont="1" applyBorder="1" applyAlignment="1">
      <alignment horizontal="center" vertical="center"/>
    </xf>
    <xf numFmtId="0" fontId="60" fillId="0" borderId="17" xfId="0" applyFont="1" applyBorder="1" applyAlignment="1">
      <alignment horizontal="left"/>
    </xf>
    <xf numFmtId="49" fontId="52" fillId="0" borderId="40" xfId="79" applyNumberFormat="1" applyFont="1" applyBorder="1" applyAlignment="1">
      <alignment horizontal="center" vertical="center" wrapText="1"/>
    </xf>
    <xf numFmtId="49" fontId="52" fillId="0" borderId="42" xfId="79" applyNumberFormat="1" applyFont="1" applyBorder="1" applyAlignment="1">
      <alignment horizontal="center" vertical="center" wrapText="1"/>
    </xf>
    <xf numFmtId="49" fontId="52" fillId="0" borderId="31" xfId="79" applyNumberFormat="1" applyFont="1" applyBorder="1" applyAlignment="1">
      <alignment horizontal="center" vertical="center" wrapText="1"/>
    </xf>
    <xf numFmtId="166" fontId="21" fillId="0" borderId="16" xfId="79" applyNumberFormat="1" applyFont="1" applyBorder="1" applyAlignment="1">
      <alignment horizontal="left" vertical="center"/>
    </xf>
    <xf numFmtId="3" fontId="21" fillId="0" borderId="42" xfId="79" applyNumberFormat="1" applyFont="1" applyBorder="1" applyAlignment="1">
      <alignment horizontal="center" vertical="center"/>
    </xf>
    <xf numFmtId="164" fontId="52" fillId="50" borderId="14" xfId="0" applyNumberFormat="1" applyFont="1" applyFill="1" applyBorder="1" applyAlignment="1">
      <alignment horizontal="center" vertical="center" wrapText="1"/>
    </xf>
    <xf numFmtId="166" fontId="52" fillId="29" borderId="17" xfId="79" applyNumberFormat="1" applyFont="1" applyFill="1" applyBorder="1" applyAlignment="1">
      <alignment horizontal="center" vertical="center" wrapText="1"/>
    </xf>
    <xf numFmtId="164" fontId="52" fillId="0" borderId="17" xfId="79" applyNumberFormat="1" applyFont="1" applyBorder="1" applyAlignment="1">
      <alignment horizontal="center" vertical="center" wrapText="1"/>
    </xf>
    <xf numFmtId="164" fontId="52" fillId="0" borderId="30" xfId="79" applyNumberFormat="1" applyFont="1" applyBorder="1" applyAlignment="1">
      <alignment horizontal="center" vertical="center" wrapText="1"/>
    </xf>
    <xf numFmtId="49" fontId="52" fillId="40" borderId="17" xfId="0" quotePrefix="1" applyNumberFormat="1" applyFont="1" applyFill="1" applyBorder="1" applyAlignment="1">
      <alignment horizontal="left" vertical="center" wrapText="1"/>
    </xf>
    <xf numFmtId="49" fontId="52" fillId="40" borderId="23" xfId="0" applyNumberFormat="1" applyFont="1" applyFill="1" applyBorder="1" applyAlignment="1">
      <alignment horizontal="center" vertical="center" wrapText="1"/>
    </xf>
    <xf numFmtId="0" fontId="60" fillId="38" borderId="14" xfId="0" applyFont="1" applyFill="1" applyBorder="1" applyAlignment="1">
      <alignment horizontal="center" wrapText="1"/>
    </xf>
    <xf numFmtId="0" fontId="52" fillId="38" borderId="14" xfId="0" applyFont="1" applyFill="1" applyBorder="1" applyAlignment="1">
      <alignment horizontal="center"/>
    </xf>
    <xf numFmtId="166" fontId="52" fillId="27" borderId="17" xfId="79" applyNumberFormat="1" applyFont="1" applyFill="1" applyBorder="1" applyAlignment="1">
      <alignment horizontal="left" vertical="center" wrapText="1"/>
    </xf>
    <xf numFmtId="166" fontId="52" fillId="38" borderId="14" xfId="0" applyNumberFormat="1" applyFont="1" applyFill="1" applyBorder="1" applyAlignment="1">
      <alignment horizontal="center" wrapText="1"/>
    </xf>
    <xf numFmtId="166" fontId="10" fillId="0" borderId="14" xfId="88" applyNumberFormat="1" applyFont="1" applyBorder="1" applyAlignment="1">
      <alignment horizontal="left" vertical="center" wrapText="1"/>
    </xf>
    <xf numFmtId="166" fontId="10" fillId="27" borderId="14" xfId="88" applyNumberFormat="1" applyFont="1" applyFill="1" applyBorder="1" applyAlignment="1">
      <alignment horizontal="center" vertical="center"/>
    </xf>
    <xf numFmtId="166" fontId="10" fillId="0" borderId="14" xfId="88" applyNumberFormat="1" applyFont="1" applyBorder="1" applyAlignment="1">
      <alignment horizontal="center" vertical="center"/>
    </xf>
    <xf numFmtId="166" fontId="52" fillId="41" borderId="17" xfId="46" applyNumberFormat="1" applyFont="1" applyFill="1" applyBorder="1" applyAlignment="1">
      <alignment horizontal="center" vertical="center" wrapText="1"/>
    </xf>
    <xf numFmtId="166" fontId="52" fillId="39" borderId="14" xfId="88" applyNumberFormat="1" applyFont="1" applyFill="1" applyBorder="1" applyAlignment="1">
      <alignment horizontal="center" vertical="center" wrapText="1"/>
    </xf>
    <xf numFmtId="166" fontId="10" fillId="0" borderId="16" xfId="88" applyNumberFormat="1" applyFont="1" applyBorder="1" applyAlignment="1">
      <alignment horizontal="left" vertical="center"/>
    </xf>
    <xf numFmtId="166" fontId="10" fillId="0" borderId="36" xfId="88" applyNumberFormat="1" applyFont="1" applyBorder="1" applyAlignment="1">
      <alignment horizontal="left" vertical="center"/>
    </xf>
    <xf numFmtId="166" fontId="60" fillId="0" borderId="31" xfId="88" applyNumberFormat="1" applyFont="1" applyBorder="1" applyAlignment="1">
      <alignment vertical="center" wrapText="1"/>
    </xf>
    <xf numFmtId="166" fontId="10" fillId="0" borderId="14" xfId="88" applyNumberFormat="1" applyFont="1" applyBorder="1" applyAlignment="1">
      <alignment horizontal="left" vertical="center"/>
    </xf>
    <xf numFmtId="166" fontId="10" fillId="0" borderId="17" xfId="88" applyNumberFormat="1" applyFont="1" applyBorder="1" applyAlignment="1">
      <alignment horizontal="left" vertical="center"/>
    </xf>
    <xf numFmtId="166" fontId="10" fillId="0" borderId="36" xfId="88" applyNumberFormat="1" applyFont="1" applyBorder="1" applyAlignment="1">
      <alignment vertical="center" wrapText="1"/>
    </xf>
    <xf numFmtId="0" fontId="77" fillId="0" borderId="14" xfId="0" applyFont="1" applyBorder="1" applyAlignment="1">
      <alignment horizontal="center" wrapText="1"/>
    </xf>
    <xf numFmtId="0" fontId="0" fillId="0" borderId="14" xfId="0" applyBorder="1" applyAlignment="1">
      <alignment horizontal="center"/>
    </xf>
    <xf numFmtId="0" fontId="78" fillId="0" borderId="11" xfId="0" applyFont="1" applyBorder="1" applyAlignment="1">
      <alignment wrapText="1"/>
    </xf>
    <xf numFmtId="0" fontId="32" fillId="0" borderId="20" xfId="0" applyFont="1" applyBorder="1" applyAlignment="1">
      <alignment horizontal="center"/>
    </xf>
    <xf numFmtId="0" fontId="77" fillId="0" borderId="11" xfId="0" applyFont="1" applyBorder="1" applyAlignment="1">
      <alignment wrapText="1"/>
    </xf>
    <xf numFmtId="0" fontId="79" fillId="0" borderId="11" xfId="0" applyFont="1" applyBorder="1" applyAlignment="1">
      <alignment wrapText="1"/>
    </xf>
    <xf numFmtId="0" fontId="77" fillId="0" borderId="32" xfId="0" applyFont="1" applyBorder="1" applyAlignment="1">
      <alignment wrapText="1"/>
    </xf>
    <xf numFmtId="0" fontId="0" fillId="0" borderId="21" xfId="0" applyBorder="1" applyAlignment="1">
      <alignment horizontal="center"/>
    </xf>
    <xf numFmtId="0" fontId="32" fillId="0" borderId="25" xfId="0" applyFont="1" applyBorder="1" applyAlignment="1">
      <alignment horizontal="center"/>
    </xf>
    <xf numFmtId="0" fontId="77" fillId="0" borderId="33" xfId="0" applyFont="1" applyBorder="1" applyAlignment="1">
      <alignment wrapText="1"/>
    </xf>
    <xf numFmtId="0" fontId="77" fillId="0" borderId="13" xfId="0" applyFont="1" applyBorder="1" applyAlignment="1">
      <alignment horizontal="center" wrapText="1"/>
    </xf>
    <xf numFmtId="0" fontId="77" fillId="0" borderId="34" xfId="0" applyFont="1" applyBorder="1" applyAlignment="1">
      <alignment horizontal="center" vertical="center" wrapText="1"/>
    </xf>
    <xf numFmtId="0" fontId="77" fillId="0" borderId="15" xfId="0" applyFont="1" applyBorder="1" applyAlignment="1">
      <alignment wrapText="1"/>
    </xf>
    <xf numFmtId="0" fontId="77" fillId="0" borderId="23" xfId="0" applyFont="1" applyBorder="1" applyAlignment="1">
      <alignment horizontal="center" wrapText="1"/>
    </xf>
    <xf numFmtId="0" fontId="78" fillId="0" borderId="18" xfId="0" applyFont="1" applyBorder="1" applyAlignment="1">
      <alignment wrapText="1"/>
    </xf>
    <xf numFmtId="0" fontId="78" fillId="0" borderId="12" xfId="0" applyFont="1" applyBorder="1" applyAlignment="1">
      <alignment horizontal="center" wrapText="1"/>
    </xf>
    <xf numFmtId="0" fontId="0" fillId="0" borderId="19" xfId="0" applyBorder="1" applyAlignment="1">
      <alignment horizontal="center"/>
    </xf>
    <xf numFmtId="49" fontId="32" fillId="0" borderId="20" xfId="0" applyNumberFormat="1" applyFont="1" applyBorder="1" applyAlignment="1">
      <alignment horizontal="center"/>
    </xf>
    <xf numFmtId="49" fontId="32" fillId="0" borderId="20" xfId="0" applyNumberFormat="1" applyFont="1" applyBorder="1" applyAlignment="1">
      <alignment horizontal="center" wrapText="1"/>
    </xf>
    <xf numFmtId="166" fontId="9" fillId="0" borderId="31" xfId="79" applyNumberFormat="1" applyFont="1" applyBorder="1" applyAlignment="1">
      <alignment horizontal="left" vertical="center" wrapText="1"/>
    </xf>
    <xf numFmtId="0" fontId="52" fillId="0" borderId="47" xfId="0" applyFont="1" applyBorder="1" applyAlignment="1">
      <alignment horizontal="left" vertical="center" wrapText="1"/>
    </xf>
    <xf numFmtId="0" fontId="52" fillId="0" borderId="22" xfId="75" applyFont="1" applyBorder="1" applyAlignment="1">
      <alignment horizontal="left" vertical="center" wrapText="1"/>
    </xf>
    <xf numFmtId="0" fontId="52" fillId="0" borderId="47" xfId="75" applyFont="1" applyBorder="1" applyAlignment="1">
      <alignment horizontal="left" vertical="center" wrapText="1"/>
    </xf>
    <xf numFmtId="0" fontId="52" fillId="0" borderId="0" xfId="75" applyFont="1" applyAlignment="1">
      <alignment horizontal="left" vertical="center" wrapText="1"/>
    </xf>
    <xf numFmtId="166" fontId="51" fillId="0" borderId="31" xfId="0" applyNumberFormat="1" applyFont="1" applyBorder="1" applyAlignment="1">
      <alignment horizontal="left" vertical="center" wrapText="1"/>
    </xf>
    <xf numFmtId="0" fontId="52" fillId="0" borderId="26" xfId="75" applyFont="1" applyBorder="1" applyAlignment="1">
      <alignment horizontal="left" vertical="center" wrapText="1"/>
    </xf>
    <xf numFmtId="0" fontId="52" fillId="0" borderId="31" xfId="77" applyFont="1" applyBorder="1" applyAlignment="1">
      <alignment horizontal="left" vertical="center" wrapText="1"/>
    </xf>
    <xf numFmtId="166" fontId="70" fillId="0" borderId="31" xfId="79" applyNumberFormat="1" applyFont="1" applyBorder="1" applyAlignment="1">
      <alignment horizontal="left" vertical="center" wrapText="1"/>
    </xf>
    <xf numFmtId="0" fontId="60" fillId="0" borderId="49" xfId="0" applyFont="1" applyBorder="1" applyAlignment="1">
      <alignment horizontal="left" vertical="center" wrapText="1"/>
    </xf>
    <xf numFmtId="0" fontId="60" fillId="0" borderId="46" xfId="77" applyFont="1" applyBorder="1" applyAlignment="1">
      <alignment horizontal="left" vertical="center" wrapText="1"/>
    </xf>
    <xf numFmtId="0" fontId="21" fillId="0" borderId="31" xfId="77" applyFont="1" applyBorder="1" applyAlignment="1">
      <alignment horizontal="left" vertical="center" wrapText="1"/>
    </xf>
    <xf numFmtId="0" fontId="60" fillId="0" borderId="31" xfId="77" applyFont="1" applyBorder="1" applyAlignment="1">
      <alignment horizontal="left" vertical="center" wrapText="1"/>
    </xf>
    <xf numFmtId="0" fontId="60" fillId="0" borderId="36" xfId="77" applyFont="1" applyBorder="1" applyAlignment="1">
      <alignment horizontal="left" vertical="center" wrapText="1"/>
    </xf>
    <xf numFmtId="166" fontId="10" fillId="0" borderId="14" xfId="88" applyNumberFormat="1" applyFont="1" applyBorder="1" applyAlignment="1">
      <alignment vertical="center" wrapText="1"/>
    </xf>
    <xf numFmtId="166" fontId="70" fillId="0" borderId="36" xfId="79" applyNumberFormat="1" applyFont="1" applyBorder="1" applyAlignment="1">
      <alignment horizontal="left" vertical="center" wrapText="1"/>
    </xf>
    <xf numFmtId="0" fontId="52" fillId="0" borderId="50" xfId="0" applyFont="1" applyBorder="1" applyAlignment="1">
      <alignment horizontal="left" vertical="center" wrapText="1"/>
    </xf>
    <xf numFmtId="0" fontId="60" fillId="47" borderId="23" xfId="73" applyFont="1" applyFill="1" applyBorder="1" applyAlignment="1">
      <alignment horizontal="center" vertical="center" wrapText="1"/>
    </xf>
    <xf numFmtId="0" fontId="60" fillId="0" borderId="23" xfId="73" applyFont="1" applyBorder="1" applyAlignment="1">
      <alignment horizontal="center" vertical="center" wrapText="1"/>
    </xf>
    <xf numFmtId="164" fontId="60" fillId="0" borderId="10" xfId="0" applyNumberFormat="1" applyFont="1" applyBorder="1" applyAlignment="1">
      <alignment horizontal="center" vertical="center" wrapText="1"/>
    </xf>
    <xf numFmtId="0" fontId="8" fillId="0" borderId="36" xfId="0" applyFont="1" applyBorder="1" applyAlignment="1">
      <alignment horizontal="left" vertical="center" wrapText="1"/>
    </xf>
    <xf numFmtId="0" fontId="52" fillId="27" borderId="23" xfId="46" applyFont="1" applyFill="1" applyBorder="1" applyAlignment="1">
      <alignment horizontal="left" vertical="center" wrapText="1"/>
    </xf>
    <xf numFmtId="0" fontId="52" fillId="0" borderId="23" xfId="0" applyFont="1" applyBorder="1" applyAlignment="1">
      <alignment vertical="center" wrapText="1"/>
    </xf>
    <xf numFmtId="1" fontId="52" fillId="24" borderId="23" xfId="46" applyNumberFormat="1" applyFont="1" applyFill="1" applyBorder="1" applyAlignment="1">
      <alignment horizontal="center" vertical="center" wrapText="1"/>
    </xf>
    <xf numFmtId="0" fontId="52" fillId="0" borderId="16" xfId="46" quotePrefix="1" applyFont="1" applyBorder="1" applyAlignment="1">
      <alignment horizontal="center" vertical="center" wrapText="1"/>
    </xf>
    <xf numFmtId="0" fontId="52" fillId="0" borderId="14" xfId="0" applyFont="1" applyBorder="1" applyAlignment="1">
      <alignment horizontal="center" wrapText="1"/>
    </xf>
    <xf numFmtId="166" fontId="52" fillId="0" borderId="14" xfId="88" applyNumberFormat="1" applyFont="1" applyBorder="1" applyAlignment="1">
      <alignment horizontal="center" wrapText="1"/>
    </xf>
    <xf numFmtId="166" fontId="52" fillId="34" borderId="14" xfId="0" applyNumberFormat="1" applyFont="1" applyFill="1" applyBorder="1" applyAlignment="1">
      <alignment horizontal="center" wrapText="1"/>
    </xf>
    <xf numFmtId="166" fontId="52" fillId="0" borderId="31" xfId="88" applyNumberFormat="1" applyFont="1" applyBorder="1" applyAlignment="1">
      <alignment vertical="center" wrapText="1"/>
    </xf>
    <xf numFmtId="166" fontId="7" fillId="0" borderId="14" xfId="88" applyNumberFormat="1" applyFont="1" applyBorder="1" applyAlignment="1">
      <alignment horizontal="left" vertical="center" wrapText="1"/>
    </xf>
    <xf numFmtId="3" fontId="7" fillId="0" borderId="14" xfId="88" applyNumberFormat="1" applyFont="1" applyBorder="1" applyAlignment="1">
      <alignment horizontal="center" vertical="center" wrapText="1"/>
    </xf>
    <xf numFmtId="166" fontId="52" fillId="27" borderId="0" xfId="0" applyNumberFormat="1" applyFont="1" applyFill="1" applyAlignment="1">
      <alignment horizontal="center" vertical="center"/>
    </xf>
    <xf numFmtId="166" fontId="60" fillId="0" borderId="49" xfId="79" applyNumberFormat="1" applyFont="1" applyBorder="1" applyAlignment="1">
      <alignment horizontal="left" vertical="center" wrapText="1"/>
    </xf>
    <xf numFmtId="166" fontId="60" fillId="27" borderId="42" xfId="79" applyNumberFormat="1" applyFont="1" applyFill="1" applyBorder="1" applyAlignment="1">
      <alignment horizontal="left" vertical="center" wrapText="1"/>
    </xf>
    <xf numFmtId="3" fontId="60" fillId="27" borderId="42" xfId="79" applyNumberFormat="1" applyFont="1" applyFill="1" applyBorder="1" applyAlignment="1">
      <alignment horizontal="center" vertical="center" wrapText="1"/>
    </xf>
    <xf numFmtId="166" fontId="21" fillId="27" borderId="42" xfId="79" applyNumberFormat="1" applyFont="1" applyFill="1" applyBorder="1" applyAlignment="1">
      <alignment horizontal="left" vertical="center"/>
    </xf>
    <xf numFmtId="166" fontId="9" fillId="0" borderId="14" xfId="79" applyNumberFormat="1" applyFont="1" applyBorder="1" applyAlignment="1">
      <alignment horizontal="left" vertical="center" wrapText="1"/>
    </xf>
    <xf numFmtId="0" fontId="52" fillId="0" borderId="17" xfId="0" applyFont="1" applyBorder="1" applyAlignment="1">
      <alignment horizontal="right" vertical="center" wrapText="1"/>
    </xf>
    <xf numFmtId="166" fontId="7" fillId="0" borderId="14" xfId="79" applyNumberFormat="1" applyFont="1" applyBorder="1" applyAlignment="1">
      <alignment horizontal="left" vertical="center" wrapText="1"/>
    </xf>
    <xf numFmtId="0" fontId="52" fillId="27" borderId="14" xfId="52" applyFont="1" applyFill="1" applyBorder="1" applyAlignment="1">
      <alignment horizontal="left" vertical="center" wrapText="1"/>
    </xf>
    <xf numFmtId="49" fontId="52" fillId="27" borderId="14" xfId="52" applyNumberFormat="1" applyFont="1" applyFill="1" applyBorder="1" applyAlignment="1">
      <alignment horizontal="center" vertical="center" wrapText="1"/>
    </xf>
    <xf numFmtId="0" fontId="52" fillId="27" borderId="14" xfId="0" applyFont="1" applyFill="1" applyBorder="1" applyAlignment="1">
      <alignment horizontal="center" wrapText="1"/>
    </xf>
    <xf numFmtId="0" fontId="52" fillId="27" borderId="14" xfId="75" applyFont="1" applyFill="1" applyBorder="1" applyAlignment="1">
      <alignment horizontal="center" vertical="center" wrapText="1"/>
    </xf>
    <xf numFmtId="0" fontId="60" fillId="55" borderId="23" xfId="73" applyFont="1" applyFill="1" applyBorder="1" applyAlignment="1">
      <alignment horizontal="center" vertical="center" wrapText="1"/>
    </xf>
    <xf numFmtId="0" fontId="60" fillId="27" borderId="23" xfId="0" applyFont="1" applyFill="1" applyBorder="1" applyAlignment="1">
      <alignment horizontal="left" vertical="center" wrapText="1"/>
    </xf>
    <xf numFmtId="0" fontId="21" fillId="27" borderId="23" xfId="0" applyFont="1" applyFill="1" applyBorder="1" applyAlignment="1">
      <alignment horizontal="center" vertical="center" wrapText="1"/>
    </xf>
    <xf numFmtId="0" fontId="8" fillId="27" borderId="17" xfId="0" applyFont="1" applyFill="1" applyBorder="1" applyAlignment="1">
      <alignment horizontal="left" vertical="center" wrapText="1"/>
    </xf>
    <xf numFmtId="166" fontId="52" fillId="27" borderId="14" xfId="46" applyNumberFormat="1" applyFont="1" applyFill="1" applyBorder="1" applyAlignment="1">
      <alignment vertical="center" wrapText="1"/>
    </xf>
    <xf numFmtId="0" fontId="6" fillId="0" borderId="36" xfId="77" applyFont="1" applyBorder="1"/>
    <xf numFmtId="0" fontId="6" fillId="0" borderId="31" xfId="76" applyFont="1" applyBorder="1" applyAlignment="1">
      <alignment horizontal="left" vertical="center" wrapText="1"/>
    </xf>
    <xf numFmtId="0" fontId="56" fillId="27" borderId="14" xfId="46" applyFont="1" applyFill="1" applyBorder="1" applyAlignment="1">
      <alignment horizontal="center" vertical="center" wrapText="1"/>
    </xf>
    <xf numFmtId="0" fontId="52" fillId="0" borderId="49" xfId="75" applyFont="1" applyBorder="1" applyAlignment="1">
      <alignment horizontal="left" vertical="center" wrapText="1"/>
    </xf>
    <xf numFmtId="0" fontId="52" fillId="0" borderId="42" xfId="75" applyFont="1" applyBorder="1" applyAlignment="1">
      <alignment horizontal="left" vertical="center" wrapText="1"/>
    </xf>
    <xf numFmtId="0" fontId="52" fillId="0" borderId="22" xfId="75" applyFont="1" applyBorder="1" applyAlignment="1">
      <alignment horizontal="center" vertical="center"/>
    </xf>
    <xf numFmtId="0" fontId="52" fillId="0" borderId="23" xfId="75" applyFont="1" applyBorder="1"/>
    <xf numFmtId="0" fontId="52" fillId="27" borderId="14" xfId="75" applyFont="1" applyFill="1" applyBorder="1" applyAlignment="1">
      <alignment horizontal="left" vertical="center" wrapText="1"/>
    </xf>
    <xf numFmtId="166" fontId="52" fillId="0" borderId="14" xfId="46" applyNumberFormat="1" applyFont="1" applyBorder="1" applyAlignment="1">
      <alignment vertical="center"/>
    </xf>
    <xf numFmtId="0" fontId="52" fillId="0" borderId="14" xfId="72" applyFont="1" applyBorder="1" applyAlignment="1">
      <alignment horizontal="center" vertical="center" wrapText="1"/>
    </xf>
    <xf numFmtId="166" fontId="60" fillId="0" borderId="36" xfId="88" applyNumberFormat="1" applyFont="1" applyBorder="1" applyAlignment="1">
      <alignment vertical="center" wrapText="1"/>
    </xf>
    <xf numFmtId="166" fontId="10" fillId="0" borderId="36" xfId="88" applyNumberFormat="1" applyFont="1" applyBorder="1" applyAlignment="1">
      <alignment horizontal="left" vertical="center" wrapText="1"/>
    </xf>
    <xf numFmtId="1" fontId="52" fillId="0" borderId="14" xfId="88" applyNumberFormat="1" applyFont="1" applyBorder="1" applyAlignment="1">
      <alignment horizontal="center" vertical="center" wrapText="1"/>
    </xf>
    <xf numFmtId="49" fontId="52" fillId="0" borderId="14" xfId="88" applyNumberFormat="1" applyFont="1" applyBorder="1" applyAlignment="1">
      <alignment horizontal="center" vertical="center" wrapText="1"/>
    </xf>
    <xf numFmtId="166" fontId="52" fillId="0" borderId="14" xfId="88" applyNumberFormat="1" applyFont="1" applyBorder="1" applyAlignment="1">
      <alignment horizontal="left" vertical="center" wrapText="1"/>
    </xf>
    <xf numFmtId="166" fontId="52" fillId="27" borderId="14" xfId="88" applyNumberFormat="1" applyFont="1" applyFill="1" applyBorder="1" applyAlignment="1">
      <alignment horizontal="center" vertical="center" wrapText="1"/>
    </xf>
    <xf numFmtId="1" fontId="52" fillId="0" borderId="14" xfId="88" applyNumberFormat="1" applyFont="1" applyBorder="1" applyAlignment="1">
      <alignment horizontal="center" wrapText="1"/>
    </xf>
    <xf numFmtId="166" fontId="52" fillId="27" borderId="14" xfId="88" applyNumberFormat="1" applyFont="1" applyFill="1" applyBorder="1" applyAlignment="1">
      <alignment horizontal="center" wrapText="1"/>
    </xf>
    <xf numFmtId="166" fontId="5" fillId="0" borderId="14" xfId="88" applyNumberFormat="1" applyFont="1" applyBorder="1" applyAlignment="1">
      <alignment vertical="center"/>
    </xf>
    <xf numFmtId="166" fontId="5" fillId="0" borderId="14" xfId="88" applyNumberFormat="1" applyFont="1" applyBorder="1" applyAlignment="1">
      <alignment horizontal="left" vertical="center" wrapText="1"/>
    </xf>
    <xf numFmtId="3" fontId="5" fillId="0" borderId="14" xfId="88" applyNumberFormat="1" applyFont="1" applyBorder="1" applyAlignment="1">
      <alignment horizontal="center" vertical="center"/>
    </xf>
    <xf numFmtId="166" fontId="60" fillId="0" borderId="30" xfId="88" applyNumberFormat="1" applyFont="1" applyBorder="1" applyAlignment="1">
      <alignment horizontal="left" vertical="center" wrapText="1"/>
    </xf>
    <xf numFmtId="3" fontId="60" fillId="0" borderId="51" xfId="88" applyNumberFormat="1" applyFont="1" applyBorder="1" applyAlignment="1">
      <alignment horizontal="center" vertical="center" wrapText="1"/>
    </xf>
    <xf numFmtId="166" fontId="60" fillId="0" borderId="14" xfId="88" applyNumberFormat="1" applyFont="1" applyBorder="1" applyAlignment="1">
      <alignment horizontal="left" vertical="center" wrapText="1"/>
    </xf>
    <xf numFmtId="3" fontId="60" fillId="0" borderId="14" xfId="88" applyNumberFormat="1" applyFont="1" applyBorder="1" applyAlignment="1">
      <alignment horizontal="center" vertical="center" wrapText="1"/>
    </xf>
    <xf numFmtId="164" fontId="52" fillId="38" borderId="14" xfId="46" applyNumberFormat="1" applyFont="1" applyFill="1" applyBorder="1" applyAlignment="1">
      <alignment horizontal="center" vertical="center" wrapText="1"/>
    </xf>
    <xf numFmtId="164" fontId="52" fillId="40" borderId="22" xfId="0" applyNumberFormat="1" applyFont="1" applyFill="1" applyBorder="1" applyAlignment="1">
      <alignment horizontal="left" vertical="center" wrapText="1"/>
    </xf>
    <xf numFmtId="0" fontId="4" fillId="27" borderId="14" xfId="76" applyFont="1" applyFill="1" applyBorder="1" applyAlignment="1">
      <alignment horizontal="center" vertical="center"/>
    </xf>
    <xf numFmtId="166" fontId="3" fillId="0" borderId="17" xfId="88" applyNumberFormat="1" applyFont="1" applyBorder="1" applyAlignment="1">
      <alignment horizontal="left" vertical="center"/>
    </xf>
    <xf numFmtId="166" fontId="10" fillId="27" borderId="14" xfId="88" applyNumberFormat="1" applyFont="1" applyFill="1" applyBorder="1" applyAlignment="1">
      <alignment horizontal="left" vertical="center" wrapText="1"/>
    </xf>
    <xf numFmtId="0" fontId="52" fillId="27" borderId="14" xfId="46" applyFont="1" applyFill="1" applyBorder="1" applyAlignment="1">
      <alignment horizontal="right" vertical="center" wrapText="1"/>
    </xf>
    <xf numFmtId="166" fontId="52" fillId="0" borderId="14" xfId="46" applyNumberFormat="1" applyFont="1" applyBorder="1" applyAlignment="1">
      <alignment wrapText="1"/>
    </xf>
    <xf numFmtId="0" fontId="52" fillId="0" borderId="14" xfId="46" applyFont="1" applyBorder="1" applyAlignment="1">
      <alignment horizontal="center"/>
    </xf>
    <xf numFmtId="0" fontId="52" fillId="0" borderId="23" xfId="0" applyFont="1" applyBorder="1" applyAlignment="1">
      <alignment horizontal="center"/>
    </xf>
    <xf numFmtId="0" fontId="60" fillId="27" borderId="14" xfId="0" applyFont="1" applyFill="1" applyBorder="1" applyAlignment="1">
      <alignment horizontal="center" wrapText="1"/>
    </xf>
    <xf numFmtId="166" fontId="52" fillId="27" borderId="23" xfId="0" applyNumberFormat="1" applyFont="1" applyFill="1" applyBorder="1" applyAlignment="1">
      <alignment horizontal="center" wrapText="1"/>
    </xf>
    <xf numFmtId="166" fontId="52" fillId="34" borderId="23" xfId="0" applyNumberFormat="1" applyFont="1" applyFill="1" applyBorder="1" applyAlignment="1">
      <alignment horizontal="center" wrapText="1"/>
    </xf>
    <xf numFmtId="164" fontId="52" fillId="0" borderId="23" xfId="0" applyNumberFormat="1" applyFont="1" applyBorder="1" applyAlignment="1">
      <alignment horizontal="center"/>
    </xf>
    <xf numFmtId="164" fontId="52" fillId="0" borderId="10" xfId="0" applyNumberFormat="1" applyFont="1" applyBorder="1" applyAlignment="1">
      <alignment horizontal="center"/>
    </xf>
    <xf numFmtId="0" fontId="2" fillId="0" borderId="14" xfId="89" applyFont="1" applyBorder="1" applyAlignment="1">
      <alignment vertical="center" wrapText="1"/>
    </xf>
    <xf numFmtId="0" fontId="52" fillId="27" borderId="14" xfId="46" applyFont="1" applyFill="1" applyBorder="1" applyAlignment="1">
      <alignment horizontal="center" wrapText="1"/>
    </xf>
    <xf numFmtId="0" fontId="2" fillId="0" borderId="14" xfId="89" applyFont="1" applyBorder="1" applyAlignment="1">
      <alignment horizontal="center"/>
    </xf>
    <xf numFmtId="0" fontId="2" fillId="27" borderId="14" xfId="89" applyFont="1" applyFill="1" applyBorder="1" applyAlignment="1">
      <alignment horizontal="center" vertical="center"/>
    </xf>
    <xf numFmtId="0" fontId="21" fillId="27" borderId="31" xfId="77" applyFont="1" applyFill="1" applyBorder="1" applyAlignment="1">
      <alignment horizontal="left" vertical="center" wrapText="1"/>
    </xf>
    <xf numFmtId="0" fontId="52" fillId="0" borderId="17" xfId="0" applyFont="1" applyBorder="1" applyAlignment="1">
      <alignment horizontal="left" vertical="center" wrapText="1"/>
    </xf>
    <xf numFmtId="0" fontId="52" fillId="0" borderId="35" xfId="0" applyFont="1" applyBorder="1" applyAlignment="1">
      <alignment horizontal="left" vertical="center" wrapText="1"/>
    </xf>
    <xf numFmtId="0" fontId="52" fillId="0" borderId="23" xfId="0" applyFont="1" applyBorder="1" applyAlignment="1">
      <alignment horizontal="left" vertical="center" wrapText="1"/>
    </xf>
    <xf numFmtId="166" fontId="51" fillId="0" borderId="52" xfId="46" applyNumberFormat="1" applyFont="1" applyBorder="1" applyAlignment="1">
      <alignment horizontal="center" vertical="center" wrapText="1"/>
    </xf>
    <xf numFmtId="0" fontId="52" fillId="0" borderId="0" xfId="46" applyFont="1" applyAlignment="1" applyProtection="1">
      <alignment horizontal="left" wrapText="1"/>
      <protection locked="0"/>
    </xf>
    <xf numFmtId="0" fontId="52" fillId="27" borderId="24" xfId="0" applyFont="1" applyFill="1" applyBorder="1" applyAlignment="1" applyProtection="1">
      <alignment horizontal="left" wrapText="1"/>
      <protection locked="0"/>
    </xf>
    <xf numFmtId="0" fontId="51" fillId="49" borderId="27" xfId="0" applyFont="1" applyFill="1" applyBorder="1" applyAlignment="1">
      <alignment horizontal="center" vertical="center" wrapText="1"/>
    </xf>
    <xf numFmtId="0" fontId="51" fillId="49" borderId="28" xfId="0" applyFont="1" applyFill="1" applyBorder="1" applyAlignment="1">
      <alignment horizontal="center" vertical="center" wrapText="1"/>
    </xf>
    <xf numFmtId="0" fontId="51" fillId="49" borderId="29" xfId="0" applyFont="1" applyFill="1" applyBorder="1" applyAlignment="1">
      <alignment horizontal="center" vertical="center" wrapText="1"/>
    </xf>
    <xf numFmtId="0" fontId="52" fillId="0" borderId="17" xfId="46" applyFont="1" applyBorder="1" applyAlignment="1">
      <alignment horizontal="left" vertical="center" wrapText="1"/>
    </xf>
    <xf numFmtId="0" fontId="52" fillId="0" borderId="35" xfId="46" applyFont="1" applyBorder="1" applyAlignment="1">
      <alignment horizontal="left" vertical="center" wrapText="1"/>
    </xf>
    <xf numFmtId="0" fontId="52" fillId="0" borderId="23" xfId="46" applyFont="1" applyBorder="1" applyAlignment="1">
      <alignment horizontal="left" vertical="center" wrapText="1"/>
    </xf>
    <xf numFmtId="0" fontId="52" fillId="0" borderId="14" xfId="46" applyFont="1" applyBorder="1" applyAlignment="1">
      <alignment horizontal="left" vertical="center" wrapText="1"/>
    </xf>
    <xf numFmtId="0" fontId="52" fillId="27" borderId="17" xfId="46" applyFont="1" applyFill="1" applyBorder="1" applyAlignment="1">
      <alignment horizontal="left" vertical="center" wrapText="1"/>
    </xf>
    <xf numFmtId="0" fontId="52" fillId="27" borderId="35" xfId="46" applyFont="1" applyFill="1" applyBorder="1" applyAlignment="1">
      <alignment horizontal="left" vertical="center" wrapText="1"/>
    </xf>
    <xf numFmtId="0" fontId="52" fillId="27" borderId="23" xfId="46" applyFont="1" applyFill="1" applyBorder="1" applyAlignment="1">
      <alignment horizontal="left" vertical="center" wrapText="1"/>
    </xf>
    <xf numFmtId="0" fontId="60" fillId="0" borderId="17" xfId="0" applyFont="1" applyBorder="1" applyAlignment="1">
      <alignment horizontal="left" vertical="center" wrapText="1"/>
    </xf>
    <xf numFmtId="0" fontId="60" fillId="0" borderId="23" xfId="0" applyFont="1" applyBorder="1" applyAlignment="1">
      <alignment horizontal="left" vertical="center" wrapText="1"/>
    </xf>
    <xf numFmtId="0" fontId="60" fillId="0" borderId="54" xfId="0" applyFont="1" applyBorder="1" applyAlignment="1">
      <alignment horizontal="left" vertical="top" wrapText="1"/>
    </xf>
    <xf numFmtId="0" fontId="60" fillId="0" borderId="23" xfId="0" applyFont="1" applyBorder="1" applyAlignment="1">
      <alignment horizontal="left" vertical="top" wrapText="1"/>
    </xf>
    <xf numFmtId="0" fontId="60" fillId="0" borderId="38" xfId="0" applyFont="1" applyBorder="1" applyAlignment="1">
      <alignment horizontal="left" vertical="center" wrapText="1"/>
    </xf>
    <xf numFmtId="0" fontId="53" fillId="0" borderId="38" xfId="0" applyFont="1" applyBorder="1" applyAlignment="1">
      <alignment horizontal="left" vertical="center" wrapText="1"/>
    </xf>
    <xf numFmtId="166" fontId="60" fillId="0" borderId="42" xfId="79" applyNumberFormat="1" applyFont="1" applyBorder="1" applyAlignment="1">
      <alignment horizontal="left" vertical="center" wrapText="1"/>
    </xf>
    <xf numFmtId="166" fontId="60" fillId="0" borderId="38" xfId="79" applyNumberFormat="1" applyFont="1" applyBorder="1" applyAlignment="1">
      <alignment horizontal="left" vertical="center" wrapText="1"/>
    </xf>
    <xf numFmtId="0" fontId="52" fillId="0" borderId="17" xfId="0" applyFont="1" applyBorder="1" applyAlignment="1">
      <alignment vertical="center" wrapText="1"/>
    </xf>
    <xf numFmtId="0" fontId="52" fillId="0" borderId="35" xfId="0" applyFont="1" applyBorder="1" applyAlignment="1">
      <alignment vertical="center" wrapText="1"/>
    </xf>
    <xf numFmtId="0" fontId="52" fillId="0" borderId="23" xfId="0" applyFont="1" applyBorder="1" applyAlignment="1">
      <alignment vertical="center" wrapText="1"/>
    </xf>
    <xf numFmtId="1" fontId="52" fillId="0" borderId="17" xfId="46" applyNumberFormat="1" applyFont="1" applyBorder="1" applyAlignment="1">
      <alignment horizontal="center" vertical="center" wrapText="1"/>
    </xf>
    <xf numFmtId="1" fontId="52" fillId="0" borderId="23" xfId="46" applyNumberFormat="1" applyFont="1" applyBorder="1" applyAlignment="1">
      <alignment horizontal="center" vertical="center" wrapText="1"/>
    </xf>
    <xf numFmtId="0" fontId="52" fillId="0" borderId="14" xfId="0" applyFont="1" applyBorder="1" applyAlignment="1">
      <alignment vertical="center" wrapText="1"/>
    </xf>
    <xf numFmtId="0" fontId="52" fillId="27" borderId="14" xfId="0" applyFont="1" applyFill="1" applyBorder="1" applyAlignment="1">
      <alignment vertical="center" wrapText="1"/>
    </xf>
    <xf numFmtId="0" fontId="52" fillId="0" borderId="17" xfId="0" applyFont="1" applyBorder="1" applyAlignment="1">
      <alignment horizontal="right" wrapText="1"/>
    </xf>
    <xf numFmtId="0" fontId="52" fillId="0" borderId="23" xfId="0" applyFont="1" applyBorder="1" applyAlignment="1">
      <alignment horizontal="right" wrapText="1"/>
    </xf>
    <xf numFmtId="0" fontId="52" fillId="0" borderId="17" xfId="0" applyFont="1" applyBorder="1" applyAlignment="1">
      <alignment horizontal="right" vertical="center" wrapText="1"/>
    </xf>
    <xf numFmtId="0" fontId="52" fillId="0" borderId="23" xfId="0" applyFont="1" applyBorder="1" applyAlignment="1">
      <alignment horizontal="right" vertical="center" wrapText="1"/>
    </xf>
    <xf numFmtId="0" fontId="60" fillId="0" borderId="53" xfId="0" applyFont="1" applyBorder="1" applyAlignment="1">
      <alignment horizontal="left" wrapText="1"/>
    </xf>
    <xf numFmtId="0" fontId="60" fillId="0" borderId="24" xfId="0" applyFont="1" applyBorder="1" applyAlignment="1">
      <alignment horizontal="left" wrapText="1"/>
    </xf>
    <xf numFmtId="166" fontId="52" fillId="0" borderId="17" xfId="79" applyNumberFormat="1" applyFont="1" applyBorder="1" applyAlignment="1">
      <alignment horizontal="left" vertical="center" wrapText="1"/>
    </xf>
    <xf numFmtId="166" fontId="52" fillId="0" borderId="23" xfId="79" applyNumberFormat="1" applyFont="1" applyBorder="1" applyAlignment="1">
      <alignment horizontal="left" vertical="center" wrapText="1"/>
    </xf>
    <xf numFmtId="0" fontId="52" fillId="0" borderId="40" xfId="0" applyFont="1" applyBorder="1" applyAlignment="1">
      <alignment horizontal="left" vertical="center" wrapText="1"/>
    </xf>
    <xf numFmtId="0" fontId="52" fillId="0" borderId="42" xfId="0" applyFont="1" applyBorder="1" applyAlignment="1">
      <alignment horizontal="left" vertical="center" wrapText="1"/>
    </xf>
    <xf numFmtId="0" fontId="60" fillId="0" borderId="30" xfId="0" applyFont="1" applyBorder="1" applyAlignment="1">
      <alignment horizontal="left" vertical="center" wrapText="1"/>
    </xf>
    <xf numFmtId="0" fontId="60" fillId="0" borderId="43" xfId="0" applyFont="1" applyBorder="1" applyAlignment="1">
      <alignment horizontal="left" vertical="center" wrapText="1"/>
    </xf>
    <xf numFmtId="0" fontId="52" fillId="0" borderId="44" xfId="0" applyFont="1" applyBorder="1" applyAlignment="1">
      <alignment horizontal="left" vertical="center" wrapText="1"/>
    </xf>
    <xf numFmtId="0" fontId="52" fillId="0" borderId="43" xfId="0" applyFont="1" applyBorder="1" applyAlignment="1">
      <alignment horizontal="left" vertical="center" wrapText="1"/>
    </xf>
  </cellXfs>
  <cellStyles count="90">
    <cellStyle name="1 antraštė" xfId="1" xr:uid="{00000000-0005-0000-0000-000000000000}"/>
    <cellStyle name="2 antraštė" xfId="2" xr:uid="{00000000-0005-0000-0000-000001000000}"/>
    <cellStyle name="20% – paryškinimas 1" xfId="3" xr:uid="{00000000-0005-0000-0000-000002000000}"/>
    <cellStyle name="20% – paryškinimas 2" xfId="4" xr:uid="{00000000-0005-0000-0000-000003000000}"/>
    <cellStyle name="20% – paryškinimas 3" xfId="5" xr:uid="{00000000-0005-0000-0000-000004000000}"/>
    <cellStyle name="20% – paryškinimas 4" xfId="6" xr:uid="{00000000-0005-0000-0000-000005000000}"/>
    <cellStyle name="20% – paryškinimas 5" xfId="7" xr:uid="{00000000-0005-0000-0000-000006000000}"/>
    <cellStyle name="20% – paryškinimas 6" xfId="8" xr:uid="{00000000-0005-0000-0000-000007000000}"/>
    <cellStyle name="3 antraštė" xfId="9" xr:uid="{00000000-0005-0000-0000-000008000000}"/>
    <cellStyle name="4 antraštė" xfId="10" xr:uid="{00000000-0005-0000-0000-000009000000}"/>
    <cellStyle name="40% – paryškinimas 1" xfId="11" xr:uid="{00000000-0005-0000-0000-00000A000000}"/>
    <cellStyle name="40% – paryškinimas 2" xfId="12" xr:uid="{00000000-0005-0000-0000-00000B000000}"/>
    <cellStyle name="40% – paryškinimas 3" xfId="13" xr:uid="{00000000-0005-0000-0000-00000C000000}"/>
    <cellStyle name="40% – paryškinimas 4" xfId="14" xr:uid="{00000000-0005-0000-0000-00000D000000}"/>
    <cellStyle name="40% – paryškinimas 5" xfId="15" xr:uid="{00000000-0005-0000-0000-00000E000000}"/>
    <cellStyle name="40% – paryškinimas 6" xfId="16" xr:uid="{00000000-0005-0000-0000-00000F000000}"/>
    <cellStyle name="60% – paryškinimas 1" xfId="17" xr:uid="{00000000-0005-0000-0000-000010000000}"/>
    <cellStyle name="60% – paryškinimas 2" xfId="18" xr:uid="{00000000-0005-0000-0000-000011000000}"/>
    <cellStyle name="60% – paryškinimas 3" xfId="19" xr:uid="{00000000-0005-0000-0000-000012000000}"/>
    <cellStyle name="60% – paryškinimas 4" xfId="20" xr:uid="{00000000-0005-0000-0000-000013000000}"/>
    <cellStyle name="60% – paryškinimas 5" xfId="21" xr:uid="{00000000-0005-0000-0000-000014000000}"/>
    <cellStyle name="60% – paryškinimas 6" xfId="22" xr:uid="{00000000-0005-0000-0000-000015000000}"/>
    <cellStyle name="Aiškinamasis tekstas" xfId="23" xr:uid="{00000000-0005-0000-0000-000016000000}"/>
    <cellStyle name="Blogas" xfId="24" xr:uid="{00000000-0005-0000-0000-000017000000}"/>
    <cellStyle name="Blogas 2" xfId="49" xr:uid="{00000000-0005-0000-0000-000018000000}"/>
    <cellStyle name="Geras" xfId="25" xr:uid="{00000000-0005-0000-0000-000019000000}"/>
    <cellStyle name="Hipersaitas" xfId="71" builtinId="8"/>
    <cellStyle name="Įprastas" xfId="0" builtinId="0"/>
    <cellStyle name="Įprastas 10 2 2 2" xfId="76" xr:uid="{00000000-0005-0000-0000-00001C000000}"/>
    <cellStyle name="Įprastas 10 2 2 2 2" xfId="77" xr:uid="{00000000-0005-0000-0000-00001D000000}"/>
    <cellStyle name="Įprastas 10 2 2 2 2 2" xfId="89" xr:uid="{8941061B-A92B-4A3B-8D7B-7C3825BEC6D2}"/>
    <cellStyle name="Įprastas 10 2 2 2 3" xfId="82" xr:uid="{00000000-0005-0000-0000-00001E000000}"/>
    <cellStyle name="Įprastas 10 2 2 2 4" xfId="84" xr:uid="{00000000-0005-0000-0000-00001F000000}"/>
    <cellStyle name="Įprastas 2" xfId="43" xr:uid="{00000000-0005-0000-0000-000020000000}"/>
    <cellStyle name="Įprastas 2 2" xfId="46" xr:uid="{00000000-0005-0000-0000-000021000000}"/>
    <cellStyle name="Įprastas 2 3" xfId="52" xr:uid="{00000000-0005-0000-0000-000022000000}"/>
    <cellStyle name="Įprastas 2 3 2" xfId="67" xr:uid="{00000000-0005-0000-0000-000023000000}"/>
    <cellStyle name="Įprastas 2 3 3" xfId="87" xr:uid="{00000000-0005-0000-0000-000024000000}"/>
    <cellStyle name="Įprastas 2 4" xfId="64" xr:uid="{00000000-0005-0000-0000-000025000000}"/>
    <cellStyle name="Įprastas 2 5" xfId="81" xr:uid="{00000000-0005-0000-0000-000026000000}"/>
    <cellStyle name="Įprastas 2 6" xfId="86" xr:uid="{00000000-0005-0000-0000-000027000000}"/>
    <cellStyle name="Įprastas 3" xfId="48" xr:uid="{00000000-0005-0000-0000-000028000000}"/>
    <cellStyle name="Įprastas 3 2" xfId="66" xr:uid="{00000000-0005-0000-0000-000029000000}"/>
    <cellStyle name="Įprastas 3 3" xfId="80" xr:uid="{00000000-0005-0000-0000-00002A000000}"/>
    <cellStyle name="Įprastas 4" xfId="50" xr:uid="{00000000-0005-0000-0000-00002B000000}"/>
    <cellStyle name="Įprastas 4 2" xfId="51" xr:uid="{00000000-0005-0000-0000-00002C000000}"/>
    <cellStyle name="Įprastas 4 2 2" xfId="56" xr:uid="{00000000-0005-0000-0000-00002D000000}"/>
    <cellStyle name="Įprastas 4 2 2 2" xfId="57" xr:uid="{00000000-0005-0000-0000-00002E000000}"/>
    <cellStyle name="Įprastas 4 2 2 2 2" xfId="63" xr:uid="{00000000-0005-0000-0000-00002F000000}"/>
    <cellStyle name="Įprastas 4 2 2 2 2 2" xfId="79" xr:uid="{00000000-0005-0000-0000-000030000000}"/>
    <cellStyle name="Įprastas 4 2 2 2 2 2 2" xfId="88" xr:uid="{19150984-37A0-47EA-A399-F0BF5704F7F7}"/>
    <cellStyle name="Įprastas 4 2 2 2 3" xfId="74" xr:uid="{00000000-0005-0000-0000-000031000000}"/>
    <cellStyle name="Įprastas 4 2 2 3" xfId="60" xr:uid="{00000000-0005-0000-0000-000032000000}"/>
    <cellStyle name="Įprastas 4 2 3" xfId="75" xr:uid="{00000000-0005-0000-0000-000033000000}"/>
    <cellStyle name="Įprastas 4 3" xfId="78" xr:uid="{00000000-0005-0000-0000-000034000000}"/>
    <cellStyle name="Įprastas 5" xfId="58" xr:uid="{00000000-0005-0000-0000-000035000000}"/>
    <cellStyle name="Įprastas 5 2" xfId="72" xr:uid="{00000000-0005-0000-0000-000036000000}"/>
    <cellStyle name="Įprastas 6" xfId="61" xr:uid="{00000000-0005-0000-0000-000037000000}"/>
    <cellStyle name="Įprastas 6 2" xfId="73" xr:uid="{00000000-0005-0000-0000-000038000000}"/>
    <cellStyle name="Įprastas 7" xfId="62" xr:uid="{00000000-0005-0000-0000-000039000000}"/>
    <cellStyle name="Įprastas 8" xfId="69" xr:uid="{00000000-0005-0000-0000-00003A000000}"/>
    <cellStyle name="Įspėjimo tekstas" xfId="27" xr:uid="{00000000-0005-0000-0000-00003B000000}"/>
    <cellStyle name="Išvestis" xfId="26" xr:uid="{00000000-0005-0000-0000-00003C000000}"/>
    <cellStyle name="Įvestis" xfId="28" xr:uid="{00000000-0005-0000-0000-00003D000000}"/>
    <cellStyle name="Kablelis 2" xfId="53" xr:uid="{00000000-0005-0000-0000-00003F000000}"/>
    <cellStyle name="Kablelis 3" xfId="55" xr:uid="{00000000-0005-0000-0000-000040000000}"/>
    <cellStyle name="Neutralus" xfId="29" xr:uid="{00000000-0005-0000-0000-000041000000}"/>
    <cellStyle name="Normal 2" xfId="30" xr:uid="{00000000-0005-0000-0000-000042000000}"/>
    <cellStyle name="Normal 2 2" xfId="44" xr:uid="{00000000-0005-0000-0000-000043000000}"/>
    <cellStyle name="Normal 2 2 2" xfId="47" xr:uid="{00000000-0005-0000-0000-000044000000}"/>
    <cellStyle name="Paprastas_programos ir tikslai" xfId="54" xr:uid="{00000000-0005-0000-0000-000045000000}"/>
    <cellStyle name="Paryškinimas 1" xfId="31" xr:uid="{00000000-0005-0000-0000-000046000000}"/>
    <cellStyle name="Paryškinimas 2" xfId="32" xr:uid="{00000000-0005-0000-0000-000047000000}"/>
    <cellStyle name="Paryškinimas 3" xfId="33" xr:uid="{00000000-0005-0000-0000-000048000000}"/>
    <cellStyle name="Paryškinimas 4" xfId="34" xr:uid="{00000000-0005-0000-0000-000049000000}"/>
    <cellStyle name="Paryškinimas 5" xfId="35" xr:uid="{00000000-0005-0000-0000-00004A000000}"/>
    <cellStyle name="Paryškinimas 6" xfId="36" xr:uid="{00000000-0005-0000-0000-00004B000000}"/>
    <cellStyle name="Pastaba" xfId="37" xr:uid="{00000000-0005-0000-0000-00004C000000}"/>
    <cellStyle name="Pastaba 2" xfId="45" xr:uid="{00000000-0005-0000-0000-00004D000000}"/>
    <cellStyle name="Pavadinimas" xfId="38" xr:uid="{00000000-0005-0000-0000-00004E000000}"/>
    <cellStyle name="Procentai 2" xfId="59" xr:uid="{00000000-0005-0000-0000-000050000000}"/>
    <cellStyle name="Procentai 2 2" xfId="68" xr:uid="{00000000-0005-0000-0000-000051000000}"/>
    <cellStyle name="Procentai 2 3" xfId="83" xr:uid="{00000000-0005-0000-0000-000052000000}"/>
    <cellStyle name="Procentai 2 4" xfId="85" xr:uid="{00000000-0005-0000-0000-000053000000}"/>
    <cellStyle name="Procentai 3" xfId="65" xr:uid="{00000000-0005-0000-0000-000054000000}"/>
    <cellStyle name="Procentai 4" xfId="70" xr:uid="{00000000-0005-0000-0000-000055000000}"/>
    <cellStyle name="Skaičiavimas" xfId="39" xr:uid="{00000000-0005-0000-0000-000056000000}"/>
    <cellStyle name="Suma" xfId="40" xr:uid="{00000000-0005-0000-0000-000057000000}"/>
    <cellStyle name="Susietas langelis" xfId="41" xr:uid="{00000000-0005-0000-0000-000058000000}"/>
    <cellStyle name="Tikrinimo langelis" xfId="42" xr:uid="{00000000-0005-0000-0000-000059000000}"/>
  </cellStyles>
  <dxfs count="0"/>
  <tableStyles count="0" defaultTableStyle="TableStyleMedium2" defaultPivotStyle="PivotStyleLight16"/>
  <colors>
    <mruColors>
      <color rgb="FF6600CC"/>
      <color rgb="FF000000"/>
      <color rgb="FFCCCC00"/>
      <color rgb="FFFF9999"/>
      <color rgb="FF53D2FF"/>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666C9-194C-4448-90C2-53E31FB0B2F5}">
  <dimension ref="B1:D109"/>
  <sheetViews>
    <sheetView topLeftCell="A61" zoomScaleNormal="100" workbookViewId="0">
      <selection activeCell="G11" sqref="G11"/>
    </sheetView>
  </sheetViews>
  <sheetFormatPr defaultRowHeight="13.2" x14ac:dyDescent="0.25"/>
  <cols>
    <col min="2" max="2" width="47.33203125" customWidth="1"/>
    <col min="3" max="3" width="12.88671875" style="369" customWidth="1"/>
    <col min="4" max="4" width="25" style="369" customWidth="1"/>
  </cols>
  <sheetData>
    <row r="1" spans="2:4" ht="13.8" thickBot="1" x14ac:dyDescent="0.3"/>
    <row r="2" spans="2:4" ht="37.5" customHeight="1" thickBot="1" x14ac:dyDescent="0.3">
      <c r="B2" s="1127" t="s">
        <v>494</v>
      </c>
      <c r="C2" s="1128" t="s">
        <v>1</v>
      </c>
      <c r="D2" s="1129" t="s">
        <v>1952</v>
      </c>
    </row>
    <row r="3" spans="2:4" ht="13.8" x14ac:dyDescent="0.25">
      <c r="B3" s="1132"/>
      <c r="C3" s="1133"/>
      <c r="D3" s="1134"/>
    </row>
    <row r="4" spans="2:4" ht="24.75" customHeight="1" x14ac:dyDescent="0.25">
      <c r="B4" s="1120" t="s">
        <v>1953</v>
      </c>
      <c r="C4" s="1118">
        <v>1</v>
      </c>
      <c r="D4" s="1121" t="s">
        <v>1967</v>
      </c>
    </row>
    <row r="5" spans="2:4" ht="25.5" customHeight="1" x14ac:dyDescent="0.25">
      <c r="B5" s="1122" t="s">
        <v>495</v>
      </c>
      <c r="C5" s="1118">
        <v>2</v>
      </c>
      <c r="D5" s="1121" t="s">
        <v>874</v>
      </c>
    </row>
    <row r="6" spans="2:4" ht="25.5" customHeight="1" x14ac:dyDescent="0.25">
      <c r="B6" s="1122" t="s">
        <v>496</v>
      </c>
      <c r="C6" s="1118">
        <v>3</v>
      </c>
      <c r="D6" s="1121" t="s">
        <v>1909</v>
      </c>
    </row>
    <row r="7" spans="2:4" ht="25.5" customHeight="1" x14ac:dyDescent="0.25">
      <c r="B7" s="1122" t="s">
        <v>497</v>
      </c>
      <c r="C7" s="1118">
        <v>4</v>
      </c>
      <c r="D7" s="1121" t="s">
        <v>1910</v>
      </c>
    </row>
    <row r="8" spans="2:4" ht="25.5" customHeight="1" x14ac:dyDescent="0.25">
      <c r="B8" s="1122" t="s">
        <v>498</v>
      </c>
      <c r="C8" s="1118">
        <v>5</v>
      </c>
      <c r="D8" s="1121" t="s">
        <v>1911</v>
      </c>
    </row>
    <row r="9" spans="2:4" ht="25.5" customHeight="1" x14ac:dyDescent="0.25">
      <c r="B9" s="1122" t="s">
        <v>499</v>
      </c>
      <c r="C9" s="1118">
        <v>6</v>
      </c>
      <c r="D9" s="1121" t="s">
        <v>1886</v>
      </c>
    </row>
    <row r="10" spans="2:4" ht="25.5" customHeight="1" x14ac:dyDescent="0.25">
      <c r="B10" s="1122" t="s">
        <v>500</v>
      </c>
      <c r="C10" s="1118">
        <v>7</v>
      </c>
      <c r="D10" s="1121" t="s">
        <v>1008</v>
      </c>
    </row>
    <row r="11" spans="2:4" ht="25.5" customHeight="1" x14ac:dyDescent="0.25">
      <c r="B11" s="1122" t="s">
        <v>501</v>
      </c>
      <c r="C11" s="1118" t="s">
        <v>320</v>
      </c>
      <c r="D11" s="1135" t="s">
        <v>1968</v>
      </c>
    </row>
    <row r="12" spans="2:4" ht="25.5" customHeight="1" x14ac:dyDescent="0.25">
      <c r="B12" s="1130" t="s">
        <v>502</v>
      </c>
      <c r="C12" s="1131" t="s">
        <v>319</v>
      </c>
      <c r="D12" s="1135" t="s">
        <v>1968</v>
      </c>
    </row>
    <row r="13" spans="2:4" ht="25.5" customHeight="1" x14ac:dyDescent="0.25">
      <c r="B13" s="1122" t="s">
        <v>503</v>
      </c>
      <c r="C13" s="1118" t="s">
        <v>324</v>
      </c>
      <c r="D13" s="1135" t="s">
        <v>1968</v>
      </c>
    </row>
    <row r="14" spans="2:4" ht="25.5" customHeight="1" x14ac:dyDescent="0.25">
      <c r="B14" s="1122" t="s">
        <v>504</v>
      </c>
      <c r="C14" s="1118" t="s">
        <v>314</v>
      </c>
      <c r="D14" s="1135" t="s">
        <v>1968</v>
      </c>
    </row>
    <row r="15" spans="2:4" ht="25.5" customHeight="1" x14ac:dyDescent="0.25">
      <c r="B15" s="1122" t="s">
        <v>505</v>
      </c>
      <c r="C15" s="1118" t="s">
        <v>315</v>
      </c>
      <c r="D15" s="1135" t="s">
        <v>1968</v>
      </c>
    </row>
    <row r="16" spans="2:4" ht="25.5" customHeight="1" x14ac:dyDescent="0.25">
      <c r="B16" s="1122" t="s">
        <v>506</v>
      </c>
      <c r="C16" s="1118" t="s">
        <v>316</v>
      </c>
      <c r="D16" s="1135" t="s">
        <v>1968</v>
      </c>
    </row>
    <row r="17" spans="2:4" ht="25.5" customHeight="1" x14ac:dyDescent="0.25">
      <c r="B17" s="1122" t="s">
        <v>507</v>
      </c>
      <c r="C17" s="1118" t="s">
        <v>317</v>
      </c>
      <c r="D17" s="1135" t="s">
        <v>1968</v>
      </c>
    </row>
    <row r="18" spans="2:4" ht="25.5" customHeight="1" x14ac:dyDescent="0.25">
      <c r="B18" s="1122" t="s">
        <v>508</v>
      </c>
      <c r="C18" s="1118" t="s">
        <v>318</v>
      </c>
      <c r="D18" s="1135" t="s">
        <v>1968</v>
      </c>
    </row>
    <row r="19" spans="2:4" ht="25.5" customHeight="1" x14ac:dyDescent="0.25">
      <c r="B19" s="1122" t="s">
        <v>509</v>
      </c>
      <c r="C19" s="1118" t="s">
        <v>161</v>
      </c>
      <c r="D19" s="1135" t="s">
        <v>1968</v>
      </c>
    </row>
    <row r="20" spans="2:4" ht="25.5" customHeight="1" x14ac:dyDescent="0.25">
      <c r="B20" s="1122" t="s">
        <v>510</v>
      </c>
      <c r="C20" s="1118" t="s">
        <v>147</v>
      </c>
      <c r="D20" s="1135" t="s">
        <v>1968</v>
      </c>
    </row>
    <row r="21" spans="2:4" ht="25.5" customHeight="1" x14ac:dyDescent="0.25">
      <c r="B21" s="1122" t="s">
        <v>511</v>
      </c>
      <c r="C21" s="1118">
        <v>8</v>
      </c>
      <c r="D21" s="1121" t="s">
        <v>1957</v>
      </c>
    </row>
    <row r="22" spans="2:4" ht="25.5" customHeight="1" x14ac:dyDescent="0.25">
      <c r="B22" s="1122" t="s">
        <v>512</v>
      </c>
      <c r="C22" s="1118" t="s">
        <v>513</v>
      </c>
      <c r="D22" s="1135" t="s">
        <v>1968</v>
      </c>
    </row>
    <row r="23" spans="2:4" ht="25.5" customHeight="1" x14ac:dyDescent="0.25">
      <c r="B23" s="1122" t="s">
        <v>514</v>
      </c>
      <c r="C23" s="1118" t="s">
        <v>515</v>
      </c>
      <c r="D23" s="1135" t="s">
        <v>1968</v>
      </c>
    </row>
    <row r="24" spans="2:4" ht="25.5" customHeight="1" x14ac:dyDescent="0.25">
      <c r="B24" s="1122" t="s">
        <v>516</v>
      </c>
      <c r="C24" s="1118" t="s">
        <v>517</v>
      </c>
      <c r="D24" s="1135" t="s">
        <v>1968</v>
      </c>
    </row>
    <row r="25" spans="2:4" ht="25.5" customHeight="1" x14ac:dyDescent="0.25">
      <c r="B25" s="1122" t="s">
        <v>518</v>
      </c>
      <c r="C25" s="1118" t="s">
        <v>519</v>
      </c>
      <c r="D25" s="1135" t="s">
        <v>1968</v>
      </c>
    </row>
    <row r="26" spans="2:4" ht="25.5" customHeight="1" x14ac:dyDescent="0.25">
      <c r="B26" s="1122" t="s">
        <v>520</v>
      </c>
      <c r="C26" s="1118" t="s">
        <v>521</v>
      </c>
      <c r="D26" s="1135" t="s">
        <v>1968</v>
      </c>
    </row>
    <row r="27" spans="2:4" ht="25.5" customHeight="1" x14ac:dyDescent="0.25">
      <c r="B27" s="1122" t="s">
        <v>522</v>
      </c>
      <c r="C27" s="1118" t="s">
        <v>523</v>
      </c>
      <c r="D27" s="1135" t="s">
        <v>1968</v>
      </c>
    </row>
    <row r="28" spans="2:4" ht="25.5" customHeight="1" x14ac:dyDescent="0.25">
      <c r="B28" s="1122" t="s">
        <v>524</v>
      </c>
      <c r="C28" s="1118" t="s">
        <v>525</v>
      </c>
      <c r="D28" s="1135" t="s">
        <v>1968</v>
      </c>
    </row>
    <row r="29" spans="2:4" ht="25.5" customHeight="1" x14ac:dyDescent="0.25">
      <c r="B29" s="1122" t="s">
        <v>526</v>
      </c>
      <c r="C29" s="1118" t="s">
        <v>527</v>
      </c>
      <c r="D29" s="1135" t="s">
        <v>1968</v>
      </c>
    </row>
    <row r="30" spans="2:4" ht="25.5" customHeight="1" x14ac:dyDescent="0.25">
      <c r="B30" s="1122" t="s">
        <v>528</v>
      </c>
      <c r="C30" s="1118">
        <v>9</v>
      </c>
      <c r="D30" s="1121" t="s">
        <v>1958</v>
      </c>
    </row>
    <row r="31" spans="2:4" ht="25.5" customHeight="1" x14ac:dyDescent="0.25">
      <c r="B31" s="1122" t="s">
        <v>529</v>
      </c>
      <c r="C31" s="1118" t="s">
        <v>530</v>
      </c>
      <c r="D31" s="1121" t="s">
        <v>1959</v>
      </c>
    </row>
    <row r="32" spans="2:4" ht="25.5" customHeight="1" x14ac:dyDescent="0.25">
      <c r="B32" s="1122" t="s">
        <v>531</v>
      </c>
      <c r="C32" s="1118" t="s">
        <v>103</v>
      </c>
      <c r="D32" s="1135" t="s">
        <v>1968</v>
      </c>
    </row>
    <row r="33" spans="2:4" ht="25.5" customHeight="1" x14ac:dyDescent="0.25">
      <c r="B33" s="1122" t="s">
        <v>532</v>
      </c>
      <c r="C33" s="1118" t="s">
        <v>106</v>
      </c>
      <c r="D33" s="1135" t="s">
        <v>1968</v>
      </c>
    </row>
    <row r="34" spans="2:4" ht="25.5" customHeight="1" x14ac:dyDescent="0.25">
      <c r="B34" s="1123" t="s">
        <v>533</v>
      </c>
      <c r="C34" s="1118">
        <v>10</v>
      </c>
      <c r="D34" s="1121" t="s">
        <v>1891</v>
      </c>
    </row>
    <row r="35" spans="2:4" ht="25.5" customHeight="1" x14ac:dyDescent="0.25">
      <c r="B35" s="1122" t="s">
        <v>534</v>
      </c>
      <c r="C35" s="1118">
        <v>11</v>
      </c>
      <c r="D35" s="1121" t="s">
        <v>1960</v>
      </c>
    </row>
    <row r="36" spans="2:4" ht="25.5" customHeight="1" x14ac:dyDescent="0.25">
      <c r="B36" s="1122" t="s">
        <v>535</v>
      </c>
      <c r="C36" s="1118" t="s">
        <v>6</v>
      </c>
      <c r="D36" s="1135" t="s">
        <v>1968</v>
      </c>
    </row>
    <row r="37" spans="2:4" ht="25.5" customHeight="1" x14ac:dyDescent="0.25">
      <c r="B37" s="1122" t="s">
        <v>536</v>
      </c>
      <c r="C37" s="1118" t="s">
        <v>12</v>
      </c>
      <c r="D37" s="1135" t="s">
        <v>1968</v>
      </c>
    </row>
    <row r="38" spans="2:4" ht="25.5" customHeight="1" x14ac:dyDescent="0.25">
      <c r="B38" s="1122" t="s">
        <v>537</v>
      </c>
      <c r="C38" s="1118" t="s">
        <v>14</v>
      </c>
      <c r="D38" s="1135" t="s">
        <v>1968</v>
      </c>
    </row>
    <row r="39" spans="2:4" ht="25.5" customHeight="1" x14ac:dyDescent="0.25">
      <c r="B39" s="1122" t="s">
        <v>538</v>
      </c>
      <c r="C39" s="1118" t="s">
        <v>15</v>
      </c>
      <c r="D39" s="1135" t="s">
        <v>1968</v>
      </c>
    </row>
    <row r="40" spans="2:4" ht="25.5" customHeight="1" x14ac:dyDescent="0.25">
      <c r="B40" s="1122" t="s">
        <v>539</v>
      </c>
      <c r="C40" s="1118" t="s">
        <v>16</v>
      </c>
      <c r="D40" s="1135" t="s">
        <v>1968</v>
      </c>
    </row>
    <row r="41" spans="2:4" ht="25.5" customHeight="1" x14ac:dyDescent="0.25">
      <c r="B41" s="1122" t="s">
        <v>540</v>
      </c>
      <c r="C41" s="1118" t="s">
        <v>13</v>
      </c>
      <c r="D41" s="1135" t="s">
        <v>1968</v>
      </c>
    </row>
    <row r="42" spans="2:4" ht="25.5" customHeight="1" x14ac:dyDescent="0.25">
      <c r="B42" s="1122" t="s">
        <v>541</v>
      </c>
      <c r="C42" s="1118" t="s">
        <v>17</v>
      </c>
      <c r="D42" s="1135" t="s">
        <v>1968</v>
      </c>
    </row>
    <row r="43" spans="2:4" ht="25.5" customHeight="1" x14ac:dyDescent="0.25">
      <c r="B43" s="1122" t="s">
        <v>542</v>
      </c>
      <c r="C43" s="1118" t="s">
        <v>18</v>
      </c>
      <c r="D43" s="1135" t="s">
        <v>1968</v>
      </c>
    </row>
    <row r="44" spans="2:4" ht="25.5" customHeight="1" x14ac:dyDescent="0.25">
      <c r="B44" s="1122" t="s">
        <v>543</v>
      </c>
      <c r="C44" s="1118" t="s">
        <v>19</v>
      </c>
      <c r="D44" s="1135" t="s">
        <v>1968</v>
      </c>
    </row>
    <row r="45" spans="2:4" ht="25.5" customHeight="1" x14ac:dyDescent="0.25">
      <c r="B45" s="1122" t="s">
        <v>544</v>
      </c>
      <c r="C45" s="1118" t="s">
        <v>545</v>
      </c>
      <c r="D45" s="1135" t="s">
        <v>1968</v>
      </c>
    </row>
    <row r="46" spans="2:4" ht="25.5" customHeight="1" x14ac:dyDescent="0.25">
      <c r="B46" s="1122" t="s">
        <v>546</v>
      </c>
      <c r="C46" s="1118" t="s">
        <v>547</v>
      </c>
      <c r="D46" s="1135" t="s">
        <v>1968</v>
      </c>
    </row>
    <row r="47" spans="2:4" ht="25.5" customHeight="1" x14ac:dyDescent="0.25">
      <c r="B47" s="1122" t="s">
        <v>548</v>
      </c>
      <c r="C47" s="1118" t="s">
        <v>20</v>
      </c>
      <c r="D47" s="1135" t="s">
        <v>1968</v>
      </c>
    </row>
    <row r="48" spans="2:4" ht="25.5" customHeight="1" x14ac:dyDescent="0.25">
      <c r="B48" s="1122" t="s">
        <v>549</v>
      </c>
      <c r="C48" s="1118" t="s">
        <v>21</v>
      </c>
      <c r="D48" s="1135" t="s">
        <v>1968</v>
      </c>
    </row>
    <row r="49" spans="2:4" ht="25.5" customHeight="1" x14ac:dyDescent="0.25">
      <c r="B49" s="1122" t="s">
        <v>550</v>
      </c>
      <c r="C49" s="1118" t="s">
        <v>22</v>
      </c>
      <c r="D49" s="1135" t="s">
        <v>1968</v>
      </c>
    </row>
    <row r="50" spans="2:4" ht="25.5" customHeight="1" x14ac:dyDescent="0.25">
      <c r="B50" s="1122" t="s">
        <v>551</v>
      </c>
      <c r="C50" s="1118" t="s">
        <v>552</v>
      </c>
      <c r="D50" s="1135" t="s">
        <v>1968</v>
      </c>
    </row>
    <row r="51" spans="2:4" ht="25.5" customHeight="1" x14ac:dyDescent="0.25">
      <c r="B51" s="1122" t="s">
        <v>553</v>
      </c>
      <c r="C51" s="1118" t="s">
        <v>23</v>
      </c>
      <c r="D51" s="1135" t="s">
        <v>1968</v>
      </c>
    </row>
    <row r="52" spans="2:4" ht="25.5" customHeight="1" x14ac:dyDescent="0.25">
      <c r="B52" s="1122" t="s">
        <v>554</v>
      </c>
      <c r="C52" s="1118" t="s">
        <v>65</v>
      </c>
      <c r="D52" s="1135" t="s">
        <v>1968</v>
      </c>
    </row>
    <row r="53" spans="2:4" ht="25.5" customHeight="1" x14ac:dyDescent="0.25">
      <c r="B53" s="1122" t="s">
        <v>555</v>
      </c>
      <c r="C53" s="1118" t="s">
        <v>24</v>
      </c>
      <c r="D53" s="1135" t="s">
        <v>1968</v>
      </c>
    </row>
    <row r="54" spans="2:4" ht="25.5" customHeight="1" x14ac:dyDescent="0.25">
      <c r="B54" s="1122" t="s">
        <v>556</v>
      </c>
      <c r="C54" s="1118" t="s">
        <v>25</v>
      </c>
      <c r="D54" s="1135" t="s">
        <v>1968</v>
      </c>
    </row>
    <row r="55" spans="2:4" ht="25.5" customHeight="1" x14ac:dyDescent="0.25">
      <c r="B55" s="1122" t="s">
        <v>557</v>
      </c>
      <c r="C55" s="1118" t="s">
        <v>26</v>
      </c>
      <c r="D55" s="1135" t="s">
        <v>1968</v>
      </c>
    </row>
    <row r="56" spans="2:4" ht="25.5" customHeight="1" x14ac:dyDescent="0.25">
      <c r="B56" s="1122" t="s">
        <v>558</v>
      </c>
      <c r="C56" s="1118" t="s">
        <v>27</v>
      </c>
      <c r="D56" s="1135" t="s">
        <v>1968</v>
      </c>
    </row>
    <row r="57" spans="2:4" ht="25.5" customHeight="1" x14ac:dyDescent="0.25">
      <c r="B57" s="1122" t="s">
        <v>559</v>
      </c>
      <c r="C57" s="1118" t="s">
        <v>28</v>
      </c>
      <c r="D57" s="1135" t="s">
        <v>1968</v>
      </c>
    </row>
    <row r="58" spans="2:4" ht="25.5" customHeight="1" x14ac:dyDescent="0.25">
      <c r="B58" s="1122" t="s">
        <v>560</v>
      </c>
      <c r="C58" s="1118" t="s">
        <v>61</v>
      </c>
      <c r="D58" s="1135" t="s">
        <v>1968</v>
      </c>
    </row>
    <row r="59" spans="2:4" ht="25.5" customHeight="1" x14ac:dyDescent="0.25">
      <c r="B59" s="1122" t="s">
        <v>561</v>
      </c>
      <c r="C59" s="1118" t="s">
        <v>66</v>
      </c>
      <c r="D59" s="1135" t="s">
        <v>1968</v>
      </c>
    </row>
    <row r="60" spans="2:4" ht="25.5" customHeight="1" x14ac:dyDescent="0.25">
      <c r="B60" s="1122" t="s">
        <v>562</v>
      </c>
      <c r="C60" s="1118" t="s">
        <v>67</v>
      </c>
      <c r="D60" s="1135" t="s">
        <v>1968</v>
      </c>
    </row>
    <row r="61" spans="2:4" ht="25.5" customHeight="1" x14ac:dyDescent="0.25">
      <c r="B61" s="1122" t="s">
        <v>563</v>
      </c>
      <c r="C61" s="1118" t="s">
        <v>29</v>
      </c>
      <c r="D61" s="1135" t="s">
        <v>1968</v>
      </c>
    </row>
    <row r="62" spans="2:4" ht="25.5" customHeight="1" x14ac:dyDescent="0.25">
      <c r="B62" s="1122" t="s">
        <v>564</v>
      </c>
      <c r="C62" s="1118" t="s">
        <v>565</v>
      </c>
      <c r="D62" s="1135" t="s">
        <v>1968</v>
      </c>
    </row>
    <row r="63" spans="2:4" ht="25.5" customHeight="1" x14ac:dyDescent="0.25">
      <c r="B63" s="1122" t="s">
        <v>566</v>
      </c>
      <c r="C63" s="1118">
        <v>12</v>
      </c>
      <c r="D63" s="1121" t="s">
        <v>1961</v>
      </c>
    </row>
    <row r="64" spans="2:4" ht="25.5" customHeight="1" x14ac:dyDescent="0.25">
      <c r="B64" s="1122" t="s">
        <v>567</v>
      </c>
      <c r="C64" s="1118">
        <v>13</v>
      </c>
      <c r="D64" s="1121" t="s">
        <v>1962</v>
      </c>
    </row>
    <row r="65" spans="2:4" ht="25.5" customHeight="1" x14ac:dyDescent="0.25">
      <c r="B65" s="1122" t="s">
        <v>568</v>
      </c>
      <c r="C65" s="1118">
        <v>14</v>
      </c>
      <c r="D65" s="1121" t="s">
        <v>1963</v>
      </c>
    </row>
    <row r="66" spans="2:4" ht="25.5" customHeight="1" x14ac:dyDescent="0.25">
      <c r="B66" s="1122" t="s">
        <v>569</v>
      </c>
      <c r="C66" s="1118">
        <v>15</v>
      </c>
      <c r="D66" s="1121" t="s">
        <v>1964</v>
      </c>
    </row>
    <row r="67" spans="2:4" ht="25.5" customHeight="1" x14ac:dyDescent="0.25">
      <c r="B67" s="1122" t="s">
        <v>570</v>
      </c>
      <c r="C67" s="1118" t="s">
        <v>86</v>
      </c>
      <c r="D67" s="1135" t="s">
        <v>1968</v>
      </c>
    </row>
    <row r="68" spans="2:4" ht="25.5" customHeight="1" x14ac:dyDescent="0.25">
      <c r="B68" s="1122" t="s">
        <v>1965</v>
      </c>
      <c r="C68" s="1118">
        <v>16</v>
      </c>
      <c r="D68" s="1135" t="s">
        <v>1973</v>
      </c>
    </row>
    <row r="69" spans="2:4" ht="25.5" customHeight="1" x14ac:dyDescent="0.25">
      <c r="B69" s="1122" t="s">
        <v>571</v>
      </c>
      <c r="C69" s="1118" t="s">
        <v>205</v>
      </c>
      <c r="D69" s="1135" t="s">
        <v>1968</v>
      </c>
    </row>
    <row r="70" spans="2:4" ht="25.5" customHeight="1" x14ac:dyDescent="0.25">
      <c r="B70" s="1122" t="s">
        <v>572</v>
      </c>
      <c r="C70" s="1118">
        <v>17</v>
      </c>
      <c r="D70" s="1135" t="s">
        <v>1972</v>
      </c>
    </row>
    <row r="71" spans="2:4" ht="25.5" customHeight="1" x14ac:dyDescent="0.25">
      <c r="B71" s="1122" t="s">
        <v>573</v>
      </c>
      <c r="C71" s="1118">
        <v>18</v>
      </c>
      <c r="D71" s="1121" t="s">
        <v>1966</v>
      </c>
    </row>
    <row r="72" spans="2:4" ht="25.5" customHeight="1" x14ac:dyDescent="0.25">
      <c r="B72" s="1122" t="s">
        <v>574</v>
      </c>
      <c r="C72" s="1118" t="s">
        <v>117</v>
      </c>
      <c r="D72" s="1135" t="s">
        <v>1968</v>
      </c>
    </row>
    <row r="73" spans="2:4" ht="25.5" customHeight="1" x14ac:dyDescent="0.25">
      <c r="B73" s="1122" t="s">
        <v>575</v>
      </c>
      <c r="C73" s="1118">
        <v>19</v>
      </c>
      <c r="D73" s="1135" t="s">
        <v>1968</v>
      </c>
    </row>
    <row r="74" spans="2:4" ht="25.5" customHeight="1" x14ac:dyDescent="0.25">
      <c r="B74" s="1122" t="s">
        <v>576</v>
      </c>
      <c r="C74" s="1118">
        <v>20</v>
      </c>
      <c r="D74" s="1135" t="s">
        <v>1968</v>
      </c>
    </row>
    <row r="75" spans="2:4" ht="25.5" customHeight="1" x14ac:dyDescent="0.25">
      <c r="B75" s="1122" t="s">
        <v>577</v>
      </c>
      <c r="C75" s="1118">
        <v>21</v>
      </c>
      <c r="D75" s="1135" t="s">
        <v>1968</v>
      </c>
    </row>
    <row r="76" spans="2:4" ht="25.5" customHeight="1" x14ac:dyDescent="0.25">
      <c r="B76" s="1122" t="s">
        <v>578</v>
      </c>
      <c r="C76" s="1118">
        <v>22</v>
      </c>
      <c r="D76" s="1135" t="s">
        <v>1968</v>
      </c>
    </row>
    <row r="77" spans="2:4" ht="25.5" customHeight="1" x14ac:dyDescent="0.25">
      <c r="B77" s="1122" t="s">
        <v>579</v>
      </c>
      <c r="C77" s="1118">
        <v>23</v>
      </c>
      <c r="D77" s="1135" t="s">
        <v>1968</v>
      </c>
    </row>
    <row r="78" spans="2:4" ht="25.5" customHeight="1" x14ac:dyDescent="0.25">
      <c r="B78" s="1122" t="s">
        <v>580</v>
      </c>
      <c r="C78" s="1118">
        <v>24</v>
      </c>
      <c r="D78" s="1135" t="s">
        <v>1968</v>
      </c>
    </row>
    <row r="79" spans="2:4" ht="25.5" customHeight="1" x14ac:dyDescent="0.25">
      <c r="B79" s="1122" t="s">
        <v>581</v>
      </c>
      <c r="C79" s="1118">
        <v>25</v>
      </c>
      <c r="D79" s="1135" t="s">
        <v>1968</v>
      </c>
    </row>
    <row r="80" spans="2:4" ht="25.5" customHeight="1" x14ac:dyDescent="0.25">
      <c r="B80" s="1122" t="s">
        <v>582</v>
      </c>
      <c r="C80" s="1118">
        <v>26</v>
      </c>
      <c r="D80" s="1135" t="s">
        <v>1968</v>
      </c>
    </row>
    <row r="81" spans="2:4" ht="25.5" customHeight="1" x14ac:dyDescent="0.25">
      <c r="B81" s="1122" t="s">
        <v>583</v>
      </c>
      <c r="C81" s="1118">
        <v>27</v>
      </c>
      <c r="D81" s="1135" t="s">
        <v>1968</v>
      </c>
    </row>
    <row r="82" spans="2:4" ht="25.5" customHeight="1" x14ac:dyDescent="0.25">
      <c r="B82" s="1122" t="s">
        <v>584</v>
      </c>
      <c r="C82" s="1118">
        <v>28</v>
      </c>
      <c r="D82" s="1135" t="s">
        <v>1968</v>
      </c>
    </row>
    <row r="83" spans="2:4" ht="25.5" customHeight="1" x14ac:dyDescent="0.25">
      <c r="B83" s="1122" t="s">
        <v>585</v>
      </c>
      <c r="C83" s="1118">
        <v>29</v>
      </c>
      <c r="D83" s="1135" t="s">
        <v>1968</v>
      </c>
    </row>
    <row r="84" spans="2:4" ht="25.5" customHeight="1" x14ac:dyDescent="0.25">
      <c r="B84" s="1122" t="s">
        <v>586</v>
      </c>
      <c r="C84" s="1118">
        <v>30</v>
      </c>
      <c r="D84" s="1135" t="s">
        <v>1968</v>
      </c>
    </row>
    <row r="85" spans="2:4" ht="25.5" customHeight="1" x14ac:dyDescent="0.25">
      <c r="B85" s="1122" t="s">
        <v>587</v>
      </c>
      <c r="C85" s="1118">
        <v>31</v>
      </c>
      <c r="D85" s="1135" t="s">
        <v>1968</v>
      </c>
    </row>
    <row r="86" spans="2:4" ht="25.5" customHeight="1" x14ac:dyDescent="0.25">
      <c r="B86" s="1122" t="s">
        <v>588</v>
      </c>
      <c r="C86" s="1118">
        <v>32</v>
      </c>
      <c r="D86" s="1121" t="s">
        <v>1956</v>
      </c>
    </row>
    <row r="87" spans="2:4" ht="25.5" customHeight="1" x14ac:dyDescent="0.25">
      <c r="B87" s="1122" t="s">
        <v>589</v>
      </c>
      <c r="C87" s="1118">
        <v>33</v>
      </c>
      <c r="D87" s="1121" t="s">
        <v>1955</v>
      </c>
    </row>
    <row r="88" spans="2:4" ht="25.5" customHeight="1" x14ac:dyDescent="0.25">
      <c r="B88" s="1122" t="s">
        <v>590</v>
      </c>
      <c r="C88" s="1118">
        <v>34</v>
      </c>
      <c r="D88" s="1121" t="s">
        <v>1969</v>
      </c>
    </row>
    <row r="89" spans="2:4" ht="25.5" customHeight="1" x14ac:dyDescent="0.25">
      <c r="B89" s="1122" t="s">
        <v>591</v>
      </c>
      <c r="C89" s="1118">
        <v>35</v>
      </c>
      <c r="D89" s="1135" t="s">
        <v>1975</v>
      </c>
    </row>
    <row r="90" spans="2:4" ht="25.5" customHeight="1" x14ac:dyDescent="0.25">
      <c r="B90" s="1122" t="s">
        <v>592</v>
      </c>
      <c r="C90" s="1118">
        <v>36</v>
      </c>
      <c r="D90" s="1121" t="s">
        <v>1954</v>
      </c>
    </row>
    <row r="91" spans="2:4" ht="40.5" customHeight="1" x14ac:dyDescent="0.25">
      <c r="B91" s="1122" t="s">
        <v>593</v>
      </c>
      <c r="C91" s="1119">
        <v>37</v>
      </c>
      <c r="D91" s="1135" t="s">
        <v>1974</v>
      </c>
    </row>
    <row r="92" spans="2:4" ht="40.5" customHeight="1" thickBot="1" x14ac:dyDescent="0.3">
      <c r="B92" s="1124" t="s">
        <v>1906</v>
      </c>
      <c r="C92" s="1125">
        <v>38</v>
      </c>
      <c r="D92" s="1126" t="s">
        <v>1908</v>
      </c>
    </row>
    <row r="93" spans="2:4" ht="49.5" customHeight="1" x14ac:dyDescent="0.25">
      <c r="D93" s="1136" t="s">
        <v>1970</v>
      </c>
    </row>
    <row r="94" spans="2:4" ht="40.5" customHeight="1" x14ac:dyDescent="0.25"/>
    <row r="95" spans="2:4" ht="40.5" customHeight="1" x14ac:dyDescent="0.25"/>
    <row r="96" spans="2:4" ht="40.5" customHeight="1" x14ac:dyDescent="0.25"/>
    <row r="97" ht="40.5" customHeight="1" x14ac:dyDescent="0.25"/>
    <row r="98" ht="40.5" customHeight="1" x14ac:dyDescent="0.25"/>
    <row r="99" ht="40.5" customHeight="1" x14ac:dyDescent="0.25"/>
    <row r="100" ht="40.5" customHeight="1" x14ac:dyDescent="0.25"/>
    <row r="101" ht="40.5" customHeight="1" x14ac:dyDescent="0.25"/>
    <row r="102" ht="40.5" customHeight="1" x14ac:dyDescent="0.25"/>
    <row r="103" ht="40.5" customHeight="1" x14ac:dyDescent="0.25"/>
    <row r="104" ht="40.5" customHeight="1" x14ac:dyDescent="0.25"/>
    <row r="105" ht="40.5" customHeight="1" x14ac:dyDescent="0.25"/>
    <row r="106" ht="40.5" customHeight="1" x14ac:dyDescent="0.25"/>
    <row r="107" ht="40.5" customHeight="1" x14ac:dyDescent="0.25"/>
    <row r="108" ht="40.5" customHeight="1" x14ac:dyDescent="0.25"/>
    <row r="109" ht="40.5" customHeight="1" x14ac:dyDescent="0.25"/>
  </sheetData>
  <pageMargins left="0.25" right="0.25" top="0.75" bottom="0.75" header="0.3" footer="0.3"/>
  <pageSetup paperSize="9" scale="94"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S1051"/>
  <sheetViews>
    <sheetView showGridLines="0" showZeros="0" tabSelected="1" zoomScale="110" zoomScaleNormal="110" zoomScaleSheetLayoutView="85" zoomScalePageLayoutView="55" workbookViewId="0">
      <pane ySplit="3" topLeftCell="A1017" activePane="bottomLeft" state="frozen"/>
      <selection activeCell="A3" sqref="A3"/>
      <selection pane="bottomLeft" activeCell="D1063" sqref="D1063"/>
    </sheetView>
  </sheetViews>
  <sheetFormatPr defaultRowHeight="12.75" customHeight="1" x14ac:dyDescent="0.25"/>
  <cols>
    <col min="1" max="1" width="6.44140625" style="40" customWidth="1"/>
    <col min="2" max="2" width="13.33203125" style="40" customWidth="1"/>
    <col min="3" max="3" width="8.6640625" style="40" customWidth="1"/>
    <col min="4" max="4" width="37.33203125" style="89" customWidth="1"/>
    <col min="5" max="5" width="8.109375" style="40" customWidth="1"/>
    <col min="6" max="6" width="10.109375" style="40" customWidth="1"/>
    <col min="7" max="7" width="8.6640625" style="40" customWidth="1"/>
    <col min="8" max="8" width="5" style="40" hidden="1" customWidth="1"/>
    <col min="9" max="9" width="9.33203125" style="90" hidden="1" customWidth="1"/>
    <col min="10" max="10" width="10.109375" style="90" customWidth="1"/>
    <col min="11" max="12" width="10.109375" style="1" hidden="1" customWidth="1"/>
    <col min="13" max="13" width="6.88671875" style="40" hidden="1" customWidth="1"/>
    <col min="14" max="14" width="18" style="430" customWidth="1"/>
    <col min="15" max="15" width="32" style="976" customWidth="1"/>
    <col min="16" max="16" width="12.44140625" style="973" customWidth="1"/>
    <col min="17" max="17" width="24.44140625" style="431" customWidth="1"/>
  </cols>
  <sheetData>
    <row r="1" spans="1:19" ht="13.95" customHeight="1" thickBot="1" x14ac:dyDescent="0.3">
      <c r="D1" s="1232"/>
      <c r="E1" s="1232"/>
      <c r="F1" s="1232"/>
      <c r="G1" s="1232"/>
      <c r="H1" s="84"/>
      <c r="I1" s="85"/>
      <c r="J1" s="86"/>
      <c r="K1" s="86"/>
      <c r="L1" s="86"/>
      <c r="O1" s="430"/>
      <c r="P1" s="1233"/>
      <c r="Q1" s="1233"/>
    </row>
    <row r="2" spans="1:19" ht="77.400000000000006" customHeight="1" thickBot="1" x14ac:dyDescent="0.3">
      <c r="D2" s="1235" t="s">
        <v>2095</v>
      </c>
      <c r="E2" s="1236"/>
      <c r="F2" s="1236"/>
      <c r="G2" s="1237"/>
      <c r="J2" s="908"/>
      <c r="K2" s="908"/>
      <c r="L2" s="908"/>
      <c r="P2" s="1234" t="s">
        <v>2096</v>
      </c>
      <c r="Q2" s="1234"/>
    </row>
    <row r="3" spans="1:19" s="1" customFormat="1" ht="62.4" customHeight="1" x14ac:dyDescent="0.25">
      <c r="A3" s="742" t="s">
        <v>597</v>
      </c>
      <c r="B3" s="742" t="s">
        <v>598</v>
      </c>
      <c r="C3" s="742" t="s">
        <v>599</v>
      </c>
      <c r="D3" s="929" t="s">
        <v>0</v>
      </c>
      <c r="E3" s="930" t="s">
        <v>600</v>
      </c>
      <c r="F3" s="931" t="s">
        <v>2</v>
      </c>
      <c r="G3" s="932" t="s">
        <v>3</v>
      </c>
      <c r="H3" s="91"/>
      <c r="I3" s="92" t="s">
        <v>601</v>
      </c>
      <c r="J3" s="92" t="s">
        <v>1878</v>
      </c>
      <c r="K3" s="92" t="s">
        <v>602</v>
      </c>
      <c r="L3" s="421" t="s">
        <v>603</v>
      </c>
      <c r="M3" s="133" t="s">
        <v>604</v>
      </c>
      <c r="N3" s="1007" t="s">
        <v>605</v>
      </c>
      <c r="O3" s="432" t="s">
        <v>606</v>
      </c>
      <c r="P3" s="433" t="s">
        <v>607</v>
      </c>
      <c r="Q3" s="433" t="s">
        <v>608</v>
      </c>
      <c r="R3"/>
      <c r="S3"/>
    </row>
    <row r="4" spans="1:19" s="1" customFormat="1" ht="15.6" customHeight="1" x14ac:dyDescent="0.25">
      <c r="A4" s="909"/>
      <c r="B4" s="909"/>
      <c r="C4" s="909"/>
      <c r="D4" s="909" t="s">
        <v>1836</v>
      </c>
      <c r="E4" s="910"/>
      <c r="F4" s="909"/>
      <c r="G4" s="909"/>
      <c r="H4" s="909"/>
      <c r="I4" s="909"/>
      <c r="J4" s="909"/>
      <c r="K4" s="909"/>
      <c r="L4" s="911"/>
      <c r="M4" s="922"/>
      <c r="N4" s="1008"/>
      <c r="O4" s="977"/>
      <c r="P4" s="923"/>
      <c r="Q4" s="923"/>
      <c r="R4"/>
      <c r="S4"/>
    </row>
    <row r="5" spans="1:19" s="1" customFormat="1" ht="20.399999999999999" x14ac:dyDescent="0.25">
      <c r="A5" s="75">
        <v>1</v>
      </c>
      <c r="B5" s="93"/>
      <c r="C5" s="93"/>
      <c r="D5" s="94" t="s">
        <v>609</v>
      </c>
      <c r="E5" s="95"/>
      <c r="F5" s="93"/>
      <c r="G5" s="96"/>
      <c r="H5" s="91"/>
      <c r="I5" s="95"/>
      <c r="J5" s="95"/>
      <c r="K5" s="95"/>
      <c r="L5" s="422"/>
      <c r="M5" s="133"/>
      <c r="N5" s="1007"/>
      <c r="O5" s="432"/>
      <c r="P5" s="433"/>
      <c r="Q5" s="433"/>
      <c r="R5"/>
      <c r="S5"/>
    </row>
    <row r="6" spans="1:19" s="1" customFormat="1" ht="30.6" x14ac:dyDescent="0.25">
      <c r="A6" s="75">
        <v>1</v>
      </c>
      <c r="B6" s="745" t="s">
        <v>610</v>
      </c>
      <c r="C6" s="745" t="s">
        <v>610</v>
      </c>
      <c r="D6" s="746" t="s">
        <v>5</v>
      </c>
      <c r="E6" s="92"/>
      <c r="F6" s="742"/>
      <c r="G6" s="91"/>
      <c r="H6" s="747"/>
      <c r="I6" s="3" t="e">
        <f>SUM(#REF!,#REF!,#REF!,#REF!,#REF!,#REF!,#REF!,#REF!,#REF!,#REF!,#REF!,#REF!,#REF!,#REF!,#REF!,#REF!,#REF!,#REF!,#REF!,I30,I8,#REF!,I12,I15,#REF!,I19,I21,I23,I26,#REF!,I32)</f>
        <v>#REF!</v>
      </c>
      <c r="J6" s="98"/>
      <c r="K6" s="3" t="e">
        <f>SUM(#REF!,#REF!,#REF!,#REF!,#REF!,#REF!,#REF!,#REF!,#REF!,#REF!,#REF!,#REF!,#REF!,#REF!,#REF!,#REF!,#REF!,#REF!,#REF!,K30,K8,#REF!,K12,K15,#REF!,K19,K21,K23,K26,#REF!,K32)</f>
        <v>#REF!</v>
      </c>
      <c r="L6" s="748" t="e">
        <f>SUM(#REF!,#REF!,#REF!,#REF!,#REF!,#REF!,#REF!,#REF!,#REF!,#REF!,#REF!,#REF!,#REF!,#REF!,#REF!,#REF!,#REF!,#REF!,#REF!,L30,L8,#REF!,L12,L15,#REF!,L19,L21,L23,L26,#REF!,L32)</f>
        <v>#REF!</v>
      </c>
      <c r="M6" s="133"/>
      <c r="N6" s="1009"/>
      <c r="O6" s="81"/>
      <c r="P6" s="942"/>
      <c r="Q6" s="73"/>
      <c r="R6"/>
      <c r="S6"/>
    </row>
    <row r="7" spans="1:19" s="1" customFormat="1" ht="30" customHeight="1" x14ac:dyDescent="0.25">
      <c r="A7" s="75">
        <v>1</v>
      </c>
      <c r="B7" s="97"/>
      <c r="C7" s="97" t="s">
        <v>615</v>
      </c>
      <c r="D7" s="49" t="s">
        <v>34</v>
      </c>
      <c r="E7" s="46" t="s">
        <v>35</v>
      </c>
      <c r="F7" s="62" t="s">
        <v>36</v>
      </c>
      <c r="G7" s="62" t="s">
        <v>8</v>
      </c>
      <c r="H7" s="106">
        <v>11.5</v>
      </c>
      <c r="I7" s="15">
        <v>11.5</v>
      </c>
      <c r="J7" s="98">
        <f>11.5-2.8</f>
        <v>8.6999999999999993</v>
      </c>
      <c r="K7" s="15">
        <v>11.5</v>
      </c>
      <c r="L7" s="33">
        <v>11.5</v>
      </c>
      <c r="M7" s="133" t="s">
        <v>616</v>
      </c>
      <c r="N7" s="389" t="s">
        <v>1945</v>
      </c>
      <c r="O7" s="100" t="s">
        <v>617</v>
      </c>
      <c r="P7" s="101" t="s">
        <v>618</v>
      </c>
      <c r="Q7" s="102"/>
      <c r="R7" s="345"/>
      <c r="S7"/>
    </row>
    <row r="8" spans="1:19" s="1" customFormat="1" ht="11.25" customHeight="1" x14ac:dyDescent="0.25">
      <c r="A8" s="75">
        <v>1</v>
      </c>
      <c r="B8" s="97"/>
      <c r="C8" s="97"/>
      <c r="D8" s="49"/>
      <c r="E8" s="46" t="s">
        <v>35</v>
      </c>
      <c r="F8" s="62" t="s">
        <v>36</v>
      </c>
      <c r="G8" s="103" t="s">
        <v>614</v>
      </c>
      <c r="H8" s="105">
        <f>SUM(H7)</f>
        <v>11.5</v>
      </c>
      <c r="I8" s="105">
        <f>SUM(I7)</f>
        <v>11.5</v>
      </c>
      <c r="J8" s="105">
        <f>SUM(J7)</f>
        <v>8.6999999999999993</v>
      </c>
      <c r="K8" s="105">
        <f>SUM(K7)</f>
        <v>11.5</v>
      </c>
      <c r="L8" s="750">
        <f>SUM(L7)</f>
        <v>11.5</v>
      </c>
      <c r="M8" s="133"/>
      <c r="N8" s="389"/>
      <c r="O8" s="100"/>
      <c r="P8" s="101"/>
      <c r="Q8" s="102"/>
      <c r="R8" s="345"/>
      <c r="S8"/>
    </row>
    <row r="9" spans="1:19" s="1" customFormat="1" ht="30.6" x14ac:dyDescent="0.25">
      <c r="A9" s="75">
        <v>1</v>
      </c>
      <c r="B9" s="97"/>
      <c r="C9" s="97" t="s">
        <v>620</v>
      </c>
      <c r="D9" s="1238" t="s">
        <v>621</v>
      </c>
      <c r="E9" s="46" t="s">
        <v>622</v>
      </c>
      <c r="F9" s="751" t="s">
        <v>623</v>
      </c>
      <c r="G9" s="42" t="s">
        <v>37</v>
      </c>
      <c r="H9" s="106">
        <v>1387</v>
      </c>
      <c r="I9" s="15">
        <v>1147.3</v>
      </c>
      <c r="J9" s="98">
        <v>448.2</v>
      </c>
      <c r="K9" s="752"/>
      <c r="L9" s="753"/>
      <c r="M9" s="133"/>
      <c r="N9" s="821" t="s">
        <v>1946</v>
      </c>
      <c r="O9" s="100" t="s">
        <v>624</v>
      </c>
      <c r="P9" s="101" t="s">
        <v>625</v>
      </c>
      <c r="Q9" s="107"/>
      <c r="R9" s="345"/>
      <c r="S9"/>
    </row>
    <row r="10" spans="1:19" s="1" customFormat="1" ht="23.25" customHeight="1" x14ac:dyDescent="0.25">
      <c r="A10" s="75">
        <v>1</v>
      </c>
      <c r="B10" s="97"/>
      <c r="C10" s="97"/>
      <c r="D10" s="1239"/>
      <c r="E10" s="46" t="s">
        <v>622</v>
      </c>
      <c r="F10" s="751" t="s">
        <v>623</v>
      </c>
      <c r="G10" s="62" t="s">
        <v>8</v>
      </c>
      <c r="H10" s="106">
        <v>38.1</v>
      </c>
      <c r="I10" s="15">
        <v>156.69999999999999</v>
      </c>
      <c r="J10" s="98">
        <f>20+99-10.7</f>
        <v>108.3</v>
      </c>
      <c r="K10" s="37"/>
      <c r="L10" s="48"/>
      <c r="M10" s="133" t="s">
        <v>619</v>
      </c>
      <c r="N10" s="389"/>
      <c r="O10" s="100"/>
      <c r="P10" s="101"/>
      <c r="Q10" s="102"/>
      <c r="R10" s="345"/>
      <c r="S10"/>
    </row>
    <row r="11" spans="1:19" s="1" customFormat="1" ht="11.25" customHeight="1" x14ac:dyDescent="0.25">
      <c r="A11" s="75">
        <v>1</v>
      </c>
      <c r="B11" s="97"/>
      <c r="C11" s="97"/>
      <c r="D11" s="1240"/>
      <c r="E11" s="46" t="s">
        <v>622</v>
      </c>
      <c r="F11" s="751" t="s">
        <v>623</v>
      </c>
      <c r="G11" s="42" t="s">
        <v>38</v>
      </c>
      <c r="H11" s="106"/>
      <c r="I11" s="15">
        <v>207.4</v>
      </c>
      <c r="J11" s="98">
        <v>222.2</v>
      </c>
      <c r="K11" s="752"/>
      <c r="L11" s="753"/>
      <c r="M11" s="133"/>
      <c r="N11" s="1010"/>
      <c r="O11" s="100"/>
      <c r="P11" s="102"/>
      <c r="Q11" s="102"/>
      <c r="R11" s="345"/>
      <c r="S11"/>
    </row>
    <row r="12" spans="1:19" s="1" customFormat="1" ht="11.25" customHeight="1" x14ac:dyDescent="0.25">
      <c r="A12" s="75">
        <v>1</v>
      </c>
      <c r="B12" s="97"/>
      <c r="C12" s="97"/>
      <c r="D12" s="49"/>
      <c r="E12" s="46" t="s">
        <v>622</v>
      </c>
      <c r="F12" s="751" t="s">
        <v>623</v>
      </c>
      <c r="G12" s="103" t="s">
        <v>614</v>
      </c>
      <c r="H12" s="105">
        <f>SUM(H9:H11)</f>
        <v>1425.1</v>
      </c>
      <c r="I12" s="105">
        <f>SUM(I9:I11)</f>
        <v>1511.4</v>
      </c>
      <c r="J12" s="105">
        <f>SUM(J9:J11)</f>
        <v>778.7</v>
      </c>
      <c r="K12" s="105">
        <f>SUM(K9:K11)</f>
        <v>0</v>
      </c>
      <c r="L12" s="750">
        <f>SUM(L9:L11)</f>
        <v>0</v>
      </c>
      <c r="M12" s="133"/>
      <c r="N12" s="1011"/>
      <c r="O12" s="100"/>
      <c r="P12" s="101"/>
      <c r="Q12" s="102"/>
      <c r="R12" s="345"/>
      <c r="S12"/>
    </row>
    <row r="13" spans="1:19" s="1" customFormat="1" ht="19.95" customHeight="1" x14ac:dyDescent="0.25">
      <c r="A13" s="75">
        <v>1</v>
      </c>
      <c r="B13" s="97"/>
      <c r="C13" s="97" t="s">
        <v>626</v>
      </c>
      <c r="D13" s="49" t="s">
        <v>627</v>
      </c>
      <c r="E13" s="739" t="s">
        <v>39</v>
      </c>
      <c r="F13" s="751" t="s">
        <v>628</v>
      </c>
      <c r="G13" s="62" t="s">
        <v>8</v>
      </c>
      <c r="H13" s="752">
        <f>4-1.9</f>
        <v>2.1</v>
      </c>
      <c r="I13" s="16"/>
      <c r="J13" s="98">
        <f>240-40-81-56-0.9</f>
        <v>62.1</v>
      </c>
      <c r="K13" s="752"/>
      <c r="L13" s="753"/>
      <c r="M13" s="133" t="s">
        <v>629</v>
      </c>
      <c r="N13" s="1138" t="s">
        <v>1947</v>
      </c>
      <c r="O13" s="754" t="s">
        <v>631</v>
      </c>
      <c r="P13" s="101">
        <v>1</v>
      </c>
      <c r="Q13" s="114" t="s">
        <v>632</v>
      </c>
      <c r="R13" s="345"/>
      <c r="S13"/>
    </row>
    <row r="14" spans="1:19" s="1" customFormat="1" ht="40.799999999999997" x14ac:dyDescent="0.25">
      <c r="A14" s="75">
        <v>1</v>
      </c>
      <c r="B14" s="97"/>
      <c r="C14" s="97"/>
      <c r="D14" s="49"/>
      <c r="E14" s="46" t="s">
        <v>35</v>
      </c>
      <c r="F14" s="751" t="s">
        <v>628</v>
      </c>
      <c r="G14" s="739" t="s">
        <v>8</v>
      </c>
      <c r="H14" s="752">
        <f>20+7.9</f>
        <v>27.9</v>
      </c>
      <c r="I14" s="15"/>
      <c r="J14" s="98"/>
      <c r="K14" s="752"/>
      <c r="L14" s="753"/>
      <c r="M14" s="133" t="s">
        <v>629</v>
      </c>
      <c r="N14" s="821" t="s">
        <v>1948</v>
      </c>
      <c r="O14" s="100" t="s">
        <v>633</v>
      </c>
      <c r="P14" s="352" t="s">
        <v>634</v>
      </c>
      <c r="Q14" s="115"/>
      <c r="R14" s="345"/>
      <c r="S14"/>
    </row>
    <row r="15" spans="1:19" s="1" customFormat="1" ht="13.2" x14ac:dyDescent="0.25">
      <c r="A15" s="75">
        <v>1</v>
      </c>
      <c r="B15" s="97"/>
      <c r="C15" s="97"/>
      <c r="D15" s="49"/>
      <c r="E15" s="46" t="s">
        <v>35</v>
      </c>
      <c r="F15" s="751" t="s">
        <v>628</v>
      </c>
      <c r="G15" s="103" t="s">
        <v>614</v>
      </c>
      <c r="H15" s="105">
        <f>SUM(H13:H14)</f>
        <v>30</v>
      </c>
      <c r="I15" s="105">
        <f>SUM(I13:I14)</f>
        <v>0</v>
      </c>
      <c r="J15" s="105">
        <f>SUM(J13:J14)</f>
        <v>62.1</v>
      </c>
      <c r="K15" s="105">
        <f>SUM(K13:K14)</f>
        <v>0</v>
      </c>
      <c r="L15" s="750">
        <f>SUM(L13:L14)</f>
        <v>0</v>
      </c>
      <c r="M15" s="133"/>
      <c r="N15" s="389"/>
      <c r="O15" s="100"/>
      <c r="P15" s="101"/>
      <c r="Q15" s="102"/>
      <c r="R15" s="345"/>
      <c r="S15"/>
    </row>
    <row r="16" spans="1:19" s="1" customFormat="1" ht="11.25" customHeight="1" x14ac:dyDescent="0.25">
      <c r="A16" s="75">
        <v>1</v>
      </c>
      <c r="B16" s="97"/>
      <c r="C16" s="97" t="s">
        <v>635</v>
      </c>
      <c r="D16" s="1238" t="s">
        <v>41</v>
      </c>
      <c r="E16" s="42">
        <v>9</v>
      </c>
      <c r="F16" s="751" t="s">
        <v>42</v>
      </c>
      <c r="G16" s="62" t="s">
        <v>8</v>
      </c>
      <c r="H16" s="106">
        <v>490</v>
      </c>
      <c r="I16" s="15">
        <v>743.2</v>
      </c>
      <c r="J16" s="98">
        <f>937.8-180-200+100+100</f>
        <v>757.8</v>
      </c>
      <c r="K16" s="37">
        <v>937.8</v>
      </c>
      <c r="L16" s="48">
        <v>937.8</v>
      </c>
      <c r="M16" s="133" t="s">
        <v>616</v>
      </c>
      <c r="N16" s="389" t="s">
        <v>1949</v>
      </c>
      <c r="O16" s="100" t="s">
        <v>1950</v>
      </c>
      <c r="P16" s="80">
        <v>30</v>
      </c>
      <c r="Q16" s="108"/>
      <c r="R16" s="345"/>
      <c r="S16"/>
    </row>
    <row r="17" spans="1:19" s="1" customFormat="1" ht="11.25" customHeight="1" x14ac:dyDescent="0.25">
      <c r="A17" s="75">
        <v>1</v>
      </c>
      <c r="B17" s="97"/>
      <c r="C17" s="97"/>
      <c r="D17" s="1239"/>
      <c r="E17" s="42">
        <v>9</v>
      </c>
      <c r="F17" s="751" t="s">
        <v>42</v>
      </c>
      <c r="G17" s="42" t="s">
        <v>9</v>
      </c>
      <c r="H17" s="37"/>
      <c r="I17" s="15">
        <v>0</v>
      </c>
      <c r="J17" s="98">
        <v>0</v>
      </c>
      <c r="K17" s="37">
        <v>0</v>
      </c>
      <c r="L17" s="48">
        <v>0</v>
      </c>
      <c r="M17" s="133"/>
      <c r="N17" s="389"/>
      <c r="O17" s="302"/>
      <c r="P17" s="80"/>
      <c r="Q17" s="108"/>
      <c r="R17" s="345"/>
      <c r="S17"/>
    </row>
    <row r="18" spans="1:19" s="1" customFormat="1" ht="11.25" customHeight="1" x14ac:dyDescent="0.25">
      <c r="A18" s="75">
        <v>1</v>
      </c>
      <c r="B18" s="97"/>
      <c r="C18" s="97"/>
      <c r="D18" s="1240"/>
      <c r="E18" s="42">
        <v>9</v>
      </c>
      <c r="F18" s="751" t="s">
        <v>42</v>
      </c>
      <c r="G18" s="751" t="s">
        <v>10</v>
      </c>
      <c r="H18" s="752">
        <v>0</v>
      </c>
      <c r="I18" s="15">
        <v>0</v>
      </c>
      <c r="J18" s="98">
        <v>0</v>
      </c>
      <c r="K18" s="752">
        <v>0</v>
      </c>
      <c r="L18" s="753">
        <v>0</v>
      </c>
      <c r="M18" s="133"/>
      <c r="N18" s="389"/>
      <c r="O18" s="100"/>
      <c r="P18" s="101"/>
      <c r="Q18" s="108"/>
      <c r="R18" s="345"/>
      <c r="S18"/>
    </row>
    <row r="19" spans="1:19" s="1" customFormat="1" ht="11.25" customHeight="1" x14ac:dyDescent="0.25">
      <c r="A19" s="75">
        <v>1</v>
      </c>
      <c r="B19" s="97"/>
      <c r="C19" s="97"/>
      <c r="D19" s="49"/>
      <c r="E19" s="42">
        <v>9</v>
      </c>
      <c r="F19" s="751" t="s">
        <v>42</v>
      </c>
      <c r="G19" s="103" t="s">
        <v>614</v>
      </c>
      <c r="H19" s="105">
        <f>SUM(H16:H18)</f>
        <v>490</v>
      </c>
      <c r="I19" s="105">
        <f>SUM(I16:I18)</f>
        <v>743.2</v>
      </c>
      <c r="J19" s="105">
        <f>SUM(J16:J18)</f>
        <v>757.8</v>
      </c>
      <c r="K19" s="105">
        <f>SUM(K16:K18)</f>
        <v>937.8</v>
      </c>
      <c r="L19" s="750">
        <f>SUM(L16:L18)</f>
        <v>937.8</v>
      </c>
      <c r="M19" s="133"/>
      <c r="N19" s="389"/>
      <c r="O19" s="100"/>
      <c r="P19" s="101"/>
      <c r="Q19" s="108"/>
      <c r="R19" s="345"/>
      <c r="S19"/>
    </row>
    <row r="20" spans="1:19" s="1" customFormat="1" ht="27" customHeight="1" x14ac:dyDescent="0.25">
      <c r="A20" s="75">
        <v>1</v>
      </c>
      <c r="B20" s="97"/>
      <c r="C20" s="97" t="s">
        <v>637</v>
      </c>
      <c r="D20" s="49" t="s">
        <v>638</v>
      </c>
      <c r="E20" s="42">
        <v>18</v>
      </c>
      <c r="F20" s="751" t="s">
        <v>44</v>
      </c>
      <c r="G20" s="62" t="s">
        <v>8</v>
      </c>
      <c r="H20" s="755">
        <v>571.9</v>
      </c>
      <c r="I20" s="15">
        <v>734.6</v>
      </c>
      <c r="J20" s="98">
        <f>600+200+200+200+165</f>
        <v>1365</v>
      </c>
      <c r="K20" s="752">
        <v>1000</v>
      </c>
      <c r="L20" s="753">
        <v>1000</v>
      </c>
      <c r="M20" s="133" t="s">
        <v>616</v>
      </c>
      <c r="N20" s="389" t="s">
        <v>1951</v>
      </c>
      <c r="O20" s="100" t="s">
        <v>640</v>
      </c>
      <c r="P20" s="101">
        <v>100</v>
      </c>
      <c r="Q20" s="108"/>
      <c r="R20" s="345"/>
      <c r="S20"/>
    </row>
    <row r="21" spans="1:19" s="1" customFormat="1" ht="11.25" customHeight="1" x14ac:dyDescent="0.25">
      <c r="A21" s="75">
        <v>1</v>
      </c>
      <c r="B21" s="97"/>
      <c r="C21" s="97"/>
      <c r="D21" s="49"/>
      <c r="E21" s="42">
        <v>18</v>
      </c>
      <c r="F21" s="751" t="s">
        <v>44</v>
      </c>
      <c r="G21" s="103" t="s">
        <v>614</v>
      </c>
      <c r="H21" s="105">
        <f>SUM(H20)</f>
        <v>571.9</v>
      </c>
      <c r="I21" s="105">
        <f>SUM(I20)</f>
        <v>734.6</v>
      </c>
      <c r="J21" s="105">
        <f>SUM(J20)</f>
        <v>1365</v>
      </c>
      <c r="K21" s="105">
        <f>SUM(K20)</f>
        <v>1000</v>
      </c>
      <c r="L21" s="750">
        <f>SUM(L20)</f>
        <v>1000</v>
      </c>
      <c r="M21" s="133"/>
      <c r="N21" s="389"/>
      <c r="O21" s="100"/>
      <c r="P21" s="101"/>
      <c r="Q21" s="108"/>
      <c r="R21" s="345"/>
      <c r="S21"/>
    </row>
    <row r="22" spans="1:19" s="1" customFormat="1" ht="30.6" x14ac:dyDescent="0.25">
      <c r="A22" s="75">
        <v>1</v>
      </c>
      <c r="B22" s="97"/>
      <c r="C22" s="97" t="s">
        <v>641</v>
      </c>
      <c r="D22" s="35" t="s">
        <v>642</v>
      </c>
      <c r="E22" s="42">
        <v>11</v>
      </c>
      <c r="F22" s="751" t="s">
        <v>643</v>
      </c>
      <c r="G22" s="751" t="s">
        <v>10</v>
      </c>
      <c r="H22" s="106">
        <v>0.2</v>
      </c>
      <c r="I22" s="15">
        <v>3</v>
      </c>
      <c r="J22" s="98">
        <f>1.6+0.4+0.3</f>
        <v>2.2999999999999998</v>
      </c>
      <c r="K22" s="15">
        <v>2</v>
      </c>
      <c r="L22" s="33">
        <v>2</v>
      </c>
      <c r="M22" s="133"/>
      <c r="N22" s="389" t="s">
        <v>1948</v>
      </c>
      <c r="O22" s="100" t="s">
        <v>644</v>
      </c>
      <c r="P22" s="101">
        <v>2</v>
      </c>
      <c r="Q22" s="108"/>
      <c r="R22" s="345"/>
      <c r="S22"/>
    </row>
    <row r="23" spans="1:19" s="1" customFormat="1" ht="11.25" customHeight="1" x14ac:dyDescent="0.25">
      <c r="A23" s="75">
        <v>1</v>
      </c>
      <c r="B23" s="97"/>
      <c r="C23" s="97"/>
      <c r="D23" s="35"/>
      <c r="E23" s="42"/>
      <c r="F23" s="751" t="s">
        <v>643</v>
      </c>
      <c r="G23" s="103" t="s">
        <v>614</v>
      </c>
      <c r="H23" s="105">
        <f>SUM(H22:H22)</f>
        <v>0.2</v>
      </c>
      <c r="I23" s="105">
        <f>SUM(I22:I22)</f>
        <v>3</v>
      </c>
      <c r="J23" s="105">
        <f>SUM(J22:J22)</f>
        <v>2.2999999999999998</v>
      </c>
      <c r="K23" s="105">
        <f>SUM(K22:K22)</f>
        <v>2</v>
      </c>
      <c r="L23" s="750">
        <f>SUM(L22:L22)</f>
        <v>2</v>
      </c>
      <c r="M23" s="133"/>
      <c r="N23" s="389"/>
      <c r="O23" s="100"/>
      <c r="P23" s="101"/>
      <c r="Q23" s="108"/>
      <c r="R23" s="345"/>
      <c r="S23"/>
    </row>
    <row r="24" spans="1:19" s="1" customFormat="1" ht="32.4" customHeight="1" x14ac:dyDescent="0.25">
      <c r="A24" s="75">
        <v>1</v>
      </c>
      <c r="B24" s="97"/>
      <c r="C24" s="97" t="s">
        <v>645</v>
      </c>
      <c r="D24" s="35" t="s">
        <v>646</v>
      </c>
      <c r="E24" s="42">
        <v>11</v>
      </c>
      <c r="F24" s="751" t="s">
        <v>647</v>
      </c>
      <c r="G24" s="62" t="s">
        <v>37</v>
      </c>
      <c r="H24" s="755">
        <v>571.9</v>
      </c>
      <c r="I24" s="15">
        <v>27.2</v>
      </c>
      <c r="J24" s="98">
        <f>192+2.1</f>
        <v>194.1</v>
      </c>
      <c r="K24" s="15">
        <v>193.4</v>
      </c>
      <c r="L24" s="753"/>
      <c r="M24" s="133"/>
      <c r="N24" s="389" t="s">
        <v>1948</v>
      </c>
      <c r="O24" s="100" t="s">
        <v>644</v>
      </c>
      <c r="P24" s="101">
        <v>2</v>
      </c>
      <c r="Q24" s="108"/>
      <c r="R24" s="345"/>
      <c r="S24"/>
    </row>
    <row r="25" spans="1:19" s="1" customFormat="1" ht="23.25" customHeight="1" x14ac:dyDescent="0.25">
      <c r="A25" s="75">
        <v>1</v>
      </c>
      <c r="B25" s="97"/>
      <c r="C25" s="97"/>
      <c r="D25" s="35"/>
      <c r="E25" s="42">
        <v>11</v>
      </c>
      <c r="F25" s="751" t="s">
        <v>647</v>
      </c>
      <c r="G25" s="62" t="s">
        <v>38</v>
      </c>
      <c r="H25" s="755"/>
      <c r="I25" s="15">
        <v>7.2</v>
      </c>
      <c r="J25" s="98">
        <f>50.5+0.4</f>
        <v>50.9</v>
      </c>
      <c r="K25" s="15">
        <v>50.9</v>
      </c>
      <c r="L25" s="753"/>
      <c r="M25" s="133"/>
      <c r="N25" s="389"/>
      <c r="O25" s="100"/>
      <c r="P25" s="101"/>
      <c r="Q25" s="108"/>
      <c r="R25" s="345"/>
      <c r="S25"/>
    </row>
    <row r="26" spans="1:19" s="1" customFormat="1" ht="11.25" customHeight="1" x14ac:dyDescent="0.25">
      <c r="A26" s="75">
        <v>1</v>
      </c>
      <c r="B26" s="97"/>
      <c r="C26" s="97"/>
      <c r="D26" s="49"/>
      <c r="E26" s="42">
        <v>11</v>
      </c>
      <c r="F26" s="751" t="s">
        <v>647</v>
      </c>
      <c r="G26" s="103" t="s">
        <v>614</v>
      </c>
      <c r="H26" s="105">
        <f>SUM(H24)</f>
        <v>571.9</v>
      </c>
      <c r="I26" s="105">
        <f>SUM(I24:I25)</f>
        <v>34.4</v>
      </c>
      <c r="J26" s="105">
        <f>SUM(J24:J25)</f>
        <v>245</v>
      </c>
      <c r="K26" s="105">
        <f>SUM(K24:K25)</f>
        <v>244.3</v>
      </c>
      <c r="L26" s="750">
        <f>SUM(L24:L25)</f>
        <v>0</v>
      </c>
      <c r="M26" s="133"/>
      <c r="N26" s="389"/>
      <c r="O26" s="100"/>
      <c r="P26" s="101"/>
      <c r="Q26" s="108"/>
      <c r="R26" s="345"/>
      <c r="S26"/>
    </row>
    <row r="27" spans="1:19" s="1" customFormat="1" ht="11.25" customHeight="1" x14ac:dyDescent="0.25">
      <c r="A27" s="75">
        <v>1</v>
      </c>
      <c r="B27" s="97"/>
      <c r="C27" s="97" t="s">
        <v>648</v>
      </c>
      <c r="D27" s="1241" t="s">
        <v>32</v>
      </c>
      <c r="E27" s="756">
        <v>6</v>
      </c>
      <c r="F27" s="111" t="s">
        <v>33</v>
      </c>
      <c r="G27" s="42" t="s">
        <v>7</v>
      </c>
      <c r="H27" s="106">
        <v>80.599999999999994</v>
      </c>
      <c r="I27" s="15"/>
      <c r="J27" s="98">
        <f>348.7+105.5-202.7-14.8-116.8-119.9</f>
        <v>0</v>
      </c>
      <c r="K27" s="757">
        <v>500</v>
      </c>
      <c r="L27" s="758">
        <v>500</v>
      </c>
      <c r="M27" s="133"/>
      <c r="N27" s="389" t="s">
        <v>1971</v>
      </c>
      <c r="O27" s="100"/>
      <c r="P27" s="101"/>
      <c r="Q27" s="108"/>
      <c r="R27" s="345"/>
      <c r="S27"/>
    </row>
    <row r="28" spans="1:19" s="1" customFormat="1" ht="11.25" customHeight="1" x14ac:dyDescent="0.25">
      <c r="A28" s="75">
        <v>1</v>
      </c>
      <c r="B28" s="97"/>
      <c r="C28" s="97"/>
      <c r="D28" s="1241"/>
      <c r="E28" s="756">
        <v>6</v>
      </c>
      <c r="F28" s="111" t="s">
        <v>33</v>
      </c>
      <c r="G28" s="42" t="s">
        <v>10</v>
      </c>
      <c r="H28" s="37">
        <f>16.4-16.4</f>
        <v>0</v>
      </c>
      <c r="I28" s="15">
        <f>16.9-16.9</f>
        <v>0</v>
      </c>
      <c r="J28" s="98">
        <f>17.8-17.8</f>
        <v>0</v>
      </c>
      <c r="K28" s="37"/>
      <c r="L28" s="48"/>
      <c r="M28" s="133"/>
      <c r="N28" s="389"/>
      <c r="O28" s="100"/>
      <c r="P28" s="101"/>
      <c r="Q28" s="108"/>
      <c r="R28" s="345"/>
      <c r="S28"/>
    </row>
    <row r="29" spans="1:19" s="1" customFormat="1" ht="11.25" customHeight="1" x14ac:dyDescent="0.25">
      <c r="A29" s="75">
        <v>1</v>
      </c>
      <c r="B29" s="97"/>
      <c r="C29" s="97"/>
      <c r="D29" s="1241"/>
      <c r="E29" s="756">
        <v>6</v>
      </c>
      <c r="F29" s="111" t="s">
        <v>33</v>
      </c>
      <c r="G29" s="62" t="s">
        <v>8</v>
      </c>
      <c r="H29" s="37"/>
      <c r="I29" s="15"/>
      <c r="J29" s="98">
        <f>12-12</f>
        <v>0</v>
      </c>
      <c r="K29" s="37"/>
      <c r="L29" s="48"/>
      <c r="M29" s="133"/>
      <c r="N29" s="389"/>
      <c r="O29" s="100"/>
      <c r="P29" s="101"/>
      <c r="Q29" s="108"/>
      <c r="R29" s="345"/>
      <c r="S29"/>
    </row>
    <row r="30" spans="1:19" s="1" customFormat="1" ht="11.25" customHeight="1" x14ac:dyDescent="0.25">
      <c r="A30" s="75">
        <v>1</v>
      </c>
      <c r="B30" s="97"/>
      <c r="C30" s="97"/>
      <c r="D30" s="1241"/>
      <c r="E30" s="756">
        <v>6</v>
      </c>
      <c r="F30" s="111" t="s">
        <v>33</v>
      </c>
      <c r="G30" s="103" t="s">
        <v>614</v>
      </c>
      <c r="H30" s="105">
        <f>SUM(H27:H28)</f>
        <v>80.599999999999994</v>
      </c>
      <c r="I30" s="105">
        <f>SUM(I27:I28)</f>
        <v>0</v>
      </c>
      <c r="J30" s="105">
        <f>SUM(J27:J29)</f>
        <v>0</v>
      </c>
      <c r="K30" s="105">
        <f>SUM(K27:K28)</f>
        <v>500</v>
      </c>
      <c r="L30" s="750">
        <f>SUM(L27:L28)</f>
        <v>500</v>
      </c>
      <c r="M30" s="133"/>
      <c r="N30" s="389"/>
      <c r="O30" s="100"/>
      <c r="P30" s="101"/>
      <c r="Q30" s="108"/>
      <c r="R30" s="345"/>
      <c r="S30"/>
    </row>
    <row r="31" spans="1:19" s="1" customFormat="1" ht="21.75" customHeight="1" x14ac:dyDescent="0.25">
      <c r="A31" s="75">
        <v>1</v>
      </c>
      <c r="B31" s="97"/>
      <c r="C31" s="97" t="s">
        <v>649</v>
      </c>
      <c r="D31" s="734" t="s">
        <v>650</v>
      </c>
      <c r="E31" s="756">
        <v>17</v>
      </c>
      <c r="F31" s="111" t="s">
        <v>651</v>
      </c>
      <c r="G31" s="46" t="s">
        <v>8</v>
      </c>
      <c r="H31" s="62"/>
      <c r="I31" s="15"/>
      <c r="J31" s="98">
        <v>5</v>
      </c>
      <c r="K31" s="15">
        <v>5</v>
      </c>
      <c r="L31" s="33">
        <v>5</v>
      </c>
      <c r="M31" s="133" t="s">
        <v>629</v>
      </c>
      <c r="N31" s="389" t="s">
        <v>1976</v>
      </c>
      <c r="O31" s="100" t="s">
        <v>653</v>
      </c>
      <c r="P31" s="101">
        <v>1</v>
      </c>
      <c r="Q31" s="108"/>
      <c r="R31" s="345"/>
      <c r="S31"/>
    </row>
    <row r="32" spans="1:19" s="1" customFormat="1" ht="11.25" customHeight="1" x14ac:dyDescent="0.25">
      <c r="A32" s="75">
        <v>1</v>
      </c>
      <c r="B32" s="97"/>
      <c r="C32" s="97"/>
      <c r="D32" s="66"/>
      <c r="E32" s="756">
        <v>17</v>
      </c>
      <c r="F32" s="111"/>
      <c r="G32" s="103" t="s">
        <v>614</v>
      </c>
      <c r="H32" s="62"/>
      <c r="I32" s="759">
        <f>SUM(I31)</f>
        <v>0</v>
      </c>
      <c r="J32" s="759">
        <f t="shared" ref="J32:L32" si="0">SUM(J31)</f>
        <v>5</v>
      </c>
      <c r="K32" s="759">
        <f t="shared" si="0"/>
        <v>5</v>
      </c>
      <c r="L32" s="749">
        <f t="shared" si="0"/>
        <v>5</v>
      </c>
      <c r="M32" s="133"/>
      <c r="N32" s="389"/>
      <c r="O32" s="100"/>
      <c r="P32" s="101"/>
      <c r="Q32" s="108"/>
      <c r="R32" s="345"/>
      <c r="S32"/>
    </row>
    <row r="33" spans="1:19" s="1" customFormat="1" ht="25.95" customHeight="1" x14ac:dyDescent="0.25">
      <c r="A33" s="75">
        <v>1</v>
      </c>
      <c r="B33" s="933"/>
      <c r="C33" s="933" t="s">
        <v>1874</v>
      </c>
      <c r="D33" s="1242" t="s">
        <v>1875</v>
      </c>
      <c r="E33" s="756">
        <v>17</v>
      </c>
      <c r="F33" s="111" t="s">
        <v>1876</v>
      </c>
      <c r="G33" s="739" t="s">
        <v>37</v>
      </c>
      <c r="H33" s="106"/>
      <c r="I33" s="15"/>
      <c r="J33" s="98">
        <v>126</v>
      </c>
      <c r="K33" s="759"/>
      <c r="L33" s="749"/>
      <c r="M33" s="133"/>
      <c r="N33" s="389" t="s">
        <v>1976</v>
      </c>
      <c r="O33" s="100" t="s">
        <v>1877</v>
      </c>
      <c r="P33" s="101">
        <v>15</v>
      </c>
      <c r="Q33" s="108"/>
      <c r="R33" s="345"/>
      <c r="S33"/>
    </row>
    <row r="34" spans="1:19" s="1" customFormat="1" ht="11.25" customHeight="1" x14ac:dyDescent="0.25">
      <c r="A34" s="75">
        <v>1</v>
      </c>
      <c r="B34" s="933"/>
      <c r="C34" s="933"/>
      <c r="D34" s="1243"/>
      <c r="E34" s="756">
        <v>17</v>
      </c>
      <c r="F34" s="111" t="s">
        <v>1876</v>
      </c>
      <c r="G34" s="739" t="s">
        <v>38</v>
      </c>
      <c r="H34" s="62"/>
      <c r="I34" s="15"/>
      <c r="J34" s="98">
        <v>23</v>
      </c>
      <c r="K34" s="759"/>
      <c r="L34" s="749"/>
      <c r="M34" s="133"/>
      <c r="N34" s="389"/>
      <c r="O34" s="100"/>
      <c r="P34" s="101"/>
      <c r="Q34" s="108"/>
      <c r="R34" s="345"/>
      <c r="S34"/>
    </row>
    <row r="35" spans="1:19" s="1" customFormat="1" ht="11.25" customHeight="1" x14ac:dyDescent="0.25">
      <c r="A35" s="75">
        <v>1</v>
      </c>
      <c r="B35" s="933"/>
      <c r="C35" s="933"/>
      <c r="D35" s="1243"/>
      <c r="E35" s="756">
        <v>17</v>
      </c>
      <c r="F35" s="934"/>
      <c r="G35" s="739" t="s">
        <v>8</v>
      </c>
      <c r="H35" s="62"/>
      <c r="I35" s="15"/>
      <c r="J35" s="98">
        <f>16.9-5.6</f>
        <v>11.299999999999999</v>
      </c>
      <c r="K35" s="759"/>
      <c r="L35" s="749"/>
      <c r="M35" s="133"/>
      <c r="N35" s="389"/>
      <c r="O35" s="100"/>
      <c r="P35" s="101"/>
      <c r="Q35" s="108"/>
      <c r="R35" s="345"/>
      <c r="S35"/>
    </row>
    <row r="36" spans="1:19" s="1" customFormat="1" ht="11.25" customHeight="1" x14ac:dyDescent="0.25">
      <c r="A36" s="75">
        <v>1</v>
      </c>
      <c r="B36" s="933"/>
      <c r="C36" s="933"/>
      <c r="D36" s="1244"/>
      <c r="E36" s="756">
        <v>17</v>
      </c>
      <c r="F36" s="934"/>
      <c r="G36" s="103" t="s">
        <v>614</v>
      </c>
      <c r="H36" s="62"/>
      <c r="I36" s="759"/>
      <c r="J36" s="759">
        <f>SUM(J33:J35)</f>
        <v>160.30000000000001</v>
      </c>
      <c r="K36" s="759"/>
      <c r="L36" s="749"/>
      <c r="M36" s="133"/>
      <c r="N36" s="389"/>
      <c r="O36" s="100"/>
      <c r="P36" s="101"/>
      <c r="Q36" s="108"/>
      <c r="R36" s="345"/>
      <c r="S36"/>
    </row>
    <row r="37" spans="1:19" s="1" customFormat="1" ht="24" customHeight="1" x14ac:dyDescent="0.25">
      <c r="A37" s="75">
        <v>1</v>
      </c>
      <c r="B37" s="933"/>
      <c r="C37" s="933" t="s">
        <v>2031</v>
      </c>
      <c r="D37" s="1158" t="s">
        <v>2032</v>
      </c>
      <c r="E37" s="1160">
        <v>11</v>
      </c>
      <c r="F37" s="111" t="s">
        <v>2033</v>
      </c>
      <c r="G37" s="739" t="s">
        <v>38</v>
      </c>
      <c r="H37" s="62"/>
      <c r="I37" s="15"/>
      <c r="J37" s="98">
        <v>13.2</v>
      </c>
      <c r="K37" s="759"/>
      <c r="L37" s="749"/>
      <c r="M37" s="133"/>
      <c r="N37" s="1184" t="s">
        <v>2047</v>
      </c>
      <c r="O37" s="100" t="s">
        <v>2046</v>
      </c>
      <c r="P37" s="101">
        <v>1</v>
      </c>
      <c r="Q37" s="108"/>
      <c r="R37" s="345"/>
      <c r="S37"/>
    </row>
    <row r="38" spans="1:19" s="1" customFormat="1" ht="11.25" customHeight="1" x14ac:dyDescent="0.25">
      <c r="A38" s="75">
        <v>1</v>
      </c>
      <c r="B38" s="933"/>
      <c r="C38" s="933"/>
      <c r="D38" s="1158"/>
      <c r="E38" s="1160"/>
      <c r="F38" s="934"/>
      <c r="G38" s="103" t="s">
        <v>614</v>
      </c>
      <c r="H38" s="62"/>
      <c r="I38" s="759">
        <f>SUM(I37)</f>
        <v>0</v>
      </c>
      <c r="J38" s="759">
        <f t="shared" ref="J38" si="1">SUM(J37)</f>
        <v>13.2</v>
      </c>
      <c r="K38" s="759"/>
      <c r="L38" s="749"/>
      <c r="M38" s="133"/>
      <c r="N38" s="389"/>
      <c r="O38" s="100"/>
      <c r="P38" s="101"/>
      <c r="Q38" s="108"/>
      <c r="R38" s="345"/>
      <c r="S38"/>
    </row>
    <row r="39" spans="1:19" s="1" customFormat="1" ht="18.75" customHeight="1" x14ac:dyDescent="0.25">
      <c r="A39" s="75">
        <v>1</v>
      </c>
      <c r="B39" s="933"/>
      <c r="C39" s="97" t="s">
        <v>2056</v>
      </c>
      <c r="D39" s="55" t="s">
        <v>2057</v>
      </c>
      <c r="E39" s="756">
        <v>11</v>
      </c>
      <c r="F39" s="111" t="s">
        <v>2058</v>
      </c>
      <c r="G39" s="739" t="s">
        <v>8</v>
      </c>
      <c r="H39" s="62"/>
      <c r="I39" s="15"/>
      <c r="J39" s="98">
        <v>32.6</v>
      </c>
      <c r="K39" s="759"/>
      <c r="L39" s="749"/>
      <c r="M39" s="133"/>
      <c r="N39" s="389" t="s">
        <v>1945</v>
      </c>
      <c r="O39" s="100" t="s">
        <v>2059</v>
      </c>
      <c r="P39" s="101">
        <v>200</v>
      </c>
      <c r="Q39" s="108"/>
      <c r="R39" s="345"/>
      <c r="S39"/>
    </row>
    <row r="40" spans="1:19" s="1" customFormat="1" ht="11.25" customHeight="1" x14ac:dyDescent="0.25">
      <c r="A40" s="75">
        <v>1</v>
      </c>
      <c r="B40" s="933"/>
      <c r="C40" s="97"/>
      <c r="D40" s="55"/>
      <c r="E40" s="756">
        <v>11</v>
      </c>
      <c r="F40" s="111" t="s">
        <v>2058</v>
      </c>
      <c r="G40" s="739" t="s">
        <v>37</v>
      </c>
      <c r="H40" s="62"/>
      <c r="I40" s="15"/>
      <c r="J40" s="98">
        <v>223.7</v>
      </c>
      <c r="K40" s="759"/>
      <c r="L40" s="749"/>
      <c r="M40" s="133"/>
      <c r="N40" s="389"/>
      <c r="O40" s="100"/>
      <c r="P40" s="101"/>
      <c r="Q40" s="108"/>
      <c r="R40" s="345"/>
      <c r="S40"/>
    </row>
    <row r="41" spans="1:19" s="1" customFormat="1" ht="11.25" customHeight="1" x14ac:dyDescent="0.25">
      <c r="A41" s="75">
        <v>1</v>
      </c>
      <c r="B41" s="933"/>
      <c r="C41" s="97"/>
      <c r="D41" s="55"/>
      <c r="E41" s="756">
        <v>11</v>
      </c>
      <c r="F41" s="111" t="s">
        <v>2058</v>
      </c>
      <c r="G41" s="739" t="s">
        <v>38</v>
      </c>
      <c r="H41" s="62"/>
      <c r="I41" s="15"/>
      <c r="J41" s="98">
        <v>39.5</v>
      </c>
      <c r="K41" s="759"/>
      <c r="L41" s="749"/>
      <c r="M41" s="133"/>
      <c r="N41" s="389"/>
      <c r="O41" s="100"/>
      <c r="P41" s="101"/>
      <c r="Q41" s="108"/>
      <c r="R41" s="345"/>
      <c r="S41"/>
    </row>
    <row r="42" spans="1:19" s="1" customFormat="1" ht="11.25" customHeight="1" x14ac:dyDescent="0.25">
      <c r="A42" s="75">
        <v>1</v>
      </c>
      <c r="B42" s="933"/>
      <c r="C42" s="97"/>
      <c r="D42" s="55"/>
      <c r="E42" s="756"/>
      <c r="F42" s="111"/>
      <c r="G42" s="103" t="s">
        <v>614</v>
      </c>
      <c r="H42" s="62"/>
      <c r="I42" s="759">
        <f>SUM(I39:I41)</f>
        <v>0</v>
      </c>
      <c r="J42" s="759">
        <f t="shared" ref="J42" si="2">SUM(J39:J41)</f>
        <v>295.8</v>
      </c>
      <c r="K42" s="759"/>
      <c r="L42" s="749"/>
      <c r="M42" s="133"/>
      <c r="N42" s="389"/>
      <c r="O42" s="100"/>
      <c r="P42" s="101"/>
      <c r="Q42" s="108"/>
      <c r="R42" s="345"/>
      <c r="S42"/>
    </row>
    <row r="43" spans="1:19" s="1" customFormat="1" ht="30.6" x14ac:dyDescent="0.25">
      <c r="A43" s="75">
        <v>1</v>
      </c>
      <c r="B43" s="425" t="s">
        <v>654</v>
      </c>
      <c r="C43" s="425" t="s">
        <v>654</v>
      </c>
      <c r="D43" s="913" t="s">
        <v>30</v>
      </c>
      <c r="E43" s="41">
        <v>6</v>
      </c>
      <c r="F43" s="41"/>
      <c r="G43" s="76"/>
      <c r="H43" s="776"/>
      <c r="I43" s="884">
        <f>I50</f>
        <v>6485.9</v>
      </c>
      <c r="J43" s="429"/>
      <c r="K43" s="20">
        <f>K50</f>
        <v>7150.5999999999995</v>
      </c>
      <c r="L43" s="56">
        <f>L50</f>
        <v>7450.5999999999995</v>
      </c>
      <c r="M43" s="133"/>
      <c r="N43" s="389" t="s">
        <v>1886</v>
      </c>
      <c r="O43" s="114" t="s">
        <v>655</v>
      </c>
      <c r="P43" s="73">
        <v>927</v>
      </c>
      <c r="Q43" s="108"/>
      <c r="R43" s="345"/>
      <c r="S43"/>
    </row>
    <row r="44" spans="1:19" s="1" customFormat="1" ht="30.6" x14ac:dyDescent="0.25">
      <c r="A44" s="75">
        <v>1</v>
      </c>
      <c r="B44" s="115"/>
      <c r="C44" s="115"/>
      <c r="D44" s="115"/>
      <c r="E44" s="761">
        <v>6</v>
      </c>
      <c r="F44" s="46" t="s">
        <v>31</v>
      </c>
      <c r="G44" s="62" t="s">
        <v>8</v>
      </c>
      <c r="H44" s="106">
        <v>600</v>
      </c>
      <c r="I44" s="15">
        <v>4188.7</v>
      </c>
      <c r="J44" s="98">
        <f>4395.4-200-200-23-207+230+381.9</f>
        <v>4377.2999999999993</v>
      </c>
      <c r="K44" s="15">
        <f>4395.4-200-200</f>
        <v>3995.3999999999996</v>
      </c>
      <c r="L44" s="48">
        <v>4295.3999999999996</v>
      </c>
      <c r="M44" s="133" t="s">
        <v>616</v>
      </c>
      <c r="N44" s="389"/>
      <c r="O44" s="114" t="s">
        <v>656</v>
      </c>
      <c r="P44" s="943">
        <v>320</v>
      </c>
      <c r="Q44" s="108"/>
      <c r="R44" s="345"/>
      <c r="S44"/>
    </row>
    <row r="45" spans="1:19" s="1" customFormat="1" ht="20.399999999999999" x14ac:dyDescent="0.25">
      <c r="A45" s="75">
        <v>1</v>
      </c>
      <c r="B45" s="97"/>
      <c r="C45" s="97"/>
      <c r="D45" s="35"/>
      <c r="E45" s="761">
        <v>6</v>
      </c>
      <c r="F45" s="46" t="s">
        <v>31</v>
      </c>
      <c r="G45" s="62" t="s">
        <v>613</v>
      </c>
      <c r="H45" s="106">
        <f>0.5+0.2+0.3</f>
        <v>1</v>
      </c>
      <c r="I45" s="15"/>
      <c r="J45" s="98"/>
      <c r="K45" s="37"/>
      <c r="L45" s="48"/>
      <c r="M45" s="133"/>
      <c r="N45" s="389"/>
      <c r="O45" s="100" t="s">
        <v>657</v>
      </c>
      <c r="P45" s="943">
        <v>160</v>
      </c>
      <c r="Q45" s="108"/>
      <c r="R45" s="345"/>
      <c r="S45"/>
    </row>
    <row r="46" spans="1:19" s="1" customFormat="1" ht="20.399999999999999" x14ac:dyDescent="0.25">
      <c r="A46" s="75">
        <v>1</v>
      </c>
      <c r="B46" s="97"/>
      <c r="C46" s="97"/>
      <c r="D46" s="35"/>
      <c r="E46" s="761">
        <v>6</v>
      </c>
      <c r="F46" s="46" t="s">
        <v>31</v>
      </c>
      <c r="G46" s="62" t="s">
        <v>10</v>
      </c>
      <c r="H46" s="37">
        <f>3.6-3.6</f>
        <v>0</v>
      </c>
      <c r="I46" s="15"/>
      <c r="J46" s="98"/>
      <c r="K46" s="37"/>
      <c r="L46" s="48"/>
      <c r="M46" s="133"/>
      <c r="N46" s="389"/>
      <c r="O46" s="100" t="s">
        <v>658</v>
      </c>
      <c r="P46" s="943">
        <v>300</v>
      </c>
      <c r="Q46" s="108"/>
      <c r="R46" s="345"/>
      <c r="S46"/>
    </row>
    <row r="47" spans="1:19" s="1" customFormat="1" ht="33" customHeight="1" x14ac:dyDescent="0.25">
      <c r="A47" s="75">
        <v>1</v>
      </c>
      <c r="B47" s="97"/>
      <c r="C47" s="97"/>
      <c r="D47" s="35"/>
      <c r="E47" s="761">
        <v>6</v>
      </c>
      <c r="F47" s="46" t="s">
        <v>31</v>
      </c>
      <c r="G47" s="42" t="s">
        <v>9</v>
      </c>
      <c r="H47" s="106">
        <v>2530</v>
      </c>
      <c r="I47" s="15"/>
      <c r="J47" s="98"/>
      <c r="K47" s="37"/>
      <c r="L47" s="48"/>
      <c r="M47" s="133"/>
      <c r="N47" s="389"/>
      <c r="O47" s="100" t="s">
        <v>659</v>
      </c>
      <c r="P47" s="101">
        <v>15</v>
      </c>
      <c r="Q47" s="108"/>
      <c r="R47" s="345"/>
      <c r="S47"/>
    </row>
    <row r="48" spans="1:19" s="1" customFormat="1" ht="11.25" customHeight="1" x14ac:dyDescent="0.25">
      <c r="A48" s="75">
        <v>1</v>
      </c>
      <c r="B48" s="97"/>
      <c r="C48" s="97"/>
      <c r="D48" s="35"/>
      <c r="E48" s="761">
        <v>6</v>
      </c>
      <c r="F48" s="46" t="s">
        <v>31</v>
      </c>
      <c r="G48" s="42" t="s">
        <v>7</v>
      </c>
      <c r="H48" s="106">
        <v>1337.4</v>
      </c>
      <c r="I48" s="15">
        <v>2297.1999999999998</v>
      </c>
      <c r="J48" s="98">
        <f>3070.8-9.2+63.3</f>
        <v>3124.9000000000005</v>
      </c>
      <c r="K48" s="762">
        <v>3155.2</v>
      </c>
      <c r="L48" s="763">
        <v>3155.2</v>
      </c>
      <c r="M48" s="133"/>
      <c r="N48" s="389"/>
      <c r="O48" s="100"/>
      <c r="P48" s="101"/>
      <c r="Q48" s="108"/>
      <c r="R48" s="345"/>
      <c r="S48"/>
    </row>
    <row r="49" spans="1:19" s="1" customFormat="1" ht="11.25" customHeight="1" x14ac:dyDescent="0.25">
      <c r="A49" s="75">
        <v>1</v>
      </c>
      <c r="B49" s="97"/>
      <c r="C49" s="97"/>
      <c r="D49" s="35"/>
      <c r="E49" s="761">
        <v>6</v>
      </c>
      <c r="F49" s="46" t="s">
        <v>31</v>
      </c>
      <c r="G49" s="42" t="s">
        <v>611</v>
      </c>
      <c r="H49" s="106">
        <v>2.6</v>
      </c>
      <c r="I49" s="15"/>
      <c r="J49" s="98">
        <f>9.2+1</f>
        <v>10.199999999999999</v>
      </c>
      <c r="K49" s="37"/>
      <c r="L49" s="48"/>
      <c r="M49" s="133"/>
      <c r="N49" s="389"/>
      <c r="O49" s="100"/>
      <c r="P49" s="101"/>
      <c r="Q49" s="108"/>
      <c r="R49" s="345"/>
      <c r="S49"/>
    </row>
    <row r="50" spans="1:19" s="1" customFormat="1" ht="11.25" customHeight="1" x14ac:dyDescent="0.25">
      <c r="A50" s="75">
        <v>1</v>
      </c>
      <c r="B50" s="97"/>
      <c r="C50" s="97"/>
      <c r="D50" s="35"/>
      <c r="E50" s="761">
        <v>6</v>
      </c>
      <c r="F50" s="46" t="s">
        <v>31</v>
      </c>
      <c r="G50" s="103" t="s">
        <v>614</v>
      </c>
      <c r="H50" s="105">
        <f>SUM(H44:H49)</f>
        <v>4471</v>
      </c>
      <c r="I50" s="105">
        <f>SUM(I44:I49)</f>
        <v>6485.9</v>
      </c>
      <c r="J50" s="105">
        <f>SUM(J44:J49)</f>
        <v>7512.4</v>
      </c>
      <c r="K50" s="105">
        <f>SUM(K44:K49)</f>
        <v>7150.5999999999995</v>
      </c>
      <c r="L50" s="750">
        <f>SUM(L44:L49)</f>
        <v>7450.5999999999995</v>
      </c>
      <c r="M50" s="133"/>
      <c r="N50" s="389"/>
      <c r="O50" s="100"/>
      <c r="P50" s="101"/>
      <c r="Q50" s="108"/>
      <c r="R50" s="345"/>
      <c r="S50"/>
    </row>
    <row r="51" spans="1:19" s="1" customFormat="1" ht="20.399999999999999" x14ac:dyDescent="0.25">
      <c r="A51" s="75">
        <v>1</v>
      </c>
      <c r="B51" s="112" t="s">
        <v>660</v>
      </c>
      <c r="C51" s="112" t="s">
        <v>660</v>
      </c>
      <c r="D51" s="760" t="s">
        <v>45</v>
      </c>
      <c r="E51" s="42">
        <v>11</v>
      </c>
      <c r="F51" s="42"/>
      <c r="G51" s="73"/>
      <c r="H51" s="105"/>
      <c r="I51" s="188" t="e">
        <f>I53+#REF!+#REF!+I56+I58+I60+I64+I66+#REF!</f>
        <v>#REF!</v>
      </c>
      <c r="J51" s="113"/>
      <c r="K51" s="20" t="e">
        <f>K53+#REF!+#REF!+K56+K58+K60+K64+K66+#REF!</f>
        <v>#REF!</v>
      </c>
      <c r="L51" s="56" t="e">
        <f>L53+#REF!+#REF!+L56+L58+L60+L64+L66+#REF!</f>
        <v>#REF!</v>
      </c>
      <c r="M51" s="133"/>
      <c r="N51" s="389"/>
      <c r="O51" s="114"/>
      <c r="P51" s="73"/>
      <c r="Q51" s="108"/>
      <c r="R51" s="345"/>
      <c r="S51"/>
    </row>
    <row r="52" spans="1:19" s="1" customFormat="1" ht="20.399999999999999" x14ac:dyDescent="0.25">
      <c r="A52" s="75">
        <v>1</v>
      </c>
      <c r="B52" s="116"/>
      <c r="C52" s="116" t="s">
        <v>661</v>
      </c>
      <c r="D52" s="49" t="s">
        <v>46</v>
      </c>
      <c r="E52" s="42">
        <v>11</v>
      </c>
      <c r="F52" s="42" t="s">
        <v>47</v>
      </c>
      <c r="G52" s="62" t="s">
        <v>8</v>
      </c>
      <c r="H52" s="106">
        <v>20</v>
      </c>
      <c r="I52" s="15">
        <v>19.8</v>
      </c>
      <c r="J52" s="98">
        <v>30</v>
      </c>
      <c r="K52" s="37">
        <v>30</v>
      </c>
      <c r="L52" s="48">
        <v>30</v>
      </c>
      <c r="M52" s="133" t="s">
        <v>616</v>
      </c>
      <c r="N52" s="389" t="s">
        <v>1977</v>
      </c>
      <c r="O52" s="100" t="s">
        <v>662</v>
      </c>
      <c r="P52" s="101">
        <v>80</v>
      </c>
      <c r="Q52" s="108"/>
      <c r="R52" s="345"/>
      <c r="S52"/>
    </row>
    <row r="53" spans="1:19" s="1" customFormat="1" ht="20.399999999999999" x14ac:dyDescent="0.25">
      <c r="A53" s="75">
        <v>1</v>
      </c>
      <c r="B53" s="116"/>
      <c r="C53" s="116"/>
      <c r="D53" s="49"/>
      <c r="E53" s="42">
        <v>11</v>
      </c>
      <c r="F53" s="42" t="s">
        <v>47</v>
      </c>
      <c r="G53" s="103" t="s">
        <v>614</v>
      </c>
      <c r="H53" s="105">
        <f>SUM(H52)</f>
        <v>20</v>
      </c>
      <c r="I53" s="105">
        <f>SUM(I52)</f>
        <v>19.8</v>
      </c>
      <c r="J53" s="105">
        <f>SUM(J52)</f>
        <v>30</v>
      </c>
      <c r="K53" s="105">
        <f>SUM(K52)</f>
        <v>30</v>
      </c>
      <c r="L53" s="750">
        <f>SUM(L52)</f>
        <v>30</v>
      </c>
      <c r="M53" s="133"/>
      <c r="N53" s="389" t="s">
        <v>1977</v>
      </c>
      <c r="O53" s="100" t="s">
        <v>663</v>
      </c>
      <c r="P53" s="101">
        <v>16</v>
      </c>
      <c r="Q53" s="108"/>
      <c r="R53" s="345"/>
      <c r="S53"/>
    </row>
    <row r="54" spans="1:19" s="1" customFormat="1" ht="24" customHeight="1" x14ac:dyDescent="0.25">
      <c r="A54" s="75">
        <v>1</v>
      </c>
      <c r="B54" s="116"/>
      <c r="C54" s="116" t="s">
        <v>664</v>
      </c>
      <c r="D54" s="49" t="s">
        <v>48</v>
      </c>
      <c r="E54" s="46" t="s">
        <v>35</v>
      </c>
      <c r="F54" s="42" t="s">
        <v>49</v>
      </c>
      <c r="G54" s="42" t="s">
        <v>10</v>
      </c>
      <c r="H54" s="106">
        <v>275.5</v>
      </c>
      <c r="I54" s="15">
        <v>342.7</v>
      </c>
      <c r="J54" s="98">
        <v>432</v>
      </c>
      <c r="K54" s="37">
        <v>432</v>
      </c>
      <c r="L54" s="48">
        <v>432</v>
      </c>
      <c r="M54" s="133"/>
      <c r="N54" s="389" t="s">
        <v>1978</v>
      </c>
      <c r="O54" s="100" t="s">
        <v>665</v>
      </c>
      <c r="P54" s="101">
        <v>62</v>
      </c>
      <c r="Q54" s="108"/>
      <c r="R54" s="345"/>
      <c r="S54"/>
    </row>
    <row r="55" spans="1:19" s="1" customFormat="1" ht="24.6" customHeight="1" x14ac:dyDescent="0.25">
      <c r="A55" s="75">
        <v>1</v>
      </c>
      <c r="B55" s="116"/>
      <c r="C55" s="116"/>
      <c r="D55" s="49"/>
      <c r="E55" s="46" t="s">
        <v>35</v>
      </c>
      <c r="F55" s="42" t="s">
        <v>49</v>
      </c>
      <c r="G55" s="42" t="s">
        <v>8</v>
      </c>
      <c r="H55" s="106"/>
      <c r="I55" s="15">
        <v>10</v>
      </c>
      <c r="J55" s="98">
        <v>16</v>
      </c>
      <c r="K55" s="37"/>
      <c r="L55" s="48"/>
      <c r="M55" s="133"/>
      <c r="N55" s="821"/>
      <c r="O55" s="100"/>
      <c r="P55" s="101"/>
      <c r="Q55" s="108"/>
      <c r="R55" s="345"/>
      <c r="S55"/>
    </row>
    <row r="56" spans="1:19" s="1" customFormat="1" ht="13.2" x14ac:dyDescent="0.25">
      <c r="A56" s="75">
        <v>1</v>
      </c>
      <c r="B56" s="116"/>
      <c r="C56" s="116"/>
      <c r="D56" s="49"/>
      <c r="E56" s="46" t="s">
        <v>35</v>
      </c>
      <c r="F56" s="42" t="s">
        <v>49</v>
      </c>
      <c r="G56" s="103" t="s">
        <v>614</v>
      </c>
      <c r="H56" s="105">
        <f>SUM(H54)</f>
        <v>275.5</v>
      </c>
      <c r="I56" s="105">
        <f>SUM(I54:I55)</f>
        <v>352.7</v>
      </c>
      <c r="J56" s="105">
        <f t="shared" ref="J56:L56" si="3">SUM(J54:J55)</f>
        <v>448</v>
      </c>
      <c r="K56" s="105">
        <f t="shared" si="3"/>
        <v>432</v>
      </c>
      <c r="L56" s="750">
        <f t="shared" si="3"/>
        <v>432</v>
      </c>
      <c r="M56" s="133"/>
      <c r="N56" s="389"/>
      <c r="O56" s="100"/>
      <c r="P56" s="101"/>
      <c r="Q56" s="108"/>
      <c r="R56" s="345"/>
      <c r="S56"/>
    </row>
    <row r="57" spans="1:19" s="1" customFormat="1" ht="24.6" customHeight="1" x14ac:dyDescent="0.25">
      <c r="A57" s="75">
        <v>1</v>
      </c>
      <c r="B57" s="116"/>
      <c r="C57" s="116" t="s">
        <v>666</v>
      </c>
      <c r="D57" s="49" t="s">
        <v>50</v>
      </c>
      <c r="E57" s="46" t="s">
        <v>35</v>
      </c>
      <c r="F57" s="62" t="s">
        <v>51</v>
      </c>
      <c r="G57" s="62" t="s">
        <v>8</v>
      </c>
      <c r="H57" s="106">
        <v>90</v>
      </c>
      <c r="I57" s="15">
        <v>98.8</v>
      </c>
      <c r="J57" s="98">
        <f>100-1.4</f>
        <v>98.6</v>
      </c>
      <c r="K57" s="15">
        <v>100</v>
      </c>
      <c r="L57" s="33">
        <v>100</v>
      </c>
      <c r="M57" s="133" t="s">
        <v>629</v>
      </c>
      <c r="N57" s="389" t="s">
        <v>1978</v>
      </c>
      <c r="O57" s="100" t="s">
        <v>667</v>
      </c>
      <c r="P57" s="101">
        <v>37</v>
      </c>
      <c r="Q57" s="108"/>
      <c r="R57" s="345"/>
      <c r="S57"/>
    </row>
    <row r="58" spans="1:19" s="1" customFormat="1" ht="13.2" x14ac:dyDescent="0.25">
      <c r="A58" s="75">
        <v>1</v>
      </c>
      <c r="B58" s="116"/>
      <c r="C58" s="116"/>
      <c r="D58" s="49"/>
      <c r="E58" s="46" t="s">
        <v>35</v>
      </c>
      <c r="F58" s="62" t="s">
        <v>51</v>
      </c>
      <c r="G58" s="103" t="s">
        <v>614</v>
      </c>
      <c r="H58" s="105">
        <f>SUM(H57:H57)</f>
        <v>90</v>
      </c>
      <c r="I58" s="105">
        <f>SUM(I57:I57)</f>
        <v>98.8</v>
      </c>
      <c r="J58" s="105">
        <f>SUM(J57:J57)</f>
        <v>98.6</v>
      </c>
      <c r="K58" s="105">
        <f>SUM(K57:K57)</f>
        <v>100</v>
      </c>
      <c r="L58" s="750">
        <f>SUM(L57:L57)</f>
        <v>100</v>
      </c>
      <c r="M58" s="133"/>
      <c r="N58" s="389"/>
      <c r="O58" s="100"/>
      <c r="P58" s="101"/>
      <c r="Q58" s="108"/>
      <c r="R58" s="345"/>
      <c r="S58"/>
    </row>
    <row r="59" spans="1:19" s="1" customFormat="1" ht="24.6" customHeight="1" x14ac:dyDescent="0.25">
      <c r="A59" s="75">
        <v>1</v>
      </c>
      <c r="B59" s="116"/>
      <c r="C59" s="116" t="s">
        <v>668</v>
      </c>
      <c r="D59" s="49" t="s">
        <v>52</v>
      </c>
      <c r="E59" s="42">
        <v>11</v>
      </c>
      <c r="F59" s="42" t="s">
        <v>53</v>
      </c>
      <c r="G59" s="62" t="s">
        <v>8</v>
      </c>
      <c r="H59" s="106">
        <v>10</v>
      </c>
      <c r="I59" s="15">
        <v>10</v>
      </c>
      <c r="J59" s="98">
        <v>22.1</v>
      </c>
      <c r="K59" s="37">
        <v>22.1</v>
      </c>
      <c r="L59" s="48">
        <v>22.1</v>
      </c>
      <c r="M59" s="133" t="s">
        <v>629</v>
      </c>
      <c r="N59" s="389" t="s">
        <v>1977</v>
      </c>
      <c r="O59" s="100" t="s">
        <v>669</v>
      </c>
      <c r="P59" s="101">
        <v>4</v>
      </c>
      <c r="Q59" s="108"/>
      <c r="R59" s="345"/>
      <c r="S59"/>
    </row>
    <row r="60" spans="1:19" s="1" customFormat="1" ht="13.2" x14ac:dyDescent="0.25">
      <c r="A60" s="75">
        <v>1</v>
      </c>
      <c r="B60" s="116"/>
      <c r="C60" s="116"/>
      <c r="D60" s="49"/>
      <c r="E60" s="42">
        <v>11</v>
      </c>
      <c r="F60" s="42" t="s">
        <v>53</v>
      </c>
      <c r="G60" s="103" t="s">
        <v>614</v>
      </c>
      <c r="H60" s="105">
        <f>SUM(H59)</f>
        <v>10</v>
      </c>
      <c r="I60" s="105">
        <f>SUM(I59)</f>
        <v>10</v>
      </c>
      <c r="J60" s="105">
        <f>SUM(J59)</f>
        <v>22.1</v>
      </c>
      <c r="K60" s="105">
        <f>SUM(K59)</f>
        <v>22.1</v>
      </c>
      <c r="L60" s="750">
        <f>SUM(L59)</f>
        <v>22.1</v>
      </c>
      <c r="M60" s="133"/>
      <c r="N60" s="389"/>
      <c r="O60" s="100"/>
      <c r="P60" s="101"/>
      <c r="Q60" s="108"/>
      <c r="R60" s="345"/>
      <c r="S60"/>
    </row>
    <row r="61" spans="1:19" s="1" customFormat="1" ht="36" customHeight="1" x14ac:dyDescent="0.25">
      <c r="A61" s="75">
        <v>1</v>
      </c>
      <c r="B61" s="116"/>
      <c r="C61" s="116" t="s">
        <v>670</v>
      </c>
      <c r="D61" s="1238" t="s">
        <v>671</v>
      </c>
      <c r="E61" s="42">
        <v>11</v>
      </c>
      <c r="F61" s="62" t="s">
        <v>54</v>
      </c>
      <c r="G61" s="62" t="s">
        <v>8</v>
      </c>
      <c r="H61" s="106">
        <v>22.9</v>
      </c>
      <c r="I61" s="15">
        <v>26</v>
      </c>
      <c r="J61" s="98">
        <f>28+3.2</f>
        <v>31.2</v>
      </c>
      <c r="K61" s="752">
        <v>28</v>
      </c>
      <c r="L61" s="753">
        <v>28</v>
      </c>
      <c r="M61" s="133" t="s">
        <v>629</v>
      </c>
      <c r="N61" s="389" t="s">
        <v>1946</v>
      </c>
      <c r="O61" s="978" t="s">
        <v>672</v>
      </c>
      <c r="P61" s="101" t="s">
        <v>673</v>
      </c>
      <c r="Q61" s="108"/>
      <c r="R61" s="345"/>
      <c r="S61"/>
    </row>
    <row r="62" spans="1:19" s="1" customFormat="1" ht="24.6" customHeight="1" x14ac:dyDescent="0.25">
      <c r="A62" s="75">
        <v>1</v>
      </c>
      <c r="B62" s="116"/>
      <c r="C62" s="116"/>
      <c r="D62" s="1239"/>
      <c r="E62" s="42">
        <v>11</v>
      </c>
      <c r="F62" s="62" t="s">
        <v>54</v>
      </c>
      <c r="G62" s="42" t="s">
        <v>37</v>
      </c>
      <c r="H62" s="106">
        <v>103</v>
      </c>
      <c r="I62" s="15">
        <v>7.9</v>
      </c>
      <c r="J62" s="98">
        <f>12.6-0.5</f>
        <v>12.1</v>
      </c>
      <c r="K62" s="752"/>
      <c r="L62" s="753"/>
      <c r="M62" s="133"/>
      <c r="N62" s="389" t="s">
        <v>1946</v>
      </c>
      <c r="O62" s="100" t="s">
        <v>674</v>
      </c>
      <c r="P62" s="101">
        <v>19</v>
      </c>
      <c r="Q62" s="108"/>
      <c r="R62" s="345"/>
      <c r="S62"/>
    </row>
    <row r="63" spans="1:19" s="1" customFormat="1" ht="24.6" customHeight="1" x14ac:dyDescent="0.25">
      <c r="A63" s="75">
        <v>1</v>
      </c>
      <c r="B63" s="116"/>
      <c r="C63" s="116"/>
      <c r="D63" s="1240"/>
      <c r="E63" s="42">
        <v>11</v>
      </c>
      <c r="F63" s="62" t="s">
        <v>54</v>
      </c>
      <c r="G63" s="42" t="s">
        <v>38</v>
      </c>
      <c r="H63" s="106">
        <v>18.5</v>
      </c>
      <c r="I63" s="15"/>
      <c r="J63" s="98">
        <f>0.5</f>
        <v>0.5</v>
      </c>
      <c r="K63" s="752"/>
      <c r="L63" s="753"/>
      <c r="M63" s="133"/>
      <c r="N63" s="389"/>
      <c r="O63" s="100"/>
      <c r="P63" s="101"/>
      <c r="Q63" s="108"/>
      <c r="R63" s="345"/>
      <c r="S63"/>
    </row>
    <row r="64" spans="1:19" s="1" customFormat="1" ht="13.2" x14ac:dyDescent="0.25">
      <c r="A64" s="75">
        <v>1</v>
      </c>
      <c r="B64" s="116"/>
      <c r="C64" s="116"/>
      <c r="D64" s="49"/>
      <c r="E64" s="42">
        <v>11</v>
      </c>
      <c r="F64" s="62" t="s">
        <v>54</v>
      </c>
      <c r="G64" s="103" t="s">
        <v>614</v>
      </c>
      <c r="H64" s="105">
        <f>SUM(H61:H63)</f>
        <v>144.4</v>
      </c>
      <c r="I64" s="105">
        <f>SUM(I61:I63)</f>
        <v>33.9</v>
      </c>
      <c r="J64" s="105">
        <f>SUM(J61:J63)</f>
        <v>43.8</v>
      </c>
      <c r="K64" s="105">
        <f>SUM(K61:K63)</f>
        <v>28</v>
      </c>
      <c r="L64" s="750">
        <f>SUM(L61:L63)</f>
        <v>28</v>
      </c>
      <c r="M64" s="133"/>
      <c r="N64" s="389"/>
      <c r="O64" s="100"/>
      <c r="P64" s="101"/>
      <c r="Q64" s="108"/>
      <c r="R64" s="345"/>
      <c r="S64"/>
    </row>
    <row r="65" spans="1:19" s="1" customFormat="1" ht="42" customHeight="1" x14ac:dyDescent="0.25">
      <c r="A65" s="75">
        <v>1</v>
      </c>
      <c r="B65" s="116"/>
      <c r="C65" s="116" t="s">
        <v>675</v>
      </c>
      <c r="D65" s="49" t="s">
        <v>55</v>
      </c>
      <c r="E65" s="42">
        <v>11</v>
      </c>
      <c r="F65" s="62" t="s">
        <v>56</v>
      </c>
      <c r="G65" s="62" t="s">
        <v>8</v>
      </c>
      <c r="H65" s="106">
        <v>50</v>
      </c>
      <c r="I65" s="15">
        <v>50</v>
      </c>
      <c r="J65" s="98">
        <f>50-10-1.5</f>
        <v>38.5</v>
      </c>
      <c r="K65" s="15">
        <v>50</v>
      </c>
      <c r="L65" s="33">
        <v>50</v>
      </c>
      <c r="M65" s="133" t="s">
        <v>629</v>
      </c>
      <c r="N65" s="389" t="s">
        <v>1946</v>
      </c>
      <c r="O65" s="100" t="s">
        <v>676</v>
      </c>
      <c r="P65" s="101" t="s">
        <v>677</v>
      </c>
      <c r="Q65" s="108"/>
      <c r="R65" s="345"/>
      <c r="S65"/>
    </row>
    <row r="66" spans="1:19" s="1" customFormat="1" ht="12.75" customHeight="1" x14ac:dyDescent="0.25">
      <c r="A66" s="75">
        <v>1</v>
      </c>
      <c r="B66" s="116"/>
      <c r="C66" s="116"/>
      <c r="D66" s="49"/>
      <c r="E66" s="42">
        <v>11</v>
      </c>
      <c r="F66" s="62" t="s">
        <v>56</v>
      </c>
      <c r="G66" s="103" t="s">
        <v>614</v>
      </c>
      <c r="H66" s="105">
        <f>SUM(H65)</f>
        <v>50</v>
      </c>
      <c r="I66" s="105">
        <f>SUM(I65)</f>
        <v>50</v>
      </c>
      <c r="J66" s="105">
        <f>SUM(J65)</f>
        <v>38.5</v>
      </c>
      <c r="K66" s="105">
        <f>SUM(K65)</f>
        <v>50</v>
      </c>
      <c r="L66" s="750">
        <f>SUM(L65)</f>
        <v>50</v>
      </c>
      <c r="M66" s="133"/>
      <c r="N66" s="389"/>
      <c r="O66" s="100"/>
      <c r="P66" s="101"/>
      <c r="Q66" s="108"/>
      <c r="R66" s="345"/>
      <c r="S66"/>
    </row>
    <row r="67" spans="1:19" s="1" customFormat="1" ht="30.6" x14ac:dyDescent="0.25">
      <c r="A67" s="75">
        <v>1</v>
      </c>
      <c r="B67" s="112" t="s">
        <v>678</v>
      </c>
      <c r="C67" s="112" t="s">
        <v>678</v>
      </c>
      <c r="D67" s="760" t="s">
        <v>57</v>
      </c>
      <c r="E67" s="42"/>
      <c r="F67" s="42"/>
      <c r="G67" s="73"/>
      <c r="H67" s="105"/>
      <c r="I67" s="20" t="e">
        <f>#REF!+I69</f>
        <v>#REF!</v>
      </c>
      <c r="J67" s="113"/>
      <c r="K67" s="20" t="e">
        <f>#REF!+K69</f>
        <v>#REF!</v>
      </c>
      <c r="L67" s="56" t="e">
        <f>#REF!+L69</f>
        <v>#REF!</v>
      </c>
      <c r="M67" s="133"/>
      <c r="N67" s="389"/>
      <c r="O67" s="100"/>
      <c r="P67" s="101"/>
      <c r="Q67" s="108"/>
      <c r="R67" s="345"/>
      <c r="S67"/>
    </row>
    <row r="68" spans="1:19" s="1" customFormat="1" ht="30.6" x14ac:dyDescent="0.25">
      <c r="A68" s="75">
        <v>1</v>
      </c>
      <c r="B68" s="116"/>
      <c r="C68" s="116" t="s">
        <v>679</v>
      </c>
      <c r="D68" s="49" t="s">
        <v>58</v>
      </c>
      <c r="E68" s="242">
        <v>11</v>
      </c>
      <c r="F68" s="42" t="s">
        <v>59</v>
      </c>
      <c r="G68" s="62" t="s">
        <v>8</v>
      </c>
      <c r="H68" s="106">
        <v>87.9</v>
      </c>
      <c r="I68" s="15">
        <v>82</v>
      </c>
      <c r="J68" s="98">
        <f>80+14.1</f>
        <v>94.1</v>
      </c>
      <c r="K68" s="37">
        <v>80</v>
      </c>
      <c r="L68" s="48">
        <v>80</v>
      </c>
      <c r="M68" s="133" t="s">
        <v>629</v>
      </c>
      <c r="N68" s="389" t="s">
        <v>1977</v>
      </c>
      <c r="O68" s="100" t="s">
        <v>680</v>
      </c>
      <c r="P68" s="101">
        <v>20</v>
      </c>
      <c r="Q68" s="108"/>
      <c r="R68" s="345"/>
      <c r="S68"/>
    </row>
    <row r="69" spans="1:19" s="1" customFormat="1" ht="11.25" customHeight="1" x14ac:dyDescent="0.25">
      <c r="A69" s="75">
        <v>1</v>
      </c>
      <c r="B69" s="116"/>
      <c r="C69" s="116"/>
      <c r="D69" s="49"/>
      <c r="E69" s="19"/>
      <c r="F69" s="42" t="s">
        <v>59</v>
      </c>
      <c r="G69" s="103" t="s">
        <v>614</v>
      </c>
      <c r="H69" s="105">
        <f>SUM(H68:H68)</f>
        <v>87.9</v>
      </c>
      <c r="I69" s="105">
        <f>SUM(I68:I68)</f>
        <v>82</v>
      </c>
      <c r="J69" s="105">
        <f>SUM(J68:J68)</f>
        <v>94.1</v>
      </c>
      <c r="K69" s="105">
        <f>SUM(K68:K68)</f>
        <v>80</v>
      </c>
      <c r="L69" s="750">
        <f>SUM(L68:L68)</f>
        <v>80</v>
      </c>
      <c r="M69" s="133"/>
      <c r="N69" s="389"/>
      <c r="O69" s="100"/>
      <c r="P69" s="101"/>
      <c r="Q69" s="108"/>
      <c r="R69" s="345"/>
      <c r="S69"/>
    </row>
    <row r="70" spans="1:19" s="1" customFormat="1" ht="20.399999999999999" x14ac:dyDescent="0.25">
      <c r="A70" s="75">
        <v>1</v>
      </c>
      <c r="B70" s="93"/>
      <c r="C70" s="93"/>
      <c r="D70" s="94" t="s">
        <v>681</v>
      </c>
      <c r="E70" s="95"/>
      <c r="F70" s="96"/>
      <c r="G70" s="95"/>
      <c r="H70" s="95"/>
      <c r="I70" s="95"/>
      <c r="J70" s="95"/>
      <c r="K70" s="94"/>
      <c r="L70" s="764"/>
      <c r="M70" s="133"/>
      <c r="N70" s="743"/>
      <c r="O70" s="81"/>
      <c r="P70" s="101"/>
      <c r="Q70" s="108"/>
      <c r="R70" s="345"/>
      <c r="S70"/>
    </row>
    <row r="71" spans="1:19" s="1" customFormat="1" ht="24.6" customHeight="1" x14ac:dyDescent="0.25">
      <c r="A71" s="75">
        <v>1</v>
      </c>
      <c r="B71" s="112" t="s">
        <v>682</v>
      </c>
      <c r="C71" s="112" t="s">
        <v>682</v>
      </c>
      <c r="D71" s="746" t="s">
        <v>60</v>
      </c>
      <c r="E71" s="63"/>
      <c r="F71" s="42"/>
      <c r="G71" s="37"/>
      <c r="H71" s="765"/>
      <c r="I71" s="20">
        <f>I74</f>
        <v>79.5</v>
      </c>
      <c r="J71" s="113">
        <f>J74</f>
        <v>373.2</v>
      </c>
      <c r="K71" s="20">
        <f>K74</f>
        <v>200</v>
      </c>
      <c r="L71" s="56">
        <f>L74</f>
        <v>200</v>
      </c>
      <c r="M71" s="133"/>
      <c r="N71" s="389" t="s">
        <v>1945</v>
      </c>
      <c r="O71" s="100" t="s">
        <v>683</v>
      </c>
      <c r="P71" s="101">
        <v>3</v>
      </c>
      <c r="Q71" s="108"/>
      <c r="R71" s="345"/>
      <c r="S71"/>
    </row>
    <row r="72" spans="1:19" s="1" customFormat="1" ht="11.25" customHeight="1" x14ac:dyDescent="0.25">
      <c r="A72" s="75">
        <v>1</v>
      </c>
      <c r="B72" s="115"/>
      <c r="C72" s="115"/>
      <c r="D72" s="115"/>
      <c r="E72" s="1256">
        <v>11</v>
      </c>
      <c r="F72" s="46" t="s">
        <v>62</v>
      </c>
      <c r="G72" s="62" t="s">
        <v>8</v>
      </c>
      <c r="H72" s="766">
        <f>150+13.5</f>
        <v>163.5</v>
      </c>
      <c r="I72" s="15">
        <v>79.5</v>
      </c>
      <c r="J72" s="98">
        <f>300+12-6.8</f>
        <v>305.2</v>
      </c>
      <c r="K72" s="37">
        <v>200</v>
      </c>
      <c r="L72" s="48">
        <v>200</v>
      </c>
      <c r="M72" s="133" t="s">
        <v>629</v>
      </c>
      <c r="N72" s="389"/>
      <c r="O72" s="114"/>
      <c r="P72" s="73"/>
      <c r="Q72" s="108"/>
      <c r="R72" s="345"/>
      <c r="S72"/>
    </row>
    <row r="73" spans="1:19" s="1" customFormat="1" ht="11.25" customHeight="1" x14ac:dyDescent="0.25">
      <c r="A73" s="75">
        <v>1</v>
      </c>
      <c r="B73" s="115"/>
      <c r="C73" s="115"/>
      <c r="D73" s="115"/>
      <c r="E73" s="1257"/>
      <c r="F73" s="46" t="s">
        <v>62</v>
      </c>
      <c r="G73" s="62" t="s">
        <v>10</v>
      </c>
      <c r="H73" s="766"/>
      <c r="I73" s="15"/>
      <c r="J73" s="98">
        <v>68</v>
      </c>
      <c r="K73" s="37"/>
      <c r="L73" s="48"/>
      <c r="M73" s="133"/>
      <c r="N73" s="389"/>
      <c r="O73" s="114"/>
      <c r="P73" s="73"/>
      <c r="Q73" s="108"/>
      <c r="R73" s="345"/>
      <c r="S73"/>
    </row>
    <row r="74" spans="1:19" s="1" customFormat="1" ht="11.25" customHeight="1" x14ac:dyDescent="0.25">
      <c r="A74" s="75">
        <v>1</v>
      </c>
      <c r="B74" s="116"/>
      <c r="C74" s="116"/>
      <c r="D74" s="49"/>
      <c r="E74" s="63"/>
      <c r="F74" s="46" t="s">
        <v>62</v>
      </c>
      <c r="G74" s="767" t="s">
        <v>4</v>
      </c>
      <c r="H74" s="105">
        <f>SUM(H72:H72)</f>
        <v>163.5</v>
      </c>
      <c r="I74" s="105">
        <f>SUM(I72:I72)</f>
        <v>79.5</v>
      </c>
      <c r="J74" s="105">
        <f>SUM(J72:J73)</f>
        <v>373.2</v>
      </c>
      <c r="K74" s="105">
        <f t="shared" ref="K74:L74" si="4">SUM(K72:K73)</f>
        <v>200</v>
      </c>
      <c r="L74" s="750">
        <f t="shared" si="4"/>
        <v>200</v>
      </c>
      <c r="M74" s="133"/>
      <c r="N74" s="389"/>
      <c r="O74" s="114"/>
      <c r="P74" s="73"/>
      <c r="Q74" s="108"/>
      <c r="R74" s="345"/>
      <c r="S74"/>
    </row>
    <row r="75" spans="1:19" s="1" customFormat="1" ht="30.6" x14ac:dyDescent="0.25">
      <c r="A75" s="75">
        <v>1</v>
      </c>
      <c r="B75" s="112" t="s">
        <v>684</v>
      </c>
      <c r="C75" s="112" t="s">
        <v>684</v>
      </c>
      <c r="D75" s="760" t="s">
        <v>63</v>
      </c>
      <c r="E75" s="63"/>
      <c r="F75" s="42"/>
      <c r="G75" s="80"/>
      <c r="H75" s="105"/>
      <c r="I75" s="20"/>
      <c r="J75" s="113"/>
      <c r="K75" s="20">
        <f>K77</f>
        <v>1200</v>
      </c>
      <c r="L75" s="56">
        <f>L77</f>
        <v>1200</v>
      </c>
      <c r="M75" s="133"/>
      <c r="N75" s="389"/>
      <c r="O75" s="114"/>
      <c r="P75" s="73"/>
      <c r="Q75" s="108"/>
      <c r="R75" s="345"/>
      <c r="S75"/>
    </row>
    <row r="76" spans="1:19" s="1" customFormat="1" ht="25.5" customHeight="1" x14ac:dyDescent="0.25">
      <c r="A76" s="75">
        <v>1</v>
      </c>
      <c r="B76" s="116"/>
      <c r="C76" s="116"/>
      <c r="D76" s="49"/>
      <c r="E76" s="46" t="s">
        <v>35</v>
      </c>
      <c r="F76" s="46" t="s">
        <v>64</v>
      </c>
      <c r="G76" s="62" t="s">
        <v>8</v>
      </c>
      <c r="H76" s="37">
        <f>230-13.5-64.4-146.5+26-4.1+131.4-94.6</f>
        <v>64.300000000000011</v>
      </c>
      <c r="I76" s="15">
        <v>191.2</v>
      </c>
      <c r="J76" s="98">
        <f>1200-319-4.2-533.4+23-32.7-94.6-30.9+49.3-2.6-34.4-29.9-12.1</f>
        <v>178.5</v>
      </c>
      <c r="K76" s="752">
        <v>1200</v>
      </c>
      <c r="L76" s="753">
        <v>1200</v>
      </c>
      <c r="M76" s="133"/>
      <c r="N76" s="389" t="s">
        <v>1945</v>
      </c>
      <c r="O76" s="302" t="s">
        <v>1885</v>
      </c>
      <c r="P76" s="80">
        <v>1</v>
      </c>
      <c r="Q76" s="102"/>
      <c r="R76" s="345"/>
      <c r="S76"/>
    </row>
    <row r="77" spans="1:19" s="1" customFormat="1" ht="16.2" customHeight="1" x14ac:dyDescent="0.25">
      <c r="A77" s="75">
        <v>1</v>
      </c>
      <c r="B77" s="116"/>
      <c r="C77" s="116"/>
      <c r="D77" s="49"/>
      <c r="E77" s="42"/>
      <c r="F77" s="46" t="s">
        <v>64</v>
      </c>
      <c r="G77" s="62" t="s">
        <v>8</v>
      </c>
      <c r="H77" s="105">
        <f>SUM(H76:H76)</f>
        <v>64.300000000000011</v>
      </c>
      <c r="I77" s="105">
        <f>SUM(I76:I76)</f>
        <v>191.2</v>
      </c>
      <c r="J77" s="105">
        <f>SUM(J76:J76)</f>
        <v>178.5</v>
      </c>
      <c r="K77" s="105">
        <f>SUM(K76:K76)</f>
        <v>1200</v>
      </c>
      <c r="L77" s="750">
        <f>SUM(L76:L76)</f>
        <v>1200</v>
      </c>
      <c r="M77" s="133" t="s">
        <v>629</v>
      </c>
      <c r="N77" s="389"/>
      <c r="O77" s="100"/>
      <c r="P77" s="101"/>
      <c r="Q77" s="102"/>
      <c r="R77" s="345"/>
      <c r="S77"/>
    </row>
    <row r="78" spans="1:19" s="1" customFormat="1" ht="24.6" customHeight="1" x14ac:dyDescent="0.25">
      <c r="A78" s="75">
        <v>1</v>
      </c>
      <c r="B78" s="112" t="s">
        <v>685</v>
      </c>
      <c r="C78" s="112" t="s">
        <v>685</v>
      </c>
      <c r="D78" s="760" t="s">
        <v>686</v>
      </c>
      <c r="E78" s="297"/>
      <c r="F78" s="80"/>
      <c r="G78" s="80"/>
      <c r="H78" s="917"/>
      <c r="I78" s="918" t="e">
        <f>SUM(I82,I86,I89,I96,I100,I103,I115,I92,I111,#REF!,I120)</f>
        <v>#REF!</v>
      </c>
      <c r="J78" s="98"/>
      <c r="K78" s="918" t="e">
        <f>SUM(K82,K86,K89,K96,K100,K103,K115,K92,K111,#REF!,K120)</f>
        <v>#REF!</v>
      </c>
      <c r="L78" s="919" t="e">
        <f>SUM(L82,L86,L89,L96,L100,L103,L115,L92,L111,#REF!,L120)</f>
        <v>#REF!</v>
      </c>
      <c r="M78" s="133"/>
      <c r="N78" s="743"/>
      <c r="O78" s="768"/>
      <c r="P78" s="116"/>
      <c r="Q78" s="74"/>
      <c r="R78" s="345"/>
      <c r="S78"/>
    </row>
    <row r="79" spans="1:19" s="1" customFormat="1" ht="20.399999999999999" x14ac:dyDescent="0.25">
      <c r="A79" s="75">
        <v>1</v>
      </c>
      <c r="B79" s="116"/>
      <c r="C79" s="116" t="s">
        <v>687</v>
      </c>
      <c r="D79" s="1258" t="s">
        <v>688</v>
      </c>
      <c r="E79" s="73">
        <v>9</v>
      </c>
      <c r="F79" s="769" t="s">
        <v>73</v>
      </c>
      <c r="G79" s="37" t="s">
        <v>8</v>
      </c>
      <c r="H79" s="106">
        <v>74.8</v>
      </c>
      <c r="I79" s="15">
        <v>38.4</v>
      </c>
      <c r="J79" s="98">
        <f>8.5</f>
        <v>8.5</v>
      </c>
      <c r="K79" s="37"/>
      <c r="L79" s="33"/>
      <c r="M79" s="133" t="s">
        <v>689</v>
      </c>
      <c r="N79" s="389" t="s">
        <v>1979</v>
      </c>
      <c r="O79" s="100" t="s">
        <v>691</v>
      </c>
      <c r="P79" s="101">
        <v>30</v>
      </c>
      <c r="Q79" s="102" t="s">
        <v>692</v>
      </c>
      <c r="R79"/>
      <c r="S79"/>
    </row>
    <row r="80" spans="1:19" s="1" customFormat="1" ht="11.25" customHeight="1" x14ac:dyDescent="0.25">
      <c r="A80" s="75">
        <v>1</v>
      </c>
      <c r="B80" s="116"/>
      <c r="C80" s="116"/>
      <c r="D80" s="1258"/>
      <c r="E80" s="73">
        <v>9</v>
      </c>
      <c r="F80" s="769" t="s">
        <v>73</v>
      </c>
      <c r="G80" s="15" t="s">
        <v>594</v>
      </c>
      <c r="H80" s="15"/>
      <c r="I80" s="15"/>
      <c r="J80" s="98">
        <v>350</v>
      </c>
      <c r="K80" s="15">
        <f>778.6-J80</f>
        <v>428.6</v>
      </c>
      <c r="L80" s="33"/>
      <c r="M80" s="133" t="s">
        <v>689</v>
      </c>
      <c r="N80" s="389" t="s">
        <v>1979</v>
      </c>
      <c r="O80" s="114"/>
      <c r="P80" s="101"/>
      <c r="Q80" s="102" t="s">
        <v>692</v>
      </c>
      <c r="R80"/>
      <c r="S80"/>
    </row>
    <row r="81" spans="1:19" s="1" customFormat="1" ht="11.25" customHeight="1" x14ac:dyDescent="0.25">
      <c r="A81" s="75">
        <v>1</v>
      </c>
      <c r="B81" s="116"/>
      <c r="C81" s="116"/>
      <c r="D81" s="1258"/>
      <c r="E81" s="73">
        <v>9</v>
      </c>
      <c r="F81" s="769" t="s">
        <v>73</v>
      </c>
      <c r="G81" s="15" t="s">
        <v>37</v>
      </c>
      <c r="H81" s="15"/>
      <c r="I81" s="15"/>
      <c r="J81" s="98">
        <v>1981</v>
      </c>
      <c r="K81" s="15">
        <f>4412-J81</f>
        <v>2431</v>
      </c>
      <c r="L81" s="33"/>
      <c r="M81" s="133" t="s">
        <v>689</v>
      </c>
      <c r="N81" s="389" t="s">
        <v>1979</v>
      </c>
      <c r="O81" s="100"/>
      <c r="P81" s="101"/>
      <c r="Q81" s="102" t="s">
        <v>692</v>
      </c>
      <c r="R81"/>
      <c r="S81"/>
    </row>
    <row r="82" spans="1:19" s="1" customFormat="1" ht="11.25" customHeight="1" x14ac:dyDescent="0.25">
      <c r="A82" s="75">
        <v>1</v>
      </c>
      <c r="B82" s="116"/>
      <c r="C82" s="116"/>
      <c r="D82" s="1258"/>
      <c r="E82" s="73">
        <v>9</v>
      </c>
      <c r="F82" s="769" t="s">
        <v>73</v>
      </c>
      <c r="G82" s="103" t="s">
        <v>614</v>
      </c>
      <c r="H82" s="105">
        <f>SUM(H79:H81)</f>
        <v>74.8</v>
      </c>
      <c r="I82" s="105">
        <f>SUM(I79:I81)</f>
        <v>38.4</v>
      </c>
      <c r="J82" s="105">
        <f t="shared" ref="J82:L82" si="5">SUM(J79:J81)</f>
        <v>2339.5</v>
      </c>
      <c r="K82" s="105">
        <f t="shared" si="5"/>
        <v>2859.6</v>
      </c>
      <c r="L82" s="750">
        <f t="shared" si="5"/>
        <v>0</v>
      </c>
      <c r="M82" s="133" t="s">
        <v>689</v>
      </c>
      <c r="N82" s="389" t="s">
        <v>1979</v>
      </c>
      <c r="O82" s="100"/>
      <c r="P82" s="101"/>
      <c r="Q82" s="102"/>
      <c r="R82"/>
      <c r="S82"/>
    </row>
    <row r="83" spans="1:19" s="1" customFormat="1" ht="20.399999999999999" x14ac:dyDescent="0.25">
      <c r="A83" s="75">
        <v>1</v>
      </c>
      <c r="B83" s="116"/>
      <c r="C83" s="116" t="s">
        <v>693</v>
      </c>
      <c r="D83" s="83" t="s">
        <v>694</v>
      </c>
      <c r="E83" s="101">
        <v>9</v>
      </c>
      <c r="F83" s="769" t="s">
        <v>73</v>
      </c>
      <c r="G83" s="37" t="s">
        <v>8</v>
      </c>
      <c r="H83" s="106"/>
      <c r="I83" s="15">
        <v>16.3</v>
      </c>
      <c r="J83" s="98">
        <f>150+170+68.7</f>
        <v>388.7</v>
      </c>
      <c r="K83" s="37">
        <v>100</v>
      </c>
      <c r="L83" s="48"/>
      <c r="M83" s="133" t="s">
        <v>619</v>
      </c>
      <c r="N83" s="99" t="s">
        <v>1980</v>
      </c>
      <c r="O83" s="100" t="s">
        <v>696</v>
      </c>
      <c r="P83" s="101">
        <v>1</v>
      </c>
      <c r="Q83" s="102" t="s">
        <v>632</v>
      </c>
      <c r="R83"/>
      <c r="S83"/>
    </row>
    <row r="84" spans="1:19" s="1" customFormat="1" ht="20.399999999999999" x14ac:dyDescent="0.25">
      <c r="A84" s="75">
        <v>1</v>
      </c>
      <c r="B84" s="116"/>
      <c r="C84" s="116"/>
      <c r="D84" s="83"/>
      <c r="E84" s="101">
        <v>9</v>
      </c>
      <c r="F84" s="769" t="s">
        <v>73</v>
      </c>
      <c r="G84" s="15" t="s">
        <v>10</v>
      </c>
      <c r="H84" s="106"/>
      <c r="I84" s="15"/>
      <c r="J84" s="98">
        <f>350-79.9</f>
        <v>270.10000000000002</v>
      </c>
      <c r="K84" s="37">
        <f>16-16</f>
        <v>0</v>
      </c>
      <c r="L84" s="48"/>
      <c r="M84" s="133"/>
      <c r="N84" s="99" t="s">
        <v>1980</v>
      </c>
      <c r="O84" s="114"/>
      <c r="P84" s="101"/>
      <c r="Q84" s="102" t="s">
        <v>632</v>
      </c>
      <c r="R84"/>
      <c r="S84"/>
    </row>
    <row r="85" spans="1:19" s="1" customFormat="1" ht="20.399999999999999" x14ac:dyDescent="0.25">
      <c r="A85" s="75">
        <v>1</v>
      </c>
      <c r="B85" s="116"/>
      <c r="C85" s="116"/>
      <c r="D85" s="83"/>
      <c r="E85" s="101">
        <v>9</v>
      </c>
      <c r="F85" s="769" t="s">
        <v>73</v>
      </c>
      <c r="G85" s="15" t="s">
        <v>166</v>
      </c>
      <c r="H85" s="106"/>
      <c r="I85" s="15">
        <v>2.1</v>
      </c>
      <c r="J85" s="98">
        <v>146.9</v>
      </c>
      <c r="K85" s="15">
        <v>147.9</v>
      </c>
      <c r="L85" s="48"/>
      <c r="M85" s="133"/>
      <c r="N85" s="99" t="s">
        <v>1980</v>
      </c>
      <c r="O85" s="114"/>
      <c r="P85" s="101"/>
      <c r="Q85" s="102" t="s">
        <v>632</v>
      </c>
      <c r="R85"/>
      <c r="S85"/>
    </row>
    <row r="86" spans="1:19" s="1" customFormat="1" ht="11.25" customHeight="1" x14ac:dyDescent="0.25">
      <c r="A86" s="75">
        <v>1</v>
      </c>
      <c r="B86" s="116"/>
      <c r="C86" s="116"/>
      <c r="D86" s="83"/>
      <c r="E86" s="101">
        <v>9</v>
      </c>
      <c r="F86" s="769" t="s">
        <v>73</v>
      </c>
      <c r="G86" s="103" t="s">
        <v>614</v>
      </c>
      <c r="H86" s="105"/>
      <c r="I86" s="105">
        <f>SUM(I83:I85)</f>
        <v>18.400000000000002</v>
      </c>
      <c r="J86" s="105">
        <f t="shared" ref="J86:L86" si="6">SUM(J83:J85)</f>
        <v>805.69999999999993</v>
      </c>
      <c r="K86" s="105">
        <f t="shared" si="6"/>
        <v>247.9</v>
      </c>
      <c r="L86" s="750">
        <f t="shared" si="6"/>
        <v>0</v>
      </c>
      <c r="M86" s="133"/>
      <c r="N86" s="99"/>
      <c r="O86" s="100"/>
      <c r="P86" s="101"/>
      <c r="Q86" s="102"/>
      <c r="R86"/>
      <c r="S86"/>
    </row>
    <row r="87" spans="1:19" s="1" customFormat="1" ht="11.25" customHeight="1" x14ac:dyDescent="0.25">
      <c r="A87" s="75">
        <v>1</v>
      </c>
      <c r="B87" s="116"/>
      <c r="C87" s="116" t="s">
        <v>697</v>
      </c>
      <c r="D87" s="1259" t="s">
        <v>698</v>
      </c>
      <c r="E87" s="101">
        <v>9</v>
      </c>
      <c r="F87" s="769" t="s">
        <v>73</v>
      </c>
      <c r="G87" s="133" t="s">
        <v>8</v>
      </c>
      <c r="H87" s="770">
        <v>180.8</v>
      </c>
      <c r="I87" s="15">
        <v>8.6</v>
      </c>
      <c r="J87" s="98"/>
      <c r="K87" s="15"/>
      <c r="L87" s="33"/>
      <c r="M87" s="133" t="s">
        <v>619</v>
      </c>
      <c r="N87" s="389" t="s">
        <v>1981</v>
      </c>
      <c r="O87" s="100"/>
      <c r="P87" s="101"/>
      <c r="Q87" s="102" t="s">
        <v>632</v>
      </c>
      <c r="R87"/>
      <c r="S87"/>
    </row>
    <row r="88" spans="1:19" s="1" customFormat="1" ht="11.25" customHeight="1" x14ac:dyDescent="0.25">
      <c r="A88" s="75">
        <v>1</v>
      </c>
      <c r="B88" s="116"/>
      <c r="C88" s="116"/>
      <c r="D88" s="1259"/>
      <c r="E88" s="101">
        <v>9</v>
      </c>
      <c r="F88" s="769" t="s">
        <v>73</v>
      </c>
      <c r="G88" s="133" t="s">
        <v>37</v>
      </c>
      <c r="H88" s="771">
        <v>1172</v>
      </c>
      <c r="I88" s="15">
        <v>98</v>
      </c>
      <c r="J88" s="98"/>
      <c r="K88" s="15"/>
      <c r="L88" s="33"/>
      <c r="M88" s="133"/>
      <c r="N88" s="389" t="s">
        <v>1981</v>
      </c>
      <c r="O88" s="100"/>
      <c r="P88" s="101"/>
      <c r="Q88" s="102" t="s">
        <v>632</v>
      </c>
      <c r="R88"/>
      <c r="S88"/>
    </row>
    <row r="89" spans="1:19" s="1" customFormat="1" ht="11.25" customHeight="1" x14ac:dyDescent="0.25">
      <c r="A89" s="75">
        <v>1</v>
      </c>
      <c r="B89" s="116"/>
      <c r="C89" s="116"/>
      <c r="D89" s="1259"/>
      <c r="E89" s="101">
        <v>9</v>
      </c>
      <c r="F89" s="769" t="s">
        <v>73</v>
      </c>
      <c r="G89" s="103" t="s">
        <v>614</v>
      </c>
      <c r="H89" s="105">
        <f>SUM(H87:H88)</f>
        <v>1352.8</v>
      </c>
      <c r="I89" s="105">
        <f>SUM(I87:I88)</f>
        <v>106.6</v>
      </c>
      <c r="J89" s="105">
        <f>SUM(J87:J88)</f>
        <v>0</v>
      </c>
      <c r="K89" s="105">
        <f>SUM(K87:K88)</f>
        <v>0</v>
      </c>
      <c r="L89" s="750">
        <f>SUM(L87:L88)</f>
        <v>0</v>
      </c>
      <c r="M89" s="133"/>
      <c r="N89" s="389" t="s">
        <v>1981</v>
      </c>
      <c r="O89" s="100"/>
      <c r="P89" s="101"/>
      <c r="Q89" s="102"/>
      <c r="R89"/>
      <c r="S89"/>
    </row>
    <row r="90" spans="1:19" s="1" customFormat="1" ht="20.399999999999999" x14ac:dyDescent="0.25">
      <c r="A90" s="75">
        <v>1</v>
      </c>
      <c r="B90" s="116"/>
      <c r="C90" s="116" t="s">
        <v>700</v>
      </c>
      <c r="D90" s="74" t="s">
        <v>701</v>
      </c>
      <c r="E90" s="101">
        <v>9</v>
      </c>
      <c r="F90" s="769" t="s">
        <v>73</v>
      </c>
      <c r="G90" s="37" t="s">
        <v>8</v>
      </c>
      <c r="H90" s="15"/>
      <c r="I90" s="15"/>
      <c r="J90" s="98"/>
      <c r="K90" s="15">
        <v>161.80000000000001</v>
      </c>
      <c r="L90" s="33">
        <f>2000+2061.8-161.8-1300</f>
        <v>2600</v>
      </c>
      <c r="M90" s="185" t="s">
        <v>702</v>
      </c>
      <c r="N90" s="389" t="s">
        <v>1981</v>
      </c>
      <c r="O90" s="100" t="s">
        <v>703</v>
      </c>
      <c r="P90" s="101">
        <v>1</v>
      </c>
      <c r="Q90" s="102" t="s">
        <v>704</v>
      </c>
      <c r="R90"/>
      <c r="S90"/>
    </row>
    <row r="91" spans="1:19" s="1" customFormat="1" ht="13.2" x14ac:dyDescent="0.25">
      <c r="A91" s="75">
        <v>1</v>
      </c>
      <c r="B91" s="116"/>
      <c r="C91" s="116"/>
      <c r="D91" s="74"/>
      <c r="E91" s="101">
        <v>9</v>
      </c>
      <c r="F91" s="769" t="s">
        <v>73</v>
      </c>
      <c r="G91" s="37" t="s">
        <v>40</v>
      </c>
      <c r="H91" s="15"/>
      <c r="I91" s="15"/>
      <c r="J91" s="98"/>
      <c r="K91" s="15"/>
      <c r="L91" s="33">
        <v>1300</v>
      </c>
      <c r="M91" s="185"/>
      <c r="N91" s="389"/>
      <c r="O91" s="100"/>
      <c r="P91" s="101"/>
      <c r="Q91" s="102" t="s">
        <v>704</v>
      </c>
      <c r="R91"/>
      <c r="S91"/>
    </row>
    <row r="92" spans="1:19" s="1" customFormat="1" ht="13.2" x14ac:dyDescent="0.25">
      <c r="A92" s="75">
        <v>1</v>
      </c>
      <c r="B92" s="116"/>
      <c r="C92" s="116"/>
      <c r="D92" s="74"/>
      <c r="E92" s="101">
        <v>9</v>
      </c>
      <c r="F92" s="769" t="s">
        <v>73</v>
      </c>
      <c r="G92" s="103" t="s">
        <v>614</v>
      </c>
      <c r="H92" s="105">
        <v>100</v>
      </c>
      <c r="I92" s="105">
        <f>SUM(I90:I91)</f>
        <v>0</v>
      </c>
      <c r="J92" s="105">
        <f t="shared" ref="J92:L92" si="7">SUM(J90:J91)</f>
        <v>0</v>
      </c>
      <c r="K92" s="105">
        <f t="shared" si="7"/>
        <v>161.80000000000001</v>
      </c>
      <c r="L92" s="750">
        <f t="shared" si="7"/>
        <v>3900</v>
      </c>
      <c r="M92" s="133"/>
      <c r="N92" s="389" t="s">
        <v>1981</v>
      </c>
      <c r="O92" s="114"/>
      <c r="P92" s="101"/>
      <c r="Q92" s="102"/>
      <c r="R92"/>
      <c r="S92"/>
    </row>
    <row r="93" spans="1:19" s="1" customFormat="1" ht="11.25" customHeight="1" x14ac:dyDescent="0.25">
      <c r="A93" s="75">
        <v>1</v>
      </c>
      <c r="B93" s="116"/>
      <c r="C93" s="116" t="s">
        <v>705</v>
      </c>
      <c r="D93" s="1258" t="s">
        <v>706</v>
      </c>
      <c r="E93" s="101">
        <v>9</v>
      </c>
      <c r="F93" s="769" t="s">
        <v>73</v>
      </c>
      <c r="G93" s="80" t="s">
        <v>8</v>
      </c>
      <c r="H93" s="106">
        <v>14.9</v>
      </c>
      <c r="I93" s="400">
        <v>7.8</v>
      </c>
      <c r="J93" s="98">
        <f>84.9+126.9</f>
        <v>211.8</v>
      </c>
      <c r="K93" s="123">
        <f>1344.8/2</f>
        <v>672.4</v>
      </c>
      <c r="L93" s="192">
        <f>1344.8/2-84.9</f>
        <v>587.5</v>
      </c>
      <c r="M93" s="133" t="s">
        <v>689</v>
      </c>
      <c r="N93" s="389" t="s">
        <v>1981</v>
      </c>
      <c r="O93" s="100" t="s">
        <v>707</v>
      </c>
      <c r="P93" s="101">
        <v>1</v>
      </c>
      <c r="Q93" s="102" t="s">
        <v>708</v>
      </c>
      <c r="R93"/>
      <c r="S93"/>
    </row>
    <row r="94" spans="1:19" s="1" customFormat="1" ht="11.25" customHeight="1" x14ac:dyDescent="0.25">
      <c r="A94" s="75">
        <v>1</v>
      </c>
      <c r="B94" s="116"/>
      <c r="C94" s="116"/>
      <c r="D94" s="1258"/>
      <c r="E94" s="101">
        <v>9</v>
      </c>
      <c r="F94" s="769" t="s">
        <v>73</v>
      </c>
      <c r="G94" s="80" t="s">
        <v>594</v>
      </c>
      <c r="H94" s="15"/>
      <c r="I94" s="400"/>
      <c r="J94" s="98">
        <v>41.4</v>
      </c>
      <c r="K94" s="400">
        <f>213.2/2</f>
        <v>106.6</v>
      </c>
      <c r="L94" s="772">
        <f>213.2/2</f>
        <v>106.6</v>
      </c>
      <c r="M94" s="133" t="s">
        <v>689</v>
      </c>
      <c r="N94" s="389" t="s">
        <v>1981</v>
      </c>
      <c r="O94" s="100" t="s">
        <v>709</v>
      </c>
      <c r="P94" s="101">
        <v>1</v>
      </c>
      <c r="Q94" s="102" t="s">
        <v>708</v>
      </c>
      <c r="R94"/>
      <c r="S94"/>
    </row>
    <row r="95" spans="1:19" s="1" customFormat="1" ht="11.25" customHeight="1" x14ac:dyDescent="0.25">
      <c r="A95" s="75">
        <v>1</v>
      </c>
      <c r="B95" s="116"/>
      <c r="C95" s="116"/>
      <c r="D95" s="1258"/>
      <c r="E95" s="101">
        <v>9</v>
      </c>
      <c r="F95" s="769" t="s">
        <v>73</v>
      </c>
      <c r="G95" s="80" t="s">
        <v>37</v>
      </c>
      <c r="H95" s="15"/>
      <c r="I95" s="400"/>
      <c r="J95" s="98">
        <v>234.4</v>
      </c>
      <c r="K95" s="400">
        <f>1206/2</f>
        <v>603</v>
      </c>
      <c r="L95" s="772">
        <f>1206/2</f>
        <v>603</v>
      </c>
      <c r="M95" s="133" t="s">
        <v>689</v>
      </c>
      <c r="N95" s="389" t="s">
        <v>1981</v>
      </c>
      <c r="O95" s="114"/>
      <c r="P95" s="101"/>
      <c r="Q95" s="102" t="s">
        <v>708</v>
      </c>
      <c r="R95"/>
      <c r="S95"/>
    </row>
    <row r="96" spans="1:19" s="1" customFormat="1" ht="11.25" customHeight="1" x14ac:dyDescent="0.25">
      <c r="A96" s="75">
        <v>1</v>
      </c>
      <c r="B96" s="116"/>
      <c r="C96" s="116"/>
      <c r="D96" s="1258"/>
      <c r="E96" s="101">
        <v>9</v>
      </c>
      <c r="F96" s="769" t="s">
        <v>73</v>
      </c>
      <c r="G96" s="103" t="s">
        <v>614</v>
      </c>
      <c r="H96" s="105">
        <f>SUM(H93:H95)</f>
        <v>14.9</v>
      </c>
      <c r="I96" s="105">
        <f>SUM(I93:I95)</f>
        <v>7.8</v>
      </c>
      <c r="J96" s="105">
        <f>SUM(J93:J95)</f>
        <v>487.6</v>
      </c>
      <c r="K96" s="105">
        <f t="shared" ref="K96:L96" si="8">SUM(K93:K95)</f>
        <v>1382</v>
      </c>
      <c r="L96" s="750">
        <f t="shared" si="8"/>
        <v>1297.0999999999999</v>
      </c>
      <c r="M96" s="133" t="s">
        <v>689</v>
      </c>
      <c r="N96" s="389" t="s">
        <v>1981</v>
      </c>
      <c r="O96" s="100"/>
      <c r="P96" s="101"/>
      <c r="Q96" s="102"/>
      <c r="R96"/>
      <c r="S96"/>
    </row>
    <row r="97" spans="1:19" s="1" customFormat="1" ht="11.25" customHeight="1" x14ac:dyDescent="0.25">
      <c r="A97" s="75">
        <v>1</v>
      </c>
      <c r="B97" s="116"/>
      <c r="C97" s="116" t="s">
        <v>710</v>
      </c>
      <c r="D97" s="1258" t="s">
        <v>711</v>
      </c>
      <c r="E97" s="101">
        <v>9</v>
      </c>
      <c r="F97" s="769" t="s">
        <v>73</v>
      </c>
      <c r="G97" s="80" t="s">
        <v>8</v>
      </c>
      <c r="H97" s="15"/>
      <c r="I97" s="15">
        <v>6.7</v>
      </c>
      <c r="J97" s="98">
        <v>57</v>
      </c>
      <c r="K97" s="15">
        <v>42.5</v>
      </c>
      <c r="L97" s="33"/>
      <c r="M97" s="133" t="s">
        <v>689</v>
      </c>
      <c r="N97" s="389" t="s">
        <v>1979</v>
      </c>
      <c r="O97" s="100" t="s">
        <v>709</v>
      </c>
      <c r="P97" s="101">
        <v>1</v>
      </c>
      <c r="Q97" s="102" t="s">
        <v>712</v>
      </c>
      <c r="R97"/>
      <c r="S97"/>
    </row>
    <row r="98" spans="1:19" s="1" customFormat="1" ht="11.25" customHeight="1" x14ac:dyDescent="0.25">
      <c r="A98" s="75">
        <v>1</v>
      </c>
      <c r="B98" s="116"/>
      <c r="C98" s="116"/>
      <c r="D98" s="1258"/>
      <c r="E98" s="101">
        <v>9</v>
      </c>
      <c r="F98" s="769" t="s">
        <v>73</v>
      </c>
      <c r="G98" s="80" t="s">
        <v>594</v>
      </c>
      <c r="H98" s="15"/>
      <c r="I98" s="15"/>
      <c r="J98" s="98">
        <v>0</v>
      </c>
      <c r="K98" s="15">
        <f>420.4-J98</f>
        <v>420.4</v>
      </c>
      <c r="L98" s="33"/>
      <c r="M98" s="133" t="s">
        <v>689</v>
      </c>
      <c r="N98" s="389" t="s">
        <v>1979</v>
      </c>
      <c r="O98" s="114" t="s">
        <v>713</v>
      </c>
      <c r="P98" s="80">
        <v>60</v>
      </c>
      <c r="Q98" s="102" t="s">
        <v>712</v>
      </c>
      <c r="R98"/>
      <c r="S98"/>
    </row>
    <row r="99" spans="1:19" s="1" customFormat="1" ht="11.25" customHeight="1" x14ac:dyDescent="0.25">
      <c r="A99" s="75">
        <v>1</v>
      </c>
      <c r="B99" s="116"/>
      <c r="C99" s="116"/>
      <c r="D99" s="1258"/>
      <c r="E99" s="101">
        <v>9</v>
      </c>
      <c r="F99" s="769" t="s">
        <v>73</v>
      </c>
      <c r="G99" s="80" t="s">
        <v>37</v>
      </c>
      <c r="H99" s="15"/>
      <c r="I99" s="15"/>
      <c r="J99" s="98">
        <v>0</v>
      </c>
      <c r="K99" s="15">
        <f>2377.9-J99</f>
        <v>2377.9</v>
      </c>
      <c r="L99" s="33"/>
      <c r="M99" s="133" t="s">
        <v>689</v>
      </c>
      <c r="N99" s="389" t="s">
        <v>1979</v>
      </c>
      <c r="O99" s="114"/>
      <c r="P99" s="101"/>
      <c r="Q99" s="102" t="s">
        <v>712</v>
      </c>
      <c r="R99"/>
      <c r="S99"/>
    </row>
    <row r="100" spans="1:19" s="1" customFormat="1" ht="11.25" customHeight="1" x14ac:dyDescent="0.25">
      <c r="A100" s="75">
        <v>1</v>
      </c>
      <c r="B100" s="116"/>
      <c r="C100" s="116"/>
      <c r="D100" s="1258"/>
      <c r="E100" s="101"/>
      <c r="F100" s="769" t="s">
        <v>73</v>
      </c>
      <c r="G100" s="103" t="s">
        <v>614</v>
      </c>
      <c r="H100" s="105">
        <f>SUM(H97:H99)</f>
        <v>0</v>
      </c>
      <c r="I100" s="105">
        <f>SUM(I97:I99)</f>
        <v>6.7</v>
      </c>
      <c r="J100" s="105">
        <f t="shared" ref="J100:L100" si="9">SUM(J97:J99)</f>
        <v>57</v>
      </c>
      <c r="K100" s="105">
        <f t="shared" si="9"/>
        <v>2840.8</v>
      </c>
      <c r="L100" s="750">
        <f t="shared" si="9"/>
        <v>0</v>
      </c>
      <c r="M100" s="133" t="s">
        <v>689</v>
      </c>
      <c r="N100" s="389" t="s">
        <v>1979</v>
      </c>
      <c r="O100" s="100"/>
      <c r="P100" s="101"/>
      <c r="Q100" s="102"/>
      <c r="R100"/>
      <c r="S100"/>
    </row>
    <row r="101" spans="1:19" s="1" customFormat="1" ht="25.95" customHeight="1" x14ac:dyDescent="0.25">
      <c r="A101" s="75">
        <v>1</v>
      </c>
      <c r="B101" s="116"/>
      <c r="C101" s="116" t="s">
        <v>714</v>
      </c>
      <c r="D101" s="1259" t="s">
        <v>715</v>
      </c>
      <c r="E101" s="101">
        <v>9</v>
      </c>
      <c r="F101" s="769" t="s">
        <v>73</v>
      </c>
      <c r="G101" s="80" t="s">
        <v>40</v>
      </c>
      <c r="H101" s="773">
        <v>250.1</v>
      </c>
      <c r="I101" s="873"/>
      <c r="J101" s="98"/>
      <c r="K101" s="37"/>
      <c r="L101" s="33">
        <v>1700</v>
      </c>
      <c r="M101" s="133" t="s">
        <v>689</v>
      </c>
      <c r="N101" s="389" t="s">
        <v>1979</v>
      </c>
      <c r="O101" s="100" t="s">
        <v>709</v>
      </c>
      <c r="P101" s="101">
        <v>1</v>
      </c>
      <c r="Q101" s="102" t="s">
        <v>632</v>
      </c>
      <c r="R101"/>
      <c r="S101"/>
    </row>
    <row r="102" spans="1:19" s="1" customFormat="1" ht="13.2" x14ac:dyDescent="0.25">
      <c r="A102" s="75">
        <v>1</v>
      </c>
      <c r="B102" s="116"/>
      <c r="C102" s="116"/>
      <c r="D102" s="1259"/>
      <c r="E102" s="101">
        <v>9</v>
      </c>
      <c r="F102" s="769" t="s">
        <v>73</v>
      </c>
      <c r="G102" s="80" t="s">
        <v>8</v>
      </c>
      <c r="H102" s="771">
        <v>5.9</v>
      </c>
      <c r="I102" s="15">
        <v>1542.1</v>
      </c>
      <c r="J102" s="98">
        <f>57.6+18.1+16.9</f>
        <v>92.6</v>
      </c>
      <c r="K102" s="37">
        <v>1000</v>
      </c>
      <c r="L102" s="33"/>
      <c r="M102" s="133" t="s">
        <v>689</v>
      </c>
      <c r="N102" s="389" t="s">
        <v>1979</v>
      </c>
      <c r="O102" s="100"/>
      <c r="P102" s="101"/>
      <c r="Q102" s="102" t="s">
        <v>632</v>
      </c>
      <c r="R102"/>
      <c r="S102"/>
    </row>
    <row r="103" spans="1:19" s="1" customFormat="1" ht="11.25" customHeight="1" x14ac:dyDescent="0.25">
      <c r="A103" s="75">
        <v>1</v>
      </c>
      <c r="B103" s="116"/>
      <c r="C103" s="116"/>
      <c r="D103" s="1259"/>
      <c r="E103" s="101"/>
      <c r="F103" s="769" t="s">
        <v>73</v>
      </c>
      <c r="G103" s="103" t="s">
        <v>614</v>
      </c>
      <c r="H103" s="105">
        <f>SUM(H101:H102)</f>
        <v>256</v>
      </c>
      <c r="I103" s="105">
        <f>SUM(I101:I102)</f>
        <v>1542.1</v>
      </c>
      <c r="J103" s="105">
        <f>SUM(J101:J102)</f>
        <v>92.6</v>
      </c>
      <c r="K103" s="105">
        <f>SUM(K101:K102)</f>
        <v>1000</v>
      </c>
      <c r="L103" s="750">
        <f>SUM(L101:L102)</f>
        <v>1700</v>
      </c>
      <c r="M103" s="133" t="s">
        <v>689</v>
      </c>
      <c r="N103" s="389"/>
      <c r="O103" s="100"/>
      <c r="P103" s="101"/>
      <c r="Q103" s="102"/>
      <c r="R103"/>
      <c r="S103"/>
    </row>
    <row r="104" spans="1:19" s="1" customFormat="1" ht="30.6" x14ac:dyDescent="0.25">
      <c r="A104" s="75">
        <v>1</v>
      </c>
      <c r="B104" s="116"/>
      <c r="C104" s="116" t="s">
        <v>716</v>
      </c>
      <c r="D104" s="83" t="s">
        <v>717</v>
      </c>
      <c r="E104" s="80">
        <v>9</v>
      </c>
      <c r="F104" s="769" t="s">
        <v>73</v>
      </c>
      <c r="G104" s="80" t="s">
        <v>8</v>
      </c>
      <c r="H104" s="15"/>
      <c r="I104" s="33"/>
      <c r="J104" s="98">
        <f>70-50-20</f>
        <v>0</v>
      </c>
      <c r="K104" s="17">
        <f>50</f>
        <v>50</v>
      </c>
      <c r="L104" s="33">
        <v>500</v>
      </c>
      <c r="M104" s="133" t="s">
        <v>702</v>
      </c>
      <c r="N104" s="389" t="s">
        <v>1811</v>
      </c>
      <c r="O104" s="100" t="s">
        <v>1833</v>
      </c>
      <c r="P104" s="80" t="s">
        <v>741</v>
      </c>
      <c r="Q104" s="102" t="s">
        <v>719</v>
      </c>
      <c r="R104"/>
      <c r="S104"/>
    </row>
    <row r="105" spans="1:19" s="1" customFormat="1" ht="20.399999999999999" x14ac:dyDescent="0.25">
      <c r="A105" s="75">
        <v>1</v>
      </c>
      <c r="B105" s="116"/>
      <c r="C105" s="116" t="s">
        <v>721</v>
      </c>
      <c r="D105" s="83" t="s">
        <v>722</v>
      </c>
      <c r="E105" s="80">
        <v>9</v>
      </c>
      <c r="F105" s="769" t="s">
        <v>73</v>
      </c>
      <c r="G105" s="80" t="s">
        <v>8</v>
      </c>
      <c r="H105" s="15"/>
      <c r="I105" s="15"/>
      <c r="J105" s="98">
        <f>70-50-20</f>
        <v>0</v>
      </c>
      <c r="K105" s="15">
        <f>50</f>
        <v>50</v>
      </c>
      <c r="L105" s="33">
        <v>1000</v>
      </c>
      <c r="M105" s="133" t="s">
        <v>702</v>
      </c>
      <c r="N105" s="389" t="s">
        <v>1981</v>
      </c>
      <c r="O105" s="100" t="s">
        <v>718</v>
      </c>
      <c r="P105" s="80">
        <v>1</v>
      </c>
      <c r="Q105" s="102" t="s">
        <v>724</v>
      </c>
      <c r="R105"/>
      <c r="S105"/>
    </row>
    <row r="106" spans="1:19" s="1" customFormat="1" ht="30.6" x14ac:dyDescent="0.25">
      <c r="A106" s="75">
        <v>1</v>
      </c>
      <c r="B106" s="116"/>
      <c r="C106" s="116" t="s">
        <v>725</v>
      </c>
      <c r="D106" s="83" t="s">
        <v>1869</v>
      </c>
      <c r="E106" s="101">
        <v>36</v>
      </c>
      <c r="F106" s="769" t="s">
        <v>73</v>
      </c>
      <c r="G106" s="80" t="s">
        <v>8</v>
      </c>
      <c r="H106" s="15"/>
      <c r="I106" s="15"/>
      <c r="J106" s="98"/>
      <c r="K106" s="15"/>
      <c r="L106" s="33"/>
      <c r="M106" s="133"/>
      <c r="N106" s="186" t="s">
        <v>1954</v>
      </c>
      <c r="O106" s="100" t="s">
        <v>1873</v>
      </c>
      <c r="P106" s="80">
        <v>1</v>
      </c>
      <c r="Q106" s="102" t="s">
        <v>712</v>
      </c>
      <c r="R106"/>
      <c r="S106"/>
    </row>
    <row r="107" spans="1:19" s="1" customFormat="1" ht="30.6" x14ac:dyDescent="0.25">
      <c r="A107" s="75">
        <v>1</v>
      </c>
      <c r="B107" s="116"/>
      <c r="C107" s="116" t="s">
        <v>729</v>
      </c>
      <c r="D107" s="83" t="s">
        <v>1870</v>
      </c>
      <c r="E107" s="101">
        <v>36</v>
      </c>
      <c r="F107" s="769" t="s">
        <v>73</v>
      </c>
      <c r="G107" s="80" t="s">
        <v>8</v>
      </c>
      <c r="H107" s="15"/>
      <c r="I107" s="15"/>
      <c r="J107" s="98"/>
      <c r="K107" s="15"/>
      <c r="L107" s="33"/>
      <c r="M107" s="133"/>
      <c r="N107" s="186" t="s">
        <v>1954</v>
      </c>
      <c r="O107" s="100" t="s">
        <v>1873</v>
      </c>
      <c r="P107" s="80">
        <v>1</v>
      </c>
      <c r="Q107" s="102" t="s">
        <v>720</v>
      </c>
      <c r="R107"/>
      <c r="S107"/>
    </row>
    <row r="108" spans="1:19" s="1" customFormat="1" ht="41.4" customHeight="1" x14ac:dyDescent="0.25">
      <c r="A108" s="75">
        <v>1</v>
      </c>
      <c r="B108" s="116"/>
      <c r="C108" s="116" t="s">
        <v>730</v>
      </c>
      <c r="D108" s="74" t="s">
        <v>726</v>
      </c>
      <c r="E108" s="73">
        <v>2</v>
      </c>
      <c r="F108" s="73" t="s">
        <v>43</v>
      </c>
      <c r="G108" s="80" t="s">
        <v>8</v>
      </c>
      <c r="H108" s="15"/>
      <c r="I108" s="15"/>
      <c r="J108" s="98">
        <f>50-50</f>
        <v>0</v>
      </c>
      <c r="K108" s="37">
        <f>50</f>
        <v>50</v>
      </c>
      <c r="L108" s="33">
        <v>500</v>
      </c>
      <c r="M108" s="133" t="s">
        <v>702</v>
      </c>
      <c r="N108" s="389" t="s">
        <v>727</v>
      </c>
      <c r="O108" s="774" t="s">
        <v>728</v>
      </c>
      <c r="P108" s="80">
        <v>1</v>
      </c>
      <c r="Q108" s="42" t="s">
        <v>632</v>
      </c>
      <c r="R108"/>
      <c r="S108"/>
    </row>
    <row r="109" spans="1:19" s="1" customFormat="1" ht="20.399999999999999" x14ac:dyDescent="0.25">
      <c r="A109" s="75">
        <v>1</v>
      </c>
      <c r="B109" s="116"/>
      <c r="C109" s="116" t="s">
        <v>733</v>
      </c>
      <c r="D109" s="74" t="s">
        <v>68</v>
      </c>
      <c r="E109" s="73">
        <v>6</v>
      </c>
      <c r="F109" s="73" t="s">
        <v>69</v>
      </c>
      <c r="G109" s="80" t="s">
        <v>8</v>
      </c>
      <c r="H109" s="15"/>
      <c r="I109" s="15">
        <v>3</v>
      </c>
      <c r="J109" s="98">
        <f>800-83.7+118</f>
        <v>834.3</v>
      </c>
      <c r="K109" s="15">
        <v>3200</v>
      </c>
      <c r="L109" s="33">
        <v>3200</v>
      </c>
      <c r="M109" s="133" t="s">
        <v>689</v>
      </c>
      <c r="N109" s="117" t="s">
        <v>1886</v>
      </c>
      <c r="O109" s="100" t="s">
        <v>1887</v>
      </c>
      <c r="P109" s="101">
        <v>1</v>
      </c>
      <c r="Q109" s="102" t="s">
        <v>692</v>
      </c>
      <c r="R109"/>
      <c r="S109"/>
    </row>
    <row r="110" spans="1:19" s="1" customFormat="1" ht="21.75" customHeight="1" x14ac:dyDescent="0.25">
      <c r="A110" s="75">
        <v>1</v>
      </c>
      <c r="B110" s="116"/>
      <c r="C110" s="116" t="s">
        <v>1871</v>
      </c>
      <c r="D110" s="74" t="s">
        <v>1899</v>
      </c>
      <c r="E110" s="80" t="s">
        <v>732</v>
      </c>
      <c r="F110" s="73" t="s">
        <v>731</v>
      </c>
      <c r="G110" s="80" t="s">
        <v>8</v>
      </c>
      <c r="H110" s="15"/>
      <c r="I110" s="15"/>
      <c r="J110" s="98">
        <f>500+45-100-40</f>
        <v>405</v>
      </c>
      <c r="K110" s="15"/>
      <c r="L110" s="33"/>
      <c r="M110" s="133" t="s">
        <v>689</v>
      </c>
      <c r="N110" s="117" t="s">
        <v>1853</v>
      </c>
      <c r="O110" s="100" t="s">
        <v>1854</v>
      </c>
      <c r="P110" s="101">
        <v>100</v>
      </c>
      <c r="Q110" s="102" t="s">
        <v>692</v>
      </c>
      <c r="R110"/>
      <c r="S110"/>
    </row>
    <row r="111" spans="1:19" s="1" customFormat="1" ht="13.2" x14ac:dyDescent="0.25">
      <c r="A111" s="75">
        <v>1</v>
      </c>
      <c r="B111" s="116"/>
      <c r="C111" s="116"/>
      <c r="D111" s="74"/>
      <c r="E111" s="101"/>
      <c r="F111" s="75"/>
      <c r="G111" s="103" t="s">
        <v>614</v>
      </c>
      <c r="H111" s="105">
        <v>1559.4</v>
      </c>
      <c r="I111" s="105">
        <f>SUM(I104:I110)</f>
        <v>3</v>
      </c>
      <c r="J111" s="105">
        <f>SUM(J104:J110)</f>
        <v>1239.3</v>
      </c>
      <c r="K111" s="105">
        <f>SUM(K104:K110)</f>
        <v>3350</v>
      </c>
      <c r="L111" s="750">
        <f>SUM(L104:L110)</f>
        <v>5200</v>
      </c>
      <c r="M111" s="133" t="s">
        <v>689</v>
      </c>
      <c r="N111" s="389"/>
      <c r="O111" s="100"/>
      <c r="P111" s="101"/>
      <c r="Q111" s="102" t="s">
        <v>692</v>
      </c>
      <c r="R111"/>
      <c r="S111"/>
    </row>
    <row r="112" spans="1:19" s="1" customFormat="1" ht="13.2" x14ac:dyDescent="0.25">
      <c r="A112" s="75">
        <v>1</v>
      </c>
      <c r="B112" s="116"/>
      <c r="C112" s="116" t="s">
        <v>736</v>
      </c>
      <c r="D112" s="1253" t="s">
        <v>70</v>
      </c>
      <c r="E112" s="101">
        <v>9</v>
      </c>
      <c r="F112" s="75" t="s">
        <v>71</v>
      </c>
      <c r="G112" s="80" t="s">
        <v>8</v>
      </c>
      <c r="H112" s="106">
        <v>61.5</v>
      </c>
      <c r="I112" s="15">
        <v>9.8000000000000007</v>
      </c>
      <c r="J112" s="98">
        <f>10+35</f>
        <v>45</v>
      </c>
      <c r="K112" s="14">
        <v>110</v>
      </c>
      <c r="L112" s="410"/>
      <c r="M112" s="133" t="s">
        <v>689</v>
      </c>
      <c r="N112" s="389" t="s">
        <v>1979</v>
      </c>
      <c r="O112" s="100" t="s">
        <v>734</v>
      </c>
      <c r="P112" s="101">
        <v>1</v>
      </c>
      <c r="Q112" s="102" t="s">
        <v>632</v>
      </c>
      <c r="R112"/>
      <c r="S112"/>
    </row>
    <row r="113" spans="1:19" s="1" customFormat="1" ht="11.25" customHeight="1" x14ac:dyDescent="0.25">
      <c r="A113" s="75">
        <v>1</v>
      </c>
      <c r="B113" s="116"/>
      <c r="C113" s="116"/>
      <c r="D113" s="1254"/>
      <c r="E113" s="101">
        <v>9</v>
      </c>
      <c r="F113" s="75" t="s">
        <v>71</v>
      </c>
      <c r="G113" s="80" t="s">
        <v>594</v>
      </c>
      <c r="H113" s="15"/>
      <c r="I113" s="33"/>
      <c r="J113" s="98">
        <v>171</v>
      </c>
      <c r="K113" s="127">
        <f>(1562.4-171)/2</f>
        <v>695.7</v>
      </c>
      <c r="L113" s="775">
        <f>(1562.4-171)/2</f>
        <v>695.7</v>
      </c>
      <c r="M113" s="133" t="s">
        <v>689</v>
      </c>
      <c r="N113" s="389" t="s">
        <v>1979</v>
      </c>
      <c r="O113" s="100" t="s">
        <v>709</v>
      </c>
      <c r="P113" s="101">
        <v>1</v>
      </c>
      <c r="Q113" s="102" t="s">
        <v>632</v>
      </c>
      <c r="R113"/>
      <c r="S113"/>
    </row>
    <row r="114" spans="1:19" s="1" customFormat="1" ht="11.25" customHeight="1" x14ac:dyDescent="0.25">
      <c r="A114" s="75">
        <v>1</v>
      </c>
      <c r="B114" s="116"/>
      <c r="C114" s="116"/>
      <c r="D114" s="1254"/>
      <c r="E114" s="101">
        <v>9</v>
      </c>
      <c r="F114" s="75" t="s">
        <v>71</v>
      </c>
      <c r="G114" s="80" t="s">
        <v>37</v>
      </c>
      <c r="H114" s="15"/>
      <c r="I114" s="33"/>
      <c r="J114" s="98"/>
      <c r="K114" s="127">
        <f>8838.5/2</f>
        <v>4419.25</v>
      </c>
      <c r="L114" s="775">
        <f>8838.5/2</f>
        <v>4419.25</v>
      </c>
      <c r="M114" s="133" t="s">
        <v>689</v>
      </c>
      <c r="N114" s="389" t="s">
        <v>1979</v>
      </c>
      <c r="O114" s="114" t="s">
        <v>735</v>
      </c>
      <c r="P114" s="101">
        <v>5</v>
      </c>
      <c r="Q114" s="102" t="s">
        <v>632</v>
      </c>
      <c r="R114"/>
      <c r="S114"/>
    </row>
    <row r="115" spans="1:19" s="1" customFormat="1" ht="11.25" customHeight="1" x14ac:dyDescent="0.25">
      <c r="A115" s="75">
        <v>1</v>
      </c>
      <c r="B115" s="116"/>
      <c r="C115" s="116"/>
      <c r="D115" s="1255"/>
      <c r="E115" s="101">
        <v>9</v>
      </c>
      <c r="F115" s="75" t="s">
        <v>71</v>
      </c>
      <c r="G115" s="103" t="s">
        <v>614</v>
      </c>
      <c r="H115" s="105">
        <f>SUM(H112:H114)</f>
        <v>61.5</v>
      </c>
      <c r="I115" s="105">
        <f>SUM(I112:I114)</f>
        <v>9.8000000000000007</v>
      </c>
      <c r="J115" s="776">
        <f t="shared" ref="J115:K115" si="10">SUM(J112:J114)</f>
        <v>216</v>
      </c>
      <c r="K115" s="776">
        <f t="shared" si="10"/>
        <v>5224.95</v>
      </c>
      <c r="L115" s="777">
        <f>SUM(L112:L114)</f>
        <v>5114.95</v>
      </c>
      <c r="M115" s="133" t="s">
        <v>689</v>
      </c>
      <c r="N115" s="389" t="s">
        <v>1979</v>
      </c>
      <c r="O115" s="100"/>
      <c r="P115" s="101"/>
      <c r="Q115" s="102"/>
      <c r="R115"/>
      <c r="S115"/>
    </row>
    <row r="116" spans="1:19" s="1" customFormat="1" ht="24" customHeight="1" x14ac:dyDescent="0.25">
      <c r="A116" s="75">
        <v>1</v>
      </c>
      <c r="B116" s="116"/>
      <c r="C116" s="116" t="s">
        <v>1872</v>
      </c>
      <c r="D116" s="35" t="s">
        <v>2035</v>
      </c>
      <c r="E116" s="240">
        <v>9</v>
      </c>
      <c r="F116" s="62" t="s">
        <v>2036</v>
      </c>
      <c r="G116" s="62" t="s">
        <v>8</v>
      </c>
      <c r="H116" s="105"/>
      <c r="I116" s="105"/>
      <c r="J116" s="98"/>
      <c r="K116" s="776"/>
      <c r="L116" s="777"/>
      <c r="M116" s="133"/>
      <c r="N116" s="821" t="s">
        <v>1979</v>
      </c>
      <c r="O116" s="100" t="s">
        <v>2052</v>
      </c>
      <c r="P116" s="101">
        <v>1</v>
      </c>
      <c r="Q116" s="102" t="s">
        <v>692</v>
      </c>
      <c r="R116"/>
      <c r="S116"/>
    </row>
    <row r="117" spans="1:19" s="1" customFormat="1" ht="11.25" customHeight="1" x14ac:dyDescent="0.25">
      <c r="A117" s="75">
        <v>1</v>
      </c>
      <c r="B117" s="116"/>
      <c r="C117" s="116"/>
      <c r="D117" s="1159"/>
      <c r="E117" s="240">
        <v>9</v>
      </c>
      <c r="F117" s="62" t="s">
        <v>2036</v>
      </c>
      <c r="G117" s="103" t="s">
        <v>614</v>
      </c>
      <c r="H117" s="105"/>
      <c r="I117" s="105"/>
      <c r="J117" s="105"/>
      <c r="K117" s="776"/>
      <c r="L117" s="777"/>
      <c r="M117" s="133"/>
      <c r="N117" s="389"/>
      <c r="O117" s="100"/>
      <c r="P117" s="101"/>
      <c r="Q117" s="102"/>
      <c r="R117"/>
      <c r="S117"/>
    </row>
    <row r="118" spans="1:19" s="1" customFormat="1" ht="12.6" customHeight="1" x14ac:dyDescent="0.25">
      <c r="A118" s="75">
        <v>1</v>
      </c>
      <c r="B118" s="116"/>
      <c r="C118" s="116" t="s">
        <v>2034</v>
      </c>
      <c r="D118" s="780" t="s">
        <v>737</v>
      </c>
      <c r="E118" s="778">
        <v>9</v>
      </c>
      <c r="F118" s="779" t="s">
        <v>738</v>
      </c>
      <c r="G118" s="73"/>
      <c r="H118" s="37"/>
      <c r="I118" s="15"/>
      <c r="J118" s="98"/>
      <c r="K118" s="37"/>
      <c r="L118" s="48"/>
      <c r="M118" s="133"/>
      <c r="N118" s="389"/>
      <c r="O118" s="100"/>
      <c r="P118" s="101"/>
      <c r="Q118" s="102"/>
      <c r="R118"/>
      <c r="S118"/>
    </row>
    <row r="119" spans="1:19" s="1" customFormat="1" ht="21" customHeight="1" x14ac:dyDescent="0.25">
      <c r="A119" s="75">
        <v>1</v>
      </c>
      <c r="B119" s="116"/>
      <c r="C119" s="116"/>
      <c r="D119" s="128" t="s">
        <v>739</v>
      </c>
      <c r="E119" s="778">
        <v>9</v>
      </c>
      <c r="F119" s="779" t="s">
        <v>738</v>
      </c>
      <c r="G119" s="73" t="s">
        <v>8</v>
      </c>
      <c r="H119" s="37"/>
      <c r="I119" s="15"/>
      <c r="J119" s="98"/>
      <c r="K119" s="37">
        <v>150</v>
      </c>
      <c r="L119" s="48"/>
      <c r="M119" s="133" t="s">
        <v>702</v>
      </c>
      <c r="N119" s="389" t="s">
        <v>1811</v>
      </c>
      <c r="O119" s="100" t="s">
        <v>740</v>
      </c>
      <c r="P119" s="101" t="s">
        <v>741</v>
      </c>
      <c r="Q119" s="102" t="s">
        <v>708</v>
      </c>
      <c r="R119"/>
      <c r="S119"/>
    </row>
    <row r="120" spans="1:19" s="1" customFormat="1" ht="12.6" customHeight="1" x14ac:dyDescent="0.25">
      <c r="A120" s="75">
        <v>1</v>
      </c>
      <c r="B120" s="116"/>
      <c r="C120" s="116"/>
      <c r="D120" s="83"/>
      <c r="E120" s="781">
        <v>1</v>
      </c>
      <c r="F120" s="779"/>
      <c r="G120" s="103" t="s">
        <v>614</v>
      </c>
      <c r="H120" s="105"/>
      <c r="I120" s="105">
        <f>SUM(I119:I119)</f>
        <v>0</v>
      </c>
      <c r="J120" s="105">
        <f>SUM(J119:J119)</f>
        <v>0</v>
      </c>
      <c r="K120" s="105">
        <f>SUM(K119:K119)</f>
        <v>150</v>
      </c>
      <c r="L120" s="750">
        <f>SUM(L119:L119)</f>
        <v>0</v>
      </c>
      <c r="M120" s="133"/>
      <c r="N120" s="389"/>
      <c r="O120" s="100"/>
      <c r="P120" s="101"/>
      <c r="Q120" s="102"/>
      <c r="R120"/>
      <c r="S120"/>
    </row>
    <row r="121" spans="1:19" ht="14.4" customHeight="1" x14ac:dyDescent="0.25">
      <c r="A121" s="909"/>
      <c r="B121" s="909"/>
      <c r="C121" s="909"/>
      <c r="D121" s="909" t="s">
        <v>1837</v>
      </c>
      <c r="E121" s="912"/>
      <c r="F121" s="909"/>
      <c r="G121" s="909"/>
      <c r="H121" s="909"/>
      <c r="I121" s="909"/>
      <c r="J121" s="909"/>
      <c r="K121" s="909"/>
      <c r="L121" s="911"/>
      <c r="M121" s="922"/>
      <c r="N121" s="1008"/>
      <c r="O121" s="977"/>
      <c r="P121" s="923"/>
      <c r="Q121" s="923"/>
    </row>
    <row r="122" spans="1:19" ht="20.399999999999999" x14ac:dyDescent="0.25">
      <c r="A122" s="62">
        <v>2</v>
      </c>
      <c r="B122" s="93"/>
      <c r="C122" s="93"/>
      <c r="D122" s="94" t="s">
        <v>743</v>
      </c>
      <c r="E122" s="95"/>
      <c r="F122" s="96"/>
      <c r="G122" s="95"/>
      <c r="H122" s="95"/>
      <c r="I122" s="95"/>
      <c r="J122" s="95"/>
      <c r="K122" s="95"/>
      <c r="L122" s="422"/>
      <c r="M122" s="133"/>
      <c r="N122" s="820"/>
      <c r="O122" s="81"/>
      <c r="P122" s="73"/>
      <c r="Q122" s="81"/>
    </row>
    <row r="123" spans="1:19" ht="27" customHeight="1" x14ac:dyDescent="0.25">
      <c r="A123" s="62">
        <v>2</v>
      </c>
      <c r="B123" s="112" t="s">
        <v>744</v>
      </c>
      <c r="C123" s="112" t="s">
        <v>744</v>
      </c>
      <c r="D123" s="438" t="s">
        <v>745</v>
      </c>
      <c r="E123" s="116">
        <v>10</v>
      </c>
      <c r="F123" s="73" t="s">
        <v>75</v>
      </c>
      <c r="G123" s="185" t="s">
        <v>8</v>
      </c>
      <c r="H123" s="7">
        <v>70</v>
      </c>
      <c r="I123" s="15">
        <v>70</v>
      </c>
      <c r="J123" s="98">
        <f>70-7.6</f>
        <v>62.4</v>
      </c>
      <c r="K123" s="122">
        <v>80</v>
      </c>
      <c r="L123" s="783">
        <v>90</v>
      </c>
      <c r="M123" s="133" t="s">
        <v>629</v>
      </c>
      <c r="N123" s="389" t="s">
        <v>1982</v>
      </c>
      <c r="O123" s="130" t="s">
        <v>1888</v>
      </c>
      <c r="P123" s="131" t="s">
        <v>1889</v>
      </c>
      <c r="Q123" s="66"/>
    </row>
    <row r="124" spans="1:19" ht="13.2" x14ac:dyDescent="0.25">
      <c r="A124" s="62">
        <v>2</v>
      </c>
      <c r="B124" s="46"/>
      <c r="C124" s="46"/>
      <c r="D124" s="49"/>
      <c r="E124" s="42">
        <v>10</v>
      </c>
      <c r="F124" s="42"/>
      <c r="G124" s="103" t="s">
        <v>492</v>
      </c>
      <c r="H124" s="105">
        <f>SUM(H123)</f>
        <v>70</v>
      </c>
      <c r="I124" s="105">
        <f>SUM(I123)</f>
        <v>70</v>
      </c>
      <c r="J124" s="105">
        <f t="shared" ref="J124:L124" si="11">SUM(J123)</f>
        <v>62.4</v>
      </c>
      <c r="K124" s="105">
        <f t="shared" si="11"/>
        <v>80</v>
      </c>
      <c r="L124" s="750">
        <f t="shared" si="11"/>
        <v>90</v>
      </c>
      <c r="M124" s="133"/>
      <c r="N124" s="389"/>
      <c r="O124" s="130"/>
      <c r="P124" s="131"/>
      <c r="Q124" s="66"/>
      <c r="R124" s="10"/>
    </row>
    <row r="125" spans="1:19" ht="30" customHeight="1" x14ac:dyDescent="0.25">
      <c r="A125" s="62">
        <v>2</v>
      </c>
      <c r="B125" s="112" t="s">
        <v>746</v>
      </c>
      <c r="C125" s="112" t="s">
        <v>746</v>
      </c>
      <c r="D125" s="132" t="s">
        <v>76</v>
      </c>
      <c r="E125" s="116">
        <v>32</v>
      </c>
      <c r="F125" s="73" t="s">
        <v>77</v>
      </c>
      <c r="G125" s="185" t="s">
        <v>8</v>
      </c>
      <c r="H125" s="7">
        <v>10</v>
      </c>
      <c r="I125" s="15">
        <v>30</v>
      </c>
      <c r="J125" s="98">
        <v>50</v>
      </c>
      <c r="K125" s="7">
        <v>50</v>
      </c>
      <c r="L125" s="784">
        <v>50</v>
      </c>
      <c r="M125" s="133" t="s">
        <v>629</v>
      </c>
      <c r="N125" s="389" t="s">
        <v>1983</v>
      </c>
      <c r="O125" s="117" t="s">
        <v>747</v>
      </c>
      <c r="P125" s="677">
        <v>50</v>
      </c>
      <c r="Q125" s="66"/>
    </row>
    <row r="126" spans="1:19" ht="13.2" x14ac:dyDescent="0.25">
      <c r="A126" s="62">
        <v>2</v>
      </c>
      <c r="B126" s="46"/>
      <c r="C126" s="46"/>
      <c r="D126" s="49"/>
      <c r="E126" s="42">
        <v>32</v>
      </c>
      <c r="F126" s="42"/>
      <c r="G126" s="103" t="s">
        <v>492</v>
      </c>
      <c r="H126" s="105">
        <f>SUM(H125)</f>
        <v>10</v>
      </c>
      <c r="I126" s="105">
        <f>SUM(I125)</f>
        <v>30</v>
      </c>
      <c r="J126" s="105">
        <f t="shared" ref="J126:L126" si="12">SUM(J125)</f>
        <v>50</v>
      </c>
      <c r="K126" s="105">
        <f t="shared" si="12"/>
        <v>50</v>
      </c>
      <c r="L126" s="750">
        <f t="shared" si="12"/>
        <v>50</v>
      </c>
      <c r="M126" s="133"/>
      <c r="N126" s="389"/>
      <c r="O126" s="117"/>
      <c r="P126" s="42"/>
      <c r="Q126" s="66"/>
    </row>
    <row r="127" spans="1:19" ht="34.200000000000003" customHeight="1" x14ac:dyDescent="0.25">
      <c r="A127" s="62">
        <v>2</v>
      </c>
      <c r="B127" s="93"/>
      <c r="C127" s="93"/>
      <c r="D127" s="94" t="s">
        <v>748</v>
      </c>
      <c r="E127" s="95"/>
      <c r="F127" s="96"/>
      <c r="G127" s="95"/>
      <c r="H127" s="95"/>
      <c r="I127" s="95"/>
      <c r="J127" s="95"/>
      <c r="K127" s="95"/>
      <c r="L127" s="422"/>
      <c r="M127" s="133"/>
      <c r="N127" s="389"/>
      <c r="O127" s="117"/>
      <c r="P127" s="42"/>
      <c r="Q127" s="66"/>
    </row>
    <row r="128" spans="1:19" ht="20.399999999999999" x14ac:dyDescent="0.25">
      <c r="A128" s="62">
        <v>2</v>
      </c>
      <c r="B128" s="112" t="s">
        <v>749</v>
      </c>
      <c r="C128" s="112" t="s">
        <v>749</v>
      </c>
      <c r="D128" s="132" t="s">
        <v>78</v>
      </c>
      <c r="E128" s="116"/>
      <c r="F128" s="73"/>
      <c r="G128" s="133"/>
      <c r="H128" s="7"/>
      <c r="I128" s="188" t="e">
        <f>I131+I150+I155</f>
        <v>#REF!</v>
      </c>
      <c r="J128" s="188"/>
      <c r="K128" s="188"/>
      <c r="L128" s="785"/>
      <c r="M128" s="133"/>
      <c r="N128" s="389"/>
      <c r="O128" s="117"/>
      <c r="P128" s="42"/>
      <c r="Q128" s="66"/>
    </row>
    <row r="129" spans="1:17" ht="67.95" customHeight="1" x14ac:dyDescent="0.25">
      <c r="A129" s="62">
        <v>2</v>
      </c>
      <c r="B129" s="46"/>
      <c r="C129" s="46" t="s">
        <v>750</v>
      </c>
      <c r="D129" s="850" t="s">
        <v>751</v>
      </c>
      <c r="E129" s="42">
        <v>32</v>
      </c>
      <c r="F129" s="42" t="s">
        <v>79</v>
      </c>
      <c r="G129" s="98" t="s">
        <v>10</v>
      </c>
      <c r="H129" s="125">
        <v>240.9</v>
      </c>
      <c r="I129" s="98" t="e">
        <f>SUM(I140,I141,I142,#REF!,#REF!,#REF!,I143,I144,I145,#REF!,#REF!)</f>
        <v>#REF!</v>
      </c>
      <c r="J129" s="98">
        <f>SUM(J140,J141,J142,J143,J144,J145,J146)</f>
        <v>243.29999999999998</v>
      </c>
      <c r="K129" s="98" t="e">
        <f>SUM(K140,K141,K142,#REF!,#REF!,#REF!,K143,K144,K145,#REF!,#REF!)</f>
        <v>#REF!</v>
      </c>
      <c r="L129" s="125" t="e">
        <f>SUM(L140,L141,L142,#REF!,#REF!,#REF!,L143,L144,L145,#REF!,#REF!)</f>
        <v>#REF!</v>
      </c>
      <c r="M129" s="133"/>
      <c r="N129" s="389" t="s">
        <v>777</v>
      </c>
      <c r="O129" s="786" t="s">
        <v>752</v>
      </c>
      <c r="P129" s="677">
        <v>35</v>
      </c>
      <c r="Q129" s="66"/>
    </row>
    <row r="130" spans="1:17" ht="19.2" customHeight="1" x14ac:dyDescent="0.25">
      <c r="A130" s="62">
        <v>2</v>
      </c>
      <c r="B130" s="46"/>
      <c r="C130" s="46" t="s">
        <v>750</v>
      </c>
      <c r="D130" s="49"/>
      <c r="E130" s="42">
        <v>32</v>
      </c>
      <c r="F130" s="42" t="s">
        <v>79</v>
      </c>
      <c r="G130" s="98" t="s">
        <v>8</v>
      </c>
      <c r="H130" s="125">
        <v>70</v>
      </c>
      <c r="I130" s="98">
        <f>SUM(I132:I138)</f>
        <v>24.8</v>
      </c>
      <c r="J130" s="98">
        <f>SUM(J132:J139)</f>
        <v>182</v>
      </c>
      <c r="K130" s="98">
        <f>SUM(K132:K138)</f>
        <v>100</v>
      </c>
      <c r="L130" s="125">
        <f>SUM(L132:L138)</f>
        <v>150</v>
      </c>
      <c r="M130" s="133" t="s">
        <v>629</v>
      </c>
      <c r="N130" s="389"/>
      <c r="O130" s="117"/>
      <c r="P130" s="42"/>
      <c r="Q130" s="66"/>
    </row>
    <row r="131" spans="1:17" ht="13.2" x14ac:dyDescent="0.25">
      <c r="A131" s="62">
        <v>2</v>
      </c>
      <c r="B131" s="46"/>
      <c r="C131" s="110"/>
      <c r="D131" s="49"/>
      <c r="E131" s="42"/>
      <c r="F131" s="42" t="s">
        <v>79</v>
      </c>
      <c r="G131" s="103" t="s">
        <v>492</v>
      </c>
      <c r="H131" s="105">
        <f>SUM(H129:H130)</f>
        <v>310.89999999999998</v>
      </c>
      <c r="I131" s="105" t="e">
        <f>I129+I130</f>
        <v>#REF!</v>
      </c>
      <c r="J131" s="105">
        <f t="shared" ref="J131:L131" si="13">J129+J130</f>
        <v>425.29999999999995</v>
      </c>
      <c r="K131" s="105" t="e">
        <f t="shared" si="13"/>
        <v>#REF!</v>
      </c>
      <c r="L131" s="750" t="e">
        <f t="shared" si="13"/>
        <v>#REF!</v>
      </c>
      <c r="M131" s="133"/>
      <c r="N131" s="389"/>
      <c r="O131" s="117"/>
      <c r="P131" s="45"/>
      <c r="Q131" s="66"/>
    </row>
    <row r="132" spans="1:17" ht="50.4" customHeight="1" x14ac:dyDescent="0.25">
      <c r="A132" s="62">
        <v>2</v>
      </c>
      <c r="B132" s="46"/>
      <c r="C132" s="439" t="s">
        <v>753</v>
      </c>
      <c r="D132" s="440" t="s">
        <v>754</v>
      </c>
      <c r="E132" s="441">
        <v>32</v>
      </c>
      <c r="F132" s="441" t="s">
        <v>79</v>
      </c>
      <c r="G132" s="443" t="s">
        <v>8</v>
      </c>
      <c r="H132" s="444">
        <v>14.8</v>
      </c>
      <c r="I132" s="874">
        <v>14.8</v>
      </c>
      <c r="J132" s="98">
        <v>17.600000000000001</v>
      </c>
      <c r="K132" s="134"/>
      <c r="L132" s="787"/>
      <c r="M132" s="133" t="s">
        <v>619</v>
      </c>
      <c r="N132" s="788" t="s">
        <v>755</v>
      </c>
      <c r="O132" s="678" t="s">
        <v>756</v>
      </c>
      <c r="P132" s="679">
        <v>3</v>
      </c>
      <c r="Q132" s="135"/>
    </row>
    <row r="133" spans="1:17" ht="33" customHeight="1" x14ac:dyDescent="0.25">
      <c r="A133" s="62">
        <v>2</v>
      </c>
      <c r="B133" s="46"/>
      <c r="C133" s="439" t="s">
        <v>760</v>
      </c>
      <c r="D133" s="1247" t="s">
        <v>761</v>
      </c>
      <c r="E133" s="138">
        <v>32</v>
      </c>
      <c r="F133" s="138" t="s">
        <v>79</v>
      </c>
      <c r="G133" s="314" t="s">
        <v>8</v>
      </c>
      <c r="H133" s="140">
        <v>10</v>
      </c>
      <c r="I133" s="875">
        <v>10</v>
      </c>
      <c r="J133" s="98">
        <f>4.5-1.5</f>
        <v>3</v>
      </c>
      <c r="K133" s="134"/>
      <c r="L133" s="787"/>
      <c r="M133" s="133" t="s">
        <v>619</v>
      </c>
      <c r="N133" s="789" t="s">
        <v>759</v>
      </c>
      <c r="O133" s="678" t="s">
        <v>762</v>
      </c>
      <c r="P133" s="679">
        <v>3</v>
      </c>
      <c r="Q133" s="680"/>
    </row>
    <row r="134" spans="1:17" ht="22.2" customHeight="1" x14ac:dyDescent="0.25">
      <c r="A134" s="62"/>
      <c r="B134" s="64"/>
      <c r="C134" s="445"/>
      <c r="D134" s="1248"/>
      <c r="E134" s="141">
        <v>21</v>
      </c>
      <c r="F134" s="138" t="s">
        <v>2077</v>
      </c>
      <c r="G134" s="314" t="s">
        <v>8</v>
      </c>
      <c r="H134" s="142"/>
      <c r="I134" s="876"/>
      <c r="J134" s="98">
        <v>1.5</v>
      </c>
      <c r="K134" s="143"/>
      <c r="L134" s="790"/>
      <c r="M134" s="133"/>
      <c r="N134" s="1157" t="s">
        <v>577</v>
      </c>
      <c r="O134" s="1183" t="s">
        <v>2030</v>
      </c>
      <c r="P134" s="681">
        <v>1</v>
      </c>
      <c r="Q134" s="436"/>
    </row>
    <row r="135" spans="1:17" ht="52.2" customHeight="1" x14ac:dyDescent="0.25">
      <c r="A135" s="62">
        <v>2</v>
      </c>
      <c r="B135" s="64"/>
      <c r="C135" s="445" t="s">
        <v>763</v>
      </c>
      <c r="D135" s="446" t="s">
        <v>764</v>
      </c>
      <c r="E135" s="141">
        <v>32</v>
      </c>
      <c r="F135" s="141" t="s">
        <v>79</v>
      </c>
      <c r="G135" s="315" t="s">
        <v>8</v>
      </c>
      <c r="H135" s="142"/>
      <c r="I135" s="876">
        <v>0</v>
      </c>
      <c r="J135" s="98">
        <v>15</v>
      </c>
      <c r="K135" s="143">
        <v>100</v>
      </c>
      <c r="L135" s="790">
        <v>150</v>
      </c>
      <c r="M135" s="133" t="s">
        <v>702</v>
      </c>
      <c r="N135" s="791" t="s">
        <v>759</v>
      </c>
      <c r="O135" s="521" t="s">
        <v>703</v>
      </c>
      <c r="P135" s="681">
        <v>1</v>
      </c>
      <c r="Q135" s="436" t="s">
        <v>708</v>
      </c>
    </row>
    <row r="136" spans="1:17" ht="52.2" customHeight="1" x14ac:dyDescent="0.25">
      <c r="A136" s="62">
        <v>2</v>
      </c>
      <c r="B136" s="144"/>
      <c r="C136" s="447" t="s">
        <v>765</v>
      </c>
      <c r="D136" s="145" t="s">
        <v>766</v>
      </c>
      <c r="E136" s="146">
        <v>32</v>
      </c>
      <c r="F136" s="146" t="s">
        <v>757</v>
      </c>
      <c r="G136" s="316" t="s">
        <v>8</v>
      </c>
      <c r="H136" s="147"/>
      <c r="I136" s="877"/>
      <c r="J136" s="148">
        <f>97.9-37.9</f>
        <v>60.000000000000007</v>
      </c>
      <c r="K136" s="150"/>
      <c r="L136" s="793"/>
      <c r="M136" s="133" t="s">
        <v>702</v>
      </c>
      <c r="N136" s="792" t="s">
        <v>759</v>
      </c>
      <c r="O136" s="682" t="s">
        <v>767</v>
      </c>
      <c r="P136" s="941">
        <v>1.5</v>
      </c>
      <c r="Q136" s="683" t="s">
        <v>632</v>
      </c>
    </row>
    <row r="137" spans="1:17" ht="52.2" customHeight="1" x14ac:dyDescent="0.25">
      <c r="A137" s="62">
        <v>2</v>
      </c>
      <c r="B137" s="144"/>
      <c r="C137" s="447" t="s">
        <v>768</v>
      </c>
      <c r="D137" s="145" t="s">
        <v>769</v>
      </c>
      <c r="E137" s="146">
        <v>32</v>
      </c>
      <c r="F137" s="146" t="s">
        <v>757</v>
      </c>
      <c r="G137" s="316" t="s">
        <v>8</v>
      </c>
      <c r="H137" s="147"/>
      <c r="I137" s="877"/>
      <c r="J137" s="148">
        <f>36.6-11.6</f>
        <v>25</v>
      </c>
      <c r="K137" s="150"/>
      <c r="L137" s="793"/>
      <c r="M137" s="133" t="s">
        <v>702</v>
      </c>
      <c r="N137" s="792" t="s">
        <v>759</v>
      </c>
      <c r="O137" s="682" t="s">
        <v>770</v>
      </c>
      <c r="P137" s="941">
        <v>1</v>
      </c>
      <c r="Q137" s="683" t="s">
        <v>712</v>
      </c>
    </row>
    <row r="138" spans="1:17" ht="52.2" customHeight="1" x14ac:dyDescent="0.25">
      <c r="A138" s="62">
        <v>2</v>
      </c>
      <c r="B138" s="144"/>
      <c r="C138" s="447" t="s">
        <v>771</v>
      </c>
      <c r="D138" s="145" t="s">
        <v>772</v>
      </c>
      <c r="E138" s="146">
        <v>32</v>
      </c>
      <c r="F138" s="146" t="s">
        <v>757</v>
      </c>
      <c r="G138" s="316" t="s">
        <v>8</v>
      </c>
      <c r="H138" s="147"/>
      <c r="I138" s="877"/>
      <c r="J138" s="148">
        <f>28.4-8.5</f>
        <v>19.899999999999999</v>
      </c>
      <c r="K138" s="150"/>
      <c r="L138" s="793"/>
      <c r="M138" s="133" t="s">
        <v>702</v>
      </c>
      <c r="N138" s="792" t="s">
        <v>773</v>
      </c>
      <c r="O138" s="682" t="s">
        <v>774</v>
      </c>
      <c r="P138" s="941">
        <v>1</v>
      </c>
      <c r="Q138" s="683" t="s">
        <v>724</v>
      </c>
    </row>
    <row r="139" spans="1:17" ht="20.25" customHeight="1" x14ac:dyDescent="0.25">
      <c r="A139" s="62">
        <v>2</v>
      </c>
      <c r="B139" s="144"/>
      <c r="C139" s="152" t="s">
        <v>775</v>
      </c>
      <c r="D139" s="448" t="s">
        <v>776</v>
      </c>
      <c r="E139" s="153">
        <v>32</v>
      </c>
      <c r="F139" s="153" t="s">
        <v>79</v>
      </c>
      <c r="G139" s="316" t="s">
        <v>8</v>
      </c>
      <c r="H139" s="147"/>
      <c r="I139" s="877"/>
      <c r="J139" s="98">
        <f>58-18</f>
        <v>40</v>
      </c>
      <c r="K139" s="150"/>
      <c r="L139" s="793"/>
      <c r="M139" s="133"/>
      <c r="N139" s="795" t="s">
        <v>777</v>
      </c>
      <c r="O139" s="682"/>
      <c r="P139" s="941"/>
      <c r="Q139" s="683"/>
    </row>
    <row r="140" spans="1:17" ht="13.2" x14ac:dyDescent="0.25">
      <c r="A140" s="62">
        <v>2</v>
      </c>
      <c r="B140" s="151"/>
      <c r="C140" s="152" t="s">
        <v>775</v>
      </c>
      <c r="D140" s="448" t="s">
        <v>776</v>
      </c>
      <c r="E140" s="153">
        <v>32</v>
      </c>
      <c r="F140" s="153" t="s">
        <v>79</v>
      </c>
      <c r="G140" s="154" t="s">
        <v>10</v>
      </c>
      <c r="H140" s="449">
        <v>67.900000000000006</v>
      </c>
      <c r="I140" s="878">
        <v>67.900000000000006</v>
      </c>
      <c r="J140" s="98">
        <f>70-27.1</f>
        <v>42.9</v>
      </c>
      <c r="K140" s="450">
        <f>70</f>
        <v>70</v>
      </c>
      <c r="L140" s="794">
        <f>70</f>
        <v>70</v>
      </c>
      <c r="M140" s="133"/>
      <c r="N140" s="795" t="s">
        <v>777</v>
      </c>
      <c r="O140" s="157" t="s">
        <v>778</v>
      </c>
      <c r="P140" s="684">
        <v>60</v>
      </c>
      <c r="Q140" s="158"/>
    </row>
    <row r="141" spans="1:17" ht="21" x14ac:dyDescent="0.25">
      <c r="A141" s="62">
        <v>2</v>
      </c>
      <c r="B141" s="47"/>
      <c r="C141" s="159" t="s">
        <v>779</v>
      </c>
      <c r="D141" s="451" t="s">
        <v>780</v>
      </c>
      <c r="E141" s="76">
        <v>32</v>
      </c>
      <c r="F141" s="76" t="s">
        <v>79</v>
      </c>
      <c r="G141" s="160" t="s">
        <v>10</v>
      </c>
      <c r="H141" s="161">
        <v>10</v>
      </c>
      <c r="I141" s="879">
        <v>10</v>
      </c>
      <c r="J141" s="98">
        <v>5</v>
      </c>
      <c r="K141" s="452">
        <v>5</v>
      </c>
      <c r="L141" s="796">
        <v>5</v>
      </c>
      <c r="M141" s="133"/>
      <c r="N141" s="797" t="s">
        <v>758</v>
      </c>
      <c r="O141" s="70" t="s">
        <v>781</v>
      </c>
      <c r="P141" s="685">
        <v>55</v>
      </c>
      <c r="Q141" s="55"/>
    </row>
    <row r="142" spans="1:17" ht="20.399999999999999" x14ac:dyDescent="0.25">
      <c r="A142" s="62">
        <v>2</v>
      </c>
      <c r="B142" s="46"/>
      <c r="C142" s="136" t="s">
        <v>782</v>
      </c>
      <c r="D142" s="453" t="s">
        <v>783</v>
      </c>
      <c r="E142" s="73">
        <v>32</v>
      </c>
      <c r="F142" s="73" t="s">
        <v>79</v>
      </c>
      <c r="G142" s="162" t="s">
        <v>10</v>
      </c>
      <c r="H142" s="163">
        <v>50</v>
      </c>
      <c r="I142" s="880">
        <v>50</v>
      </c>
      <c r="J142" s="98">
        <v>20</v>
      </c>
      <c r="K142" s="454">
        <v>30</v>
      </c>
      <c r="L142" s="798">
        <v>30</v>
      </c>
      <c r="M142" s="133"/>
      <c r="N142" s="788" t="s">
        <v>777</v>
      </c>
      <c r="O142" s="81" t="s">
        <v>784</v>
      </c>
      <c r="P142" s="441">
        <v>22</v>
      </c>
      <c r="Q142" s="66"/>
    </row>
    <row r="143" spans="1:17" ht="20.399999999999999" x14ac:dyDescent="0.25">
      <c r="A143" s="62">
        <v>2</v>
      </c>
      <c r="B143" s="46"/>
      <c r="C143" s="162" t="s">
        <v>785</v>
      </c>
      <c r="D143" s="164" t="s">
        <v>786</v>
      </c>
      <c r="E143" s="138">
        <v>32</v>
      </c>
      <c r="F143" s="138" t="s">
        <v>757</v>
      </c>
      <c r="G143" s="162" t="s">
        <v>10</v>
      </c>
      <c r="H143" s="140"/>
      <c r="I143" s="875">
        <v>43</v>
      </c>
      <c r="J143" s="98">
        <f>31.9+63.9</f>
        <v>95.8</v>
      </c>
      <c r="K143" s="165">
        <v>35</v>
      </c>
      <c r="L143" s="799"/>
      <c r="M143" s="423"/>
      <c r="N143" s="788" t="s">
        <v>758</v>
      </c>
      <c r="O143" s="137" t="s">
        <v>787</v>
      </c>
      <c r="P143" s="441">
        <v>1</v>
      </c>
      <c r="Q143" s="66" t="s">
        <v>712</v>
      </c>
    </row>
    <row r="144" spans="1:17" ht="58.95" customHeight="1" x14ac:dyDescent="0.25">
      <c r="A144" s="62">
        <v>2</v>
      </c>
      <c r="B144" s="46"/>
      <c r="C144" s="162" t="s">
        <v>788</v>
      </c>
      <c r="D144" s="164" t="s">
        <v>789</v>
      </c>
      <c r="E144" s="138">
        <v>32</v>
      </c>
      <c r="F144" s="138" t="s">
        <v>79</v>
      </c>
      <c r="G144" s="162" t="s">
        <v>10</v>
      </c>
      <c r="H144" s="140">
        <v>2</v>
      </c>
      <c r="I144" s="875">
        <v>5</v>
      </c>
      <c r="J144" s="98">
        <f>52.8+1.6</f>
        <v>54.4</v>
      </c>
      <c r="K144" s="165">
        <f>36.8+1.6</f>
        <v>38.4</v>
      </c>
      <c r="L144" s="799"/>
      <c r="M144" s="423"/>
      <c r="N144" s="788" t="s">
        <v>777</v>
      </c>
      <c r="O144" s="137" t="s">
        <v>1890</v>
      </c>
      <c r="P144" s="73">
        <v>50</v>
      </c>
      <c r="Q144" s="680" t="s">
        <v>704</v>
      </c>
    </row>
    <row r="145" spans="1:17" ht="61.2" customHeight="1" x14ac:dyDescent="0.25">
      <c r="A145" s="62">
        <v>2</v>
      </c>
      <c r="B145" s="166"/>
      <c r="C145" s="167" t="s">
        <v>790</v>
      </c>
      <c r="D145" s="1245" t="s">
        <v>2027</v>
      </c>
      <c r="E145" s="168">
        <v>32</v>
      </c>
      <c r="F145" s="168" t="s">
        <v>79</v>
      </c>
      <c r="G145" s="167" t="s">
        <v>10</v>
      </c>
      <c r="H145" s="161"/>
      <c r="I145" s="879"/>
      <c r="J145" s="98">
        <f>62-2.2-36.8</f>
        <v>23</v>
      </c>
      <c r="K145" s="169">
        <v>54.9</v>
      </c>
      <c r="L145" s="800">
        <f>35.8+1.6</f>
        <v>37.4</v>
      </c>
      <c r="M145" s="423"/>
      <c r="N145" s="788" t="s">
        <v>773</v>
      </c>
      <c r="O145" s="137" t="s">
        <v>791</v>
      </c>
      <c r="P145" s="441">
        <v>1.8</v>
      </c>
      <c r="Q145" s="437" t="s">
        <v>792</v>
      </c>
    </row>
    <row r="146" spans="1:17" ht="20.399999999999999" x14ac:dyDescent="0.25">
      <c r="A146" s="62"/>
      <c r="B146" s="166"/>
      <c r="C146" s="1154"/>
      <c r="D146" s="1246"/>
      <c r="E146" s="1155">
        <v>20</v>
      </c>
      <c r="F146" s="168" t="s">
        <v>2076</v>
      </c>
      <c r="G146" s="1180" t="s">
        <v>10</v>
      </c>
      <c r="H146" s="161"/>
      <c r="I146" s="879"/>
      <c r="J146" s="98">
        <v>2.2000000000000002</v>
      </c>
      <c r="K146" s="169"/>
      <c r="L146" s="1156"/>
      <c r="M146" s="423"/>
      <c r="N146" s="797" t="s">
        <v>2029</v>
      </c>
      <c r="O146" s="1181" t="s">
        <v>2028</v>
      </c>
      <c r="P146" s="1182">
        <v>1</v>
      </c>
      <c r="Q146" s="437"/>
    </row>
    <row r="147" spans="1:17" ht="40.950000000000003" customHeight="1" x14ac:dyDescent="0.25">
      <c r="A147" s="62">
        <v>2</v>
      </c>
      <c r="B147" s="47"/>
      <c r="C147" s="170" t="s">
        <v>793</v>
      </c>
      <c r="D147" s="883" t="s">
        <v>794</v>
      </c>
      <c r="E147" s="171">
        <v>32</v>
      </c>
      <c r="F147" s="171" t="s">
        <v>795</v>
      </c>
      <c r="G147" s="173" t="s">
        <v>37</v>
      </c>
      <c r="H147" s="174"/>
      <c r="I147" s="881">
        <v>47.7</v>
      </c>
      <c r="J147" s="98">
        <f>129.6-18.7</f>
        <v>110.89999999999999</v>
      </c>
      <c r="K147" s="174">
        <v>20.3</v>
      </c>
      <c r="L147" s="801"/>
      <c r="M147" s="423"/>
      <c r="N147" s="802" t="s">
        <v>758</v>
      </c>
      <c r="O147" s="686" t="s">
        <v>796</v>
      </c>
      <c r="P147" s="687">
        <v>6</v>
      </c>
      <c r="Q147" s="55" t="s">
        <v>712</v>
      </c>
    </row>
    <row r="148" spans="1:17" ht="12.75" customHeight="1" x14ac:dyDescent="0.25">
      <c r="A148" s="62">
        <v>2</v>
      </c>
      <c r="B148" s="47"/>
      <c r="C148" s="170" t="s">
        <v>793</v>
      </c>
      <c r="D148" s="172"/>
      <c r="E148" s="171">
        <v>32</v>
      </c>
      <c r="F148" s="171" t="s">
        <v>795</v>
      </c>
      <c r="G148" s="173" t="s">
        <v>38</v>
      </c>
      <c r="H148" s="174"/>
      <c r="I148" s="881">
        <v>8.4</v>
      </c>
      <c r="J148" s="98">
        <f>22.9-3.3</f>
        <v>19.599999999999998</v>
      </c>
      <c r="K148" s="175">
        <v>3.6</v>
      </c>
      <c r="L148" s="803"/>
      <c r="M148" s="423"/>
      <c r="N148" s="802" t="s">
        <v>758</v>
      </c>
      <c r="O148" s="176"/>
      <c r="P148" s="677"/>
      <c r="Q148" s="55" t="s">
        <v>712</v>
      </c>
    </row>
    <row r="149" spans="1:17" ht="12.75" customHeight="1" x14ac:dyDescent="0.25">
      <c r="A149" s="62">
        <v>2</v>
      </c>
      <c r="B149" s="46"/>
      <c r="C149" s="177" t="s">
        <v>793</v>
      </c>
      <c r="D149" s="178"/>
      <c r="E149" s="179">
        <v>32</v>
      </c>
      <c r="F149" s="179" t="s">
        <v>795</v>
      </c>
      <c r="G149" s="318" t="s">
        <v>8</v>
      </c>
      <c r="H149" s="175"/>
      <c r="I149" s="570">
        <v>86.4</v>
      </c>
      <c r="J149" s="98">
        <f>159.1-102.2</f>
        <v>56.899999999999991</v>
      </c>
      <c r="K149" s="175">
        <v>0</v>
      </c>
      <c r="L149" s="803"/>
      <c r="M149" s="423" t="s">
        <v>619</v>
      </c>
      <c r="N149" s="1012" t="s">
        <v>758</v>
      </c>
      <c r="O149" s="176"/>
      <c r="P149" s="42"/>
      <c r="Q149" s="55" t="s">
        <v>712</v>
      </c>
    </row>
    <row r="150" spans="1:17" ht="13.2" x14ac:dyDescent="0.25">
      <c r="A150" s="62">
        <v>2</v>
      </c>
      <c r="B150" s="46"/>
      <c r="C150" s="177" t="s">
        <v>793</v>
      </c>
      <c r="D150" s="178"/>
      <c r="E150" s="179">
        <v>32</v>
      </c>
      <c r="F150" s="179" t="s">
        <v>795</v>
      </c>
      <c r="G150" s="180" t="s">
        <v>492</v>
      </c>
      <c r="H150" s="181">
        <f>SUM(H147:H149)</f>
        <v>0</v>
      </c>
      <c r="I150" s="181">
        <f>SUM(I147:I149)</f>
        <v>142.5</v>
      </c>
      <c r="J150" s="181">
        <f>SUM(J147:J149)</f>
        <v>187.39999999999998</v>
      </c>
      <c r="K150" s="181">
        <f t="shared" ref="K150:L150" si="14">SUM(K147:K149)</f>
        <v>23.900000000000002</v>
      </c>
      <c r="L150" s="804">
        <f t="shared" si="14"/>
        <v>0</v>
      </c>
      <c r="M150" s="423"/>
      <c r="N150" s="808"/>
      <c r="O150" s="176"/>
      <c r="P150" s="42"/>
      <c r="Q150" s="66"/>
    </row>
    <row r="151" spans="1:17" ht="30" customHeight="1" x14ac:dyDescent="0.25">
      <c r="A151" s="62">
        <v>2</v>
      </c>
      <c r="B151" s="177"/>
      <c r="C151" s="177" t="s">
        <v>797</v>
      </c>
      <c r="D151" s="883" t="s">
        <v>798</v>
      </c>
      <c r="E151" s="179">
        <v>32</v>
      </c>
      <c r="F151" s="179" t="s">
        <v>799</v>
      </c>
      <c r="G151" s="182" t="s">
        <v>37</v>
      </c>
      <c r="H151" s="183"/>
      <c r="I151" s="183"/>
      <c r="J151" s="98">
        <f>96.2-79.4</f>
        <v>16.799999999999997</v>
      </c>
      <c r="K151" s="183">
        <v>158.80000000000001</v>
      </c>
      <c r="L151" s="805"/>
      <c r="M151" s="423"/>
      <c r="N151" s="808" t="s">
        <v>758</v>
      </c>
      <c r="O151" s="176" t="s">
        <v>800</v>
      </c>
      <c r="P151" s="179">
        <v>4</v>
      </c>
      <c r="Q151" s="437" t="s">
        <v>792</v>
      </c>
    </row>
    <row r="152" spans="1:17" ht="12.75" customHeight="1" x14ac:dyDescent="0.25">
      <c r="A152" s="62">
        <v>2</v>
      </c>
      <c r="B152" s="177"/>
      <c r="C152" s="177" t="s">
        <v>797</v>
      </c>
      <c r="D152" s="178"/>
      <c r="E152" s="179">
        <v>32</v>
      </c>
      <c r="F152" s="179" t="s">
        <v>799</v>
      </c>
      <c r="G152" s="182" t="s">
        <v>38</v>
      </c>
      <c r="H152" s="183"/>
      <c r="I152" s="183"/>
      <c r="J152" s="98">
        <f>17-14.1</f>
        <v>2.9000000000000004</v>
      </c>
      <c r="K152" s="183">
        <v>28</v>
      </c>
      <c r="L152" s="805"/>
      <c r="M152" s="423"/>
      <c r="N152" s="808"/>
      <c r="O152" s="176"/>
      <c r="P152" s="184"/>
      <c r="Q152" s="437" t="s">
        <v>792</v>
      </c>
    </row>
    <row r="153" spans="1:17" ht="12.75" customHeight="1" x14ac:dyDescent="0.25">
      <c r="A153" s="62">
        <v>2</v>
      </c>
      <c r="B153" s="177"/>
      <c r="C153" s="177" t="s">
        <v>797</v>
      </c>
      <c r="D153" s="178"/>
      <c r="E153" s="179">
        <v>32</v>
      </c>
      <c r="F153" s="179" t="s">
        <v>799</v>
      </c>
      <c r="G153" s="182" t="s">
        <v>801</v>
      </c>
      <c r="H153" s="183"/>
      <c r="I153" s="183"/>
      <c r="J153" s="98">
        <f>34.8-28.7</f>
        <v>6.0999999999999979</v>
      </c>
      <c r="K153" s="183">
        <v>57.5</v>
      </c>
      <c r="L153" s="805"/>
      <c r="M153" s="423"/>
      <c r="N153" s="808"/>
      <c r="O153" s="176"/>
      <c r="P153" s="184"/>
      <c r="Q153" s="437" t="s">
        <v>792</v>
      </c>
    </row>
    <row r="154" spans="1:17" ht="12.75" customHeight="1" x14ac:dyDescent="0.25">
      <c r="A154" s="62">
        <v>2</v>
      </c>
      <c r="B154" s="177"/>
      <c r="C154" s="177" t="s">
        <v>797</v>
      </c>
      <c r="D154" s="178"/>
      <c r="E154" s="179">
        <v>32</v>
      </c>
      <c r="F154" s="179" t="s">
        <v>799</v>
      </c>
      <c r="G154" s="182" t="s">
        <v>8</v>
      </c>
      <c r="H154" s="183"/>
      <c r="I154" s="183"/>
      <c r="J154" s="98">
        <f>26.1-21.5</f>
        <v>4.6000000000000014</v>
      </c>
      <c r="K154" s="183">
        <v>43.1</v>
      </c>
      <c r="L154" s="805"/>
      <c r="M154" s="423" t="s">
        <v>619</v>
      </c>
      <c r="N154" s="808"/>
      <c r="O154" s="176"/>
      <c r="P154" s="184"/>
      <c r="Q154" s="437" t="s">
        <v>792</v>
      </c>
    </row>
    <row r="155" spans="1:17" ht="13.2" x14ac:dyDescent="0.25">
      <c r="A155" s="62">
        <v>2</v>
      </c>
      <c r="B155" s="177"/>
      <c r="C155" s="177" t="s">
        <v>797</v>
      </c>
      <c r="D155" s="49"/>
      <c r="E155" s="179">
        <v>32</v>
      </c>
      <c r="F155" s="179" t="s">
        <v>799</v>
      </c>
      <c r="G155" s="180" t="s">
        <v>492</v>
      </c>
      <c r="H155" s="105"/>
      <c r="I155" s="105">
        <f>SUM(I151:I154)</f>
        <v>0</v>
      </c>
      <c r="J155" s="105">
        <f t="shared" ref="J155:L155" si="15">SUM(J151:J154)</f>
        <v>30.399999999999995</v>
      </c>
      <c r="K155" s="105">
        <f t="shared" si="15"/>
        <v>287.40000000000003</v>
      </c>
      <c r="L155" s="750">
        <f t="shared" si="15"/>
        <v>0</v>
      </c>
      <c r="M155" s="133"/>
      <c r="N155" s="389"/>
      <c r="O155" s="117"/>
      <c r="P155" s="42"/>
      <c r="Q155" s="66"/>
    </row>
    <row r="156" spans="1:17" ht="13.2" x14ac:dyDescent="0.25">
      <c r="A156" s="62">
        <v>2</v>
      </c>
      <c r="B156" s="112" t="s">
        <v>802</v>
      </c>
      <c r="C156" s="112" t="s">
        <v>802</v>
      </c>
      <c r="D156" s="132" t="s">
        <v>81</v>
      </c>
      <c r="E156" s="116"/>
      <c r="F156" s="73"/>
      <c r="G156" s="133"/>
      <c r="H156" s="7"/>
      <c r="I156" s="188" t="e">
        <f>I158+I164+#REF!</f>
        <v>#REF!</v>
      </c>
      <c r="J156" s="113"/>
      <c r="K156" s="188"/>
      <c r="L156" s="785"/>
      <c r="M156" s="133"/>
      <c r="N156" s="389"/>
      <c r="O156" s="117"/>
      <c r="P156" s="42"/>
      <c r="Q156" s="66"/>
    </row>
    <row r="157" spans="1:17" ht="45" customHeight="1" x14ac:dyDescent="0.25">
      <c r="A157" s="62">
        <v>2</v>
      </c>
      <c r="B157" s="46"/>
      <c r="C157" s="46" t="s">
        <v>803</v>
      </c>
      <c r="D157" s="850" t="s">
        <v>82</v>
      </c>
      <c r="E157" s="42">
        <v>32</v>
      </c>
      <c r="F157" s="42" t="s">
        <v>83</v>
      </c>
      <c r="G157" s="15" t="s">
        <v>10</v>
      </c>
      <c r="H157" s="37">
        <v>212</v>
      </c>
      <c r="I157" s="15">
        <v>212</v>
      </c>
      <c r="J157" s="98">
        <v>212</v>
      </c>
      <c r="K157" s="15">
        <v>212</v>
      </c>
      <c r="L157" s="33">
        <v>212</v>
      </c>
      <c r="M157" s="133"/>
      <c r="N157" s="389" t="s">
        <v>758</v>
      </c>
      <c r="O157" s="117" t="s">
        <v>804</v>
      </c>
      <c r="P157" s="42">
        <v>100</v>
      </c>
      <c r="Q157" s="66" t="s">
        <v>805</v>
      </c>
    </row>
    <row r="158" spans="1:17" ht="13.2" x14ac:dyDescent="0.25">
      <c r="A158" s="62">
        <v>2</v>
      </c>
      <c r="B158" s="46"/>
      <c r="C158" s="46" t="s">
        <v>803</v>
      </c>
      <c r="D158" s="49"/>
      <c r="E158" s="42"/>
      <c r="F158" s="42"/>
      <c r="G158" s="103" t="s">
        <v>492</v>
      </c>
      <c r="H158" s="105">
        <f>SUM(H157)</f>
        <v>212</v>
      </c>
      <c r="I158" s="105">
        <f>I157</f>
        <v>212</v>
      </c>
      <c r="J158" s="105">
        <f t="shared" ref="J158:L158" si="16">J157</f>
        <v>212</v>
      </c>
      <c r="K158" s="105">
        <f t="shared" si="16"/>
        <v>212</v>
      </c>
      <c r="L158" s="750">
        <f t="shared" si="16"/>
        <v>212</v>
      </c>
      <c r="M158" s="133"/>
      <c r="N158" s="389"/>
      <c r="O158" s="117"/>
      <c r="P158" s="42"/>
      <c r="Q158" s="66"/>
    </row>
    <row r="159" spans="1:17" ht="36" customHeight="1" x14ac:dyDescent="0.25">
      <c r="A159" s="62">
        <v>2</v>
      </c>
      <c r="B159" s="46"/>
      <c r="C159" s="46" t="s">
        <v>806</v>
      </c>
      <c r="D159" s="49" t="s">
        <v>807</v>
      </c>
      <c r="E159" s="42">
        <v>32</v>
      </c>
      <c r="F159" s="42" t="s">
        <v>83</v>
      </c>
      <c r="G159" s="42" t="s">
        <v>10</v>
      </c>
      <c r="H159" s="37"/>
      <c r="I159" s="882">
        <v>10</v>
      </c>
      <c r="J159" s="98">
        <v>10</v>
      </c>
      <c r="K159" s="183">
        <v>10</v>
      </c>
      <c r="L159" s="807">
        <v>62</v>
      </c>
      <c r="M159" s="423"/>
      <c r="N159" s="808" t="s">
        <v>758</v>
      </c>
      <c r="O159" s="176" t="s">
        <v>808</v>
      </c>
      <c r="P159" s="677">
        <v>20</v>
      </c>
      <c r="Q159" s="66"/>
    </row>
    <row r="160" spans="1:17" ht="38.4" customHeight="1" x14ac:dyDescent="0.25">
      <c r="A160" s="62">
        <v>2</v>
      </c>
      <c r="B160" s="46"/>
      <c r="C160" s="46" t="s">
        <v>809</v>
      </c>
      <c r="D160" s="49" t="s">
        <v>810</v>
      </c>
      <c r="E160" s="42">
        <v>32</v>
      </c>
      <c r="F160" s="42" t="s">
        <v>83</v>
      </c>
      <c r="G160" s="42" t="s">
        <v>10</v>
      </c>
      <c r="H160" s="37"/>
      <c r="I160" s="882">
        <v>95</v>
      </c>
      <c r="J160" s="98">
        <v>140</v>
      </c>
      <c r="K160" s="183">
        <v>140</v>
      </c>
      <c r="L160" s="807">
        <v>150</v>
      </c>
      <c r="M160" s="423"/>
      <c r="N160" s="808" t="s">
        <v>758</v>
      </c>
      <c r="O160" s="176" t="s">
        <v>811</v>
      </c>
      <c r="P160" s="42">
        <v>7</v>
      </c>
      <c r="Q160" s="66"/>
    </row>
    <row r="161" spans="1:17" ht="31.2" customHeight="1" x14ac:dyDescent="0.25">
      <c r="A161" s="62">
        <v>2</v>
      </c>
      <c r="B161" s="46"/>
      <c r="C161" s="46" t="s">
        <v>812</v>
      </c>
      <c r="D161" s="442" t="s">
        <v>813</v>
      </c>
      <c r="E161" s="42">
        <v>32</v>
      </c>
      <c r="F161" s="42" t="s">
        <v>83</v>
      </c>
      <c r="G161" s="42" t="s">
        <v>10</v>
      </c>
      <c r="H161" s="37"/>
      <c r="I161" s="882">
        <v>105</v>
      </c>
      <c r="J161" s="98">
        <v>60.5</v>
      </c>
      <c r="K161" s="183">
        <v>60.5</v>
      </c>
      <c r="L161" s="807"/>
      <c r="M161" s="423"/>
      <c r="N161" s="808" t="s">
        <v>758</v>
      </c>
      <c r="O161" s="176" t="s">
        <v>787</v>
      </c>
      <c r="P161" s="677">
        <v>1</v>
      </c>
      <c r="Q161" s="66" t="s">
        <v>712</v>
      </c>
    </row>
    <row r="162" spans="1:17" ht="32.25" customHeight="1" x14ac:dyDescent="0.25">
      <c r="A162" s="62">
        <v>2</v>
      </c>
      <c r="B162" s="46"/>
      <c r="C162" s="46" t="s">
        <v>814</v>
      </c>
      <c r="D162" s="74" t="s">
        <v>815</v>
      </c>
      <c r="E162" s="42">
        <v>32</v>
      </c>
      <c r="F162" s="42" t="s">
        <v>83</v>
      </c>
      <c r="G162" s="42" t="s">
        <v>10</v>
      </c>
      <c r="H162" s="37"/>
      <c r="I162" s="882">
        <v>2</v>
      </c>
      <c r="J162" s="98">
        <v>1.5</v>
      </c>
      <c r="K162" s="183">
        <v>1.5</v>
      </c>
      <c r="L162" s="807"/>
      <c r="M162" s="423"/>
      <c r="N162" s="808" t="s">
        <v>758</v>
      </c>
      <c r="O162" s="176" t="s">
        <v>816</v>
      </c>
      <c r="P162" s="42">
        <v>1</v>
      </c>
      <c r="Q162" s="66" t="s">
        <v>712</v>
      </c>
    </row>
    <row r="163" spans="1:17" ht="26.4" customHeight="1" x14ac:dyDescent="0.25">
      <c r="A163" s="62">
        <v>2</v>
      </c>
      <c r="B163" s="46" t="s">
        <v>802</v>
      </c>
      <c r="C163" s="46" t="s">
        <v>817</v>
      </c>
      <c r="D163" s="850" t="s">
        <v>84</v>
      </c>
      <c r="E163" s="42">
        <v>32</v>
      </c>
      <c r="F163" s="42" t="s">
        <v>85</v>
      </c>
      <c r="G163" s="42" t="s">
        <v>10</v>
      </c>
      <c r="H163" s="37">
        <v>3.5</v>
      </c>
      <c r="I163" s="123">
        <v>3.5</v>
      </c>
      <c r="J163" s="98">
        <v>3.5</v>
      </c>
      <c r="K163" s="183">
        <v>3.5</v>
      </c>
      <c r="L163" s="807">
        <v>3.5</v>
      </c>
      <c r="M163" s="423"/>
      <c r="N163" s="808" t="s">
        <v>777</v>
      </c>
      <c r="O163" s="176" t="s">
        <v>818</v>
      </c>
      <c r="P163" s="42">
        <v>1</v>
      </c>
      <c r="Q163" s="66"/>
    </row>
    <row r="164" spans="1:17" ht="13.2" x14ac:dyDescent="0.25">
      <c r="A164" s="62">
        <v>2</v>
      </c>
      <c r="B164" s="46" t="s">
        <v>802</v>
      </c>
      <c r="C164" s="46" t="s">
        <v>817</v>
      </c>
      <c r="D164" s="49"/>
      <c r="E164" s="42"/>
      <c r="F164" s="42" t="s">
        <v>85</v>
      </c>
      <c r="G164" s="103" t="s">
        <v>492</v>
      </c>
      <c r="H164" s="105">
        <f>SUM(H163)</f>
        <v>3.5</v>
      </c>
      <c r="I164" s="105">
        <f>I163</f>
        <v>3.5</v>
      </c>
      <c r="J164" s="105">
        <f t="shared" ref="J164:L164" si="17">J163</f>
        <v>3.5</v>
      </c>
      <c r="K164" s="105">
        <f t="shared" si="17"/>
        <v>3.5</v>
      </c>
      <c r="L164" s="750">
        <f t="shared" si="17"/>
        <v>3.5</v>
      </c>
      <c r="M164" s="133"/>
      <c r="N164" s="389"/>
      <c r="O164" s="117"/>
      <c r="P164" s="42"/>
      <c r="Q164" s="66"/>
    </row>
    <row r="165" spans="1:17" ht="30.6" customHeight="1" x14ac:dyDescent="0.25">
      <c r="A165" s="62">
        <v>2</v>
      </c>
      <c r="B165" s="93"/>
      <c r="C165" s="93"/>
      <c r="D165" s="94" t="s">
        <v>819</v>
      </c>
      <c r="E165" s="95"/>
      <c r="F165" s="96"/>
      <c r="G165" s="95"/>
      <c r="H165" s="95"/>
      <c r="I165" s="95"/>
      <c r="J165" s="95"/>
      <c r="K165" s="95"/>
      <c r="L165" s="422"/>
      <c r="M165" s="133"/>
      <c r="N165" s="389"/>
      <c r="O165" s="117"/>
      <c r="P165" s="42"/>
      <c r="Q165" s="66"/>
    </row>
    <row r="166" spans="1:17" ht="12.75" customHeight="1" x14ac:dyDescent="0.25">
      <c r="A166" s="62">
        <v>2</v>
      </c>
      <c r="B166" s="112" t="s">
        <v>820</v>
      </c>
      <c r="C166" s="112" t="s">
        <v>820</v>
      </c>
      <c r="D166" s="132" t="s">
        <v>821</v>
      </c>
      <c r="E166" s="116"/>
      <c r="F166" s="73"/>
      <c r="G166" s="133"/>
      <c r="H166" s="7"/>
      <c r="I166" s="113" t="e">
        <f>SUM(I168,#REF!,I170,#REF!,#REF!,I175,I179,#REF!,I181,I190,#REF!,I192,I195)</f>
        <v>#REF!</v>
      </c>
      <c r="J166" s="113"/>
      <c r="K166" s="113"/>
      <c r="L166" s="806"/>
      <c r="M166" s="133"/>
      <c r="N166" s="389"/>
      <c r="O166" s="117"/>
      <c r="P166" s="42"/>
      <c r="Q166" s="66"/>
    </row>
    <row r="167" spans="1:17" ht="27" customHeight="1" x14ac:dyDescent="0.25">
      <c r="A167" s="62">
        <v>2</v>
      </c>
      <c r="B167" s="46"/>
      <c r="C167" s="46" t="s">
        <v>822</v>
      </c>
      <c r="D167" s="809" t="s">
        <v>823</v>
      </c>
      <c r="E167" s="42" t="s">
        <v>39</v>
      </c>
      <c r="F167" s="185" t="s">
        <v>824</v>
      </c>
      <c r="G167" s="62" t="s">
        <v>8</v>
      </c>
      <c r="H167" s="37"/>
      <c r="I167" s="15">
        <f>100-100</f>
        <v>0</v>
      </c>
      <c r="J167" s="98">
        <f>212+100-22-222-68</f>
        <v>0</v>
      </c>
      <c r="K167" s="15">
        <v>60</v>
      </c>
      <c r="L167" s="33"/>
      <c r="M167" s="133" t="s">
        <v>702</v>
      </c>
      <c r="N167" s="389" t="s">
        <v>1947</v>
      </c>
      <c r="O167" s="176" t="s">
        <v>825</v>
      </c>
      <c r="P167" s="42" t="s">
        <v>826</v>
      </c>
      <c r="Q167" s="66" t="s">
        <v>827</v>
      </c>
    </row>
    <row r="168" spans="1:17" ht="13.2" x14ac:dyDescent="0.25">
      <c r="A168" s="62">
        <v>2</v>
      </c>
      <c r="B168" s="46"/>
      <c r="C168" s="46"/>
      <c r="D168" s="49"/>
      <c r="E168" s="42"/>
      <c r="F168" s="185"/>
      <c r="G168" s="103" t="s">
        <v>492</v>
      </c>
      <c r="H168" s="105">
        <f>SUM(H167:H167)</f>
        <v>0</v>
      </c>
      <c r="I168" s="105">
        <f>SUM(I167)</f>
        <v>0</v>
      </c>
      <c r="J168" s="105">
        <f t="shared" ref="J168:L168" si="18">SUM(J167)</f>
        <v>0</v>
      </c>
      <c r="K168" s="105">
        <f t="shared" si="18"/>
        <v>60</v>
      </c>
      <c r="L168" s="750">
        <f t="shared" si="18"/>
        <v>0</v>
      </c>
      <c r="M168" s="133"/>
      <c r="N168" s="389"/>
      <c r="O168" s="117"/>
      <c r="P168" s="42"/>
      <c r="Q168" s="66"/>
    </row>
    <row r="169" spans="1:17" ht="27" customHeight="1" x14ac:dyDescent="0.25">
      <c r="A169" s="62">
        <v>2</v>
      </c>
      <c r="B169" s="46"/>
      <c r="C169" s="46" t="s">
        <v>828</v>
      </c>
      <c r="D169" s="809" t="s">
        <v>87</v>
      </c>
      <c r="E169" s="42" t="s">
        <v>88</v>
      </c>
      <c r="F169" s="185" t="s">
        <v>829</v>
      </c>
      <c r="G169" s="62" t="s">
        <v>8</v>
      </c>
      <c r="H169" s="37"/>
      <c r="I169" s="15">
        <v>32.4</v>
      </c>
      <c r="J169" s="98">
        <v>34.9</v>
      </c>
      <c r="K169" s="15">
        <v>34.9</v>
      </c>
      <c r="L169" s="33">
        <v>34.9</v>
      </c>
      <c r="M169" s="133" t="s">
        <v>629</v>
      </c>
      <c r="N169" s="117" t="s">
        <v>1766</v>
      </c>
      <c r="O169" s="117" t="s">
        <v>1074</v>
      </c>
      <c r="P169" s="42">
        <v>100</v>
      </c>
      <c r="Q169" s="66"/>
    </row>
    <row r="170" spans="1:17" ht="12.75" customHeight="1" x14ac:dyDescent="0.25">
      <c r="A170" s="62">
        <v>2</v>
      </c>
      <c r="B170" s="46"/>
      <c r="C170" s="46"/>
      <c r="D170" s="35"/>
      <c r="E170" s="42"/>
      <c r="F170" s="185"/>
      <c r="G170" s="103" t="s">
        <v>492</v>
      </c>
      <c r="H170" s="105">
        <f>SUM(H169:H169)</f>
        <v>0</v>
      </c>
      <c r="I170" s="105">
        <f>SUM(I169)</f>
        <v>32.4</v>
      </c>
      <c r="J170" s="105">
        <f t="shared" ref="J170:L170" si="19">SUM(J169)</f>
        <v>34.9</v>
      </c>
      <c r="K170" s="105">
        <f t="shared" si="19"/>
        <v>34.9</v>
      </c>
      <c r="L170" s="750">
        <f t="shared" si="19"/>
        <v>34.9</v>
      </c>
      <c r="M170" s="133"/>
      <c r="N170" s="389"/>
      <c r="O170" s="186"/>
      <c r="P170" s="42"/>
      <c r="Q170" s="66"/>
    </row>
    <row r="171" spans="1:17" ht="30.6" customHeight="1" x14ac:dyDescent="0.25">
      <c r="A171" s="62">
        <v>2</v>
      </c>
      <c r="B171" s="46"/>
      <c r="C171" s="46" t="s">
        <v>830</v>
      </c>
      <c r="D171" s="809" t="s">
        <v>831</v>
      </c>
      <c r="E171" s="42" t="s">
        <v>832</v>
      </c>
      <c r="F171" s="42" t="s">
        <v>833</v>
      </c>
      <c r="G171" s="62" t="s">
        <v>8</v>
      </c>
      <c r="H171" s="37"/>
      <c r="I171" s="15">
        <f>50-5-45</f>
        <v>0</v>
      </c>
      <c r="J171" s="98">
        <v>45</v>
      </c>
      <c r="K171" s="37"/>
      <c r="L171" s="48"/>
      <c r="M171" s="133" t="s">
        <v>619</v>
      </c>
      <c r="N171" s="389" t="s">
        <v>575</v>
      </c>
      <c r="O171" s="117" t="s">
        <v>834</v>
      </c>
      <c r="P171" s="42">
        <v>1</v>
      </c>
      <c r="Q171" s="66" t="s">
        <v>724</v>
      </c>
    </row>
    <row r="172" spans="1:17" ht="22.2" customHeight="1" x14ac:dyDescent="0.25">
      <c r="A172" s="62">
        <v>2</v>
      </c>
      <c r="B172" s="46"/>
      <c r="C172" s="46" t="s">
        <v>830</v>
      </c>
      <c r="D172" s="35"/>
      <c r="E172" s="42">
        <v>10</v>
      </c>
      <c r="F172" s="42" t="s">
        <v>833</v>
      </c>
      <c r="G172" s="62" t="s">
        <v>8</v>
      </c>
      <c r="H172" s="37"/>
      <c r="I172" s="15"/>
      <c r="J172" s="98">
        <v>3</v>
      </c>
      <c r="K172" s="37">
        <v>2</v>
      </c>
      <c r="L172" s="48">
        <v>2</v>
      </c>
      <c r="M172" s="133" t="s">
        <v>619</v>
      </c>
      <c r="N172" s="389" t="s">
        <v>1984</v>
      </c>
      <c r="O172" s="117" t="s">
        <v>836</v>
      </c>
      <c r="P172" s="42">
        <v>1</v>
      </c>
      <c r="Q172" s="66" t="s">
        <v>724</v>
      </c>
    </row>
    <row r="173" spans="1:17" ht="12.75" customHeight="1" x14ac:dyDescent="0.25">
      <c r="A173" s="62">
        <v>2</v>
      </c>
      <c r="B173" s="46"/>
      <c r="C173" s="46"/>
      <c r="D173" s="49"/>
      <c r="E173" s="42" t="s">
        <v>832</v>
      </c>
      <c r="F173" s="42" t="s">
        <v>833</v>
      </c>
      <c r="G173" s="42" t="s">
        <v>37</v>
      </c>
      <c r="H173" s="37"/>
      <c r="I173" s="15">
        <f>48.5-48.5</f>
        <v>0</v>
      </c>
      <c r="J173" s="98">
        <v>48.5</v>
      </c>
      <c r="K173" s="37"/>
      <c r="L173" s="48"/>
      <c r="M173" s="133"/>
      <c r="N173" s="389"/>
      <c r="O173" s="117"/>
      <c r="P173" s="42"/>
      <c r="Q173" s="66" t="s">
        <v>724</v>
      </c>
    </row>
    <row r="174" spans="1:17" ht="12.75" customHeight="1" x14ac:dyDescent="0.25">
      <c r="A174" s="62">
        <v>2</v>
      </c>
      <c r="B174" s="46"/>
      <c r="C174" s="46"/>
      <c r="D174" s="60"/>
      <c r="E174" s="42" t="s">
        <v>832</v>
      </c>
      <c r="F174" s="42" t="s">
        <v>833</v>
      </c>
      <c r="G174" s="42" t="s">
        <v>38</v>
      </c>
      <c r="H174" s="37"/>
      <c r="I174" s="15"/>
      <c r="J174" s="98">
        <v>6.1</v>
      </c>
      <c r="K174" s="37"/>
      <c r="L174" s="48"/>
      <c r="M174" s="133"/>
      <c r="N174" s="389"/>
      <c r="O174" s="117"/>
      <c r="P174" s="42"/>
      <c r="Q174" s="66"/>
    </row>
    <row r="175" spans="1:17" ht="13.2" x14ac:dyDescent="0.25">
      <c r="A175" s="62">
        <v>2</v>
      </c>
      <c r="B175" s="46"/>
      <c r="C175" s="46"/>
      <c r="D175" s="60"/>
      <c r="E175" s="42"/>
      <c r="F175" s="42"/>
      <c r="G175" s="103" t="s">
        <v>492</v>
      </c>
      <c r="H175" s="105">
        <f>SUM(H173:H173)</f>
        <v>0</v>
      </c>
      <c r="I175" s="105">
        <f>SUM(I171:I173)</f>
        <v>0</v>
      </c>
      <c r="J175" s="105">
        <f>SUM(J171:J174)</f>
        <v>102.6</v>
      </c>
      <c r="K175" s="105">
        <f t="shared" ref="K175:L175" si="20">SUM(K171:K173)</f>
        <v>2</v>
      </c>
      <c r="L175" s="750">
        <f t="shared" si="20"/>
        <v>2</v>
      </c>
      <c r="M175" s="133"/>
      <c r="N175" s="389"/>
      <c r="O175" s="117"/>
      <c r="P175" s="42"/>
      <c r="Q175" s="66"/>
    </row>
    <row r="176" spans="1:17" ht="33.75" customHeight="1" x14ac:dyDescent="0.25">
      <c r="A176" s="62">
        <v>2</v>
      </c>
      <c r="B176" s="46"/>
      <c r="C176" s="46" t="s">
        <v>837</v>
      </c>
      <c r="D176" s="810" t="s">
        <v>838</v>
      </c>
      <c r="E176" s="42" t="s">
        <v>39</v>
      </c>
      <c r="F176" s="42" t="s">
        <v>839</v>
      </c>
      <c r="G176" s="80" t="s">
        <v>594</v>
      </c>
      <c r="H176" s="37"/>
      <c r="I176" s="15"/>
      <c r="J176" s="98">
        <v>200</v>
      </c>
      <c r="K176" s="37">
        <v>200</v>
      </c>
      <c r="L176" s="48"/>
      <c r="M176" s="133" t="s">
        <v>689</v>
      </c>
      <c r="N176" s="821"/>
      <c r="O176" s="186"/>
      <c r="P176" s="62"/>
      <c r="Q176" s="67" t="s">
        <v>712</v>
      </c>
    </row>
    <row r="177" spans="1:17" ht="34.200000000000003" customHeight="1" x14ac:dyDescent="0.25">
      <c r="A177" s="62">
        <v>2</v>
      </c>
      <c r="B177" s="46"/>
      <c r="C177" s="46"/>
      <c r="D177" s="811"/>
      <c r="E177" s="42" t="s">
        <v>39</v>
      </c>
      <c r="F177" s="42" t="s">
        <v>839</v>
      </c>
      <c r="G177" s="80" t="s">
        <v>37</v>
      </c>
      <c r="H177" s="37"/>
      <c r="I177" s="15"/>
      <c r="J177" s="98">
        <v>800</v>
      </c>
      <c r="K177" s="37">
        <v>800</v>
      </c>
      <c r="L177" s="48"/>
      <c r="M177" s="133" t="s">
        <v>689</v>
      </c>
      <c r="N177" s="1013" t="s">
        <v>1884</v>
      </c>
      <c r="O177" s="812" t="s">
        <v>841</v>
      </c>
      <c r="P177" s="42" t="s">
        <v>842</v>
      </c>
      <c r="Q177" s="66" t="s">
        <v>712</v>
      </c>
    </row>
    <row r="178" spans="1:17" ht="12.75" customHeight="1" x14ac:dyDescent="0.25">
      <c r="A178" s="62">
        <v>2</v>
      </c>
      <c r="B178" s="46"/>
      <c r="C178" s="46"/>
      <c r="D178" s="813"/>
      <c r="E178" s="42" t="s">
        <v>39</v>
      </c>
      <c r="F178" s="42" t="s">
        <v>839</v>
      </c>
      <c r="G178" s="80" t="s">
        <v>8</v>
      </c>
      <c r="H178" s="37"/>
      <c r="I178" s="123">
        <v>98.5</v>
      </c>
      <c r="J178" s="98">
        <f>20+15.2</f>
        <v>35.200000000000003</v>
      </c>
      <c r="K178" s="15"/>
      <c r="L178" s="33"/>
      <c r="M178" s="133" t="s">
        <v>689</v>
      </c>
      <c r="N178" s="821" t="s">
        <v>1947</v>
      </c>
      <c r="O178" s="117" t="s">
        <v>843</v>
      </c>
      <c r="P178" s="42">
        <v>1</v>
      </c>
      <c r="Q178" s="66" t="s">
        <v>712</v>
      </c>
    </row>
    <row r="179" spans="1:17" ht="13.2" x14ac:dyDescent="0.25">
      <c r="A179" s="62">
        <v>2</v>
      </c>
      <c r="B179" s="46"/>
      <c r="C179" s="46"/>
      <c r="D179" s="61"/>
      <c r="E179" s="42"/>
      <c r="F179" s="42"/>
      <c r="G179" s="103" t="s">
        <v>492</v>
      </c>
      <c r="H179" s="105">
        <f>SUM(H178:H178)</f>
        <v>0</v>
      </c>
      <c r="I179" s="105">
        <f>SUM(I176:I178)</f>
        <v>98.5</v>
      </c>
      <c r="J179" s="105">
        <f t="shared" ref="J179:L179" si="21">SUM(J176:J178)</f>
        <v>1035.2</v>
      </c>
      <c r="K179" s="105">
        <f t="shared" si="21"/>
        <v>1000</v>
      </c>
      <c r="L179" s="750">
        <f t="shared" si="21"/>
        <v>0</v>
      </c>
      <c r="M179" s="133" t="s">
        <v>689</v>
      </c>
      <c r="N179" s="389"/>
      <c r="O179" s="117"/>
      <c r="P179" s="42"/>
      <c r="Q179" s="66"/>
    </row>
    <row r="180" spans="1:17" ht="20.399999999999999" x14ac:dyDescent="0.25">
      <c r="A180" s="62">
        <v>2</v>
      </c>
      <c r="B180" s="46"/>
      <c r="C180" s="46" t="s">
        <v>844</v>
      </c>
      <c r="D180" s="809" t="s">
        <v>89</v>
      </c>
      <c r="E180" s="42" t="s">
        <v>845</v>
      </c>
      <c r="F180" s="185" t="s">
        <v>846</v>
      </c>
      <c r="G180" s="62" t="s">
        <v>8</v>
      </c>
      <c r="H180" s="37"/>
      <c r="I180" s="15">
        <f>SUM(I182:I187)</f>
        <v>23</v>
      </c>
      <c r="J180" s="98">
        <f>SUM(J182:J187)</f>
        <v>72</v>
      </c>
      <c r="K180" s="98">
        <f>SUM(K182:K187)</f>
        <v>0</v>
      </c>
      <c r="L180" s="125">
        <f>SUM(L182:L187)</f>
        <v>0</v>
      </c>
      <c r="M180" s="133" t="s">
        <v>702</v>
      </c>
      <c r="N180" s="1014"/>
      <c r="O180" s="403"/>
      <c r="P180" s="41"/>
      <c r="Q180" s="66"/>
    </row>
    <row r="181" spans="1:17" ht="13.2" x14ac:dyDescent="0.25">
      <c r="A181" s="62">
        <v>2</v>
      </c>
      <c r="B181" s="46"/>
      <c r="C181" s="46"/>
      <c r="D181" s="35"/>
      <c r="E181" s="42"/>
      <c r="F181" s="185"/>
      <c r="G181" s="103" t="s">
        <v>492</v>
      </c>
      <c r="H181" s="105">
        <f>SUM(H180:H180)</f>
        <v>0</v>
      </c>
      <c r="I181" s="105">
        <f>SUM(I180)</f>
        <v>23</v>
      </c>
      <c r="J181" s="105">
        <f t="shared" ref="J181:L181" si="22">SUM(J180)</f>
        <v>72</v>
      </c>
      <c r="K181" s="105">
        <f t="shared" si="22"/>
        <v>0</v>
      </c>
      <c r="L181" s="750">
        <f t="shared" si="22"/>
        <v>0</v>
      </c>
      <c r="M181" s="133"/>
      <c r="N181" s="389"/>
      <c r="O181" s="189"/>
      <c r="P181" s="42"/>
      <c r="Q181" s="66"/>
    </row>
    <row r="182" spans="1:17" ht="19.5" customHeight="1" x14ac:dyDescent="0.25">
      <c r="A182" s="62">
        <v>2</v>
      </c>
      <c r="B182" s="46"/>
      <c r="C182" s="46"/>
      <c r="D182" s="190" t="s">
        <v>847</v>
      </c>
      <c r="E182" s="42" t="s">
        <v>98</v>
      </c>
      <c r="F182" s="185" t="s">
        <v>846</v>
      </c>
      <c r="G182" s="62" t="s">
        <v>8</v>
      </c>
      <c r="H182" s="37"/>
      <c r="I182" s="15">
        <f>60-60</f>
        <v>0</v>
      </c>
      <c r="J182" s="98">
        <f>60-14.8-11.7</f>
        <v>33.5</v>
      </c>
      <c r="K182" s="20"/>
      <c r="L182" s="56"/>
      <c r="M182" s="133"/>
      <c r="N182" s="389" t="s">
        <v>848</v>
      </c>
      <c r="O182" s="82" t="s">
        <v>849</v>
      </c>
      <c r="P182" s="101">
        <v>50</v>
      </c>
      <c r="Q182" s="66" t="s">
        <v>708</v>
      </c>
    </row>
    <row r="183" spans="1:17" ht="18.600000000000001" customHeight="1" x14ac:dyDescent="0.25">
      <c r="A183" s="62">
        <v>2</v>
      </c>
      <c r="B183" s="46"/>
      <c r="C183" s="46"/>
      <c r="D183" s="455" t="s">
        <v>850</v>
      </c>
      <c r="E183" s="42" t="s">
        <v>90</v>
      </c>
      <c r="F183" s="185" t="s">
        <v>846</v>
      </c>
      <c r="G183" s="62" t="s">
        <v>8</v>
      </c>
      <c r="H183" s="37"/>
      <c r="I183" s="15">
        <v>6</v>
      </c>
      <c r="J183" s="98">
        <v>6.5</v>
      </c>
      <c r="K183" s="20"/>
      <c r="L183" s="56"/>
      <c r="M183" s="133"/>
      <c r="N183" s="389" t="s">
        <v>577</v>
      </c>
      <c r="O183" s="117" t="s">
        <v>851</v>
      </c>
      <c r="P183" s="42">
        <v>3</v>
      </c>
      <c r="Q183" s="66" t="s">
        <v>708</v>
      </c>
    </row>
    <row r="184" spans="1:17" ht="12.75" customHeight="1" x14ac:dyDescent="0.25">
      <c r="A184" s="62">
        <v>2</v>
      </c>
      <c r="B184" s="46"/>
      <c r="C184" s="46"/>
      <c r="D184" s="456" t="s">
        <v>852</v>
      </c>
      <c r="E184" s="42" t="s">
        <v>90</v>
      </c>
      <c r="F184" s="185" t="s">
        <v>846</v>
      </c>
      <c r="G184" s="62" t="s">
        <v>8</v>
      </c>
      <c r="H184" s="37"/>
      <c r="I184" s="15">
        <v>11</v>
      </c>
      <c r="J184" s="98">
        <v>14</v>
      </c>
      <c r="K184" s="20"/>
      <c r="L184" s="56"/>
      <c r="M184" s="133"/>
      <c r="N184" s="389" t="s">
        <v>577</v>
      </c>
      <c r="O184" s="189"/>
      <c r="P184" s="42"/>
      <c r="Q184" s="66" t="s">
        <v>708</v>
      </c>
    </row>
    <row r="185" spans="1:17" ht="12.75" customHeight="1" x14ac:dyDescent="0.25">
      <c r="A185" s="62">
        <v>2</v>
      </c>
      <c r="B185" s="46"/>
      <c r="C185" s="46"/>
      <c r="D185" s="455" t="s">
        <v>853</v>
      </c>
      <c r="E185" s="42" t="s">
        <v>90</v>
      </c>
      <c r="F185" s="185" t="s">
        <v>846</v>
      </c>
      <c r="G185" s="62" t="s">
        <v>8</v>
      </c>
      <c r="H185" s="37"/>
      <c r="I185" s="15">
        <v>6</v>
      </c>
      <c r="J185" s="98">
        <v>10</v>
      </c>
      <c r="K185" s="21"/>
      <c r="L185" s="56"/>
      <c r="M185" s="133"/>
      <c r="N185" s="389" t="s">
        <v>577</v>
      </c>
      <c r="O185" s="189"/>
      <c r="P185" s="42"/>
      <c r="Q185" s="66" t="s">
        <v>708</v>
      </c>
    </row>
    <row r="186" spans="1:17" ht="12.75" customHeight="1" x14ac:dyDescent="0.25">
      <c r="A186" s="62">
        <v>2</v>
      </c>
      <c r="B186" s="46"/>
      <c r="C186" s="46"/>
      <c r="D186" s="456" t="s">
        <v>854</v>
      </c>
      <c r="E186" s="42">
        <v>21</v>
      </c>
      <c r="F186" s="185" t="s">
        <v>846</v>
      </c>
      <c r="G186" s="62" t="s">
        <v>8</v>
      </c>
      <c r="H186" s="37" t="s">
        <v>149</v>
      </c>
      <c r="I186" s="15"/>
      <c r="J186" s="98">
        <v>3</v>
      </c>
      <c r="K186" s="193"/>
      <c r="L186" s="23"/>
      <c r="M186" s="133"/>
      <c r="N186" s="389" t="s">
        <v>577</v>
      </c>
      <c r="O186" s="189"/>
      <c r="P186" s="42"/>
      <c r="Q186" s="66" t="s">
        <v>708</v>
      </c>
    </row>
    <row r="187" spans="1:17" ht="12.75" customHeight="1" x14ac:dyDescent="0.25">
      <c r="A187" s="62">
        <v>2</v>
      </c>
      <c r="B187" s="46"/>
      <c r="C187" s="46"/>
      <c r="D187" s="455" t="s">
        <v>855</v>
      </c>
      <c r="E187" s="42">
        <v>21</v>
      </c>
      <c r="F187" s="185" t="s">
        <v>846</v>
      </c>
      <c r="G187" s="62" t="s">
        <v>8</v>
      </c>
      <c r="H187" s="37" t="s">
        <v>149</v>
      </c>
      <c r="I187" s="15"/>
      <c r="J187" s="98">
        <v>5</v>
      </c>
      <c r="K187" s="193"/>
      <c r="L187" s="23"/>
      <c r="M187" s="133"/>
      <c r="N187" s="389" t="s">
        <v>577</v>
      </c>
      <c r="O187" s="189"/>
      <c r="P187" s="42"/>
      <c r="Q187" s="66" t="s">
        <v>708</v>
      </c>
    </row>
    <row r="188" spans="1:17" ht="32.4" customHeight="1" x14ac:dyDescent="0.25">
      <c r="A188" s="62">
        <v>2</v>
      </c>
      <c r="B188" s="46"/>
      <c r="C188" s="46" t="s">
        <v>856</v>
      </c>
      <c r="D188" s="809" t="s">
        <v>857</v>
      </c>
      <c r="E188" s="62">
        <v>10</v>
      </c>
      <c r="F188" s="185" t="s">
        <v>858</v>
      </c>
      <c r="G188" s="62" t="s">
        <v>8</v>
      </c>
      <c r="H188" s="37"/>
      <c r="I188" s="15">
        <v>5</v>
      </c>
      <c r="J188" s="98">
        <f>480-200-180-18-79</f>
        <v>3</v>
      </c>
      <c r="K188" s="12">
        <f>183+200+180</f>
        <v>563</v>
      </c>
      <c r="L188" s="48"/>
      <c r="M188" s="133" t="s">
        <v>689</v>
      </c>
      <c r="N188" s="808" t="s">
        <v>859</v>
      </c>
      <c r="O188" s="814" t="s">
        <v>1892</v>
      </c>
      <c r="P188" s="62" t="s">
        <v>1893</v>
      </c>
      <c r="Q188" s="66" t="s">
        <v>712</v>
      </c>
    </row>
    <row r="189" spans="1:17" ht="24" customHeight="1" x14ac:dyDescent="0.25">
      <c r="A189" s="62">
        <v>2</v>
      </c>
      <c r="B189" s="46"/>
      <c r="C189" s="46" t="s">
        <v>856</v>
      </c>
      <c r="D189" s="457"/>
      <c r="E189" s="62">
        <v>10</v>
      </c>
      <c r="F189" s="185" t="s">
        <v>858</v>
      </c>
      <c r="G189" s="42" t="s">
        <v>37</v>
      </c>
      <c r="H189" s="37"/>
      <c r="I189" s="15"/>
      <c r="J189" s="98">
        <f>150-150</f>
        <v>0</v>
      </c>
      <c r="K189" s="37">
        <v>128.1</v>
      </c>
      <c r="L189" s="48"/>
      <c r="M189" s="133" t="s">
        <v>689</v>
      </c>
      <c r="N189" s="808" t="s">
        <v>860</v>
      </c>
      <c r="O189" s="814" t="s">
        <v>861</v>
      </c>
      <c r="P189" s="62">
        <v>1</v>
      </c>
      <c r="Q189" s="66" t="s">
        <v>712</v>
      </c>
    </row>
    <row r="190" spans="1:17" ht="13.2" x14ac:dyDescent="0.25">
      <c r="A190" s="62">
        <v>2</v>
      </c>
      <c r="B190" s="46"/>
      <c r="C190" s="46"/>
      <c r="D190" s="457"/>
      <c r="E190" s="42"/>
      <c r="F190" s="185"/>
      <c r="G190" s="103" t="s">
        <v>492</v>
      </c>
      <c r="H190" s="105">
        <f>SUM(H189:H189)</f>
        <v>0</v>
      </c>
      <c r="I190" s="105">
        <f>SUM(I188:I189)</f>
        <v>5</v>
      </c>
      <c r="J190" s="105">
        <f t="shared" ref="J190:L190" si="23">SUM(J188:J189)</f>
        <v>3</v>
      </c>
      <c r="K190" s="105">
        <f t="shared" si="23"/>
        <v>691.1</v>
      </c>
      <c r="L190" s="750">
        <f t="shared" si="23"/>
        <v>0</v>
      </c>
      <c r="M190" s="133"/>
      <c r="N190" s="808"/>
      <c r="O190" s="176"/>
      <c r="P190" s="42"/>
      <c r="Q190" s="66"/>
    </row>
    <row r="191" spans="1:17" ht="18.600000000000001" customHeight="1" x14ac:dyDescent="0.25">
      <c r="A191" s="62">
        <v>2</v>
      </c>
      <c r="B191" s="46"/>
      <c r="C191" s="46" t="s">
        <v>862</v>
      </c>
      <c r="D191" s="809" t="s">
        <v>863</v>
      </c>
      <c r="E191" s="42">
        <v>10</v>
      </c>
      <c r="F191" s="185" t="s">
        <v>864</v>
      </c>
      <c r="G191" s="62" t="s">
        <v>8</v>
      </c>
      <c r="H191" s="37"/>
      <c r="I191" s="15"/>
      <c r="J191" s="98">
        <f>30-15-3-1</f>
        <v>11</v>
      </c>
      <c r="K191" s="37"/>
      <c r="L191" s="48"/>
      <c r="M191" s="133" t="s">
        <v>702</v>
      </c>
      <c r="N191" s="1015" t="s">
        <v>835</v>
      </c>
      <c r="O191" s="117" t="s">
        <v>865</v>
      </c>
      <c r="P191" s="42">
        <v>1</v>
      </c>
      <c r="Q191" s="66"/>
    </row>
    <row r="192" spans="1:17" ht="13.2" x14ac:dyDescent="0.25">
      <c r="A192" s="62">
        <v>2</v>
      </c>
      <c r="B192" s="46"/>
      <c r="C192" s="46"/>
      <c r="D192" s="458"/>
      <c r="E192" s="42"/>
      <c r="F192" s="185"/>
      <c r="G192" s="103" t="s">
        <v>492</v>
      </c>
      <c r="H192" s="105">
        <f>SUM(H191:H191)</f>
        <v>0</v>
      </c>
      <c r="I192" s="105">
        <f>SUM(I191:I191)</f>
        <v>0</v>
      </c>
      <c r="J192" s="105">
        <f>SUM(J191:J191)</f>
        <v>11</v>
      </c>
      <c r="K192" s="105">
        <f>SUM(K191:K191)</f>
        <v>0</v>
      </c>
      <c r="L192" s="750">
        <f>SUM(L191:L191)</f>
        <v>0</v>
      </c>
      <c r="M192" s="133"/>
      <c r="N192" s="389"/>
      <c r="O192" s="117"/>
      <c r="P192" s="42"/>
      <c r="Q192" s="66"/>
    </row>
    <row r="193" spans="1:17" ht="28.2" customHeight="1" x14ac:dyDescent="0.25">
      <c r="A193" s="62">
        <v>2</v>
      </c>
      <c r="B193" s="46"/>
      <c r="C193" s="46" t="s">
        <v>866</v>
      </c>
      <c r="D193" s="809" t="s">
        <v>867</v>
      </c>
      <c r="E193" s="42">
        <v>26</v>
      </c>
      <c r="F193" s="185" t="s">
        <v>868</v>
      </c>
      <c r="G193" s="62" t="s">
        <v>8</v>
      </c>
      <c r="H193" s="37"/>
      <c r="I193" s="15"/>
      <c r="J193" s="98">
        <f>40-10</f>
        <v>30</v>
      </c>
      <c r="K193" s="37"/>
      <c r="L193" s="48"/>
      <c r="M193" s="133" t="s">
        <v>619</v>
      </c>
      <c r="N193" s="389" t="s">
        <v>869</v>
      </c>
      <c r="O193" s="117" t="s">
        <v>696</v>
      </c>
      <c r="P193" s="195">
        <v>1</v>
      </c>
      <c r="Q193" s="66" t="s">
        <v>712</v>
      </c>
    </row>
    <row r="194" spans="1:17" ht="19.2" customHeight="1" x14ac:dyDescent="0.25">
      <c r="A194" s="62">
        <v>2</v>
      </c>
      <c r="B194" s="46"/>
      <c r="C194" s="46"/>
      <c r="D194" s="458"/>
      <c r="E194" s="42">
        <v>26</v>
      </c>
      <c r="F194" s="185" t="s">
        <v>868</v>
      </c>
      <c r="G194" s="42" t="s">
        <v>37</v>
      </c>
      <c r="H194" s="37"/>
      <c r="I194" s="15"/>
      <c r="J194" s="98">
        <f>40-28.5</f>
        <v>11.5</v>
      </c>
      <c r="K194" s="37"/>
      <c r="L194" s="48"/>
      <c r="M194" s="133"/>
      <c r="N194" s="389" t="s">
        <v>869</v>
      </c>
      <c r="O194" s="196"/>
      <c r="P194" s="42"/>
      <c r="Q194" s="66" t="s">
        <v>712</v>
      </c>
    </row>
    <row r="195" spans="1:17" ht="15.6" customHeight="1" x14ac:dyDescent="0.25">
      <c r="A195" s="62">
        <v>2</v>
      </c>
      <c r="B195" s="46"/>
      <c r="C195" s="46"/>
      <c r="D195" s="458"/>
      <c r="E195" s="42"/>
      <c r="F195" s="185"/>
      <c r="G195" s="103" t="s">
        <v>492</v>
      </c>
      <c r="H195" s="105">
        <f>SUM(H194:H194)</f>
        <v>0</v>
      </c>
      <c r="I195" s="105">
        <f>SUM(I193:I194)</f>
        <v>0</v>
      </c>
      <c r="J195" s="105">
        <f t="shared" ref="J195:L195" si="24">SUM(J193:J194)</f>
        <v>41.5</v>
      </c>
      <c r="K195" s="105">
        <f t="shared" si="24"/>
        <v>0</v>
      </c>
      <c r="L195" s="750">
        <f t="shared" si="24"/>
        <v>0</v>
      </c>
      <c r="M195" s="133"/>
      <c r="N195" s="389" t="s">
        <v>869</v>
      </c>
      <c r="O195" s="117"/>
      <c r="P195" s="42"/>
      <c r="Q195" s="66"/>
    </row>
    <row r="196" spans="1:17" ht="24" customHeight="1" x14ac:dyDescent="0.25">
      <c r="A196" s="62">
        <v>2</v>
      </c>
      <c r="B196" s="46"/>
      <c r="C196" s="46" t="s">
        <v>1900</v>
      </c>
      <c r="D196" s="1078" t="s">
        <v>1901</v>
      </c>
      <c r="E196" s="42">
        <v>10</v>
      </c>
      <c r="F196" s="185" t="s">
        <v>1902</v>
      </c>
      <c r="G196" s="62" t="s">
        <v>8</v>
      </c>
      <c r="H196" s="37"/>
      <c r="I196" s="15"/>
      <c r="J196" s="98">
        <v>8.3000000000000007</v>
      </c>
      <c r="K196" s="98"/>
      <c r="L196" s="125"/>
      <c r="M196" s="133" t="s">
        <v>616</v>
      </c>
      <c r="N196" s="199" t="s">
        <v>1903</v>
      </c>
      <c r="O196" s="117" t="s">
        <v>1904</v>
      </c>
      <c r="P196" s="42">
        <v>100</v>
      </c>
      <c r="Q196" s="66"/>
    </row>
    <row r="197" spans="1:17" ht="15.6" customHeight="1" x14ac:dyDescent="0.25">
      <c r="A197" s="62">
        <v>2</v>
      </c>
      <c r="B197" s="46"/>
      <c r="C197" s="46"/>
      <c r="D197" s="35"/>
      <c r="E197" s="42"/>
      <c r="F197" s="185"/>
      <c r="G197" s="103" t="s">
        <v>492</v>
      </c>
      <c r="H197" s="105">
        <f>SUM(H196:H196)</f>
        <v>0</v>
      </c>
      <c r="I197" s="105">
        <f>SUM(I196)</f>
        <v>0</v>
      </c>
      <c r="J197" s="105">
        <f t="shared" ref="J197:L197" si="25">SUM(J196)</f>
        <v>8.3000000000000007</v>
      </c>
      <c r="K197" s="105">
        <f t="shared" si="25"/>
        <v>0</v>
      </c>
      <c r="L197" s="750">
        <f t="shared" si="25"/>
        <v>0</v>
      </c>
      <c r="M197" s="133"/>
      <c r="N197" s="199"/>
      <c r="O197" s="117"/>
      <c r="P197" s="42"/>
      <c r="Q197" s="66"/>
    </row>
    <row r="198" spans="1:17" ht="44.4" customHeight="1" x14ac:dyDescent="0.25">
      <c r="A198" s="62">
        <v>2</v>
      </c>
      <c r="B198" s="93"/>
      <c r="C198" s="93"/>
      <c r="D198" s="94" t="s">
        <v>870</v>
      </c>
      <c r="E198" s="95"/>
      <c r="F198" s="96"/>
      <c r="G198" s="95"/>
      <c r="H198" s="95"/>
      <c r="I198" s="95"/>
      <c r="J198" s="95"/>
      <c r="K198" s="95"/>
      <c r="L198" s="422"/>
      <c r="M198" s="133"/>
      <c r="N198" s="389"/>
      <c r="O198" s="189"/>
      <c r="P198" s="42"/>
      <c r="Q198" s="66"/>
    </row>
    <row r="199" spans="1:17" ht="37.200000000000003" customHeight="1" x14ac:dyDescent="0.25">
      <c r="A199" s="62">
        <v>2</v>
      </c>
      <c r="B199" s="112" t="s">
        <v>871</v>
      </c>
      <c r="C199" s="112" t="s">
        <v>871</v>
      </c>
      <c r="D199" s="132" t="s">
        <v>91</v>
      </c>
      <c r="E199" s="116"/>
      <c r="F199" s="73"/>
      <c r="G199" s="133"/>
      <c r="H199" s="7"/>
      <c r="I199" s="188">
        <f>I201+I203</f>
        <v>49.5</v>
      </c>
      <c r="J199" s="113"/>
      <c r="K199" s="8"/>
      <c r="L199" s="9"/>
      <c r="M199" s="133"/>
      <c r="N199" s="389"/>
      <c r="O199" s="189"/>
      <c r="P199" s="42"/>
      <c r="Q199" s="66"/>
    </row>
    <row r="200" spans="1:17" ht="18" customHeight="1" x14ac:dyDescent="0.25">
      <c r="A200" s="62">
        <v>2</v>
      </c>
      <c r="B200" s="119"/>
      <c r="C200" s="119" t="s">
        <v>872</v>
      </c>
      <c r="D200" s="137" t="s">
        <v>873</v>
      </c>
      <c r="E200" s="73">
        <v>2</v>
      </c>
      <c r="F200" s="185" t="s">
        <v>92</v>
      </c>
      <c r="G200" s="62" t="s">
        <v>8</v>
      </c>
      <c r="H200" s="91">
        <v>23.2</v>
      </c>
      <c r="I200" s="187">
        <v>41</v>
      </c>
      <c r="J200" s="98">
        <f>5-5</f>
        <v>0</v>
      </c>
      <c r="K200" s="4">
        <v>5</v>
      </c>
      <c r="L200" s="815">
        <v>5</v>
      </c>
      <c r="M200" s="185" t="s">
        <v>619</v>
      </c>
      <c r="N200" s="389" t="s">
        <v>874</v>
      </c>
      <c r="O200" s="197" t="s">
        <v>875</v>
      </c>
      <c r="P200" s="75">
        <v>1</v>
      </c>
      <c r="Q200" s="66" t="s">
        <v>632</v>
      </c>
    </row>
    <row r="201" spans="1:17" ht="12.75" customHeight="1" x14ac:dyDescent="0.25">
      <c r="A201" s="62">
        <v>2</v>
      </c>
      <c r="B201" s="46"/>
      <c r="C201" s="119" t="s">
        <v>872</v>
      </c>
      <c r="D201" s="49"/>
      <c r="E201" s="42">
        <v>2</v>
      </c>
      <c r="F201" s="185" t="s">
        <v>92</v>
      </c>
      <c r="G201" s="103" t="s">
        <v>492</v>
      </c>
      <c r="H201" s="105">
        <f>SUM(H200:H200)</f>
        <v>23.2</v>
      </c>
      <c r="I201" s="105">
        <f>SUM(I200:I200)</f>
        <v>41</v>
      </c>
      <c r="J201" s="105">
        <f t="shared" ref="J201:L201" si="26">SUM(J200:J200)</f>
        <v>0</v>
      </c>
      <c r="K201" s="105">
        <f t="shared" si="26"/>
        <v>5</v>
      </c>
      <c r="L201" s="750">
        <f t="shared" si="26"/>
        <v>5</v>
      </c>
      <c r="M201" s="133"/>
      <c r="N201" s="389"/>
      <c r="O201" s="117"/>
      <c r="P201" s="42"/>
      <c r="Q201" s="66"/>
    </row>
    <row r="202" spans="1:17" ht="12.75" customHeight="1" x14ac:dyDescent="0.25">
      <c r="A202" s="62">
        <v>2</v>
      </c>
      <c r="B202" s="46"/>
      <c r="C202" s="46" t="s">
        <v>876</v>
      </c>
      <c r="D202" s="49" t="s">
        <v>93</v>
      </c>
      <c r="E202" s="42">
        <v>38</v>
      </c>
      <c r="F202" s="42" t="s">
        <v>1855</v>
      </c>
      <c r="G202" s="62" t="s">
        <v>8</v>
      </c>
      <c r="H202" s="106"/>
      <c r="I202" s="15">
        <v>8.5</v>
      </c>
      <c r="J202" s="98">
        <v>20</v>
      </c>
      <c r="K202" s="37">
        <v>15</v>
      </c>
      <c r="L202" s="48">
        <v>15</v>
      </c>
      <c r="M202" s="133" t="s">
        <v>629</v>
      </c>
      <c r="N202" s="389" t="s">
        <v>1907</v>
      </c>
      <c r="O202" s="130" t="s">
        <v>877</v>
      </c>
      <c r="P202" s="131">
        <v>10</v>
      </c>
      <c r="Q202" s="66"/>
    </row>
    <row r="203" spans="1:17" ht="13.2" x14ac:dyDescent="0.25">
      <c r="A203" s="62">
        <v>2</v>
      </c>
      <c r="B203" s="46"/>
      <c r="C203" s="46" t="s">
        <v>876</v>
      </c>
      <c r="D203" s="49"/>
      <c r="E203" s="42">
        <v>38</v>
      </c>
      <c r="F203" s="42" t="s">
        <v>1855</v>
      </c>
      <c r="G203" s="103" t="s">
        <v>492</v>
      </c>
      <c r="H203" s="105">
        <f>SUM(H202)</f>
        <v>0</v>
      </c>
      <c r="I203" s="105">
        <f>SUM(I202)</f>
        <v>8.5</v>
      </c>
      <c r="J203" s="105">
        <f t="shared" ref="J203:L203" si="27">SUM(J202)</f>
        <v>20</v>
      </c>
      <c r="K203" s="105">
        <f t="shared" si="27"/>
        <v>15</v>
      </c>
      <c r="L203" s="750">
        <f t="shared" si="27"/>
        <v>15</v>
      </c>
      <c r="M203" s="133"/>
      <c r="N203" s="389"/>
      <c r="O203" s="189"/>
      <c r="P203" s="42"/>
      <c r="Q203" s="66"/>
    </row>
    <row r="204" spans="1:17" ht="38.4" customHeight="1" x14ac:dyDescent="0.25">
      <c r="A204" s="62">
        <v>2</v>
      </c>
      <c r="B204" s="112" t="s">
        <v>878</v>
      </c>
      <c r="C204" s="112" t="s">
        <v>878</v>
      </c>
      <c r="D204" s="132" t="s">
        <v>94</v>
      </c>
      <c r="E204" s="116"/>
      <c r="F204" s="73"/>
      <c r="G204" s="133"/>
      <c r="H204" s="7"/>
      <c r="I204" s="188" t="e">
        <f>I206+I214</f>
        <v>#REF!</v>
      </c>
      <c r="J204" s="113"/>
      <c r="K204" s="8"/>
      <c r="L204" s="9"/>
      <c r="M204" s="133"/>
      <c r="N204" s="1011"/>
      <c r="O204" s="189"/>
      <c r="P204" s="42"/>
      <c r="Q204" s="66"/>
    </row>
    <row r="205" spans="1:17" ht="28.2" customHeight="1" x14ac:dyDescent="0.25">
      <c r="A205" s="62">
        <v>2</v>
      </c>
      <c r="B205" s="46"/>
      <c r="C205" s="46" t="s">
        <v>879</v>
      </c>
      <c r="D205" s="809" t="s">
        <v>95</v>
      </c>
      <c r="E205" s="42">
        <v>2</v>
      </c>
      <c r="F205" s="42" t="s">
        <v>96</v>
      </c>
      <c r="G205" s="62" t="s">
        <v>8</v>
      </c>
      <c r="H205" s="198">
        <v>17.7</v>
      </c>
      <c r="I205" s="15" t="e">
        <f>SUM(#REF!,I207,I208,I209,I210,I211)</f>
        <v>#REF!</v>
      </c>
      <c r="J205" s="98">
        <f>SUM(J207,J208,J209,J210,J211)</f>
        <v>108</v>
      </c>
      <c r="K205" s="98">
        <f>SUM(K207,K208,K209,K210,K211)</f>
        <v>130</v>
      </c>
      <c r="L205" s="125">
        <f>SUM(L207,L208,L209,L210,L211)</f>
        <v>280</v>
      </c>
      <c r="M205" s="185"/>
      <c r="N205" s="1016"/>
      <c r="O205" s="401"/>
      <c r="P205" s="42"/>
      <c r="Q205" s="66"/>
    </row>
    <row r="206" spans="1:17" ht="12.75" customHeight="1" x14ac:dyDescent="0.25">
      <c r="A206" s="62">
        <v>2</v>
      </c>
      <c r="B206" s="46"/>
      <c r="C206" s="46"/>
      <c r="D206" s="49"/>
      <c r="E206" s="42"/>
      <c r="F206" s="42" t="s">
        <v>96</v>
      </c>
      <c r="G206" s="103" t="s">
        <v>492</v>
      </c>
      <c r="H206" s="105">
        <f>SUM(H205)</f>
        <v>17.7</v>
      </c>
      <c r="I206" s="105" t="e">
        <f>SUM(I205:I205)</f>
        <v>#REF!</v>
      </c>
      <c r="J206" s="105">
        <f>SUM(J205:J205)</f>
        <v>108</v>
      </c>
      <c r="K206" s="105">
        <f>SUM(K205:K205)</f>
        <v>130</v>
      </c>
      <c r="L206" s="750">
        <f>SUM(L205:L205)</f>
        <v>280</v>
      </c>
      <c r="M206" s="185"/>
      <c r="N206" s="1016"/>
      <c r="O206" s="389"/>
      <c r="P206" s="42"/>
      <c r="Q206" s="66"/>
    </row>
    <row r="207" spans="1:17" ht="33" customHeight="1" x14ac:dyDescent="0.25">
      <c r="A207" s="62">
        <v>2</v>
      </c>
      <c r="B207" s="46"/>
      <c r="C207" s="46" t="s">
        <v>880</v>
      </c>
      <c r="D207" s="128" t="s">
        <v>881</v>
      </c>
      <c r="E207" s="42">
        <v>2</v>
      </c>
      <c r="F207" s="42" t="s">
        <v>96</v>
      </c>
      <c r="G207" s="62" t="s">
        <v>8</v>
      </c>
      <c r="H207" s="37"/>
      <c r="I207" s="15">
        <v>29</v>
      </c>
      <c r="J207" s="98">
        <v>68</v>
      </c>
      <c r="K207" s="37"/>
      <c r="L207" s="48"/>
      <c r="M207" s="185" t="s">
        <v>619</v>
      </c>
      <c r="N207" s="1017" t="s">
        <v>882</v>
      </c>
      <c r="O207" s="117" t="s">
        <v>883</v>
      </c>
      <c r="P207" s="42">
        <v>1</v>
      </c>
      <c r="Q207" s="66" t="s">
        <v>884</v>
      </c>
    </row>
    <row r="208" spans="1:17" ht="27" customHeight="1" x14ac:dyDescent="0.25">
      <c r="A208" s="62">
        <v>2</v>
      </c>
      <c r="B208" s="46"/>
      <c r="C208" s="46" t="s">
        <v>885</v>
      </c>
      <c r="D208" s="128" t="s">
        <v>886</v>
      </c>
      <c r="E208" s="42">
        <v>2</v>
      </c>
      <c r="F208" s="42" t="s">
        <v>96</v>
      </c>
      <c r="G208" s="62" t="s">
        <v>8</v>
      </c>
      <c r="H208" s="37"/>
      <c r="I208" s="15">
        <f>30-30</f>
        <v>0</v>
      </c>
      <c r="J208" s="98">
        <f>40-40</f>
        <v>0</v>
      </c>
      <c r="K208" s="15">
        <f>100+40-100</f>
        <v>40</v>
      </c>
      <c r="L208" s="33">
        <f>60+100</f>
        <v>160</v>
      </c>
      <c r="M208" s="185" t="s">
        <v>689</v>
      </c>
      <c r="N208" s="1017" t="s">
        <v>887</v>
      </c>
      <c r="O208" s="186" t="s">
        <v>888</v>
      </c>
      <c r="P208" s="62">
        <v>30</v>
      </c>
      <c r="Q208" s="66" t="s">
        <v>712</v>
      </c>
    </row>
    <row r="209" spans="1:17" ht="27.6" customHeight="1" x14ac:dyDescent="0.25">
      <c r="A209" s="62">
        <v>2</v>
      </c>
      <c r="B209" s="46"/>
      <c r="C209" s="46" t="s">
        <v>889</v>
      </c>
      <c r="D209" s="128" t="s">
        <v>890</v>
      </c>
      <c r="E209" s="42">
        <v>2</v>
      </c>
      <c r="F209" s="42" t="s">
        <v>96</v>
      </c>
      <c r="G209" s="62" t="s">
        <v>8</v>
      </c>
      <c r="H209" s="37"/>
      <c r="I209" s="15"/>
      <c r="J209" s="98">
        <f>70-50+20</f>
        <v>40</v>
      </c>
      <c r="K209" s="15">
        <f>70+50-100</f>
        <v>20</v>
      </c>
      <c r="L209" s="33">
        <f>70+100-100</f>
        <v>70</v>
      </c>
      <c r="M209" s="185" t="s">
        <v>702</v>
      </c>
      <c r="N209" s="1017" t="s">
        <v>891</v>
      </c>
      <c r="O209" s="186" t="s">
        <v>888</v>
      </c>
      <c r="P209" s="62">
        <v>10</v>
      </c>
      <c r="Q209" s="66" t="s">
        <v>692</v>
      </c>
    </row>
    <row r="210" spans="1:17" ht="26.4" customHeight="1" x14ac:dyDescent="0.25">
      <c r="A210" s="62">
        <v>2</v>
      </c>
      <c r="B210" s="46"/>
      <c r="C210" s="46" t="s">
        <v>892</v>
      </c>
      <c r="D210" s="459" t="s">
        <v>893</v>
      </c>
      <c r="E210" s="42">
        <v>2</v>
      </c>
      <c r="F210" s="42" t="s">
        <v>96</v>
      </c>
      <c r="G210" s="62" t="s">
        <v>8</v>
      </c>
      <c r="H210" s="37"/>
      <c r="I210" s="15">
        <v>0</v>
      </c>
      <c r="J210" s="98">
        <f>10-10</f>
        <v>0</v>
      </c>
      <c r="K210" s="37">
        <v>20</v>
      </c>
      <c r="L210" s="48"/>
      <c r="M210" s="185" t="s">
        <v>619</v>
      </c>
      <c r="N210" s="1017" t="s">
        <v>894</v>
      </c>
      <c r="O210" s="117" t="s">
        <v>888</v>
      </c>
      <c r="P210" s="42">
        <v>30</v>
      </c>
      <c r="Q210" s="66" t="s">
        <v>708</v>
      </c>
    </row>
    <row r="211" spans="1:17" ht="27" customHeight="1" thickBot="1" x14ac:dyDescent="0.3">
      <c r="A211" s="62">
        <v>2</v>
      </c>
      <c r="B211" s="46"/>
      <c r="C211" s="46" t="s">
        <v>895</v>
      </c>
      <c r="D211" s="459" t="s">
        <v>896</v>
      </c>
      <c r="E211" s="42">
        <v>2</v>
      </c>
      <c r="F211" s="42" t="s">
        <v>96</v>
      </c>
      <c r="G211" s="62" t="s">
        <v>8</v>
      </c>
      <c r="H211" s="37"/>
      <c r="I211" s="15">
        <f>40-40</f>
        <v>0</v>
      </c>
      <c r="J211" s="98">
        <f>30-30</f>
        <v>0</v>
      </c>
      <c r="K211" s="18">
        <v>50</v>
      </c>
      <c r="L211" s="18">
        <v>50</v>
      </c>
      <c r="M211" s="185" t="s">
        <v>702</v>
      </c>
      <c r="N211" s="1017" t="s">
        <v>894</v>
      </c>
      <c r="O211" s="117" t="s">
        <v>888</v>
      </c>
      <c r="P211" s="42">
        <v>30</v>
      </c>
      <c r="Q211" s="66" t="s">
        <v>632</v>
      </c>
    </row>
    <row r="212" spans="1:17" ht="31.2" customHeight="1" x14ac:dyDescent="0.25">
      <c r="A212" s="61">
        <v>2</v>
      </c>
      <c r="B212" s="47"/>
      <c r="C212" s="47" t="s">
        <v>897</v>
      </c>
      <c r="D212" s="813" t="s">
        <v>97</v>
      </c>
      <c r="E212" s="41" t="s">
        <v>98</v>
      </c>
      <c r="F212" s="41" t="s">
        <v>99</v>
      </c>
      <c r="G212" s="61" t="s">
        <v>8</v>
      </c>
      <c r="H212" s="424">
        <v>141.19999999999999</v>
      </c>
      <c r="I212" s="13">
        <f>I215+I216+I217+I221+I219+I222+I223</f>
        <v>138.30000000000001</v>
      </c>
      <c r="J212" s="250">
        <f>J215+J216+J217+J221+J219+J222+J223+J220</f>
        <v>324.5</v>
      </c>
      <c r="K212" s="250">
        <f>K215+K216+K217+K221+K219+K222+K223</f>
        <v>50</v>
      </c>
      <c r="L212" s="250">
        <f>L215+L216+L217+L221+L219+L222+L223</f>
        <v>0</v>
      </c>
      <c r="M212" s="185"/>
      <c r="N212" s="389" t="s">
        <v>874</v>
      </c>
      <c r="O212" s="117"/>
      <c r="P212" s="42"/>
      <c r="Q212" s="66"/>
    </row>
    <row r="213" spans="1:17" ht="12.75" customHeight="1" x14ac:dyDescent="0.25">
      <c r="A213" s="62">
        <v>2</v>
      </c>
      <c r="B213" s="46"/>
      <c r="C213" s="46"/>
      <c r="D213" s="35"/>
      <c r="E213" s="42">
        <v>2</v>
      </c>
      <c r="F213" s="42" t="s">
        <v>99</v>
      </c>
      <c r="G213" s="62" t="s">
        <v>250</v>
      </c>
      <c r="H213" s="106"/>
      <c r="I213" s="15" t="e">
        <f>I218+#REF!</f>
        <v>#REF!</v>
      </c>
      <c r="J213" s="98">
        <f>J218</f>
        <v>51.000000000000007</v>
      </c>
      <c r="K213" s="98" t="e">
        <f>K218+#REF!</f>
        <v>#REF!</v>
      </c>
      <c r="L213" s="98" t="e">
        <f>L218+#REF!</f>
        <v>#REF!</v>
      </c>
      <c r="M213" s="185"/>
      <c r="N213" s="389"/>
      <c r="O213" s="117"/>
      <c r="P213" s="42"/>
      <c r="Q213" s="66"/>
    </row>
    <row r="214" spans="1:17" ht="13.2" x14ac:dyDescent="0.25">
      <c r="A214" s="62">
        <v>2</v>
      </c>
      <c r="B214" s="46"/>
      <c r="C214" s="46" t="s">
        <v>897</v>
      </c>
      <c r="D214" s="49"/>
      <c r="E214" s="42"/>
      <c r="F214" s="42" t="s">
        <v>99</v>
      </c>
      <c r="G214" s="103" t="s">
        <v>492</v>
      </c>
      <c r="H214" s="105">
        <f>SUM(H212)</f>
        <v>141.19999999999999</v>
      </c>
      <c r="I214" s="105" t="e">
        <f>SUM(I212:I213)</f>
        <v>#REF!</v>
      </c>
      <c r="J214" s="105">
        <f t="shared" ref="J214:L214" si="28">SUM(J212:J213)</f>
        <v>375.5</v>
      </c>
      <c r="K214" s="105" t="e">
        <f t="shared" si="28"/>
        <v>#REF!</v>
      </c>
      <c r="L214" s="750" t="e">
        <f t="shared" si="28"/>
        <v>#REF!</v>
      </c>
      <c r="M214" s="185"/>
      <c r="N214" s="389"/>
      <c r="O214" s="117"/>
      <c r="P214" s="42"/>
      <c r="Q214" s="66"/>
    </row>
    <row r="215" spans="1:17" ht="69" customHeight="1" x14ac:dyDescent="0.25">
      <c r="A215" s="62">
        <v>2</v>
      </c>
      <c r="B215" s="46"/>
      <c r="C215" s="46" t="s">
        <v>898</v>
      </c>
      <c r="D215" s="201" t="s">
        <v>899</v>
      </c>
      <c r="E215" s="42" t="s">
        <v>98</v>
      </c>
      <c r="F215" s="42" t="s">
        <v>99</v>
      </c>
      <c r="G215" s="62" t="s">
        <v>8</v>
      </c>
      <c r="H215" s="37"/>
      <c r="I215" s="15">
        <f>154.5-135</f>
        <v>19.5</v>
      </c>
      <c r="J215" s="98">
        <f>172-18.5</f>
        <v>153.5</v>
      </c>
      <c r="K215" s="48"/>
      <c r="L215" s="202"/>
      <c r="M215" s="185" t="s">
        <v>619</v>
      </c>
      <c r="N215" s="389" t="s">
        <v>900</v>
      </c>
      <c r="O215" s="117" t="s">
        <v>901</v>
      </c>
      <c r="P215" s="42">
        <v>1</v>
      </c>
      <c r="Q215" s="66" t="s">
        <v>692</v>
      </c>
    </row>
    <row r="216" spans="1:17" ht="31.2" x14ac:dyDescent="0.25">
      <c r="A216" s="62">
        <v>2</v>
      </c>
      <c r="B216" s="46"/>
      <c r="C216" s="46" t="s">
        <v>902</v>
      </c>
      <c r="D216" s="201" t="s">
        <v>903</v>
      </c>
      <c r="E216" s="42" t="s">
        <v>98</v>
      </c>
      <c r="F216" s="42" t="s">
        <v>99</v>
      </c>
      <c r="G216" s="62" t="s">
        <v>8</v>
      </c>
      <c r="H216" s="37"/>
      <c r="I216" s="15">
        <v>94.8</v>
      </c>
      <c r="J216" s="98">
        <f>3+5.2</f>
        <v>8.1999999999999993</v>
      </c>
      <c r="K216" s="48"/>
      <c r="L216" s="202"/>
      <c r="M216" s="185" t="s">
        <v>619</v>
      </c>
      <c r="N216" s="1011" t="s">
        <v>900</v>
      </c>
      <c r="O216" s="117" t="s">
        <v>904</v>
      </c>
      <c r="P216" s="42">
        <v>1</v>
      </c>
      <c r="Q216" s="66" t="s">
        <v>692</v>
      </c>
    </row>
    <row r="217" spans="1:17" ht="36.6" customHeight="1" x14ac:dyDescent="0.25">
      <c r="A217" s="62">
        <v>2</v>
      </c>
      <c r="B217" s="46"/>
      <c r="C217" s="46" t="s">
        <v>905</v>
      </c>
      <c r="D217" s="1262" t="s">
        <v>906</v>
      </c>
      <c r="E217" s="42">
        <v>36</v>
      </c>
      <c r="F217" s="42" t="s">
        <v>99</v>
      </c>
      <c r="G217" s="62" t="s">
        <v>8</v>
      </c>
      <c r="H217" s="37"/>
      <c r="I217" s="15">
        <v>18</v>
      </c>
      <c r="J217" s="98">
        <f>338-200-100-38</f>
        <v>0</v>
      </c>
      <c r="K217" s="48"/>
      <c r="L217" s="202"/>
      <c r="M217" s="185" t="s">
        <v>619</v>
      </c>
      <c r="N217" s="1018" t="s">
        <v>907</v>
      </c>
      <c r="O217" s="389" t="s">
        <v>904</v>
      </c>
      <c r="P217" s="42">
        <v>1</v>
      </c>
      <c r="Q217" s="66" t="s">
        <v>692</v>
      </c>
    </row>
    <row r="218" spans="1:17" ht="16.5" customHeight="1" x14ac:dyDescent="0.25">
      <c r="A218" s="62">
        <v>2</v>
      </c>
      <c r="B218" s="46"/>
      <c r="C218" s="46" t="s">
        <v>905</v>
      </c>
      <c r="D218" s="1263"/>
      <c r="E218" s="42">
        <v>36</v>
      </c>
      <c r="F218" s="42" t="s">
        <v>99</v>
      </c>
      <c r="G218" s="62" t="s">
        <v>250</v>
      </c>
      <c r="H218" s="37"/>
      <c r="I218" s="15"/>
      <c r="J218" s="98">
        <f>200-132.6-16.4</f>
        <v>51.000000000000007</v>
      </c>
      <c r="K218" s="48"/>
      <c r="L218" s="816"/>
      <c r="M218" s="185" t="s">
        <v>619</v>
      </c>
      <c r="N218" s="186"/>
      <c r="O218" s="389"/>
      <c r="P218" s="42"/>
      <c r="Q218" s="66"/>
    </row>
    <row r="219" spans="1:17" ht="22.5" customHeight="1" x14ac:dyDescent="0.25">
      <c r="A219" s="62">
        <v>2</v>
      </c>
      <c r="B219" s="46"/>
      <c r="C219" s="46" t="s">
        <v>908</v>
      </c>
      <c r="D219" s="1260" t="s">
        <v>909</v>
      </c>
      <c r="E219" s="42">
        <v>36</v>
      </c>
      <c r="F219" s="42" t="s">
        <v>99</v>
      </c>
      <c r="G219" s="62" t="s">
        <v>8</v>
      </c>
      <c r="H219" s="37"/>
      <c r="I219" s="15">
        <f>184.3-150-34.3</f>
        <v>0</v>
      </c>
      <c r="J219" s="98">
        <f>185-145-4.5-0.5</f>
        <v>35</v>
      </c>
      <c r="K219" s="48"/>
      <c r="L219" s="816"/>
      <c r="M219" s="185" t="s">
        <v>619</v>
      </c>
      <c r="N219" s="1018" t="s">
        <v>907</v>
      </c>
      <c r="O219" s="389" t="s">
        <v>904</v>
      </c>
      <c r="P219" s="42">
        <v>1</v>
      </c>
      <c r="Q219" s="66" t="s">
        <v>712</v>
      </c>
    </row>
    <row r="220" spans="1:17" ht="31.2" x14ac:dyDescent="0.25">
      <c r="A220" s="62">
        <v>2</v>
      </c>
      <c r="B220" s="46"/>
      <c r="C220" s="46" t="s">
        <v>908</v>
      </c>
      <c r="D220" s="1261"/>
      <c r="E220" s="62">
        <v>26</v>
      </c>
      <c r="F220" s="42" t="s">
        <v>2078</v>
      </c>
      <c r="G220" s="62" t="s">
        <v>8</v>
      </c>
      <c r="H220" s="37"/>
      <c r="I220" s="15"/>
      <c r="J220" s="98">
        <f>4.5-0.3</f>
        <v>4.2</v>
      </c>
      <c r="K220" s="48"/>
      <c r="L220" s="816"/>
      <c r="M220" s="185" t="s">
        <v>619</v>
      </c>
      <c r="N220" s="1080" t="s">
        <v>1913</v>
      </c>
      <c r="O220" s="389" t="s">
        <v>1905</v>
      </c>
      <c r="P220" s="42">
        <v>1</v>
      </c>
      <c r="Q220" s="66" t="s">
        <v>712</v>
      </c>
    </row>
    <row r="221" spans="1:17" ht="34.950000000000003" customHeight="1" x14ac:dyDescent="0.25">
      <c r="A221" s="62">
        <v>2</v>
      </c>
      <c r="B221" s="46"/>
      <c r="C221" s="46" t="s">
        <v>910</v>
      </c>
      <c r="D221" s="201" t="s">
        <v>911</v>
      </c>
      <c r="E221" s="42">
        <v>36</v>
      </c>
      <c r="F221" s="42" t="s">
        <v>99</v>
      </c>
      <c r="G221" s="62" t="s">
        <v>8</v>
      </c>
      <c r="H221" s="37"/>
      <c r="I221" s="15">
        <v>6</v>
      </c>
      <c r="J221" s="98">
        <f>75-10.7</f>
        <v>64.3</v>
      </c>
      <c r="K221" s="48"/>
      <c r="L221" s="202"/>
      <c r="M221" s="185" t="s">
        <v>619</v>
      </c>
      <c r="N221" s="1018" t="s">
        <v>907</v>
      </c>
      <c r="O221" s="117" t="s">
        <v>904</v>
      </c>
      <c r="P221" s="42">
        <v>1</v>
      </c>
      <c r="Q221" s="66" t="s">
        <v>719</v>
      </c>
    </row>
    <row r="222" spans="1:17" ht="27" customHeight="1" x14ac:dyDescent="0.25">
      <c r="A222" s="62">
        <v>2</v>
      </c>
      <c r="B222" s="46"/>
      <c r="C222" s="46" t="s">
        <v>912</v>
      </c>
      <c r="D222" s="201" t="s">
        <v>913</v>
      </c>
      <c r="E222" s="42">
        <v>2</v>
      </c>
      <c r="F222" s="42" t="s">
        <v>99</v>
      </c>
      <c r="G222" s="62" t="s">
        <v>8</v>
      </c>
      <c r="H222" s="37"/>
      <c r="I222" s="15">
        <f>18-18</f>
        <v>0</v>
      </c>
      <c r="J222" s="98">
        <f>41.3+18</f>
        <v>59.3</v>
      </c>
      <c r="K222" s="48"/>
      <c r="L222" s="817"/>
      <c r="M222" s="185" t="s">
        <v>619</v>
      </c>
      <c r="N222" s="1017" t="s">
        <v>882</v>
      </c>
      <c r="O222" s="117" t="s">
        <v>914</v>
      </c>
      <c r="P222" s="42">
        <v>100</v>
      </c>
      <c r="Q222" s="66"/>
    </row>
    <row r="223" spans="1:17" ht="27.6" customHeight="1" x14ac:dyDescent="0.25">
      <c r="A223" s="62">
        <v>2</v>
      </c>
      <c r="B223" s="46"/>
      <c r="C223" s="46" t="s">
        <v>915</v>
      </c>
      <c r="D223" s="201" t="s">
        <v>916</v>
      </c>
      <c r="E223" s="62">
        <v>36</v>
      </c>
      <c r="F223" s="42" t="s">
        <v>99</v>
      </c>
      <c r="G223" s="62" t="s">
        <v>8</v>
      </c>
      <c r="H223" s="37"/>
      <c r="I223" s="15">
        <f>18-18</f>
        <v>0</v>
      </c>
      <c r="J223" s="98">
        <f>10-10</f>
        <v>0</v>
      </c>
      <c r="K223" s="48">
        <v>50</v>
      </c>
      <c r="L223" s="115"/>
      <c r="M223" s="185" t="s">
        <v>702</v>
      </c>
      <c r="N223" s="1018" t="s">
        <v>907</v>
      </c>
      <c r="O223" s="186" t="s">
        <v>640</v>
      </c>
      <c r="P223" s="42">
        <v>100</v>
      </c>
      <c r="Q223" s="66"/>
    </row>
    <row r="224" spans="1:17" ht="27" customHeight="1" x14ac:dyDescent="0.25">
      <c r="A224" s="61">
        <v>2</v>
      </c>
      <c r="B224" s="425" t="s">
        <v>917</v>
      </c>
      <c r="C224" s="425" t="s">
        <v>917</v>
      </c>
      <c r="D224" s="426" t="s">
        <v>100</v>
      </c>
      <c r="E224" s="427"/>
      <c r="F224" s="76"/>
      <c r="G224" s="428"/>
      <c r="H224" s="5"/>
      <c r="I224" s="884">
        <f>I226+I232</f>
        <v>24.2</v>
      </c>
      <c r="J224" s="429"/>
      <c r="K224" s="915"/>
      <c r="L224" s="916"/>
      <c r="M224" s="133"/>
      <c r="N224" s="389"/>
      <c r="O224" s="117"/>
      <c r="P224" s="42"/>
      <c r="Q224" s="66"/>
    </row>
    <row r="225" spans="1:17" ht="45" customHeight="1" x14ac:dyDescent="0.25">
      <c r="A225" s="62">
        <v>2</v>
      </c>
      <c r="B225" s="46"/>
      <c r="C225" s="46" t="s">
        <v>918</v>
      </c>
      <c r="D225" s="809" t="s">
        <v>101</v>
      </c>
      <c r="E225" s="42" t="s">
        <v>919</v>
      </c>
      <c r="F225" s="42" t="s">
        <v>102</v>
      </c>
      <c r="G225" s="62" t="s">
        <v>8</v>
      </c>
      <c r="H225" s="106">
        <v>14.5</v>
      </c>
      <c r="I225" s="15">
        <f>SUM(I227:I229)</f>
        <v>0</v>
      </c>
      <c r="J225" s="98">
        <f>SUM(J227:J230)</f>
        <v>24.1</v>
      </c>
      <c r="K225" s="15">
        <f>SUM(K227:K229)</f>
        <v>120</v>
      </c>
      <c r="L225" s="33">
        <f>SUM(L227:L228)</f>
        <v>0</v>
      </c>
      <c r="M225" s="133" t="s">
        <v>629</v>
      </c>
      <c r="N225" s="389" t="s">
        <v>920</v>
      </c>
      <c r="O225" s="117" t="s">
        <v>921</v>
      </c>
      <c r="P225" s="42">
        <v>2</v>
      </c>
      <c r="Q225" s="66"/>
    </row>
    <row r="226" spans="1:17" ht="13.2" x14ac:dyDescent="0.25">
      <c r="A226" s="62">
        <v>2</v>
      </c>
      <c r="B226" s="46"/>
      <c r="C226" s="46" t="s">
        <v>918</v>
      </c>
      <c r="D226" s="49"/>
      <c r="E226" s="42">
        <v>2</v>
      </c>
      <c r="F226" s="42" t="s">
        <v>102</v>
      </c>
      <c r="G226" s="103" t="s">
        <v>492</v>
      </c>
      <c r="H226" s="105">
        <f>SUM(,H225)</f>
        <v>14.5</v>
      </c>
      <c r="I226" s="105">
        <f>SUM(,I225)</f>
        <v>0</v>
      </c>
      <c r="J226" s="105">
        <f t="shared" ref="J226:L226" si="29">SUM(,J225)</f>
        <v>24.1</v>
      </c>
      <c r="K226" s="105">
        <f t="shared" si="29"/>
        <v>120</v>
      </c>
      <c r="L226" s="750">
        <f t="shared" si="29"/>
        <v>0</v>
      </c>
      <c r="M226" s="133"/>
      <c r="N226" s="389"/>
      <c r="O226" s="117"/>
      <c r="P226" s="42"/>
      <c r="Q226" s="66"/>
    </row>
    <row r="227" spans="1:17" ht="39" customHeight="1" x14ac:dyDescent="0.25">
      <c r="A227" s="62">
        <v>2</v>
      </c>
      <c r="B227" s="46"/>
      <c r="C227" s="46" t="s">
        <v>922</v>
      </c>
      <c r="D227" s="118" t="s">
        <v>923</v>
      </c>
      <c r="E227" s="42">
        <v>2</v>
      </c>
      <c r="F227" s="42" t="s">
        <v>102</v>
      </c>
      <c r="G227" s="62" t="s">
        <v>8</v>
      </c>
      <c r="H227" s="106"/>
      <c r="I227" s="15">
        <f>12-12</f>
        <v>0</v>
      </c>
      <c r="J227" s="98">
        <f>80-53.4-23.1</f>
        <v>3.5</v>
      </c>
      <c r="K227" s="37">
        <f>20+82</f>
        <v>102</v>
      </c>
      <c r="L227" s="48"/>
      <c r="M227" s="133" t="s">
        <v>702</v>
      </c>
      <c r="N227" s="1017" t="s">
        <v>882</v>
      </c>
      <c r="O227" s="117" t="s">
        <v>924</v>
      </c>
      <c r="P227" s="42">
        <v>70</v>
      </c>
      <c r="Q227" s="66" t="s">
        <v>632</v>
      </c>
    </row>
    <row r="228" spans="1:17" ht="24" customHeight="1" x14ac:dyDescent="0.25">
      <c r="A228" s="62">
        <v>2</v>
      </c>
      <c r="B228" s="46"/>
      <c r="C228" s="64" t="s">
        <v>925</v>
      </c>
      <c r="D228" s="460" t="s">
        <v>926</v>
      </c>
      <c r="E228" s="738">
        <v>27</v>
      </c>
      <c r="F228" s="43" t="s">
        <v>2079</v>
      </c>
      <c r="G228" s="62" t="s">
        <v>8</v>
      </c>
      <c r="H228" s="106"/>
      <c r="I228" s="15"/>
      <c r="J228" s="98">
        <v>12</v>
      </c>
      <c r="K228" s="37"/>
      <c r="L228" s="48"/>
      <c r="M228" s="133" t="s">
        <v>702</v>
      </c>
      <c r="N228" s="821" t="s">
        <v>927</v>
      </c>
      <c r="O228" s="186" t="s">
        <v>928</v>
      </c>
      <c r="P228" s="42">
        <v>1</v>
      </c>
      <c r="Q228" s="66" t="s">
        <v>692</v>
      </c>
    </row>
    <row r="229" spans="1:17" ht="23.4" customHeight="1" x14ac:dyDescent="0.25">
      <c r="A229" s="62">
        <v>2</v>
      </c>
      <c r="B229" s="44"/>
      <c r="C229" s="46" t="s">
        <v>929</v>
      </c>
      <c r="D229" s="461" t="s">
        <v>930</v>
      </c>
      <c r="E229" s="818">
        <v>25</v>
      </c>
      <c r="F229" s="937" t="s">
        <v>2080</v>
      </c>
      <c r="G229" s="928" t="s">
        <v>8</v>
      </c>
      <c r="H229" s="371"/>
      <c r="I229" s="15"/>
      <c r="J229" s="98">
        <f>20-11.4</f>
        <v>8.6</v>
      </c>
      <c r="K229" s="37">
        <f>100-82</f>
        <v>18</v>
      </c>
      <c r="L229" s="48"/>
      <c r="M229" s="133"/>
      <c r="N229" s="821" t="s">
        <v>1944</v>
      </c>
      <c r="O229" s="186" t="s">
        <v>928</v>
      </c>
      <c r="P229" s="42">
        <v>1</v>
      </c>
      <c r="Q229" s="66" t="s">
        <v>720</v>
      </c>
    </row>
    <row r="230" spans="1:17" ht="23.4" customHeight="1" x14ac:dyDescent="0.25">
      <c r="A230" s="62">
        <v>2</v>
      </c>
      <c r="B230" s="44"/>
      <c r="C230" s="46" t="s">
        <v>1879</v>
      </c>
      <c r="D230" s="935" t="s">
        <v>1880</v>
      </c>
      <c r="E230" s="936">
        <v>2</v>
      </c>
      <c r="F230" s="937" t="s">
        <v>931</v>
      </c>
      <c r="G230" s="62" t="s">
        <v>8</v>
      </c>
      <c r="H230" s="371"/>
      <c r="I230" s="15"/>
      <c r="J230" s="98"/>
      <c r="K230" s="37"/>
      <c r="L230" s="48"/>
      <c r="M230" s="133"/>
      <c r="N230" s="186" t="s">
        <v>874</v>
      </c>
      <c r="O230" s="186" t="s">
        <v>928</v>
      </c>
      <c r="P230" s="42">
        <v>1</v>
      </c>
      <c r="Q230" s="66" t="s">
        <v>692</v>
      </c>
    </row>
    <row r="231" spans="1:17" ht="28.2" customHeight="1" x14ac:dyDescent="0.25">
      <c r="A231" s="62">
        <v>2</v>
      </c>
      <c r="B231" s="46"/>
      <c r="C231" s="47" t="s">
        <v>932</v>
      </c>
      <c r="D231" s="819" t="s">
        <v>933</v>
      </c>
      <c r="E231" s="372"/>
      <c r="F231" s="42" t="s">
        <v>934</v>
      </c>
      <c r="G231" s="317" t="s">
        <v>8</v>
      </c>
      <c r="I231" s="15">
        <v>24.2</v>
      </c>
      <c r="J231" s="98">
        <f>SUM(J233:J236)</f>
        <v>171.5</v>
      </c>
      <c r="K231" s="15">
        <f t="shared" ref="K231:L231" si="30">SUM(K233:K236)</f>
        <v>440</v>
      </c>
      <c r="L231" s="33">
        <f t="shared" si="30"/>
        <v>400</v>
      </c>
      <c r="M231" s="133" t="s">
        <v>689</v>
      </c>
      <c r="N231" s="389"/>
      <c r="O231" s="117"/>
      <c r="P231" s="42"/>
      <c r="Q231" s="66" t="s">
        <v>632</v>
      </c>
    </row>
    <row r="232" spans="1:17" ht="13.2" x14ac:dyDescent="0.25">
      <c r="A232" s="62">
        <v>2</v>
      </c>
      <c r="B232" s="46"/>
      <c r="C232" s="47" t="s">
        <v>932</v>
      </c>
      <c r="D232" s="35"/>
      <c r="E232" s="41"/>
      <c r="F232" s="41"/>
      <c r="G232" s="103" t="s">
        <v>492</v>
      </c>
      <c r="H232" s="105"/>
      <c r="I232" s="105">
        <f>SUM(I231)</f>
        <v>24.2</v>
      </c>
      <c r="J232" s="105">
        <f t="shared" ref="J232:L232" si="31">SUM(J231)</f>
        <v>171.5</v>
      </c>
      <c r="K232" s="105">
        <f t="shared" si="31"/>
        <v>440</v>
      </c>
      <c r="L232" s="750">
        <f t="shared" si="31"/>
        <v>400</v>
      </c>
      <c r="M232" s="133" t="s">
        <v>689</v>
      </c>
      <c r="N232" s="389"/>
      <c r="O232" s="117"/>
      <c r="P232" s="42"/>
      <c r="Q232" s="66"/>
    </row>
    <row r="233" spans="1:17" ht="33" customHeight="1" x14ac:dyDescent="0.25">
      <c r="A233" s="62">
        <v>2</v>
      </c>
      <c r="B233" s="46"/>
      <c r="C233" s="47" t="s">
        <v>932</v>
      </c>
      <c r="D233" s="1215" t="s">
        <v>933</v>
      </c>
      <c r="E233" s="42">
        <v>2</v>
      </c>
      <c r="F233" s="42" t="s">
        <v>934</v>
      </c>
      <c r="G233" s="62" t="s">
        <v>8</v>
      </c>
      <c r="H233" s="106"/>
      <c r="I233" s="15"/>
      <c r="J233" s="98">
        <f>120-20-10-77.5</f>
        <v>12.5</v>
      </c>
      <c r="K233" s="37">
        <v>400</v>
      </c>
      <c r="L233" s="48">
        <v>400</v>
      </c>
      <c r="M233" s="133" t="s">
        <v>689</v>
      </c>
      <c r="N233" s="389" t="s">
        <v>891</v>
      </c>
      <c r="O233" s="117" t="s">
        <v>935</v>
      </c>
      <c r="P233" s="42" t="s">
        <v>741</v>
      </c>
      <c r="Q233" s="66" t="s">
        <v>632</v>
      </c>
    </row>
    <row r="234" spans="1:17" ht="42.6" customHeight="1" x14ac:dyDescent="0.25">
      <c r="A234" s="62">
        <v>2</v>
      </c>
      <c r="B234" s="46"/>
      <c r="C234" s="47" t="s">
        <v>932</v>
      </c>
      <c r="D234" s="1215" t="s">
        <v>933</v>
      </c>
      <c r="E234" s="42">
        <v>23</v>
      </c>
      <c r="F234" s="42" t="s">
        <v>934</v>
      </c>
      <c r="G234" s="62" t="s">
        <v>8</v>
      </c>
      <c r="H234" s="106"/>
      <c r="I234" s="15"/>
      <c r="J234" s="98">
        <f>10</f>
        <v>10</v>
      </c>
      <c r="K234" s="37"/>
      <c r="L234" s="48"/>
      <c r="M234" s="133"/>
      <c r="N234" s="389" t="s">
        <v>579</v>
      </c>
      <c r="O234" s="117" t="s">
        <v>1905</v>
      </c>
      <c r="P234" s="42">
        <v>1</v>
      </c>
      <c r="Q234" s="66" t="s">
        <v>632</v>
      </c>
    </row>
    <row r="235" spans="1:17" ht="20.25" customHeight="1" x14ac:dyDescent="0.25">
      <c r="A235" s="62">
        <v>2</v>
      </c>
      <c r="B235" s="46"/>
      <c r="C235" s="47" t="s">
        <v>932</v>
      </c>
      <c r="D235" s="118" t="s">
        <v>933</v>
      </c>
      <c r="E235" s="42">
        <v>36</v>
      </c>
      <c r="F235" s="42" t="s">
        <v>934</v>
      </c>
      <c r="G235" s="62" t="s">
        <v>8</v>
      </c>
      <c r="H235" s="106"/>
      <c r="I235" s="15"/>
      <c r="J235" s="98">
        <f>150-50+49</f>
        <v>149</v>
      </c>
      <c r="K235" s="37">
        <v>40</v>
      </c>
      <c r="L235" s="48"/>
      <c r="M235" s="133" t="s">
        <v>689</v>
      </c>
      <c r="N235" s="389" t="s">
        <v>907</v>
      </c>
      <c r="O235" s="117" t="s">
        <v>936</v>
      </c>
      <c r="P235" s="42">
        <v>6</v>
      </c>
      <c r="Q235" s="66" t="s">
        <v>632</v>
      </c>
    </row>
    <row r="236" spans="1:17" ht="29.4" customHeight="1" x14ac:dyDescent="0.25">
      <c r="A236" s="62">
        <v>2</v>
      </c>
      <c r="B236" s="46"/>
      <c r="C236" s="47" t="s">
        <v>932</v>
      </c>
      <c r="D236" s="118" t="s">
        <v>933</v>
      </c>
      <c r="E236" s="42" t="s">
        <v>530</v>
      </c>
      <c r="F236" s="42" t="s">
        <v>934</v>
      </c>
      <c r="G236" s="62" t="s">
        <v>8</v>
      </c>
      <c r="H236" s="106"/>
      <c r="I236" s="15"/>
      <c r="J236" s="98">
        <f>22-22</f>
        <v>0</v>
      </c>
      <c r="K236" s="37"/>
      <c r="L236" s="48"/>
      <c r="M236" s="133" t="s">
        <v>689</v>
      </c>
      <c r="N236" s="389" t="s">
        <v>937</v>
      </c>
      <c r="O236" s="117" t="s">
        <v>938</v>
      </c>
      <c r="P236" s="42">
        <v>1</v>
      </c>
      <c r="Q236" s="66" t="s">
        <v>632</v>
      </c>
    </row>
    <row r="237" spans="1:17" ht="13.2" customHeight="1" x14ac:dyDescent="0.25">
      <c r="A237" s="909"/>
      <c r="B237" s="909"/>
      <c r="C237" s="909"/>
      <c r="D237" s="909" t="s">
        <v>1838</v>
      </c>
      <c r="E237" s="912"/>
      <c r="F237" s="909"/>
      <c r="G237" s="909"/>
      <c r="H237" s="909"/>
      <c r="I237" s="909"/>
      <c r="J237" s="909"/>
      <c r="K237" s="909"/>
      <c r="L237" s="911"/>
      <c r="M237" s="922"/>
      <c r="N237" s="1008"/>
      <c r="O237" s="977"/>
      <c r="P237" s="923"/>
      <c r="Q237" s="923"/>
    </row>
    <row r="238" spans="1:17" ht="26.4" customHeight="1" x14ac:dyDescent="0.25">
      <c r="A238" s="62">
        <v>3</v>
      </c>
      <c r="B238" s="93"/>
      <c r="C238" s="93"/>
      <c r="D238" s="94" t="s">
        <v>939</v>
      </c>
      <c r="E238" s="95"/>
      <c r="F238" s="96"/>
      <c r="G238" s="95"/>
      <c r="H238" s="95"/>
      <c r="I238" s="95"/>
      <c r="J238" s="95"/>
      <c r="K238" s="95"/>
      <c r="L238" s="422"/>
      <c r="M238" s="133"/>
      <c r="N238" s="820"/>
      <c r="O238" s="203"/>
      <c r="P238" s="73"/>
      <c r="Q238" s="81"/>
    </row>
    <row r="239" spans="1:17" ht="24.6" customHeight="1" x14ac:dyDescent="0.25">
      <c r="A239" s="42">
        <v>3</v>
      </c>
      <c r="B239" s="112" t="s">
        <v>940</v>
      </c>
      <c r="C239" s="112" t="s">
        <v>940</v>
      </c>
      <c r="D239" s="132" t="s">
        <v>941</v>
      </c>
      <c r="E239" s="920"/>
      <c r="F239" s="404"/>
      <c r="G239" s="921"/>
      <c r="H239" s="188"/>
      <c r="I239" s="188">
        <f>I246+I248+I250+I255</f>
        <v>422.40000000000003</v>
      </c>
      <c r="J239" s="98"/>
      <c r="K239" s="188"/>
      <c r="L239" s="785"/>
      <c r="M239" s="133"/>
      <c r="N239" s="389"/>
      <c r="O239" s="117"/>
      <c r="P239" s="42"/>
      <c r="Q239" s="204"/>
    </row>
    <row r="240" spans="1:17" ht="21" x14ac:dyDescent="0.25">
      <c r="A240" s="42">
        <v>3</v>
      </c>
      <c r="B240" s="46"/>
      <c r="C240" s="46" t="s">
        <v>942</v>
      </c>
      <c r="D240" s="205" t="s">
        <v>113</v>
      </c>
      <c r="E240" s="46" t="s">
        <v>111</v>
      </c>
      <c r="F240" s="42" t="s">
        <v>114</v>
      </c>
      <c r="G240" s="69" t="s">
        <v>115</v>
      </c>
      <c r="H240" s="6">
        <v>394.7</v>
      </c>
      <c r="I240" s="25">
        <v>385</v>
      </c>
      <c r="J240" s="98">
        <f>368+80+48</f>
        <v>496</v>
      </c>
      <c r="K240" s="25">
        <v>368</v>
      </c>
      <c r="L240" s="26">
        <v>368</v>
      </c>
      <c r="M240" s="133"/>
      <c r="N240" s="389" t="s">
        <v>943</v>
      </c>
      <c r="O240" s="117" t="s">
        <v>944</v>
      </c>
      <c r="P240" s="65">
        <v>15</v>
      </c>
      <c r="Q240" s="204"/>
    </row>
    <row r="241" spans="1:17" ht="30.6" customHeight="1" x14ac:dyDescent="0.25">
      <c r="A241" s="42">
        <v>3</v>
      </c>
      <c r="B241" s="46"/>
      <c r="C241" s="46"/>
      <c r="D241" s="205"/>
      <c r="E241" s="46" t="s">
        <v>111</v>
      </c>
      <c r="F241" s="42" t="s">
        <v>114</v>
      </c>
      <c r="G241" s="69" t="s">
        <v>10</v>
      </c>
      <c r="H241" s="6">
        <v>12.5</v>
      </c>
      <c r="I241" s="25">
        <v>8.1</v>
      </c>
      <c r="J241" s="98">
        <f>28</f>
        <v>28</v>
      </c>
      <c r="K241" s="6"/>
      <c r="L241" s="24"/>
      <c r="M241" s="133"/>
      <c r="N241" s="821"/>
      <c r="O241" s="117" t="s">
        <v>945</v>
      </c>
      <c r="P241" s="65">
        <v>3</v>
      </c>
      <c r="Q241" s="204"/>
    </row>
    <row r="242" spans="1:17" ht="31.2" customHeight="1" x14ac:dyDescent="0.25">
      <c r="A242" s="62">
        <v>3</v>
      </c>
      <c r="B242" s="46"/>
      <c r="C242" s="46"/>
      <c r="D242" s="205"/>
      <c r="E242" s="46" t="s">
        <v>111</v>
      </c>
      <c r="F242" s="42" t="s">
        <v>114</v>
      </c>
      <c r="G242" s="69" t="s">
        <v>116</v>
      </c>
      <c r="H242" s="6">
        <v>73.8</v>
      </c>
      <c r="I242" s="25">
        <v>0.5</v>
      </c>
      <c r="J242" s="98">
        <v>39.299999999999997</v>
      </c>
      <c r="K242" s="6"/>
      <c r="L242" s="24"/>
      <c r="M242" s="133"/>
      <c r="N242" s="389"/>
      <c r="O242" s="117" t="s">
        <v>946</v>
      </c>
      <c r="P242" s="65">
        <v>6</v>
      </c>
      <c r="Q242" s="204"/>
    </row>
    <row r="243" spans="1:17" ht="21" customHeight="1" x14ac:dyDescent="0.25">
      <c r="A243" s="42">
        <v>3</v>
      </c>
      <c r="B243" s="46"/>
      <c r="C243" s="46"/>
      <c r="D243" s="205"/>
      <c r="E243" s="46" t="s">
        <v>111</v>
      </c>
      <c r="F243" s="42" t="s">
        <v>114</v>
      </c>
      <c r="G243" s="69"/>
      <c r="H243" s="6"/>
      <c r="I243" s="25"/>
      <c r="J243" s="98"/>
      <c r="K243" s="6"/>
      <c r="L243" s="24"/>
      <c r="M243" s="133"/>
      <c r="N243" s="389"/>
      <c r="O243" s="117" t="s">
        <v>947</v>
      </c>
      <c r="P243" s="65">
        <v>2</v>
      </c>
      <c r="Q243" s="204"/>
    </row>
    <row r="244" spans="1:17" ht="45" customHeight="1" x14ac:dyDescent="0.25">
      <c r="A244" s="42">
        <v>3</v>
      </c>
      <c r="B244" s="46"/>
      <c r="C244" s="46"/>
      <c r="D244" s="205"/>
      <c r="E244" s="46" t="s">
        <v>111</v>
      </c>
      <c r="F244" s="42" t="s">
        <v>114</v>
      </c>
      <c r="G244" s="69"/>
      <c r="H244" s="6"/>
      <c r="I244" s="25"/>
      <c r="J244" s="98"/>
      <c r="K244" s="6"/>
      <c r="L244" s="24"/>
      <c r="M244" s="133"/>
      <c r="N244" s="389"/>
      <c r="O244" s="390" t="s">
        <v>948</v>
      </c>
      <c r="P244" s="381">
        <v>7</v>
      </c>
      <c r="Q244" s="204"/>
    </row>
    <row r="245" spans="1:17" ht="12.75" customHeight="1" x14ac:dyDescent="0.25">
      <c r="A245" s="42">
        <v>3</v>
      </c>
      <c r="B245" s="46"/>
      <c r="C245" s="46"/>
      <c r="D245" s="205"/>
      <c r="E245" s="46" t="s">
        <v>111</v>
      </c>
      <c r="F245" s="42" t="s">
        <v>114</v>
      </c>
      <c r="G245" s="69"/>
      <c r="H245" s="6"/>
      <c r="I245" s="25"/>
      <c r="J245" s="98"/>
      <c r="K245" s="6"/>
      <c r="L245" s="24"/>
      <c r="M245" s="133"/>
      <c r="N245" s="822"/>
      <c r="O245" s="979"/>
      <c r="P245" s="944"/>
      <c r="Q245" s="823"/>
    </row>
    <row r="246" spans="1:17" ht="13.2" x14ac:dyDescent="0.25">
      <c r="A246" s="42">
        <v>3</v>
      </c>
      <c r="B246" s="46"/>
      <c r="C246" s="46"/>
      <c r="D246" s="205"/>
      <c r="E246" s="46" t="s">
        <v>111</v>
      </c>
      <c r="F246" s="42" t="s">
        <v>114</v>
      </c>
      <c r="G246" s="103" t="s">
        <v>492</v>
      </c>
      <c r="H246" s="105">
        <v>481</v>
      </c>
      <c r="I246" s="105">
        <f>SUM(I240:I242)</f>
        <v>393.6</v>
      </c>
      <c r="J246" s="105">
        <f>SUM(J240:J242)</f>
        <v>563.29999999999995</v>
      </c>
      <c r="K246" s="105">
        <f>SUM(K240:K242)</f>
        <v>368</v>
      </c>
      <c r="L246" s="750">
        <f>SUM(L240:L242)</f>
        <v>368</v>
      </c>
      <c r="M246" s="133"/>
      <c r="N246" s="389"/>
      <c r="O246" s="196"/>
      <c r="P246" s="39"/>
      <c r="Q246" s="204"/>
    </row>
    <row r="247" spans="1:17" ht="24" customHeight="1" x14ac:dyDescent="0.25">
      <c r="A247" s="42">
        <v>3</v>
      </c>
      <c r="B247" s="46"/>
      <c r="C247" s="46" t="s">
        <v>949</v>
      </c>
      <c r="D247" s="74" t="s">
        <v>119</v>
      </c>
      <c r="E247" s="46" t="s">
        <v>111</v>
      </c>
      <c r="F247" s="133" t="s">
        <v>120</v>
      </c>
      <c r="G247" s="69" t="s">
        <v>8</v>
      </c>
      <c r="H247" s="6">
        <v>5</v>
      </c>
      <c r="I247" s="25">
        <v>5</v>
      </c>
      <c r="J247" s="98">
        <v>6</v>
      </c>
      <c r="K247" s="6">
        <v>6</v>
      </c>
      <c r="L247" s="24">
        <v>6</v>
      </c>
      <c r="M247" s="133" t="s">
        <v>616</v>
      </c>
      <c r="N247" s="389" t="s">
        <v>1985</v>
      </c>
      <c r="O247" s="81" t="s">
        <v>950</v>
      </c>
      <c r="P247" s="65">
        <v>90</v>
      </c>
      <c r="Q247" s="204"/>
    </row>
    <row r="248" spans="1:17" ht="13.2" x14ac:dyDescent="0.25">
      <c r="A248" s="42">
        <v>3</v>
      </c>
      <c r="B248" s="46"/>
      <c r="C248" s="46"/>
      <c r="D248" s="74"/>
      <c r="E248" s="46"/>
      <c r="F248" s="133" t="s">
        <v>120</v>
      </c>
      <c r="G248" s="103" t="s">
        <v>492</v>
      </c>
      <c r="H248" s="105"/>
      <c r="I248" s="105">
        <f>SUM(I247)</f>
        <v>5</v>
      </c>
      <c r="J248" s="105">
        <f t="shared" ref="J248:L248" si="32">SUM(J247)</f>
        <v>6</v>
      </c>
      <c r="K248" s="105">
        <f t="shared" si="32"/>
        <v>6</v>
      </c>
      <c r="L248" s="750">
        <f t="shared" si="32"/>
        <v>6</v>
      </c>
      <c r="M248" s="133"/>
      <c r="N248" s="389"/>
      <c r="O248" s="117"/>
      <c r="P248" s="65"/>
      <c r="Q248" s="204"/>
    </row>
    <row r="249" spans="1:17" ht="35.4" customHeight="1" x14ac:dyDescent="0.25">
      <c r="A249" s="42">
        <v>3</v>
      </c>
      <c r="B249" s="46"/>
      <c r="C249" s="46" t="s">
        <v>951</v>
      </c>
      <c r="D249" s="74" t="s">
        <v>952</v>
      </c>
      <c r="E249" s="46" t="s">
        <v>111</v>
      </c>
      <c r="F249" s="133" t="s">
        <v>953</v>
      </c>
      <c r="G249" s="69" t="s">
        <v>8</v>
      </c>
      <c r="H249" s="6">
        <v>45</v>
      </c>
      <c r="I249" s="25"/>
      <c r="J249" s="98">
        <f>120-2.3</f>
        <v>117.7</v>
      </c>
      <c r="K249" s="6">
        <v>100</v>
      </c>
      <c r="L249" s="24">
        <v>100</v>
      </c>
      <c r="M249" s="133" t="s">
        <v>629</v>
      </c>
      <c r="N249" s="389"/>
      <c r="O249" s="117" t="s">
        <v>954</v>
      </c>
      <c r="P249" s="65">
        <v>100</v>
      </c>
      <c r="Q249" s="204"/>
    </row>
    <row r="250" spans="1:17" ht="13.2" x14ac:dyDescent="0.25">
      <c r="A250" s="42">
        <v>3</v>
      </c>
      <c r="B250" s="46"/>
      <c r="C250" s="46"/>
      <c r="D250" s="74"/>
      <c r="E250" s="46"/>
      <c r="F250" s="133"/>
      <c r="G250" s="103" t="s">
        <v>492</v>
      </c>
      <c r="H250" s="105"/>
      <c r="I250" s="105">
        <f>SUM(I249)</f>
        <v>0</v>
      </c>
      <c r="J250" s="105">
        <f t="shared" ref="J250:L250" si="33">SUM(J249)</f>
        <v>117.7</v>
      </c>
      <c r="K250" s="105">
        <f t="shared" si="33"/>
        <v>100</v>
      </c>
      <c r="L250" s="750">
        <f t="shared" si="33"/>
        <v>100</v>
      </c>
      <c r="M250" s="133"/>
      <c r="N250" s="389"/>
      <c r="O250" s="117"/>
      <c r="P250" s="65"/>
      <c r="Q250" s="204"/>
    </row>
    <row r="251" spans="1:17" ht="44.4" customHeight="1" x14ac:dyDescent="0.25">
      <c r="A251" s="42">
        <v>3</v>
      </c>
      <c r="B251" s="46"/>
      <c r="C251" s="46" t="s">
        <v>955</v>
      </c>
      <c r="D251" s="74" t="s">
        <v>956</v>
      </c>
      <c r="E251" s="42">
        <v>9</v>
      </c>
      <c r="F251" s="133" t="s">
        <v>957</v>
      </c>
      <c r="G251" s="69" t="s">
        <v>8</v>
      </c>
      <c r="H251" s="6"/>
      <c r="I251" s="25">
        <v>19.5</v>
      </c>
      <c r="J251" s="98">
        <f>360-210+6+187</f>
        <v>343</v>
      </c>
      <c r="K251" s="6"/>
      <c r="L251" s="24"/>
      <c r="M251" s="133" t="s">
        <v>619</v>
      </c>
      <c r="N251" s="389" t="s">
        <v>1884</v>
      </c>
      <c r="O251" s="117" t="s">
        <v>958</v>
      </c>
      <c r="P251" s="42">
        <v>1</v>
      </c>
      <c r="Q251" s="204" t="s">
        <v>632</v>
      </c>
    </row>
    <row r="252" spans="1:17" ht="12.75" customHeight="1" x14ac:dyDescent="0.25">
      <c r="A252" s="62">
        <v>3</v>
      </c>
      <c r="B252" s="46"/>
      <c r="C252" s="46"/>
      <c r="D252" s="74"/>
      <c r="E252" s="46" t="s">
        <v>39</v>
      </c>
      <c r="F252" s="133" t="s">
        <v>957</v>
      </c>
      <c r="G252" s="69" t="s">
        <v>37</v>
      </c>
      <c r="H252" s="6"/>
      <c r="I252" s="25">
        <v>4.3</v>
      </c>
      <c r="J252" s="98">
        <v>210</v>
      </c>
      <c r="K252" s="6"/>
      <c r="L252" s="24"/>
      <c r="M252" s="133"/>
      <c r="N252" s="389" t="s">
        <v>1884</v>
      </c>
      <c r="O252" s="117" t="s">
        <v>959</v>
      </c>
      <c r="P252" s="65">
        <v>100</v>
      </c>
      <c r="Q252" s="204" t="s">
        <v>632</v>
      </c>
    </row>
    <row r="253" spans="1:17" ht="12.75" customHeight="1" x14ac:dyDescent="0.25">
      <c r="A253" s="42">
        <v>3</v>
      </c>
      <c r="B253" s="46"/>
      <c r="C253" s="46"/>
      <c r="D253" s="208"/>
      <c r="E253" s="46" t="s">
        <v>39</v>
      </c>
      <c r="F253" s="133" t="s">
        <v>957</v>
      </c>
      <c r="G253" s="69" t="s">
        <v>38</v>
      </c>
      <c r="H253" s="6"/>
      <c r="I253" s="25"/>
      <c r="J253" s="98">
        <v>28</v>
      </c>
      <c r="K253" s="6"/>
      <c r="L253" s="24"/>
      <c r="M253" s="133"/>
      <c r="N253" s="389" t="s">
        <v>1884</v>
      </c>
      <c r="O253" s="117"/>
      <c r="P253" s="65"/>
      <c r="Q253" s="204" t="s">
        <v>632</v>
      </c>
    </row>
    <row r="254" spans="1:17" ht="20.25" customHeight="1" x14ac:dyDescent="0.25">
      <c r="A254" s="42">
        <v>3</v>
      </c>
      <c r="B254" s="46"/>
      <c r="C254" s="46"/>
      <c r="D254" s="208"/>
      <c r="E254" s="46" t="s">
        <v>469</v>
      </c>
      <c r="F254" s="133" t="s">
        <v>2060</v>
      </c>
      <c r="G254" s="1187" t="s">
        <v>8</v>
      </c>
      <c r="H254" s="6"/>
      <c r="I254" s="25"/>
      <c r="J254" s="98">
        <v>13.1</v>
      </c>
      <c r="K254" s="6"/>
      <c r="L254" s="24"/>
      <c r="M254" s="133"/>
      <c r="N254" s="117" t="s">
        <v>579</v>
      </c>
      <c r="O254" s="117" t="s">
        <v>2061</v>
      </c>
      <c r="P254" s="42" t="s">
        <v>741</v>
      </c>
      <c r="Q254" s="204" t="s">
        <v>632</v>
      </c>
    </row>
    <row r="255" spans="1:17" ht="13.2" x14ac:dyDescent="0.25">
      <c r="A255" s="42">
        <v>3</v>
      </c>
      <c r="B255" s="46"/>
      <c r="C255" s="46"/>
      <c r="D255" s="208"/>
      <c r="E255" s="46"/>
      <c r="F255" s="133"/>
      <c r="G255" s="103" t="s">
        <v>492</v>
      </c>
      <c r="H255" s="105">
        <v>0</v>
      </c>
      <c r="I255" s="105">
        <f>SUM(I251:I253)</f>
        <v>23.8</v>
      </c>
      <c r="J255" s="105">
        <f>SUM(J251:J254)</f>
        <v>594.1</v>
      </c>
      <c r="K255" s="105">
        <f t="shared" ref="K255:L255" si="34">SUM(K251:K253)</f>
        <v>0</v>
      </c>
      <c r="L255" s="750">
        <f t="shared" si="34"/>
        <v>0</v>
      </c>
      <c r="M255" s="133"/>
      <c r="N255" s="389"/>
      <c r="O255" s="117"/>
      <c r="P255" s="65"/>
      <c r="Q255" s="204"/>
    </row>
    <row r="256" spans="1:17" ht="32.4" customHeight="1" x14ac:dyDescent="0.25">
      <c r="A256" s="42">
        <v>3</v>
      </c>
      <c r="B256" s="112" t="s">
        <v>960</v>
      </c>
      <c r="C256" s="112"/>
      <c r="D256" s="132" t="s">
        <v>961</v>
      </c>
      <c r="E256" s="920"/>
      <c r="F256" s="404"/>
      <c r="G256" s="921"/>
      <c r="H256" s="209"/>
      <c r="I256" s="209" t="e">
        <f>#REF!+#REF!+#REF!+I259+#REF!</f>
        <v>#REF!</v>
      </c>
      <c r="J256" s="98"/>
      <c r="K256" s="188"/>
      <c r="L256" s="785"/>
      <c r="M256" s="133"/>
      <c r="N256" s="389"/>
      <c r="O256" s="117"/>
      <c r="P256" s="65"/>
      <c r="Q256" s="204"/>
    </row>
    <row r="257" spans="1:17" ht="35.4" customHeight="1" x14ac:dyDescent="0.25">
      <c r="A257" s="62">
        <v>3</v>
      </c>
      <c r="B257" s="50"/>
      <c r="C257" s="50" t="s">
        <v>962</v>
      </c>
      <c r="D257" s="74" t="s">
        <v>118</v>
      </c>
      <c r="E257" s="133">
        <v>18</v>
      </c>
      <c r="F257" s="42" t="s">
        <v>963</v>
      </c>
      <c r="G257" s="69" t="s">
        <v>10</v>
      </c>
      <c r="H257" s="6">
        <v>52.1</v>
      </c>
      <c r="I257" s="25"/>
      <c r="J257" s="98">
        <f>29.9</f>
        <v>29.9</v>
      </c>
      <c r="K257" s="6"/>
      <c r="L257" s="24"/>
      <c r="M257" s="133"/>
      <c r="N257" s="389" t="s">
        <v>964</v>
      </c>
      <c r="O257" s="117" t="s">
        <v>965</v>
      </c>
      <c r="P257" s="344">
        <v>100</v>
      </c>
      <c r="Q257" s="346"/>
    </row>
    <row r="258" spans="1:17" ht="12.75" customHeight="1" x14ac:dyDescent="0.25">
      <c r="A258" s="42">
        <v>3</v>
      </c>
      <c r="B258" s="50"/>
      <c r="C258" s="50"/>
      <c r="D258" s="74"/>
      <c r="E258" s="133">
        <v>18</v>
      </c>
      <c r="F258" s="42" t="s">
        <v>963</v>
      </c>
      <c r="G258" s="69" t="s">
        <v>8</v>
      </c>
      <c r="H258" s="6">
        <v>13.5</v>
      </c>
      <c r="I258" s="25">
        <f>40+20</f>
        <v>60</v>
      </c>
      <c r="J258" s="98">
        <f>20+2.3</f>
        <v>22.3</v>
      </c>
      <c r="K258" s="6">
        <v>20</v>
      </c>
      <c r="L258" s="24">
        <v>20</v>
      </c>
      <c r="M258" s="133" t="s">
        <v>629</v>
      </c>
      <c r="N258" s="389"/>
      <c r="O258" s="117"/>
      <c r="P258" s="344"/>
      <c r="Q258" s="346"/>
    </row>
    <row r="259" spans="1:17" ht="13.2" x14ac:dyDescent="0.25">
      <c r="A259" s="42">
        <v>3</v>
      </c>
      <c r="B259" s="50"/>
      <c r="C259" s="50"/>
      <c r="D259" s="115"/>
      <c r="E259" s="111"/>
      <c r="F259" s="42" t="s">
        <v>963</v>
      </c>
      <c r="G259" s="103" t="s">
        <v>492</v>
      </c>
      <c r="H259" s="105"/>
      <c r="I259" s="105">
        <f>SUM(I257:I258)</f>
        <v>60</v>
      </c>
      <c r="J259" s="105">
        <f t="shared" ref="J259:L259" si="35">SUM(J257:J258)</f>
        <v>52.2</v>
      </c>
      <c r="K259" s="105">
        <f t="shared" si="35"/>
        <v>20</v>
      </c>
      <c r="L259" s="750">
        <f t="shared" si="35"/>
        <v>20</v>
      </c>
      <c r="M259" s="133"/>
      <c r="N259" s="389"/>
      <c r="O259" s="117"/>
      <c r="P259" s="344"/>
      <c r="Q259" s="346"/>
    </row>
    <row r="260" spans="1:17" ht="27" customHeight="1" x14ac:dyDescent="0.25">
      <c r="A260" s="42">
        <v>3</v>
      </c>
      <c r="B260" s="112" t="s">
        <v>966</v>
      </c>
      <c r="C260" s="112" t="s">
        <v>966</v>
      </c>
      <c r="D260" s="132" t="s">
        <v>967</v>
      </c>
      <c r="E260" s="97"/>
      <c r="F260" s="73"/>
      <c r="G260" s="133"/>
      <c r="H260" s="7">
        <v>1121.4000000000001</v>
      </c>
      <c r="I260" s="188">
        <f>SUM(I262,I264,I266,I268,I270,I272,I274,I277,I279,I281,I283,I293,I295)</f>
        <v>2120.4999999999995</v>
      </c>
      <c r="J260" s="113"/>
      <c r="K260" s="20"/>
      <c r="L260" s="56"/>
      <c r="M260" s="133"/>
      <c r="N260" s="789"/>
      <c r="O260" s="100"/>
      <c r="P260" s="352"/>
      <c r="Q260" s="348"/>
    </row>
    <row r="261" spans="1:17" ht="30" customHeight="1" x14ac:dyDescent="0.25">
      <c r="A261" s="42">
        <v>3</v>
      </c>
      <c r="B261" s="111"/>
      <c r="C261" s="111" t="s">
        <v>968</v>
      </c>
      <c r="D261" s="49" t="s">
        <v>121</v>
      </c>
      <c r="E261" s="65">
        <v>19</v>
      </c>
      <c r="F261" s="65" t="s">
        <v>122</v>
      </c>
      <c r="G261" s="65" t="s">
        <v>8</v>
      </c>
      <c r="H261" s="6">
        <v>99.7</v>
      </c>
      <c r="I261" s="25">
        <v>82</v>
      </c>
      <c r="J261" s="206">
        <f>84.6+6</f>
        <v>90.6</v>
      </c>
      <c r="K261" s="6">
        <v>84.6</v>
      </c>
      <c r="L261" s="24">
        <v>84.6</v>
      </c>
      <c r="M261" s="133" t="s">
        <v>616</v>
      </c>
      <c r="N261" s="389" t="s">
        <v>1986</v>
      </c>
      <c r="O261" s="117" t="s">
        <v>969</v>
      </c>
      <c r="P261" s="344">
        <v>19</v>
      </c>
      <c r="Q261" s="349" t="s">
        <v>724</v>
      </c>
    </row>
    <row r="262" spans="1:17" ht="13.2" x14ac:dyDescent="0.25">
      <c r="A262" s="42">
        <v>3</v>
      </c>
      <c r="B262" s="111"/>
      <c r="C262" s="111" t="s">
        <v>968</v>
      </c>
      <c r="D262" s="49"/>
      <c r="E262" s="65"/>
      <c r="F262" s="65" t="s">
        <v>970</v>
      </c>
      <c r="G262" s="103" t="s">
        <v>492</v>
      </c>
      <c r="H262" s="105">
        <f>SUM(H261)</f>
        <v>99.7</v>
      </c>
      <c r="I262" s="105">
        <f>SUM(I261)</f>
        <v>82</v>
      </c>
      <c r="J262" s="105">
        <f t="shared" ref="J262" si="36">SUM(J261)</f>
        <v>90.6</v>
      </c>
      <c r="K262" s="105">
        <f t="shared" ref="K262:L262" si="37">SUM(K261)</f>
        <v>84.6</v>
      </c>
      <c r="L262" s="750">
        <f t="shared" si="37"/>
        <v>84.6</v>
      </c>
      <c r="M262" s="133"/>
      <c r="N262" s="389"/>
      <c r="O262" s="117"/>
      <c r="P262" s="344"/>
      <c r="Q262" s="349">
        <f>SUM(Q261)</f>
        <v>0</v>
      </c>
    </row>
    <row r="263" spans="1:17" ht="27" customHeight="1" x14ac:dyDescent="0.25">
      <c r="A263" s="42">
        <v>3</v>
      </c>
      <c r="B263" s="111"/>
      <c r="C263" s="111" t="s">
        <v>971</v>
      </c>
      <c r="D263" s="49" t="s">
        <v>123</v>
      </c>
      <c r="E263" s="65">
        <v>20</v>
      </c>
      <c r="F263" s="65" t="s">
        <v>124</v>
      </c>
      <c r="G263" s="65" t="s">
        <v>8</v>
      </c>
      <c r="H263" s="37">
        <v>104.8</v>
      </c>
      <c r="I263" s="15">
        <v>150.5</v>
      </c>
      <c r="J263" s="98">
        <v>122.6</v>
      </c>
      <c r="K263" s="6">
        <v>122.6</v>
      </c>
      <c r="L263" s="24">
        <v>145.69999999999999</v>
      </c>
      <c r="M263" s="133" t="s">
        <v>616</v>
      </c>
      <c r="N263" s="705" t="s">
        <v>1161</v>
      </c>
      <c r="O263" s="117" t="s">
        <v>969</v>
      </c>
      <c r="P263" s="344">
        <v>20</v>
      </c>
      <c r="Q263" s="350" t="s">
        <v>972</v>
      </c>
    </row>
    <row r="264" spans="1:17" ht="13.2" x14ac:dyDescent="0.25">
      <c r="A264" s="42">
        <v>3</v>
      </c>
      <c r="B264" s="111"/>
      <c r="C264" s="111" t="s">
        <v>971</v>
      </c>
      <c r="D264" s="49"/>
      <c r="E264" s="65"/>
      <c r="F264" s="65" t="s">
        <v>124</v>
      </c>
      <c r="G264" s="103" t="s">
        <v>492</v>
      </c>
      <c r="H264" s="105">
        <f>SUM(H263)</f>
        <v>104.8</v>
      </c>
      <c r="I264" s="105">
        <f>SUM(I263)</f>
        <v>150.5</v>
      </c>
      <c r="J264" s="105">
        <f t="shared" ref="J264" si="38">SUM(J263)</f>
        <v>122.6</v>
      </c>
      <c r="K264" s="105">
        <f t="shared" ref="K264:L264" si="39">SUM(K263)</f>
        <v>122.6</v>
      </c>
      <c r="L264" s="750">
        <f t="shared" si="39"/>
        <v>145.69999999999999</v>
      </c>
      <c r="M264" s="133"/>
      <c r="N264" s="389"/>
      <c r="O264" s="117"/>
      <c r="P264" s="344"/>
      <c r="Q264" s="349">
        <f>SUM(Q263)</f>
        <v>0</v>
      </c>
    </row>
    <row r="265" spans="1:17" ht="25.2" customHeight="1" x14ac:dyDescent="0.25">
      <c r="A265" s="42">
        <v>3</v>
      </c>
      <c r="B265" s="111"/>
      <c r="C265" s="111" t="s">
        <v>973</v>
      </c>
      <c r="D265" s="49" t="s">
        <v>125</v>
      </c>
      <c r="E265" s="65">
        <v>21</v>
      </c>
      <c r="F265" s="65" t="s">
        <v>126</v>
      </c>
      <c r="G265" s="65" t="s">
        <v>8</v>
      </c>
      <c r="H265" s="37">
        <v>180.7</v>
      </c>
      <c r="I265" s="15">
        <v>205</v>
      </c>
      <c r="J265" s="98">
        <v>191.1</v>
      </c>
      <c r="K265" s="6">
        <v>182.1</v>
      </c>
      <c r="L265" s="24">
        <v>182.1</v>
      </c>
      <c r="M265" s="133" t="s">
        <v>616</v>
      </c>
      <c r="N265" s="389" t="s">
        <v>1987</v>
      </c>
      <c r="O265" s="117" t="s">
        <v>969</v>
      </c>
      <c r="P265" s="344">
        <v>44</v>
      </c>
      <c r="Q265" s="350" t="s">
        <v>708</v>
      </c>
    </row>
    <row r="266" spans="1:17" ht="20.399999999999999" x14ac:dyDescent="0.25">
      <c r="A266" s="42">
        <v>3</v>
      </c>
      <c r="B266" s="111"/>
      <c r="C266" s="111" t="s">
        <v>973</v>
      </c>
      <c r="D266" s="49"/>
      <c r="E266" s="65"/>
      <c r="F266" s="65" t="s">
        <v>126</v>
      </c>
      <c r="G266" s="103" t="s">
        <v>492</v>
      </c>
      <c r="H266" s="105">
        <f>SUM(H265)</f>
        <v>180.7</v>
      </c>
      <c r="I266" s="105">
        <f>SUM(I265)</f>
        <v>205</v>
      </c>
      <c r="J266" s="105">
        <f t="shared" ref="J266" si="40">SUM(J265)</f>
        <v>191.1</v>
      </c>
      <c r="K266" s="105">
        <f t="shared" ref="K266:L266" si="41">SUM(K265)</f>
        <v>182.1</v>
      </c>
      <c r="L266" s="750">
        <f t="shared" si="41"/>
        <v>182.1</v>
      </c>
      <c r="M266" s="133"/>
      <c r="N266" s="389" t="s">
        <v>1987</v>
      </c>
      <c r="O266" s="117" t="s">
        <v>974</v>
      </c>
      <c r="P266" s="344">
        <v>2</v>
      </c>
      <c r="Q266" s="350" t="s">
        <v>708</v>
      </c>
    </row>
    <row r="267" spans="1:17" ht="29.4" customHeight="1" x14ac:dyDescent="0.25">
      <c r="A267" s="62">
        <v>3</v>
      </c>
      <c r="B267" s="111"/>
      <c r="C267" s="111" t="s">
        <v>975</v>
      </c>
      <c r="D267" s="49" t="s">
        <v>127</v>
      </c>
      <c r="E267" s="65">
        <v>22</v>
      </c>
      <c r="F267" s="65" t="s">
        <v>128</v>
      </c>
      <c r="G267" s="65" t="s">
        <v>8</v>
      </c>
      <c r="H267" s="6">
        <v>110.5</v>
      </c>
      <c r="I267" s="25">
        <v>89.4</v>
      </c>
      <c r="J267" s="206">
        <f>109.3-2.8</f>
        <v>106.5</v>
      </c>
      <c r="K267" s="6">
        <v>109.3</v>
      </c>
      <c r="L267" s="24">
        <v>109.3</v>
      </c>
      <c r="M267" s="133" t="s">
        <v>616</v>
      </c>
      <c r="N267" s="389" t="s">
        <v>1988</v>
      </c>
      <c r="O267" s="117" t="s">
        <v>976</v>
      </c>
      <c r="P267" s="344">
        <v>21</v>
      </c>
      <c r="Q267" s="57" t="s">
        <v>742</v>
      </c>
    </row>
    <row r="268" spans="1:17" ht="13.2" x14ac:dyDescent="0.25">
      <c r="A268" s="42">
        <v>3</v>
      </c>
      <c r="B268" s="111"/>
      <c r="C268" s="111" t="s">
        <v>975</v>
      </c>
      <c r="D268" s="49"/>
      <c r="E268" s="65"/>
      <c r="F268" s="65" t="s">
        <v>128</v>
      </c>
      <c r="G268" s="103" t="s">
        <v>492</v>
      </c>
      <c r="H268" s="105">
        <f>SUM(H267)</f>
        <v>110.5</v>
      </c>
      <c r="I268" s="105">
        <f>SUM(I267)</f>
        <v>89.4</v>
      </c>
      <c r="J268" s="105">
        <f t="shared" ref="J268" si="42">SUM(J267)</f>
        <v>106.5</v>
      </c>
      <c r="K268" s="105">
        <f t="shared" ref="K268:L268" si="43">SUM(K267)</f>
        <v>109.3</v>
      </c>
      <c r="L268" s="750">
        <f t="shared" si="43"/>
        <v>109.3</v>
      </c>
      <c r="M268" s="133"/>
      <c r="N268" s="389"/>
      <c r="O268" s="117"/>
      <c r="P268" s="344"/>
      <c r="Q268" s="349"/>
    </row>
    <row r="269" spans="1:17" ht="32.4" customHeight="1" x14ac:dyDescent="0.25">
      <c r="A269" s="42">
        <v>3</v>
      </c>
      <c r="B269" s="111"/>
      <c r="C269" s="111" t="s">
        <v>977</v>
      </c>
      <c r="D269" s="35" t="s">
        <v>129</v>
      </c>
      <c r="E269" s="68">
        <v>23</v>
      </c>
      <c r="F269" s="68" t="s">
        <v>130</v>
      </c>
      <c r="G269" s="65" t="s">
        <v>8</v>
      </c>
      <c r="H269" s="15">
        <v>655.7</v>
      </c>
      <c r="I269" s="15">
        <v>578.29999999999995</v>
      </c>
      <c r="J269" s="98">
        <f>646.7-26</f>
        <v>620.70000000000005</v>
      </c>
      <c r="K269" s="6">
        <v>611</v>
      </c>
      <c r="L269" s="24">
        <v>611</v>
      </c>
      <c r="M269" s="133" t="s">
        <v>616</v>
      </c>
      <c r="N269" s="389" t="s">
        <v>1989</v>
      </c>
      <c r="O269" s="117" t="s">
        <v>969</v>
      </c>
      <c r="P269" s="344">
        <v>100</v>
      </c>
      <c r="Q269" s="57" t="s">
        <v>632</v>
      </c>
    </row>
    <row r="270" spans="1:17" ht="13.2" x14ac:dyDescent="0.25">
      <c r="A270" s="42">
        <v>3</v>
      </c>
      <c r="B270" s="111"/>
      <c r="C270" s="111" t="s">
        <v>977</v>
      </c>
      <c r="D270" s="35"/>
      <c r="E270" s="68"/>
      <c r="F270" s="68" t="s">
        <v>130</v>
      </c>
      <c r="G270" s="103" t="s">
        <v>492</v>
      </c>
      <c r="H270" s="105">
        <f>SUM(H269)</f>
        <v>655.7</v>
      </c>
      <c r="I270" s="105">
        <f>SUM(I269)</f>
        <v>578.29999999999995</v>
      </c>
      <c r="J270" s="105">
        <f t="shared" ref="J270" si="44">SUM(J269)</f>
        <v>620.70000000000005</v>
      </c>
      <c r="K270" s="105">
        <f t="shared" ref="K270:L270" si="45">SUM(K269)</f>
        <v>611</v>
      </c>
      <c r="L270" s="750">
        <f t="shared" si="45"/>
        <v>611</v>
      </c>
      <c r="M270" s="133"/>
      <c r="N270" s="389"/>
      <c r="O270" s="117"/>
      <c r="P270" s="344"/>
      <c r="Q270" s="349"/>
    </row>
    <row r="271" spans="1:17" ht="20.399999999999999" x14ac:dyDescent="0.25">
      <c r="A271" s="42">
        <v>3</v>
      </c>
      <c r="B271" s="111"/>
      <c r="C271" s="111" t="s">
        <v>978</v>
      </c>
      <c r="D271" s="49" t="s">
        <v>131</v>
      </c>
      <c r="E271" s="65">
        <v>24</v>
      </c>
      <c r="F271" s="65" t="s">
        <v>132</v>
      </c>
      <c r="G271" s="65" t="s">
        <v>8</v>
      </c>
      <c r="H271" s="6">
        <v>94.8</v>
      </c>
      <c r="I271" s="25">
        <v>74.599999999999994</v>
      </c>
      <c r="J271" s="206">
        <v>93.1</v>
      </c>
      <c r="K271" s="6">
        <v>75.400000000000006</v>
      </c>
      <c r="L271" s="24">
        <v>75.400000000000006</v>
      </c>
      <c r="M271" s="133" t="s">
        <v>616</v>
      </c>
      <c r="N271" s="389" t="s">
        <v>1990</v>
      </c>
      <c r="O271" s="117" t="s">
        <v>969</v>
      </c>
      <c r="P271" s="344">
        <v>12</v>
      </c>
      <c r="Q271" s="57" t="s">
        <v>827</v>
      </c>
    </row>
    <row r="272" spans="1:17" ht="13.2" x14ac:dyDescent="0.25">
      <c r="A272" s="42">
        <v>3</v>
      </c>
      <c r="B272" s="111"/>
      <c r="C272" s="111" t="s">
        <v>978</v>
      </c>
      <c r="D272" s="49"/>
      <c r="E272" s="65"/>
      <c r="F272" s="65" t="s">
        <v>132</v>
      </c>
      <c r="G272" s="103" t="s">
        <v>492</v>
      </c>
      <c r="H272" s="105">
        <f>SUM(H271)</f>
        <v>94.8</v>
      </c>
      <c r="I272" s="105">
        <f>SUM(I271)</f>
        <v>74.599999999999994</v>
      </c>
      <c r="J272" s="105">
        <f t="shared" ref="J272" si="46">SUM(J271)</f>
        <v>93.1</v>
      </c>
      <c r="K272" s="105">
        <f t="shared" ref="K272:L272" si="47">SUM(K271)</f>
        <v>75.400000000000006</v>
      </c>
      <c r="L272" s="750">
        <f t="shared" si="47"/>
        <v>75.400000000000006</v>
      </c>
      <c r="M272" s="133"/>
      <c r="N272" s="389"/>
      <c r="O272" s="117"/>
      <c r="P272" s="344"/>
      <c r="Q272" s="349"/>
    </row>
    <row r="273" spans="1:17" ht="27" customHeight="1" x14ac:dyDescent="0.25">
      <c r="A273" s="42">
        <v>3</v>
      </c>
      <c r="B273" s="111"/>
      <c r="C273" s="111" t="s">
        <v>979</v>
      </c>
      <c r="D273" s="49" t="s">
        <v>133</v>
      </c>
      <c r="E273" s="65">
        <v>25</v>
      </c>
      <c r="F273" s="65" t="s">
        <v>134</v>
      </c>
      <c r="G273" s="65" t="s">
        <v>8</v>
      </c>
      <c r="H273" s="6">
        <v>188.5</v>
      </c>
      <c r="I273" s="25">
        <v>155.80000000000001</v>
      </c>
      <c r="J273" s="206">
        <f>217.1-6</f>
        <v>211.1</v>
      </c>
      <c r="K273" s="6">
        <v>197.1</v>
      </c>
      <c r="L273" s="24">
        <v>197.1</v>
      </c>
      <c r="M273" s="133" t="s">
        <v>616</v>
      </c>
      <c r="N273" s="389" t="s">
        <v>1991</v>
      </c>
      <c r="O273" s="117" t="s">
        <v>969</v>
      </c>
      <c r="P273" s="344">
        <v>42</v>
      </c>
      <c r="Q273" s="57" t="s">
        <v>720</v>
      </c>
    </row>
    <row r="274" spans="1:17" ht="13.2" x14ac:dyDescent="0.25">
      <c r="A274" s="42">
        <v>3</v>
      </c>
      <c r="B274" s="111"/>
      <c r="C274" s="111" t="s">
        <v>979</v>
      </c>
      <c r="D274" s="49"/>
      <c r="E274" s="65"/>
      <c r="F274" s="65" t="s">
        <v>134</v>
      </c>
      <c r="G274" s="103" t="s">
        <v>492</v>
      </c>
      <c r="H274" s="105">
        <f>SUM(H273)</f>
        <v>188.5</v>
      </c>
      <c r="I274" s="105">
        <f>SUM(I273)</f>
        <v>155.80000000000001</v>
      </c>
      <c r="J274" s="105">
        <f t="shared" ref="J274" si="48">SUM(J273)</f>
        <v>211.1</v>
      </c>
      <c r="K274" s="105">
        <f t="shared" ref="K274:L274" si="49">SUM(K273)</f>
        <v>197.1</v>
      </c>
      <c r="L274" s="750">
        <f t="shared" si="49"/>
        <v>197.1</v>
      </c>
      <c r="M274" s="133"/>
      <c r="N274" s="389"/>
      <c r="O274" s="117"/>
      <c r="P274" s="344"/>
      <c r="Q274" s="349"/>
    </row>
    <row r="275" spans="1:17" ht="29.4" customHeight="1" x14ac:dyDescent="0.25">
      <c r="A275" s="42">
        <v>3</v>
      </c>
      <c r="B275" s="111"/>
      <c r="C275" s="111" t="s">
        <v>980</v>
      </c>
      <c r="D275" s="49" t="s">
        <v>135</v>
      </c>
      <c r="E275" s="65">
        <v>26</v>
      </c>
      <c r="F275" s="65" t="s">
        <v>136</v>
      </c>
      <c r="G275" s="65" t="s">
        <v>8</v>
      </c>
      <c r="H275" s="6">
        <v>293.10000000000002</v>
      </c>
      <c r="I275" s="25">
        <v>299.89999999999998</v>
      </c>
      <c r="J275" s="206">
        <f>374.6-13.4-4</f>
        <v>357.20000000000005</v>
      </c>
      <c r="K275" s="6">
        <v>374.6</v>
      </c>
      <c r="L275" s="24">
        <v>374.6</v>
      </c>
      <c r="M275" s="133" t="s">
        <v>616</v>
      </c>
      <c r="N275" s="389" t="s">
        <v>1992</v>
      </c>
      <c r="O275" s="117" t="s">
        <v>969</v>
      </c>
      <c r="P275" s="344">
        <v>90</v>
      </c>
      <c r="Q275" s="57" t="s">
        <v>712</v>
      </c>
    </row>
    <row r="276" spans="1:17" ht="12.75" customHeight="1" x14ac:dyDescent="0.25">
      <c r="A276" s="42">
        <v>3</v>
      </c>
      <c r="B276" s="111"/>
      <c r="C276" s="111" t="s">
        <v>980</v>
      </c>
      <c r="D276" s="49"/>
      <c r="E276" s="65">
        <v>26</v>
      </c>
      <c r="F276" s="65" t="s">
        <v>136</v>
      </c>
      <c r="G276" s="65" t="s">
        <v>11</v>
      </c>
      <c r="H276" s="6">
        <v>10</v>
      </c>
      <c r="I276" s="25">
        <v>8.4</v>
      </c>
      <c r="J276" s="206">
        <v>7.2</v>
      </c>
      <c r="K276" s="6">
        <v>7.2</v>
      </c>
      <c r="L276" s="24">
        <v>7.2</v>
      </c>
      <c r="M276" s="133"/>
      <c r="N276" s="389"/>
      <c r="O276" s="117"/>
      <c r="P276" s="344"/>
      <c r="Q276" s="349" t="s">
        <v>712</v>
      </c>
    </row>
    <row r="277" spans="1:17" ht="13.2" x14ac:dyDescent="0.25">
      <c r="A277" s="62">
        <v>3</v>
      </c>
      <c r="B277" s="111"/>
      <c r="C277" s="111" t="s">
        <v>980</v>
      </c>
      <c r="D277" s="49"/>
      <c r="E277" s="65"/>
      <c r="F277" s="65" t="s">
        <v>136</v>
      </c>
      <c r="G277" s="103" t="s">
        <v>492</v>
      </c>
      <c r="H277" s="105">
        <f>SUM(H275:H276)</f>
        <v>303.10000000000002</v>
      </c>
      <c r="I277" s="105">
        <f>SUM(I275:I276)</f>
        <v>308.29999999999995</v>
      </c>
      <c r="J277" s="105">
        <f t="shared" ref="J277" si="50">SUM(J275:J276)</f>
        <v>364.40000000000003</v>
      </c>
      <c r="K277" s="105">
        <f t="shared" ref="K277:L277" si="51">SUM(K275:K276)</f>
        <v>381.8</v>
      </c>
      <c r="L277" s="750">
        <f t="shared" si="51"/>
        <v>381.8</v>
      </c>
      <c r="M277" s="133"/>
      <c r="N277" s="389"/>
      <c r="O277" s="117"/>
      <c r="P277" s="344"/>
      <c r="Q277" s="349">
        <f>SUM(Q275:Q276)</f>
        <v>0</v>
      </c>
    </row>
    <row r="278" spans="1:17" ht="37.200000000000003" customHeight="1" x14ac:dyDescent="0.25">
      <c r="A278" s="42">
        <v>3</v>
      </c>
      <c r="B278" s="111"/>
      <c r="C278" s="111" t="s">
        <v>981</v>
      </c>
      <c r="D278" s="49" t="s">
        <v>137</v>
      </c>
      <c r="E278" s="65">
        <v>27</v>
      </c>
      <c r="F278" s="65" t="s">
        <v>138</v>
      </c>
      <c r="G278" s="65" t="s">
        <v>8</v>
      </c>
      <c r="H278" s="37">
        <v>141.9</v>
      </c>
      <c r="I278" s="15">
        <v>136.5</v>
      </c>
      <c r="J278" s="98">
        <v>111.5</v>
      </c>
      <c r="K278" s="6">
        <v>119.1</v>
      </c>
      <c r="L278" s="24">
        <v>119.1</v>
      </c>
      <c r="M278" s="133" t="s">
        <v>616</v>
      </c>
      <c r="N278" s="389" t="s">
        <v>1993</v>
      </c>
      <c r="O278" s="117" t="s">
        <v>969</v>
      </c>
      <c r="P278" s="344">
        <v>30</v>
      </c>
      <c r="Q278" s="57" t="s">
        <v>692</v>
      </c>
    </row>
    <row r="279" spans="1:17" ht="13.2" x14ac:dyDescent="0.25">
      <c r="A279" s="42">
        <v>3</v>
      </c>
      <c r="B279" s="111"/>
      <c r="C279" s="111" t="s">
        <v>981</v>
      </c>
      <c r="D279" s="49"/>
      <c r="E279" s="65"/>
      <c r="F279" s="65" t="s">
        <v>138</v>
      </c>
      <c r="G279" s="103" t="s">
        <v>492</v>
      </c>
      <c r="H279" s="105">
        <f>SUM(H278)</f>
        <v>141.9</v>
      </c>
      <c r="I279" s="105">
        <f>SUM(I278)</f>
        <v>136.5</v>
      </c>
      <c r="J279" s="105">
        <f t="shared" ref="J279" si="52">SUM(J278)</f>
        <v>111.5</v>
      </c>
      <c r="K279" s="105">
        <f t="shared" ref="K279:L279" si="53">SUM(K278)</f>
        <v>119.1</v>
      </c>
      <c r="L279" s="750">
        <f t="shared" si="53"/>
        <v>119.1</v>
      </c>
      <c r="M279" s="133"/>
      <c r="N279" s="389"/>
      <c r="O279" s="117"/>
      <c r="P279" s="344"/>
      <c r="Q279" s="351"/>
    </row>
    <row r="280" spans="1:17" ht="32.4" customHeight="1" x14ac:dyDescent="0.25">
      <c r="A280" s="42">
        <v>3</v>
      </c>
      <c r="B280" s="111"/>
      <c r="C280" s="111" t="s">
        <v>982</v>
      </c>
      <c r="D280" s="49" t="s">
        <v>139</v>
      </c>
      <c r="E280" s="65">
        <v>28</v>
      </c>
      <c r="F280" s="65" t="s">
        <v>140</v>
      </c>
      <c r="G280" s="65" t="s">
        <v>8</v>
      </c>
      <c r="H280" s="6">
        <v>168.4</v>
      </c>
      <c r="I280" s="25">
        <v>132</v>
      </c>
      <c r="J280" s="206">
        <f>145-5</f>
        <v>140</v>
      </c>
      <c r="K280" s="6">
        <v>145</v>
      </c>
      <c r="L280" s="24">
        <v>145</v>
      </c>
      <c r="M280" s="133" t="s">
        <v>616</v>
      </c>
      <c r="N280" s="389" t="s">
        <v>1994</v>
      </c>
      <c r="O280" s="117" t="s">
        <v>969</v>
      </c>
      <c r="P280" s="344">
        <v>34</v>
      </c>
      <c r="Q280" s="57" t="s">
        <v>704</v>
      </c>
    </row>
    <row r="281" spans="1:17" ht="13.2" x14ac:dyDescent="0.25">
      <c r="A281" s="42">
        <v>3</v>
      </c>
      <c r="B281" s="111"/>
      <c r="C281" s="111" t="s">
        <v>982</v>
      </c>
      <c r="D281" s="49"/>
      <c r="E281" s="381"/>
      <c r="F281" s="65" t="s">
        <v>140</v>
      </c>
      <c r="G281" s="103" t="s">
        <v>492</v>
      </c>
      <c r="H281" s="105">
        <f>SUM(H280)</f>
        <v>168.4</v>
      </c>
      <c r="I281" s="105">
        <f>SUM(I280)</f>
        <v>132</v>
      </c>
      <c r="J281" s="105">
        <f t="shared" ref="J281" si="54">SUM(J280)</f>
        <v>140</v>
      </c>
      <c r="K281" s="105">
        <f t="shared" ref="K281:L281" si="55">SUM(K280)</f>
        <v>145</v>
      </c>
      <c r="L281" s="750">
        <f t="shared" si="55"/>
        <v>145</v>
      </c>
      <c r="M281" s="133"/>
      <c r="N281" s="389"/>
      <c r="O281" s="117"/>
      <c r="P281" s="344"/>
      <c r="Q281" s="349"/>
    </row>
    <row r="282" spans="1:17" ht="30" customHeight="1" x14ac:dyDescent="0.25">
      <c r="A282" s="42">
        <v>3</v>
      </c>
      <c r="B282" s="111"/>
      <c r="C282" s="111" t="s">
        <v>983</v>
      </c>
      <c r="D282" s="382" t="s">
        <v>141</v>
      </c>
      <c r="E282" s="388">
        <v>29</v>
      </c>
      <c r="F282" s="387" t="s">
        <v>142</v>
      </c>
      <c r="G282" s="65" t="s">
        <v>8</v>
      </c>
      <c r="H282" s="6">
        <v>148</v>
      </c>
      <c r="I282" s="25">
        <v>147.9</v>
      </c>
      <c r="J282" s="206">
        <v>145.6</v>
      </c>
      <c r="K282" s="6">
        <v>145.6</v>
      </c>
      <c r="L282" s="24">
        <v>145.6</v>
      </c>
      <c r="M282" s="133" t="s">
        <v>616</v>
      </c>
      <c r="N282" s="389" t="s">
        <v>1995</v>
      </c>
      <c r="O282" s="117" t="s">
        <v>969</v>
      </c>
      <c r="P282" s="344">
        <v>52</v>
      </c>
      <c r="Q282" s="349" t="s">
        <v>719</v>
      </c>
    </row>
    <row r="283" spans="1:17" ht="12.75" customHeight="1" x14ac:dyDescent="0.25">
      <c r="A283" s="42">
        <v>3</v>
      </c>
      <c r="B283" s="111"/>
      <c r="C283" s="111" t="s">
        <v>983</v>
      </c>
      <c r="D283" s="382"/>
      <c r="E283" s="155"/>
      <c r="F283" s="386" t="s">
        <v>142</v>
      </c>
      <c r="G283" s="383" t="s">
        <v>492</v>
      </c>
      <c r="H283" s="105">
        <f>SUM(H282)</f>
        <v>148</v>
      </c>
      <c r="I283" s="105">
        <f>SUM(I282)</f>
        <v>147.9</v>
      </c>
      <c r="J283" s="105">
        <f t="shared" ref="J283" si="56">SUM(J282)</f>
        <v>145.6</v>
      </c>
      <c r="K283" s="105">
        <f t="shared" ref="K283:L283" si="57">SUM(K282)</f>
        <v>145.6</v>
      </c>
      <c r="L283" s="750">
        <f t="shared" si="57"/>
        <v>145.6</v>
      </c>
      <c r="M283" s="133"/>
      <c r="N283" s="389"/>
      <c r="O283" s="117"/>
      <c r="P283" s="344"/>
      <c r="Q283" s="349">
        <f>SUM(Q282)</f>
        <v>0</v>
      </c>
    </row>
    <row r="284" spans="1:17" ht="12.75" customHeight="1" x14ac:dyDescent="0.25">
      <c r="A284" s="42">
        <v>3</v>
      </c>
      <c r="B284" s="211"/>
      <c r="C284" s="211"/>
      <c r="D284" s="212" t="s">
        <v>984</v>
      </c>
      <c r="E284" s="384"/>
      <c r="F284" s="385"/>
      <c r="G284" s="210"/>
      <c r="H284" s="206">
        <f>SUM(H283,H281,H279,H277,H274,H272,H270,H268,H266,H264,H262)</f>
        <v>2196.1</v>
      </c>
      <c r="I284" s="213">
        <f>SUM(I283,I281,I279,I277,I274,I272,I270,I268,I266,I264,I262)</f>
        <v>2060.3000000000002</v>
      </c>
      <c r="J284" s="213">
        <f t="shared" ref="J284:L284" si="58">SUM(J283,J281,J279,J277,J274,J272,J270,J268,J266,J264,J262)</f>
        <v>2197.1999999999998</v>
      </c>
      <c r="K284" s="213">
        <f t="shared" si="58"/>
        <v>2173.6</v>
      </c>
      <c r="L284" s="824">
        <f t="shared" si="58"/>
        <v>2196.6999999999998</v>
      </c>
      <c r="M284" s="133"/>
      <c r="N284" s="389"/>
      <c r="O284" s="117"/>
      <c r="P284" s="344"/>
      <c r="Q284" s="349"/>
    </row>
    <row r="285" spans="1:17" ht="12.75" customHeight="1" x14ac:dyDescent="0.25">
      <c r="A285" s="42">
        <v>3</v>
      </c>
      <c r="B285" s="111"/>
      <c r="C285" s="46" t="s">
        <v>985</v>
      </c>
      <c r="D285" s="214" t="s">
        <v>986</v>
      </c>
      <c r="E285" s="462" t="s">
        <v>398</v>
      </c>
      <c r="F285" s="42" t="s">
        <v>312</v>
      </c>
      <c r="G285" s="62" t="s">
        <v>11</v>
      </c>
      <c r="H285" s="6"/>
      <c r="I285" s="25">
        <v>1</v>
      </c>
      <c r="J285" s="98">
        <v>2</v>
      </c>
      <c r="K285" s="6">
        <v>2</v>
      </c>
      <c r="L285" s="24">
        <v>2</v>
      </c>
      <c r="M285" s="133"/>
      <c r="N285" s="389" t="s">
        <v>1609</v>
      </c>
      <c r="O285" s="117"/>
      <c r="P285" s="344"/>
      <c r="Q285" s="349"/>
    </row>
    <row r="286" spans="1:17" ht="12.75" customHeight="1" x14ac:dyDescent="0.25">
      <c r="A286" s="42">
        <v>3</v>
      </c>
      <c r="B286" s="111"/>
      <c r="C286" s="46" t="s">
        <v>985</v>
      </c>
      <c r="D286" s="214" t="s">
        <v>986</v>
      </c>
      <c r="E286" s="825" t="s">
        <v>39</v>
      </c>
      <c r="F286" s="42" t="s">
        <v>312</v>
      </c>
      <c r="G286" s="62" t="s">
        <v>199</v>
      </c>
      <c r="H286" s="6"/>
      <c r="I286" s="25"/>
      <c r="J286" s="98">
        <v>0.7</v>
      </c>
      <c r="K286" s="6"/>
      <c r="L286" s="24"/>
      <c r="M286" s="133"/>
      <c r="N286" s="389"/>
      <c r="O286" s="117"/>
      <c r="P286" s="344"/>
      <c r="Q286" s="349"/>
    </row>
    <row r="287" spans="1:17" ht="24.6" customHeight="1" x14ac:dyDescent="0.25">
      <c r="A287" s="42">
        <v>3</v>
      </c>
      <c r="B287" s="111"/>
      <c r="C287" s="46" t="s">
        <v>985</v>
      </c>
      <c r="D287" s="214" t="s">
        <v>986</v>
      </c>
      <c r="E287" s="218" t="s">
        <v>1834</v>
      </c>
      <c r="F287" s="42" t="s">
        <v>312</v>
      </c>
      <c r="G287" s="42" t="s">
        <v>8</v>
      </c>
      <c r="H287" s="6"/>
      <c r="I287" s="25"/>
      <c r="J287" s="98">
        <f>150-100-50</f>
        <v>0</v>
      </c>
      <c r="K287" s="6">
        <v>100</v>
      </c>
      <c r="L287" s="24"/>
      <c r="M287" s="133" t="s">
        <v>629</v>
      </c>
      <c r="N287" s="821" t="s">
        <v>583</v>
      </c>
      <c r="O287" s="186" t="s">
        <v>987</v>
      </c>
      <c r="P287" s="344">
        <v>40</v>
      </c>
      <c r="Q287" s="57" t="s">
        <v>692</v>
      </c>
    </row>
    <row r="288" spans="1:17" ht="24.6" customHeight="1" x14ac:dyDescent="0.25">
      <c r="A288" s="42">
        <v>3</v>
      </c>
      <c r="B288" s="111"/>
      <c r="C288" s="46" t="s">
        <v>985</v>
      </c>
      <c r="D288" s="214" t="s">
        <v>986</v>
      </c>
      <c r="E288" s="111" t="s">
        <v>468</v>
      </c>
      <c r="F288" s="216" t="s">
        <v>303</v>
      </c>
      <c r="G288" s="42" t="s">
        <v>8</v>
      </c>
      <c r="H288" s="6"/>
      <c r="I288" s="59">
        <v>15</v>
      </c>
      <c r="J288" s="98"/>
      <c r="K288" s="6"/>
      <c r="L288" s="24"/>
      <c r="M288" s="133" t="s">
        <v>629</v>
      </c>
      <c r="N288" s="389"/>
      <c r="O288" s="81"/>
      <c r="P288" s="344"/>
      <c r="Q288" s="349" t="s">
        <v>742</v>
      </c>
    </row>
    <row r="289" spans="1:17" ht="23.4" customHeight="1" x14ac:dyDescent="0.25">
      <c r="A289" s="42">
        <v>3</v>
      </c>
      <c r="B289" s="111"/>
      <c r="C289" s="46" t="s">
        <v>985</v>
      </c>
      <c r="D289" s="214" t="s">
        <v>986</v>
      </c>
      <c r="E289" s="111" t="s">
        <v>469</v>
      </c>
      <c r="F289" s="216" t="s">
        <v>305</v>
      </c>
      <c r="G289" s="42" t="s">
        <v>8</v>
      </c>
      <c r="H289" s="6"/>
      <c r="I289" s="59">
        <v>29.5</v>
      </c>
      <c r="J289" s="98">
        <v>50</v>
      </c>
      <c r="K289" s="6">
        <v>50</v>
      </c>
      <c r="L289" s="24"/>
      <c r="M289" s="133" t="s">
        <v>619</v>
      </c>
      <c r="N289" s="389" t="s">
        <v>579</v>
      </c>
      <c r="O289" s="81" t="s">
        <v>988</v>
      </c>
      <c r="P289" s="344">
        <v>1</v>
      </c>
      <c r="Q289" s="57" t="s">
        <v>632</v>
      </c>
    </row>
    <row r="290" spans="1:17" ht="26.4" customHeight="1" x14ac:dyDescent="0.25">
      <c r="A290" s="42">
        <v>3</v>
      </c>
      <c r="B290" s="111"/>
      <c r="C290" s="46" t="s">
        <v>985</v>
      </c>
      <c r="D290" s="214" t="s">
        <v>986</v>
      </c>
      <c r="E290" s="111" t="s">
        <v>989</v>
      </c>
      <c r="F290" s="217" t="s">
        <v>306</v>
      </c>
      <c r="G290" s="42" t="s">
        <v>8</v>
      </c>
      <c r="H290" s="6"/>
      <c r="I290" s="59">
        <v>1.5</v>
      </c>
      <c r="J290" s="98">
        <v>5</v>
      </c>
      <c r="K290" s="6"/>
      <c r="L290" s="24"/>
      <c r="M290" s="133" t="s">
        <v>629</v>
      </c>
      <c r="N290" s="389" t="s">
        <v>580</v>
      </c>
      <c r="O290" s="81" t="s">
        <v>990</v>
      </c>
      <c r="P290" s="344">
        <v>1</v>
      </c>
      <c r="Q290" s="57" t="s">
        <v>827</v>
      </c>
    </row>
    <row r="291" spans="1:17" ht="45.6" customHeight="1" x14ac:dyDescent="0.25">
      <c r="A291" s="42">
        <v>3</v>
      </c>
      <c r="B291" s="111"/>
      <c r="C291" s="46" t="s">
        <v>985</v>
      </c>
      <c r="D291" s="214" t="s">
        <v>986</v>
      </c>
      <c r="E291" s="111" t="s">
        <v>991</v>
      </c>
      <c r="F291" s="217" t="s">
        <v>308</v>
      </c>
      <c r="G291" s="42" t="s">
        <v>8</v>
      </c>
      <c r="H291" s="6"/>
      <c r="I291" s="59">
        <v>8.1999999999999993</v>
      </c>
      <c r="J291" s="98">
        <v>10</v>
      </c>
      <c r="K291" s="6"/>
      <c r="L291" s="24"/>
      <c r="M291" s="133" t="s">
        <v>629</v>
      </c>
      <c r="N291" s="389" t="s">
        <v>582</v>
      </c>
      <c r="O291" s="117" t="s">
        <v>992</v>
      </c>
      <c r="P291" s="45" t="s">
        <v>741</v>
      </c>
      <c r="Q291" s="349" t="s">
        <v>712</v>
      </c>
    </row>
    <row r="292" spans="1:17" ht="44.4" customHeight="1" x14ac:dyDescent="0.25">
      <c r="A292" s="42">
        <v>3</v>
      </c>
      <c r="B292" s="111"/>
      <c r="C292" s="46" t="s">
        <v>985</v>
      </c>
      <c r="D292" s="214" t="s">
        <v>986</v>
      </c>
      <c r="E292" s="111" t="s">
        <v>470</v>
      </c>
      <c r="F292" s="216" t="s">
        <v>310</v>
      </c>
      <c r="G292" s="42" t="s">
        <v>8</v>
      </c>
      <c r="H292" s="6"/>
      <c r="I292" s="25"/>
      <c r="J292" s="98">
        <f>18+5</f>
        <v>23</v>
      </c>
      <c r="K292" s="6">
        <v>30</v>
      </c>
      <c r="L292" s="24"/>
      <c r="M292" s="133" t="s">
        <v>629</v>
      </c>
      <c r="N292" s="389" t="s">
        <v>584</v>
      </c>
      <c r="O292" s="81" t="s">
        <v>2037</v>
      </c>
      <c r="P292" s="1161" t="s">
        <v>2038</v>
      </c>
      <c r="Q292" s="57" t="s">
        <v>704</v>
      </c>
    </row>
    <row r="293" spans="1:17" ht="13.2" x14ac:dyDescent="0.25">
      <c r="A293" s="42">
        <v>3</v>
      </c>
      <c r="B293" s="111"/>
      <c r="C293" s="46"/>
      <c r="D293" s="115"/>
      <c r="E293" s="111"/>
      <c r="F293" s="42"/>
      <c r="G293" s="103" t="s">
        <v>492</v>
      </c>
      <c r="H293" s="105">
        <f>SUM(H285:H285)</f>
        <v>0</v>
      </c>
      <c r="I293" s="105">
        <f>SUM(I285:I292)</f>
        <v>55.2</v>
      </c>
      <c r="J293" s="105">
        <f>SUM(J285:J292)</f>
        <v>90.7</v>
      </c>
      <c r="K293" s="105">
        <f>SUM(K285:K292)</f>
        <v>182</v>
      </c>
      <c r="L293" s="750">
        <f>SUM(L285:L292)</f>
        <v>2</v>
      </c>
      <c r="M293" s="133"/>
      <c r="N293" s="389"/>
      <c r="O293" s="117"/>
      <c r="P293" s="344"/>
      <c r="Q293" s="349"/>
    </row>
    <row r="294" spans="1:17" ht="27" customHeight="1" x14ac:dyDescent="0.25">
      <c r="A294" s="42">
        <v>3</v>
      </c>
      <c r="B294" s="50"/>
      <c r="C294" s="79" t="s">
        <v>993</v>
      </c>
      <c r="D294" s="35" t="s">
        <v>994</v>
      </c>
      <c r="E294" s="218" t="s">
        <v>995</v>
      </c>
      <c r="F294" s="62" t="s">
        <v>112</v>
      </c>
      <c r="G294" s="69" t="s">
        <v>8</v>
      </c>
      <c r="H294" s="25"/>
      <c r="I294" s="25">
        <v>5</v>
      </c>
      <c r="J294" s="98">
        <v>25</v>
      </c>
      <c r="K294" s="25"/>
      <c r="L294" s="26"/>
      <c r="M294" s="133" t="s">
        <v>629</v>
      </c>
      <c r="N294" s="1137" t="s">
        <v>576</v>
      </c>
      <c r="O294" s="117" t="s">
        <v>996</v>
      </c>
      <c r="P294" s="344">
        <v>1</v>
      </c>
      <c r="Q294" s="349" t="s">
        <v>972</v>
      </c>
    </row>
    <row r="295" spans="1:17" ht="13.2" x14ac:dyDescent="0.25">
      <c r="A295" s="62">
        <v>3</v>
      </c>
      <c r="B295" s="50"/>
      <c r="C295" s="79"/>
      <c r="D295" s="35"/>
      <c r="E295" s="218"/>
      <c r="F295" s="62" t="s">
        <v>112</v>
      </c>
      <c r="G295" s="103" t="s">
        <v>492</v>
      </c>
      <c r="H295" s="105" t="e">
        <f>SUM(#REF!)</f>
        <v>#REF!</v>
      </c>
      <c r="I295" s="105">
        <f>SUM(I294:I294)</f>
        <v>5</v>
      </c>
      <c r="J295" s="105">
        <f>SUM(J294:J294)</f>
        <v>25</v>
      </c>
      <c r="K295" s="105">
        <f>SUM(K294:K294)</f>
        <v>0</v>
      </c>
      <c r="L295" s="750">
        <f>SUM(L294:L294)</f>
        <v>0</v>
      </c>
      <c r="M295" s="133"/>
      <c r="N295" s="389"/>
      <c r="O295" s="117"/>
      <c r="P295" s="344"/>
      <c r="Q295" s="349"/>
    </row>
    <row r="296" spans="1:17" ht="27.6" customHeight="1" x14ac:dyDescent="0.25">
      <c r="A296" s="42">
        <v>3</v>
      </c>
      <c r="B296" s="112" t="s">
        <v>997</v>
      </c>
      <c r="C296" s="112" t="s">
        <v>997</v>
      </c>
      <c r="D296" s="132" t="s">
        <v>143</v>
      </c>
      <c r="E296" s="111" t="s">
        <v>469</v>
      </c>
      <c r="F296" s="42" t="s">
        <v>144</v>
      </c>
      <c r="G296" s="62" t="s">
        <v>8</v>
      </c>
      <c r="H296" s="207">
        <v>29.8</v>
      </c>
      <c r="I296" s="25"/>
      <c r="J296" s="98">
        <f>50-20-20</f>
        <v>10</v>
      </c>
      <c r="K296" s="27">
        <v>50</v>
      </c>
      <c r="L296" s="28">
        <v>50</v>
      </c>
      <c r="M296" s="133" t="s">
        <v>629</v>
      </c>
      <c r="N296" s="389" t="s">
        <v>579</v>
      </c>
      <c r="O296" s="186" t="s">
        <v>998</v>
      </c>
      <c r="P296" s="45" t="s">
        <v>741</v>
      </c>
      <c r="Q296" s="349" t="s">
        <v>632</v>
      </c>
    </row>
    <row r="297" spans="1:17" ht="12.75" customHeight="1" x14ac:dyDescent="0.25">
      <c r="A297" s="42">
        <v>3</v>
      </c>
      <c r="B297" s="111"/>
      <c r="C297" s="46"/>
      <c r="D297" s="49"/>
      <c r="E297" s="111"/>
      <c r="F297" s="42" t="s">
        <v>144</v>
      </c>
      <c r="G297" s="103" t="s">
        <v>492</v>
      </c>
      <c r="H297" s="105">
        <f>SUM(H296:H296)</f>
        <v>29.8</v>
      </c>
      <c r="I297" s="105">
        <f>SUM(I296:I296)</f>
        <v>0</v>
      </c>
      <c r="J297" s="105">
        <f>SUM(J296:J296)</f>
        <v>10</v>
      </c>
      <c r="K297" s="105">
        <f>SUM(K296:K296)</f>
        <v>50</v>
      </c>
      <c r="L297" s="750">
        <f>SUM(L296:L296)</f>
        <v>50</v>
      </c>
      <c r="M297" s="133"/>
      <c r="N297" s="389"/>
      <c r="O297" s="117"/>
      <c r="P297" s="344"/>
      <c r="Q297" s="346"/>
    </row>
    <row r="298" spans="1:17" ht="15.6" customHeight="1" x14ac:dyDescent="0.25">
      <c r="A298" s="909"/>
      <c r="B298" s="909"/>
      <c r="C298" s="909"/>
      <c r="D298" s="909" t="s">
        <v>1839</v>
      </c>
      <c r="E298" s="912"/>
      <c r="F298" s="909"/>
      <c r="G298" s="909"/>
      <c r="H298" s="909"/>
      <c r="I298" s="909"/>
      <c r="J298" s="909"/>
      <c r="K298" s="909"/>
      <c r="L298" s="911"/>
      <c r="M298" s="922"/>
      <c r="N298" s="1008"/>
      <c r="O298" s="977"/>
      <c r="P298" s="923"/>
      <c r="Q298" s="923"/>
    </row>
    <row r="299" spans="1:17" ht="32.4" customHeight="1" x14ac:dyDescent="0.25">
      <c r="A299" s="42">
        <v>4</v>
      </c>
      <c r="B299" s="93"/>
      <c r="C299" s="93"/>
      <c r="D299" s="94" t="s">
        <v>999</v>
      </c>
      <c r="E299" s="95"/>
      <c r="F299" s="96"/>
      <c r="G299" s="95"/>
      <c r="H299" s="95"/>
      <c r="I299" s="95"/>
      <c r="J299" s="95"/>
      <c r="K299" s="95"/>
      <c r="L299" s="422"/>
      <c r="M299" s="133"/>
      <c r="N299" s="743"/>
      <c r="O299" s="81"/>
      <c r="P299" s="73"/>
      <c r="Q299" s="73"/>
    </row>
    <row r="300" spans="1:17" ht="20.399999999999999" x14ac:dyDescent="0.25">
      <c r="A300" s="73">
        <v>4</v>
      </c>
      <c r="B300" s="112" t="s">
        <v>1000</v>
      </c>
      <c r="C300" s="112" t="s">
        <v>1000</v>
      </c>
      <c r="D300" s="132" t="s">
        <v>146</v>
      </c>
      <c r="E300" s="97"/>
      <c r="F300" s="73"/>
      <c r="G300" s="133"/>
      <c r="H300" s="7"/>
      <c r="I300" s="113" t="e">
        <f>#REF!+#REF!+I302</f>
        <v>#REF!</v>
      </c>
      <c r="J300" s="113"/>
      <c r="K300" s="8"/>
      <c r="L300" s="9"/>
      <c r="M300" s="133"/>
      <c r="N300" s="743"/>
      <c r="O300" s="81"/>
      <c r="P300" s="73"/>
      <c r="Q300" s="73"/>
    </row>
    <row r="301" spans="1:17" ht="27.6" customHeight="1" x14ac:dyDescent="0.25">
      <c r="A301" s="42">
        <v>4</v>
      </c>
      <c r="B301" s="220"/>
      <c r="C301" s="220" t="s">
        <v>1001</v>
      </c>
      <c r="D301" s="224" t="s">
        <v>1002</v>
      </c>
      <c r="E301" s="220" t="s">
        <v>148</v>
      </c>
      <c r="F301" s="219" t="s">
        <v>1003</v>
      </c>
      <c r="G301" s="228" t="s">
        <v>8</v>
      </c>
      <c r="H301" s="225">
        <f>9-1</f>
        <v>8</v>
      </c>
      <c r="I301" s="230">
        <v>8</v>
      </c>
      <c r="J301" s="98">
        <v>8</v>
      </c>
      <c r="K301" s="222">
        <v>8</v>
      </c>
      <c r="L301" s="826">
        <v>8</v>
      </c>
      <c r="M301" s="133" t="s">
        <v>616</v>
      </c>
      <c r="N301" s="827" t="s">
        <v>1004</v>
      </c>
      <c r="O301" s="319" t="s">
        <v>1005</v>
      </c>
      <c r="P301" s="219">
        <v>1</v>
      </c>
      <c r="Q301" s="223"/>
    </row>
    <row r="302" spans="1:17" ht="13.2" x14ac:dyDescent="0.25">
      <c r="A302" s="73">
        <v>4</v>
      </c>
      <c r="B302" s="220"/>
      <c r="C302" s="220"/>
      <c r="D302" s="226"/>
      <c r="E302" s="220" t="s">
        <v>148</v>
      </c>
      <c r="F302" s="219" t="s">
        <v>1003</v>
      </c>
      <c r="G302" s="103" t="s">
        <v>492</v>
      </c>
      <c r="H302" s="105">
        <f>SUM(H301)</f>
        <v>8</v>
      </c>
      <c r="I302" s="105">
        <f>SUM(I301)</f>
        <v>8</v>
      </c>
      <c r="J302" s="105">
        <f t="shared" ref="J302:L302" si="59">SUM(J301)</f>
        <v>8</v>
      </c>
      <c r="K302" s="105">
        <f t="shared" si="59"/>
        <v>8</v>
      </c>
      <c r="L302" s="750">
        <f t="shared" si="59"/>
        <v>8</v>
      </c>
      <c r="M302" s="133"/>
      <c r="N302" s="827"/>
      <c r="O302" s="319"/>
      <c r="P302" s="219"/>
      <c r="Q302" s="223"/>
    </row>
    <row r="303" spans="1:17" ht="20.399999999999999" x14ac:dyDescent="0.25">
      <c r="A303" s="219">
        <v>4</v>
      </c>
      <c r="B303" s="112" t="s">
        <v>1006</v>
      </c>
      <c r="C303" s="112" t="s">
        <v>1006</v>
      </c>
      <c r="D303" s="132" t="s">
        <v>150</v>
      </c>
      <c r="E303" s="97"/>
      <c r="F303" s="73"/>
      <c r="G303" s="133"/>
      <c r="H303" s="7"/>
      <c r="I303" s="188" t="e">
        <f>SUM(#REF!,#REF!,#REF!,#REF!,I305,#REF!,#REF!,I308,#REF!,I311,#REF!,#REF!,#REF!,I314,I316,#REF!)</f>
        <v>#REF!</v>
      </c>
      <c r="J303" s="113"/>
      <c r="K303" s="113"/>
      <c r="L303" s="806"/>
      <c r="M303" s="133"/>
      <c r="N303" s="827"/>
      <c r="O303" s="319"/>
      <c r="P303" s="219"/>
      <c r="Q303" s="223"/>
    </row>
    <row r="304" spans="1:17" ht="61.5" customHeight="1" x14ac:dyDescent="0.25">
      <c r="A304" s="219">
        <v>4</v>
      </c>
      <c r="B304" s="119"/>
      <c r="C304" s="220" t="s">
        <v>1007</v>
      </c>
      <c r="D304" s="221" t="s">
        <v>153</v>
      </c>
      <c r="E304" s="220" t="s">
        <v>148</v>
      </c>
      <c r="F304" s="228" t="s">
        <v>154</v>
      </c>
      <c r="G304" s="228" t="s">
        <v>8</v>
      </c>
      <c r="H304" s="225">
        <v>10</v>
      </c>
      <c r="I304" s="15">
        <v>10</v>
      </c>
      <c r="J304" s="98">
        <v>30</v>
      </c>
      <c r="K304" s="222">
        <v>30</v>
      </c>
      <c r="L304" s="826">
        <v>30</v>
      </c>
      <c r="M304" s="133" t="s">
        <v>629</v>
      </c>
      <c r="N304" s="1139" t="s">
        <v>1008</v>
      </c>
      <c r="O304" s="319" t="s">
        <v>1009</v>
      </c>
      <c r="P304" s="228" t="s">
        <v>1010</v>
      </c>
      <c r="Q304" s="223"/>
    </row>
    <row r="305" spans="1:17" ht="13.2" x14ac:dyDescent="0.25">
      <c r="A305" s="219">
        <v>4</v>
      </c>
      <c r="B305" s="119"/>
      <c r="C305" s="220"/>
      <c r="D305" s="221"/>
      <c r="E305" s="220"/>
      <c r="F305" s="228"/>
      <c r="G305" s="103" t="s">
        <v>492</v>
      </c>
      <c r="H305" s="105">
        <f>SUM(H304:H304)</f>
        <v>10</v>
      </c>
      <c r="I305" s="105">
        <f>SUM(I304:I304)</f>
        <v>10</v>
      </c>
      <c r="J305" s="105">
        <f>SUM(J304:J304)</f>
        <v>30</v>
      </c>
      <c r="K305" s="105">
        <f>SUM(K304:K304)</f>
        <v>30</v>
      </c>
      <c r="L305" s="750">
        <f>SUM(L304:L304)</f>
        <v>30</v>
      </c>
      <c r="M305" s="133"/>
      <c r="N305" s="827"/>
      <c r="O305" s="319"/>
      <c r="P305" s="219"/>
      <c r="Q305" s="223"/>
    </row>
    <row r="306" spans="1:17" ht="23.4" customHeight="1" x14ac:dyDescent="0.25">
      <c r="A306" s="219">
        <v>4</v>
      </c>
      <c r="B306" s="119"/>
      <c r="C306" s="220" t="s">
        <v>1011</v>
      </c>
      <c r="D306" s="221" t="s">
        <v>155</v>
      </c>
      <c r="E306" s="220" t="s">
        <v>148</v>
      </c>
      <c r="F306" s="219" t="s">
        <v>156</v>
      </c>
      <c r="G306" s="219" t="s">
        <v>115</v>
      </c>
      <c r="H306" s="225">
        <f>66.9-15.8</f>
        <v>51.100000000000009</v>
      </c>
      <c r="I306" s="15">
        <v>40.1</v>
      </c>
      <c r="J306" s="98">
        <f>51.1-20+20+12</f>
        <v>63.1</v>
      </c>
      <c r="K306" s="222">
        <f>51.1-20</f>
        <v>31.1</v>
      </c>
      <c r="L306" s="826">
        <f>51.1-20</f>
        <v>31.1</v>
      </c>
      <c r="M306" s="133"/>
      <c r="N306" s="1140" t="s">
        <v>1012</v>
      </c>
      <c r="O306" s="319" t="s">
        <v>1013</v>
      </c>
      <c r="P306" s="219">
        <v>10</v>
      </c>
      <c r="Q306" s="223"/>
    </row>
    <row r="307" spans="1:17" ht="23.4" customHeight="1" x14ac:dyDescent="0.25">
      <c r="A307" s="219">
        <v>4</v>
      </c>
      <c r="B307" s="119"/>
      <c r="C307" s="220"/>
      <c r="D307" s="221"/>
      <c r="E307" s="220" t="s">
        <v>148</v>
      </c>
      <c r="F307" s="219" t="s">
        <v>156</v>
      </c>
      <c r="G307" s="219" t="s">
        <v>8</v>
      </c>
      <c r="H307" s="225"/>
      <c r="I307" s="15"/>
      <c r="J307" s="98">
        <f>15-12</f>
        <v>3</v>
      </c>
      <c r="K307" s="222"/>
      <c r="L307" s="826"/>
      <c r="M307" s="133"/>
      <c r="N307" s="1141"/>
      <c r="O307" s="319"/>
      <c r="P307" s="219"/>
      <c r="Q307" s="223"/>
    </row>
    <row r="308" spans="1:17" ht="13.2" x14ac:dyDescent="0.25">
      <c r="A308" s="42">
        <v>4</v>
      </c>
      <c r="B308" s="119"/>
      <c r="C308" s="220"/>
      <c r="D308" s="221"/>
      <c r="E308" s="220"/>
      <c r="F308" s="219" t="s">
        <v>156</v>
      </c>
      <c r="G308" s="103" t="s">
        <v>492</v>
      </c>
      <c r="H308" s="105">
        <f>SUM(H306:H306)</f>
        <v>51.100000000000009</v>
      </c>
      <c r="I308" s="105">
        <f>SUM(I306:I306)</f>
        <v>40.1</v>
      </c>
      <c r="J308" s="105">
        <f>J306+J307</f>
        <v>66.099999999999994</v>
      </c>
      <c r="K308" s="105">
        <f>SUM(K306:K306)</f>
        <v>31.1</v>
      </c>
      <c r="L308" s="750">
        <f>SUM(L306:L306)</f>
        <v>31.1</v>
      </c>
      <c r="M308" s="133"/>
      <c r="N308" s="827"/>
      <c r="O308" s="319"/>
      <c r="P308" s="219"/>
      <c r="Q308" s="223"/>
    </row>
    <row r="309" spans="1:17" ht="28.2" customHeight="1" x14ac:dyDescent="0.25">
      <c r="A309" s="219">
        <v>4</v>
      </c>
      <c r="B309" s="119"/>
      <c r="C309" s="220" t="s">
        <v>1014</v>
      </c>
      <c r="D309" s="221" t="s">
        <v>157</v>
      </c>
      <c r="E309" s="220" t="s">
        <v>158</v>
      </c>
      <c r="F309" s="228" t="s">
        <v>159</v>
      </c>
      <c r="G309" s="228" t="s">
        <v>151</v>
      </c>
      <c r="H309" s="225">
        <v>4</v>
      </c>
      <c r="I309" s="230">
        <v>2.2999999999999998</v>
      </c>
      <c r="J309" s="98"/>
      <c r="K309" s="222"/>
      <c r="L309" s="826"/>
      <c r="M309" s="133"/>
      <c r="N309" s="827" t="s">
        <v>1976</v>
      </c>
      <c r="O309" s="319" t="s">
        <v>1015</v>
      </c>
      <c r="P309" s="228">
        <v>70</v>
      </c>
      <c r="Q309" s="330"/>
    </row>
    <row r="310" spans="1:17" ht="12.75" customHeight="1" x14ac:dyDescent="0.25">
      <c r="A310" s="219">
        <v>4</v>
      </c>
      <c r="B310" s="119"/>
      <c r="C310" s="220"/>
      <c r="D310" s="221"/>
      <c r="E310" s="220" t="s">
        <v>158</v>
      </c>
      <c r="F310" s="228" t="s">
        <v>159</v>
      </c>
      <c r="G310" s="228" t="s">
        <v>152</v>
      </c>
      <c r="H310" s="225">
        <v>21.9</v>
      </c>
      <c r="I310" s="230">
        <v>12.7</v>
      </c>
      <c r="J310" s="98">
        <v>0</v>
      </c>
      <c r="K310" s="222">
        <v>0</v>
      </c>
      <c r="L310" s="826">
        <v>0</v>
      </c>
      <c r="M310" s="133"/>
      <c r="N310" s="827"/>
      <c r="O310" s="319"/>
      <c r="P310" s="219"/>
      <c r="Q310" s="330"/>
    </row>
    <row r="311" spans="1:17" ht="13.2" x14ac:dyDescent="0.25">
      <c r="A311" s="42">
        <v>4</v>
      </c>
      <c r="B311" s="119"/>
      <c r="C311" s="220"/>
      <c r="D311" s="221"/>
      <c r="E311" s="220"/>
      <c r="F311" s="228" t="s">
        <v>159</v>
      </c>
      <c r="G311" s="103" t="s">
        <v>492</v>
      </c>
      <c r="H311" s="105">
        <f>SUM(H309:H310)</f>
        <v>25.9</v>
      </c>
      <c r="I311" s="105">
        <f>SUM(I309:I310)</f>
        <v>15</v>
      </c>
      <c r="J311" s="105">
        <f>SUM(J309:J310)</f>
        <v>0</v>
      </c>
      <c r="K311" s="105">
        <f>SUM(K309:K310)</f>
        <v>0</v>
      </c>
      <c r="L311" s="750">
        <f>SUM(L309:L310)</f>
        <v>0</v>
      </c>
      <c r="M311" s="133"/>
      <c r="N311" s="827"/>
      <c r="O311" s="319"/>
      <c r="P311" s="219"/>
      <c r="Q311" s="223"/>
    </row>
    <row r="312" spans="1:17" ht="27" customHeight="1" x14ac:dyDescent="0.25">
      <c r="A312" s="219">
        <v>4</v>
      </c>
      <c r="B312" s="119"/>
      <c r="C312" s="220" t="s">
        <v>1016</v>
      </c>
      <c r="D312" s="221" t="s">
        <v>1018</v>
      </c>
      <c r="E312" s="220" t="s">
        <v>148</v>
      </c>
      <c r="F312" s="228" t="s">
        <v>1019</v>
      </c>
      <c r="G312" s="228" t="s">
        <v>37</v>
      </c>
      <c r="H312" s="227"/>
      <c r="I312" s="230"/>
      <c r="J312" s="98">
        <f>206.2-31</f>
        <v>175.2</v>
      </c>
      <c r="K312" s="7">
        <v>206.2</v>
      </c>
      <c r="L312" s="784">
        <v>206.2</v>
      </c>
      <c r="M312" s="133"/>
      <c r="N312" s="1140" t="s">
        <v>1012</v>
      </c>
      <c r="O312" s="319" t="s">
        <v>1020</v>
      </c>
      <c r="P312" s="219">
        <v>1</v>
      </c>
      <c r="Q312" s="223"/>
    </row>
    <row r="313" spans="1:17" ht="27" customHeight="1" x14ac:dyDescent="0.25">
      <c r="A313" s="219">
        <v>4</v>
      </c>
      <c r="B313" s="119"/>
      <c r="C313" s="220"/>
      <c r="D313" s="221"/>
      <c r="E313" s="220" t="s">
        <v>148</v>
      </c>
      <c r="F313" s="228" t="s">
        <v>1019</v>
      </c>
      <c r="G313" s="1179" t="s">
        <v>38</v>
      </c>
      <c r="H313" s="227"/>
      <c r="I313" s="230"/>
      <c r="J313" s="98">
        <v>31</v>
      </c>
      <c r="K313" s="7"/>
      <c r="L313" s="784"/>
      <c r="M313" s="133"/>
      <c r="N313" s="1141"/>
      <c r="O313" s="319"/>
      <c r="P313" s="219"/>
      <c r="Q313" s="223"/>
    </row>
    <row r="314" spans="1:17" ht="13.2" x14ac:dyDescent="0.25">
      <c r="A314" s="219">
        <v>4</v>
      </c>
      <c r="B314" s="119"/>
      <c r="C314" s="220"/>
      <c r="D314" s="221"/>
      <c r="E314" s="220"/>
      <c r="F314" s="228"/>
      <c r="G314" s="103" t="s">
        <v>492</v>
      </c>
      <c r="H314" s="227"/>
      <c r="I314" s="105">
        <f>SUM(I312)</f>
        <v>0</v>
      </c>
      <c r="J314" s="105">
        <f>SUM(J312,J313)</f>
        <v>206.2</v>
      </c>
      <c r="K314" s="105">
        <f t="shared" ref="K314:L314" si="60">SUM(K312)</f>
        <v>206.2</v>
      </c>
      <c r="L314" s="750">
        <f t="shared" si="60"/>
        <v>206.2</v>
      </c>
      <c r="M314" s="133"/>
      <c r="N314" s="827"/>
      <c r="O314" s="319"/>
      <c r="P314" s="219"/>
      <c r="Q314" s="223"/>
    </row>
    <row r="315" spans="1:17" ht="23.4" customHeight="1" x14ac:dyDescent="0.25">
      <c r="A315" s="219">
        <v>4</v>
      </c>
      <c r="B315" s="119"/>
      <c r="C315" s="220" t="s">
        <v>1017</v>
      </c>
      <c r="D315" s="221" t="s">
        <v>1021</v>
      </c>
      <c r="E315" s="220">
        <v>17</v>
      </c>
      <c r="F315" s="228" t="s">
        <v>1022</v>
      </c>
      <c r="G315" s="228" t="s">
        <v>8</v>
      </c>
      <c r="H315" s="227" t="s">
        <v>149</v>
      </c>
      <c r="I315" s="230"/>
      <c r="J315" s="98">
        <v>50</v>
      </c>
      <c r="K315" s="7">
        <v>50</v>
      </c>
      <c r="L315" s="826">
        <v>50</v>
      </c>
      <c r="M315" s="222" t="s">
        <v>629</v>
      </c>
      <c r="N315" s="827" t="s">
        <v>1976</v>
      </c>
      <c r="O315" s="319" t="s">
        <v>1023</v>
      </c>
      <c r="P315" s="219">
        <v>3</v>
      </c>
      <c r="Q315" s="223" t="s">
        <v>632</v>
      </c>
    </row>
    <row r="316" spans="1:17" ht="13.2" x14ac:dyDescent="0.25">
      <c r="A316" s="219">
        <v>4</v>
      </c>
      <c r="B316" s="119"/>
      <c r="C316" s="231" t="s">
        <v>149</v>
      </c>
      <c r="D316" s="331" t="s">
        <v>149</v>
      </c>
      <c r="E316" s="1060" t="s">
        <v>149</v>
      </c>
      <c r="F316" s="38" t="s">
        <v>149</v>
      </c>
      <c r="G316" s="103" t="s">
        <v>492</v>
      </c>
      <c r="H316" s="227" t="s">
        <v>149</v>
      </c>
      <c r="I316" s="105">
        <f>SUM(I315)</f>
        <v>0</v>
      </c>
      <c r="J316" s="105">
        <f t="shared" ref="J316:L316" si="61">SUM(J315)</f>
        <v>50</v>
      </c>
      <c r="K316" s="105">
        <f t="shared" si="61"/>
        <v>50</v>
      </c>
      <c r="L316" s="750">
        <f t="shared" si="61"/>
        <v>50</v>
      </c>
      <c r="M316" s="205" t="s">
        <v>149</v>
      </c>
      <c r="N316" s="1019" t="s">
        <v>149</v>
      </c>
      <c r="O316" s="319"/>
      <c r="P316" s="219"/>
      <c r="Q316" s="223"/>
    </row>
    <row r="317" spans="1:17" ht="30" customHeight="1" x14ac:dyDescent="0.25">
      <c r="A317" s="73">
        <v>4</v>
      </c>
      <c r="B317" s="112" t="s">
        <v>1024</v>
      </c>
      <c r="C317" s="112" t="s">
        <v>1024</v>
      </c>
      <c r="D317" s="132" t="s">
        <v>160</v>
      </c>
      <c r="E317" s="97"/>
      <c r="F317" s="73"/>
      <c r="G317" s="133"/>
      <c r="H317" s="7"/>
      <c r="I317" s="188" t="e">
        <f>#REF!+I319+#REF!+#REF!+#REF!+I322+I326+I328+I331+I334</f>
        <v>#REF!</v>
      </c>
      <c r="J317" s="113"/>
      <c r="K317" s="113"/>
      <c r="L317" s="806"/>
      <c r="M317" s="11"/>
      <c r="N317" s="1142"/>
      <c r="O317" s="980"/>
      <c r="P317" s="8"/>
      <c r="Q317" s="8"/>
    </row>
    <row r="318" spans="1:17" ht="30.6" customHeight="1" x14ac:dyDescent="0.25">
      <c r="A318" s="219">
        <v>4</v>
      </c>
      <c r="B318" s="220"/>
      <c r="C318" s="220" t="s">
        <v>1025</v>
      </c>
      <c r="D318" s="221" t="s">
        <v>1026</v>
      </c>
      <c r="E318" s="220" t="s">
        <v>148</v>
      </c>
      <c r="F318" s="228" t="s">
        <v>162</v>
      </c>
      <c r="G318" s="219" t="s">
        <v>8</v>
      </c>
      <c r="H318" s="225">
        <f>50+22</f>
        <v>72</v>
      </c>
      <c r="I318" s="230">
        <v>75.099999999999994</v>
      </c>
      <c r="J318" s="98">
        <f>160+7+60</f>
        <v>227</v>
      </c>
      <c r="K318" s="222">
        <v>160</v>
      </c>
      <c r="L318" s="826">
        <v>160</v>
      </c>
      <c r="M318" s="133" t="s">
        <v>629</v>
      </c>
      <c r="N318" s="827" t="s">
        <v>1027</v>
      </c>
      <c r="O318" s="319" t="s">
        <v>1028</v>
      </c>
      <c r="P318" s="219">
        <v>8</v>
      </c>
      <c r="Q318" s="223"/>
    </row>
    <row r="319" spans="1:17" ht="12.75" customHeight="1" x14ac:dyDescent="0.25">
      <c r="A319" s="219">
        <v>4</v>
      </c>
      <c r="B319" s="220"/>
      <c r="C319" s="220"/>
      <c r="D319" s="221"/>
      <c r="E319" s="220" t="s">
        <v>148</v>
      </c>
      <c r="F319" s="228" t="s">
        <v>162</v>
      </c>
      <c r="G319" s="103" t="s">
        <v>492</v>
      </c>
      <c r="H319" s="105">
        <f>SUM(H318:H318)</f>
        <v>72</v>
      </c>
      <c r="I319" s="105">
        <f>SUM(I318:I318)</f>
        <v>75.099999999999994</v>
      </c>
      <c r="J319" s="105">
        <f t="shared" ref="J319:L319" si="62">SUM(J318:J318)</f>
        <v>227</v>
      </c>
      <c r="K319" s="105">
        <f t="shared" si="62"/>
        <v>160</v>
      </c>
      <c r="L319" s="750">
        <f t="shared" si="62"/>
        <v>160</v>
      </c>
      <c r="M319" s="133"/>
      <c r="N319" s="827"/>
      <c r="O319" s="319"/>
      <c r="P319" s="219"/>
      <c r="Q319" s="223"/>
    </row>
    <row r="320" spans="1:17" ht="36" customHeight="1" x14ac:dyDescent="0.25">
      <c r="A320" s="219">
        <v>4</v>
      </c>
      <c r="B320" s="220"/>
      <c r="C320" s="220" t="s">
        <v>1029</v>
      </c>
      <c r="D320" s="332" t="s">
        <v>1030</v>
      </c>
      <c r="E320" s="220" t="s">
        <v>148</v>
      </c>
      <c r="F320" s="228" t="s">
        <v>1031</v>
      </c>
      <c r="G320" s="219" t="s">
        <v>37</v>
      </c>
      <c r="H320" s="227"/>
      <c r="I320" s="230"/>
      <c r="J320" s="98">
        <v>15</v>
      </c>
      <c r="K320" s="222"/>
      <c r="L320" s="826"/>
      <c r="M320" s="133"/>
      <c r="N320" s="828" t="s">
        <v>1027</v>
      </c>
      <c r="O320" s="319" t="s">
        <v>1032</v>
      </c>
      <c r="P320" s="219">
        <v>1</v>
      </c>
      <c r="Q320" s="223" t="s">
        <v>632</v>
      </c>
    </row>
    <row r="321" spans="1:17" ht="12.75" customHeight="1" x14ac:dyDescent="0.25">
      <c r="A321" s="219">
        <v>4</v>
      </c>
      <c r="B321" s="220"/>
      <c r="C321" s="220"/>
      <c r="D321" s="221"/>
      <c r="E321" s="220" t="s">
        <v>148</v>
      </c>
      <c r="F321" s="228" t="s">
        <v>1031</v>
      </c>
      <c r="G321" s="219" t="s">
        <v>38</v>
      </c>
      <c r="H321" s="227"/>
      <c r="I321" s="230"/>
      <c r="J321" s="98">
        <v>3.2</v>
      </c>
      <c r="K321" s="222"/>
      <c r="L321" s="826"/>
      <c r="M321" s="133"/>
      <c r="N321" s="828"/>
      <c r="O321" s="319"/>
      <c r="P321" s="219"/>
      <c r="Q321" s="223"/>
    </row>
    <row r="322" spans="1:17" ht="13.2" x14ac:dyDescent="0.25">
      <c r="A322" s="219">
        <v>4</v>
      </c>
      <c r="B322" s="220"/>
      <c r="C322" s="220"/>
      <c r="D322" s="229"/>
      <c r="E322" s="220"/>
      <c r="F322" s="228"/>
      <c r="G322" s="103" t="s">
        <v>492</v>
      </c>
      <c r="H322" s="105">
        <f>SUM(H320:H320)</f>
        <v>0</v>
      </c>
      <c r="I322" s="105">
        <f>SUM(I320:I321)</f>
        <v>0</v>
      </c>
      <c r="J322" s="105">
        <f t="shared" ref="J322:L322" si="63">SUM(J320:J321)</f>
        <v>18.2</v>
      </c>
      <c r="K322" s="105">
        <f t="shared" si="63"/>
        <v>0</v>
      </c>
      <c r="L322" s="750">
        <f t="shared" si="63"/>
        <v>0</v>
      </c>
      <c r="M322" s="133"/>
      <c r="N322" s="827"/>
      <c r="O322" s="319"/>
      <c r="P322" s="219"/>
      <c r="Q322" s="223"/>
    </row>
    <row r="323" spans="1:17" ht="30" customHeight="1" x14ac:dyDescent="0.25">
      <c r="A323" s="219">
        <v>4</v>
      </c>
      <c r="B323" s="119"/>
      <c r="C323" s="220" t="s">
        <v>1033</v>
      </c>
      <c r="D323" s="319" t="s">
        <v>1034</v>
      </c>
      <c r="E323" s="220" t="s">
        <v>148</v>
      </c>
      <c r="F323" s="228" t="s">
        <v>1035</v>
      </c>
      <c r="G323" s="228" t="s">
        <v>37</v>
      </c>
      <c r="H323" s="227"/>
      <c r="I323" s="885"/>
      <c r="J323" s="98">
        <v>4.5</v>
      </c>
      <c r="K323" s="7">
        <v>1107.5</v>
      </c>
      <c r="L323" s="784">
        <v>1107.5</v>
      </c>
      <c r="M323" s="133" t="s">
        <v>689</v>
      </c>
      <c r="N323" s="827" t="s">
        <v>1036</v>
      </c>
      <c r="O323" s="319" t="s">
        <v>1037</v>
      </c>
      <c r="P323" s="219">
        <v>20</v>
      </c>
      <c r="Q323" s="223"/>
    </row>
    <row r="324" spans="1:17" ht="12.75" customHeight="1" x14ac:dyDescent="0.25">
      <c r="A324" s="42">
        <v>4</v>
      </c>
      <c r="B324" s="119"/>
      <c r="C324" s="220"/>
      <c r="D324" s="319"/>
      <c r="E324" s="220" t="s">
        <v>148</v>
      </c>
      <c r="F324" s="228" t="s">
        <v>1035</v>
      </c>
      <c r="G324" s="228" t="s">
        <v>8</v>
      </c>
      <c r="H324" s="227"/>
      <c r="I324" s="885"/>
      <c r="J324" s="98">
        <f>136-136</f>
        <v>0</v>
      </c>
      <c r="K324" s="7">
        <f>136+136</f>
        <v>272</v>
      </c>
      <c r="L324" s="784">
        <v>136</v>
      </c>
      <c r="M324" s="133" t="s">
        <v>689</v>
      </c>
      <c r="N324" s="828"/>
      <c r="O324" s="319"/>
      <c r="P324" s="219"/>
      <c r="Q324" s="223"/>
    </row>
    <row r="325" spans="1:17" ht="12.75" customHeight="1" x14ac:dyDescent="0.25">
      <c r="A325" s="42">
        <v>4</v>
      </c>
      <c r="B325" s="119"/>
      <c r="C325" s="220"/>
      <c r="D325" s="319"/>
      <c r="E325" s="220" t="s">
        <v>148</v>
      </c>
      <c r="F325" s="228" t="s">
        <v>1035</v>
      </c>
      <c r="G325" s="228" t="s">
        <v>38</v>
      </c>
      <c r="H325" s="227"/>
      <c r="I325" s="885"/>
      <c r="J325" s="98">
        <f>0.8</f>
        <v>0.8</v>
      </c>
      <c r="K325" s="7"/>
      <c r="L325" s="784"/>
      <c r="M325" s="133"/>
      <c r="N325" s="1192"/>
      <c r="O325" s="319"/>
      <c r="P325" s="219"/>
      <c r="Q325" s="223"/>
    </row>
    <row r="326" spans="1:17" ht="13.2" x14ac:dyDescent="0.25">
      <c r="A326" s="219">
        <v>4</v>
      </c>
      <c r="B326" s="119"/>
      <c r="C326" s="220"/>
      <c r="D326" s="319"/>
      <c r="E326" s="333"/>
      <c r="F326" s="228"/>
      <c r="G326" s="103" t="s">
        <v>492</v>
      </c>
      <c r="H326" s="105" t="e">
        <f>SUM(#REF!)</f>
        <v>#REF!</v>
      </c>
      <c r="I326" s="105">
        <f>SUM(I323:I324)</f>
        <v>0</v>
      </c>
      <c r="J326" s="105">
        <f>SUM(J323:J325)</f>
        <v>5.3</v>
      </c>
      <c r="K326" s="105">
        <f>SUM(K323:K324)</f>
        <v>1379.5</v>
      </c>
      <c r="L326" s="750">
        <f>SUM(L323:L324)</f>
        <v>1243.5</v>
      </c>
      <c r="M326" s="133" t="s">
        <v>689</v>
      </c>
      <c r="N326" s="1188"/>
      <c r="O326" s="1189"/>
      <c r="P326" s="1190"/>
      <c r="Q326" s="1191"/>
    </row>
    <row r="327" spans="1:17" ht="33" customHeight="1" x14ac:dyDescent="0.25">
      <c r="A327" s="219">
        <v>4</v>
      </c>
      <c r="B327" s="119"/>
      <c r="C327" s="220" t="s">
        <v>1038</v>
      </c>
      <c r="D327" s="319" t="s">
        <v>1039</v>
      </c>
      <c r="E327" s="220" t="s">
        <v>148</v>
      </c>
      <c r="F327" s="228" t="s">
        <v>1040</v>
      </c>
      <c r="G327" s="334" t="s">
        <v>8</v>
      </c>
      <c r="H327" s="335"/>
      <c r="I327" s="886"/>
      <c r="J327" s="98">
        <f>6+0.7</f>
        <v>6.7</v>
      </c>
      <c r="K327" s="336"/>
      <c r="L327" s="829"/>
      <c r="M327" s="133" t="s">
        <v>702</v>
      </c>
      <c r="N327" s="1140" t="s">
        <v>1012</v>
      </c>
      <c r="O327" s="235" t="s">
        <v>1041</v>
      </c>
      <c r="P327" s="234">
        <v>1</v>
      </c>
      <c r="Q327" s="223"/>
    </row>
    <row r="328" spans="1:17" ht="13.2" x14ac:dyDescent="0.25">
      <c r="A328" s="42">
        <v>4</v>
      </c>
      <c r="B328" s="119"/>
      <c r="C328" s="220"/>
      <c r="D328" s="337"/>
      <c r="E328" s="220"/>
      <c r="F328" s="338"/>
      <c r="G328" s="103" t="s">
        <v>492</v>
      </c>
      <c r="H328" s="105" t="e">
        <f>SUM(H326:H326)</f>
        <v>#REF!</v>
      </c>
      <c r="I328" s="105">
        <f>SUM(I327)</f>
        <v>0</v>
      </c>
      <c r="J328" s="105">
        <f t="shared" ref="J328:L328" si="64">SUM(J327)</f>
        <v>6.7</v>
      </c>
      <c r="K328" s="105">
        <f t="shared" si="64"/>
        <v>0</v>
      </c>
      <c r="L328" s="750">
        <f t="shared" si="64"/>
        <v>0</v>
      </c>
      <c r="M328" s="133"/>
      <c r="N328" s="1140"/>
      <c r="O328" s="235"/>
      <c r="P328" s="234"/>
      <c r="Q328" s="223"/>
    </row>
    <row r="329" spans="1:17" ht="33.6" customHeight="1" x14ac:dyDescent="0.25">
      <c r="A329" s="73">
        <v>4</v>
      </c>
      <c r="B329" s="119"/>
      <c r="C329" s="220" t="s">
        <v>1042</v>
      </c>
      <c r="D329" s="88" t="s">
        <v>1043</v>
      </c>
      <c r="E329" s="220" t="s">
        <v>148</v>
      </c>
      <c r="F329" s="228" t="s">
        <v>1044</v>
      </c>
      <c r="G329" s="155" t="s">
        <v>8</v>
      </c>
      <c r="H329" s="339"/>
      <c r="I329" s="887"/>
      <c r="J329" s="98">
        <f>19.4-19.4</f>
        <v>0</v>
      </c>
      <c r="K329" s="126">
        <v>19.399999999999999</v>
      </c>
      <c r="L329" s="830">
        <v>19.399999999999999</v>
      </c>
      <c r="M329" s="133" t="s">
        <v>619</v>
      </c>
      <c r="N329" s="1140" t="s">
        <v>1012</v>
      </c>
      <c r="O329" s="981" t="s">
        <v>1045</v>
      </c>
      <c r="P329" s="234">
        <v>15</v>
      </c>
      <c r="Q329" s="223" t="s">
        <v>632</v>
      </c>
    </row>
    <row r="330" spans="1:17" ht="12.75" customHeight="1" x14ac:dyDescent="0.25">
      <c r="A330" s="219">
        <v>4</v>
      </c>
      <c r="B330" s="119"/>
      <c r="C330" s="220"/>
      <c r="D330" s="319"/>
      <c r="E330" s="220" t="s">
        <v>148</v>
      </c>
      <c r="F330" s="228" t="s">
        <v>1044</v>
      </c>
      <c r="G330" s="155" t="s">
        <v>37</v>
      </c>
      <c r="H330" s="339"/>
      <c r="I330" s="887"/>
      <c r="J330" s="98">
        <f>110-110</f>
        <v>0</v>
      </c>
      <c r="K330" s="126">
        <v>110</v>
      </c>
      <c r="L330" s="830">
        <v>110</v>
      </c>
      <c r="M330" s="133"/>
      <c r="N330" s="1143"/>
      <c r="O330" s="982"/>
      <c r="P330" s="234"/>
      <c r="Q330" s="223"/>
    </row>
    <row r="331" spans="1:17" ht="14.4" x14ac:dyDescent="0.25">
      <c r="A331" s="219">
        <v>4</v>
      </c>
      <c r="B331" s="119"/>
      <c r="C331" s="220"/>
      <c r="D331" s="319"/>
      <c r="E331" s="220"/>
      <c r="F331" s="338"/>
      <c r="G331" s="340" t="s">
        <v>492</v>
      </c>
      <c r="H331" s="236" t="e">
        <f>SUM(#REF!)</f>
        <v>#REF!</v>
      </c>
      <c r="I331" s="236">
        <f>SUM(I329:I330)</f>
        <v>0</v>
      </c>
      <c r="J331" s="236">
        <f t="shared" ref="J331:L331" si="65">SUM(J329:J330)</f>
        <v>0</v>
      </c>
      <c r="K331" s="236">
        <f t="shared" si="65"/>
        <v>129.4</v>
      </c>
      <c r="L331" s="831">
        <f t="shared" si="65"/>
        <v>129.4</v>
      </c>
      <c r="M331" s="133"/>
      <c r="N331" s="1143"/>
      <c r="O331" s="982"/>
      <c r="P331" s="234"/>
      <c r="Q331" s="223"/>
    </row>
    <row r="332" spans="1:17" ht="39.6" customHeight="1" x14ac:dyDescent="0.25">
      <c r="A332" s="219">
        <v>4</v>
      </c>
      <c r="B332" s="119"/>
      <c r="C332" s="220" t="s">
        <v>1046</v>
      </c>
      <c r="D332" s="391" t="s">
        <v>1047</v>
      </c>
      <c r="E332" s="220" t="s">
        <v>148</v>
      </c>
      <c r="F332" s="228" t="s">
        <v>1048</v>
      </c>
      <c r="G332" s="155" t="s">
        <v>37</v>
      </c>
      <c r="H332" s="339"/>
      <c r="I332" s="887"/>
      <c r="J332" s="98">
        <v>322</v>
      </c>
      <c r="K332" s="126"/>
      <c r="L332" s="830"/>
      <c r="M332" s="133" t="s">
        <v>619</v>
      </c>
      <c r="N332" s="1140" t="s">
        <v>1012</v>
      </c>
      <c r="O332" s="981" t="s">
        <v>1049</v>
      </c>
      <c r="P332" s="234">
        <v>1</v>
      </c>
      <c r="Q332" s="223"/>
    </row>
    <row r="333" spans="1:17" ht="12.75" customHeight="1" x14ac:dyDescent="0.25">
      <c r="A333" s="219">
        <v>4</v>
      </c>
      <c r="B333" s="119"/>
      <c r="C333" s="220"/>
      <c r="D333" s="319"/>
      <c r="E333" s="220" t="s">
        <v>148</v>
      </c>
      <c r="F333" s="228" t="s">
        <v>1048</v>
      </c>
      <c r="G333" s="149" t="s">
        <v>38</v>
      </c>
      <c r="H333" s="395"/>
      <c r="I333" s="888"/>
      <c r="J333" s="98">
        <v>56.8</v>
      </c>
      <c r="K333" s="396"/>
      <c r="L333" s="832"/>
      <c r="M333" s="133"/>
      <c r="N333" s="1143"/>
      <c r="O333" s="982"/>
      <c r="P333" s="234"/>
      <c r="Q333" s="223"/>
    </row>
    <row r="334" spans="1:17" ht="12.75" customHeight="1" x14ac:dyDescent="0.25">
      <c r="A334" s="219">
        <v>4</v>
      </c>
      <c r="B334" s="119"/>
      <c r="C334" s="220"/>
      <c r="D334" s="319"/>
      <c r="E334" s="220"/>
      <c r="F334" s="338"/>
      <c r="G334" s="393" t="s">
        <v>492</v>
      </c>
      <c r="H334" s="394">
        <f>SUM(H327:H327)</f>
        <v>0</v>
      </c>
      <c r="I334" s="394">
        <f>SUM(I332:I333)</f>
        <v>0</v>
      </c>
      <c r="J334" s="394">
        <f t="shared" ref="J334:L334" si="66">SUM(J332:J333)</f>
        <v>378.8</v>
      </c>
      <c r="K334" s="394">
        <f t="shared" si="66"/>
        <v>0</v>
      </c>
      <c r="L334" s="833">
        <f t="shared" si="66"/>
        <v>0</v>
      </c>
      <c r="M334" s="133"/>
      <c r="N334" s="1143"/>
      <c r="O334" s="982"/>
      <c r="P334" s="234"/>
      <c r="Q334" s="223"/>
    </row>
    <row r="335" spans="1:17" ht="14.4" customHeight="1" x14ac:dyDescent="0.25">
      <c r="A335" s="909"/>
      <c r="B335" s="909"/>
      <c r="C335" s="909"/>
      <c r="D335" s="909" t="s">
        <v>1840</v>
      </c>
      <c r="E335" s="912"/>
      <c r="F335" s="909"/>
      <c r="G335" s="909"/>
      <c r="H335" s="909"/>
      <c r="I335" s="909"/>
      <c r="J335" s="909"/>
      <c r="K335" s="909"/>
      <c r="L335" s="911"/>
      <c r="M335" s="922"/>
      <c r="N335" s="1008"/>
      <c r="O335" s="977"/>
      <c r="P335" s="923"/>
      <c r="Q335" s="923"/>
    </row>
    <row r="336" spans="1:17" ht="30" customHeight="1" x14ac:dyDescent="0.25">
      <c r="A336" s="42">
        <v>5</v>
      </c>
      <c r="B336" s="237"/>
      <c r="C336" s="237"/>
      <c r="D336" s="94" t="s">
        <v>1050</v>
      </c>
      <c r="E336" s="95"/>
      <c r="F336" s="96"/>
      <c r="G336" s="95"/>
      <c r="H336" s="95"/>
      <c r="I336" s="95"/>
      <c r="J336" s="95"/>
      <c r="K336" s="95"/>
      <c r="L336" s="422"/>
      <c r="M336" s="133"/>
      <c r="N336" s="743"/>
      <c r="O336" s="81"/>
      <c r="P336" s="73"/>
      <c r="Q336" s="73"/>
    </row>
    <row r="337" spans="1:17" ht="26.4" customHeight="1" x14ac:dyDescent="0.25">
      <c r="A337" s="42">
        <v>5</v>
      </c>
      <c r="B337" s="238" t="s">
        <v>1051</v>
      </c>
      <c r="C337" s="238" t="s">
        <v>1051</v>
      </c>
      <c r="D337" s="239" t="s">
        <v>163</v>
      </c>
      <c r="E337" s="240"/>
      <c r="F337" s="42"/>
      <c r="G337" s="54"/>
      <c r="H337" s="37"/>
      <c r="I337" s="188" t="e">
        <f>SUM(I341,I343,I348,I354,#REF!,I357,I359,I361,I345)</f>
        <v>#REF!</v>
      </c>
      <c r="J337" s="113"/>
      <c r="K337" s="113" t="e">
        <f>SUM(K341,K343,K348,K354,#REF!,K357,K359,K361,K345)</f>
        <v>#REF!</v>
      </c>
      <c r="L337" s="806" t="e">
        <f>SUM(L341,L343,L348,L354,#REF!,L357,L359,L361,L345)</f>
        <v>#REF!</v>
      </c>
      <c r="M337" s="133"/>
      <c r="N337" s="743"/>
      <c r="O337" s="81"/>
      <c r="P337" s="73"/>
      <c r="Q337" s="73"/>
    </row>
    <row r="338" spans="1:17" ht="12.75" customHeight="1" x14ac:dyDescent="0.25">
      <c r="A338" s="42">
        <v>5</v>
      </c>
      <c r="B338" s="46"/>
      <c r="C338" s="46" t="s">
        <v>1052</v>
      </c>
      <c r="D338" s="49" t="s">
        <v>164</v>
      </c>
      <c r="E338" s="42">
        <v>7</v>
      </c>
      <c r="F338" s="42" t="s">
        <v>165</v>
      </c>
      <c r="G338" s="42" t="s">
        <v>166</v>
      </c>
      <c r="H338" s="37">
        <v>17113.2</v>
      </c>
      <c r="I338" s="15">
        <v>20165.099999999999</v>
      </c>
      <c r="J338" s="98">
        <f>25724.2+933.4</f>
        <v>26657.600000000002</v>
      </c>
      <c r="K338" s="375">
        <v>27000</v>
      </c>
      <c r="L338" s="834">
        <v>27000</v>
      </c>
      <c r="M338" s="133"/>
      <c r="N338" s="389" t="s">
        <v>1053</v>
      </c>
      <c r="O338" s="117" t="s">
        <v>804</v>
      </c>
      <c r="P338" s="68">
        <v>100</v>
      </c>
      <c r="Q338" s="341"/>
    </row>
    <row r="339" spans="1:17" ht="12.75" customHeight="1" x14ac:dyDescent="0.25">
      <c r="A339" s="42">
        <v>5</v>
      </c>
      <c r="B339" s="46"/>
      <c r="C339" s="46"/>
      <c r="D339" s="49"/>
      <c r="E339" s="42">
        <v>7</v>
      </c>
      <c r="F339" s="42" t="s">
        <v>165</v>
      </c>
      <c r="G339" s="62" t="s">
        <v>596</v>
      </c>
      <c r="H339" s="37">
        <f>89.9+62.6</f>
        <v>152.5</v>
      </c>
      <c r="I339" s="15">
        <v>208.9</v>
      </c>
      <c r="J339" s="98">
        <f>54+54.9+133.7</f>
        <v>242.6</v>
      </c>
      <c r="K339" s="37"/>
      <c r="L339" s="48"/>
      <c r="M339" s="133"/>
      <c r="N339" s="389" t="s">
        <v>1996</v>
      </c>
      <c r="O339" s="117" t="s">
        <v>1054</v>
      </c>
      <c r="P339" s="68">
        <v>10</v>
      </c>
      <c r="Q339" s="341"/>
    </row>
    <row r="340" spans="1:17" ht="33" customHeight="1" x14ac:dyDescent="0.25">
      <c r="A340" s="42">
        <v>5</v>
      </c>
      <c r="B340" s="46"/>
      <c r="C340" s="46"/>
      <c r="D340" s="49"/>
      <c r="E340" s="42">
        <v>7</v>
      </c>
      <c r="F340" s="42" t="s">
        <v>165</v>
      </c>
      <c r="G340" s="42" t="s">
        <v>167</v>
      </c>
      <c r="H340" s="37"/>
      <c r="I340" s="15"/>
      <c r="J340" s="98"/>
      <c r="K340" s="37"/>
      <c r="L340" s="48"/>
      <c r="M340" s="133"/>
      <c r="N340" s="389"/>
      <c r="O340" s="117"/>
      <c r="P340" s="68"/>
      <c r="Q340" s="341"/>
    </row>
    <row r="341" spans="1:17" ht="13.2" x14ac:dyDescent="0.25">
      <c r="A341" s="42">
        <v>5</v>
      </c>
      <c r="B341" s="46"/>
      <c r="C341" s="46"/>
      <c r="D341" s="49"/>
      <c r="E341" s="42"/>
      <c r="F341" s="42" t="s">
        <v>165</v>
      </c>
      <c r="G341" s="103" t="s">
        <v>492</v>
      </c>
      <c r="H341" s="105">
        <f>SUM(H338:H340)</f>
        <v>17265.7</v>
      </c>
      <c r="I341" s="105">
        <f>SUM(I338:I340)</f>
        <v>20374</v>
      </c>
      <c r="J341" s="105">
        <f t="shared" ref="J341:L341" si="67">SUM(J338:J340)</f>
        <v>26900.2</v>
      </c>
      <c r="K341" s="105">
        <f t="shared" si="67"/>
        <v>27000</v>
      </c>
      <c r="L341" s="750">
        <f t="shared" si="67"/>
        <v>27000</v>
      </c>
      <c r="M341" s="133"/>
      <c r="N341" s="389"/>
      <c r="O341" s="117"/>
      <c r="P341" s="68"/>
      <c r="Q341" s="341"/>
    </row>
    <row r="342" spans="1:17" ht="37.200000000000003" customHeight="1" x14ac:dyDescent="0.25">
      <c r="A342" s="42">
        <v>5</v>
      </c>
      <c r="B342" s="46"/>
      <c r="C342" s="46" t="s">
        <v>1055</v>
      </c>
      <c r="D342" s="49" t="s">
        <v>1056</v>
      </c>
      <c r="E342" s="42">
        <v>7</v>
      </c>
      <c r="F342" s="42" t="s">
        <v>168</v>
      </c>
      <c r="G342" s="42" t="s">
        <v>8</v>
      </c>
      <c r="H342" s="106">
        <v>351.2</v>
      </c>
      <c r="I342" s="15">
        <v>385.5</v>
      </c>
      <c r="J342" s="98">
        <f>400-50-21-10</f>
        <v>319</v>
      </c>
      <c r="K342" s="37">
        <v>420</v>
      </c>
      <c r="L342" s="48">
        <v>440</v>
      </c>
      <c r="M342" s="185" t="s">
        <v>629</v>
      </c>
      <c r="N342" s="1144" t="s">
        <v>1719</v>
      </c>
      <c r="O342" s="117" t="s">
        <v>1057</v>
      </c>
      <c r="P342" s="68">
        <v>800</v>
      </c>
      <c r="Q342" s="341"/>
    </row>
    <row r="343" spans="1:17" ht="16.2" customHeight="1" x14ac:dyDescent="0.25">
      <c r="A343" s="42">
        <v>5</v>
      </c>
      <c r="B343" s="46"/>
      <c r="C343" s="46"/>
      <c r="D343" s="49"/>
      <c r="E343" s="42"/>
      <c r="F343" s="42" t="s">
        <v>168</v>
      </c>
      <c r="G343" s="103" t="s">
        <v>492</v>
      </c>
      <c r="H343" s="105">
        <f>SUM(H342)</f>
        <v>351.2</v>
      </c>
      <c r="I343" s="105">
        <f>SUM(I342)</f>
        <v>385.5</v>
      </c>
      <c r="J343" s="105">
        <f t="shared" ref="J343:L343" si="68">SUM(J342)</f>
        <v>319</v>
      </c>
      <c r="K343" s="105">
        <f t="shared" si="68"/>
        <v>420</v>
      </c>
      <c r="L343" s="750">
        <f t="shared" si="68"/>
        <v>440</v>
      </c>
      <c r="M343" s="133"/>
      <c r="N343" s="1144" t="s">
        <v>1719</v>
      </c>
      <c r="O343" s="117" t="s">
        <v>1058</v>
      </c>
      <c r="P343" s="68">
        <v>25</v>
      </c>
      <c r="Q343" s="341"/>
    </row>
    <row r="344" spans="1:17" ht="14.4" customHeight="1" x14ac:dyDescent="0.25">
      <c r="A344" s="42">
        <v>5</v>
      </c>
      <c r="B344" s="46"/>
      <c r="C344" s="46" t="s">
        <v>1059</v>
      </c>
      <c r="D344" s="49" t="s">
        <v>1060</v>
      </c>
      <c r="E344" s="42">
        <v>7</v>
      </c>
      <c r="F344" s="42" t="s">
        <v>1061</v>
      </c>
      <c r="G344" s="42" t="s">
        <v>8</v>
      </c>
      <c r="H344" s="106"/>
      <c r="I344" s="15"/>
      <c r="J344" s="98">
        <f>150+50+10</f>
        <v>210</v>
      </c>
      <c r="K344" s="37">
        <v>150</v>
      </c>
      <c r="L344" s="48">
        <v>150</v>
      </c>
      <c r="M344" s="133" t="s">
        <v>629</v>
      </c>
      <c r="N344" s="1144" t="s">
        <v>1719</v>
      </c>
      <c r="O344" s="117" t="s">
        <v>1062</v>
      </c>
      <c r="P344" s="68">
        <v>85</v>
      </c>
      <c r="Q344" s="341"/>
    </row>
    <row r="345" spans="1:17" ht="13.2" x14ac:dyDescent="0.25">
      <c r="A345" s="42">
        <v>5</v>
      </c>
      <c r="B345" s="46"/>
      <c r="C345" s="46"/>
      <c r="D345" s="49"/>
      <c r="E345" s="42"/>
      <c r="F345" s="62"/>
      <c r="G345" s="103" t="s">
        <v>492</v>
      </c>
      <c r="H345" s="105">
        <f>SUM(H344)</f>
        <v>0</v>
      </c>
      <c r="I345" s="105">
        <f>SUM(I344)</f>
        <v>0</v>
      </c>
      <c r="J345" s="105">
        <f t="shared" ref="J345:L345" si="69">SUM(J344)</f>
        <v>210</v>
      </c>
      <c r="K345" s="105">
        <f t="shared" si="69"/>
        <v>150</v>
      </c>
      <c r="L345" s="750">
        <f t="shared" si="69"/>
        <v>150</v>
      </c>
      <c r="M345" s="133"/>
      <c r="N345" s="389"/>
      <c r="O345" s="117"/>
      <c r="P345" s="68"/>
      <c r="Q345" s="341"/>
    </row>
    <row r="346" spans="1:17" ht="27" customHeight="1" x14ac:dyDescent="0.25">
      <c r="A346" s="42">
        <v>5</v>
      </c>
      <c r="B346" s="46"/>
      <c r="C346" s="46" t="s">
        <v>1063</v>
      </c>
      <c r="D346" s="49" t="s">
        <v>169</v>
      </c>
      <c r="E346" s="42">
        <v>7</v>
      </c>
      <c r="F346" s="42" t="s">
        <v>170</v>
      </c>
      <c r="G346" s="42" t="s">
        <v>166</v>
      </c>
      <c r="H346" s="37">
        <v>3379.49</v>
      </c>
      <c r="I346" s="15">
        <v>4888.3</v>
      </c>
      <c r="J346" s="98">
        <f>6408.4+283.5</f>
        <v>6691.9</v>
      </c>
      <c r="K346" s="37">
        <v>7000</v>
      </c>
      <c r="L346" s="48">
        <v>7000</v>
      </c>
      <c r="M346" s="133"/>
      <c r="N346" s="389" t="s">
        <v>1997</v>
      </c>
      <c r="O346" s="117" t="s">
        <v>1064</v>
      </c>
      <c r="P346" s="68">
        <v>100</v>
      </c>
      <c r="Q346" s="341"/>
    </row>
    <row r="347" spans="1:17" ht="12.75" customHeight="1" x14ac:dyDescent="0.25">
      <c r="A347" s="42">
        <v>5</v>
      </c>
      <c r="B347" s="46"/>
      <c r="C347" s="46"/>
      <c r="D347" s="49"/>
      <c r="E347" s="42">
        <v>7</v>
      </c>
      <c r="F347" s="42" t="s">
        <v>170</v>
      </c>
      <c r="G347" s="62" t="s">
        <v>596</v>
      </c>
      <c r="H347" s="37">
        <f>2.8</f>
        <v>2.8</v>
      </c>
      <c r="I347" s="15">
        <v>9.3000000000000007</v>
      </c>
      <c r="J347" s="98">
        <f>1+6.2</f>
        <v>7.2</v>
      </c>
      <c r="K347" s="37"/>
      <c r="L347" s="48"/>
      <c r="M347" s="133"/>
      <c r="N347" s="389" t="s">
        <v>1998</v>
      </c>
      <c r="O347" s="117" t="s">
        <v>1054</v>
      </c>
      <c r="P347" s="68">
        <v>10</v>
      </c>
      <c r="Q347" s="341"/>
    </row>
    <row r="348" spans="1:17" ht="13.2" x14ac:dyDescent="0.25">
      <c r="A348" s="42">
        <v>5</v>
      </c>
      <c r="B348" s="46"/>
      <c r="C348" s="46"/>
      <c r="D348" s="49"/>
      <c r="E348" s="42"/>
      <c r="F348" s="42" t="s">
        <v>170</v>
      </c>
      <c r="G348" s="103" t="s">
        <v>492</v>
      </c>
      <c r="H348" s="105">
        <f>SUM(H346:H347)</f>
        <v>3382.29</v>
      </c>
      <c r="I348" s="105">
        <f>SUM(I346:I347)</f>
        <v>4897.6000000000004</v>
      </c>
      <c r="J348" s="105">
        <f t="shared" ref="J348:L348" si="70">SUM(J346:J347)</f>
        <v>6699.0999999999995</v>
      </c>
      <c r="K348" s="105">
        <f t="shared" si="70"/>
        <v>7000</v>
      </c>
      <c r="L348" s="750">
        <f t="shared" si="70"/>
        <v>7000</v>
      </c>
      <c r="M348" s="133"/>
      <c r="N348" s="389" t="s">
        <v>1999</v>
      </c>
      <c r="O348" s="117"/>
      <c r="P348" s="68"/>
      <c r="Q348" s="341"/>
    </row>
    <row r="349" spans="1:17" ht="30.6" customHeight="1" x14ac:dyDescent="0.25">
      <c r="A349" s="42">
        <v>5</v>
      </c>
      <c r="B349" s="46"/>
      <c r="C349" s="46" t="s">
        <v>1065</v>
      </c>
      <c r="D349" s="49" t="s">
        <v>1066</v>
      </c>
      <c r="E349" s="42">
        <v>7</v>
      </c>
      <c r="F349" s="42" t="s">
        <v>171</v>
      </c>
      <c r="G349" s="42" t="s">
        <v>10</v>
      </c>
      <c r="H349" s="37">
        <v>267.89999999999998</v>
      </c>
      <c r="I349" s="15">
        <v>299.5</v>
      </c>
      <c r="J349" s="98">
        <f>368.9-19.4</f>
        <v>349.5</v>
      </c>
      <c r="K349" s="15">
        <v>368.9</v>
      </c>
      <c r="L349" s="33">
        <v>368.9</v>
      </c>
      <c r="M349" s="133"/>
      <c r="N349" s="389" t="s">
        <v>2000</v>
      </c>
      <c r="O349" s="117" t="s">
        <v>1067</v>
      </c>
      <c r="P349" s="68">
        <v>100</v>
      </c>
      <c r="Q349" s="341"/>
    </row>
    <row r="350" spans="1:17" ht="12.75" customHeight="1" x14ac:dyDescent="0.25">
      <c r="A350" s="42">
        <v>5</v>
      </c>
      <c r="B350" s="46"/>
      <c r="C350" s="46"/>
      <c r="D350" s="49"/>
      <c r="E350" s="42">
        <v>7</v>
      </c>
      <c r="F350" s="42" t="s">
        <v>171</v>
      </c>
      <c r="G350" s="42" t="s">
        <v>10</v>
      </c>
      <c r="H350" s="37"/>
      <c r="I350" s="15"/>
      <c r="J350" s="98"/>
      <c r="K350" s="37"/>
      <c r="L350" s="48"/>
      <c r="M350" s="133"/>
      <c r="N350" s="389" t="s">
        <v>2001</v>
      </c>
      <c r="O350" s="117" t="s">
        <v>1054</v>
      </c>
      <c r="P350" s="68">
        <v>10</v>
      </c>
      <c r="Q350" s="341"/>
    </row>
    <row r="351" spans="1:17" ht="12.75" customHeight="1" x14ac:dyDescent="0.25">
      <c r="A351" s="42">
        <v>5</v>
      </c>
      <c r="B351" s="46"/>
      <c r="C351" s="46"/>
      <c r="D351" s="49"/>
      <c r="E351" s="42">
        <v>7</v>
      </c>
      <c r="F351" s="42" t="s">
        <v>171</v>
      </c>
      <c r="G351" s="42" t="s">
        <v>172</v>
      </c>
      <c r="H351" s="37"/>
      <c r="I351" s="15"/>
      <c r="J351" s="98"/>
      <c r="K351" s="37"/>
      <c r="L351" s="48"/>
      <c r="M351" s="133"/>
      <c r="N351" s="389" t="s">
        <v>2002</v>
      </c>
      <c r="O351" s="117"/>
      <c r="P351" s="68"/>
      <c r="Q351" s="341"/>
    </row>
    <row r="352" spans="1:17" ht="12.75" customHeight="1" x14ac:dyDescent="0.25">
      <c r="A352" s="42">
        <v>5</v>
      </c>
      <c r="B352" s="46"/>
      <c r="C352" s="46"/>
      <c r="D352" s="49"/>
      <c r="E352" s="42">
        <v>7</v>
      </c>
      <c r="F352" s="42" t="s">
        <v>171</v>
      </c>
      <c r="G352" s="62" t="s">
        <v>613</v>
      </c>
      <c r="H352" s="37">
        <f>20.4+21.5</f>
        <v>41.9</v>
      </c>
      <c r="I352" s="15">
        <v>51.8</v>
      </c>
      <c r="J352" s="98">
        <f>11.1+11.5+11.5+9.9</f>
        <v>44</v>
      </c>
      <c r="K352" s="37"/>
      <c r="L352" s="48"/>
      <c r="M352" s="133"/>
      <c r="N352" s="389" t="s">
        <v>2003</v>
      </c>
      <c r="O352" s="117"/>
      <c r="P352" s="68"/>
      <c r="Q352" s="341"/>
    </row>
    <row r="353" spans="1:17" ht="24" customHeight="1" x14ac:dyDescent="0.25">
      <c r="A353" s="42">
        <v>5</v>
      </c>
      <c r="B353" s="46"/>
      <c r="C353" s="46"/>
      <c r="D353" s="49"/>
      <c r="E353" s="42">
        <v>7</v>
      </c>
      <c r="F353" s="42" t="s">
        <v>171</v>
      </c>
      <c r="G353" s="62" t="s">
        <v>8</v>
      </c>
      <c r="H353" s="37">
        <f>2073.4-1000+100+1052.7</f>
        <v>2226.1000000000004</v>
      </c>
      <c r="I353" s="15">
        <v>1923.9</v>
      </c>
      <c r="J353" s="98">
        <f>2226.1-200-18</f>
        <v>2008.1</v>
      </c>
      <c r="K353" s="15">
        <f>2226.1-200</f>
        <v>2026.1</v>
      </c>
      <c r="L353" s="48">
        <v>2226.1</v>
      </c>
      <c r="M353" s="133" t="s">
        <v>616</v>
      </c>
      <c r="N353" s="1144" t="s">
        <v>1719</v>
      </c>
      <c r="O353" s="117"/>
      <c r="P353" s="68"/>
      <c r="Q353" s="341"/>
    </row>
    <row r="354" spans="1:17" ht="13.2" x14ac:dyDescent="0.25">
      <c r="A354" s="42">
        <v>5</v>
      </c>
      <c r="B354" s="46"/>
      <c r="C354" s="46"/>
      <c r="D354" s="49"/>
      <c r="E354" s="42"/>
      <c r="F354" s="42"/>
      <c r="G354" s="103" t="s">
        <v>492</v>
      </c>
      <c r="H354" s="105">
        <f>SUM(H349:H353)</f>
        <v>2535.9000000000005</v>
      </c>
      <c r="I354" s="105">
        <f>SUM(I349:I353)</f>
        <v>2275.2000000000003</v>
      </c>
      <c r="J354" s="105">
        <f t="shared" ref="J354:L354" si="71">SUM(J349:J353)</f>
        <v>2401.6</v>
      </c>
      <c r="K354" s="105">
        <f t="shared" si="71"/>
        <v>2395</v>
      </c>
      <c r="L354" s="750">
        <f t="shared" si="71"/>
        <v>2595</v>
      </c>
      <c r="M354" s="133"/>
      <c r="N354" s="389"/>
      <c r="O354" s="117"/>
      <c r="P354" s="68"/>
      <c r="Q354" s="341"/>
    </row>
    <row r="355" spans="1:17" ht="32.4" customHeight="1" x14ac:dyDescent="0.25">
      <c r="A355" s="42">
        <v>5</v>
      </c>
      <c r="B355" s="46"/>
      <c r="C355" s="46" t="s">
        <v>1068</v>
      </c>
      <c r="D355" s="49" t="s">
        <v>173</v>
      </c>
      <c r="E355" s="42">
        <v>7</v>
      </c>
      <c r="F355" s="42" t="s">
        <v>174</v>
      </c>
      <c r="G355" s="42" t="s">
        <v>10</v>
      </c>
      <c r="H355" s="37">
        <v>939.6</v>
      </c>
      <c r="I355" s="15">
        <v>1038.3</v>
      </c>
      <c r="J355" s="98">
        <f>1436-100</f>
        <v>1336</v>
      </c>
      <c r="K355" s="37">
        <v>1436</v>
      </c>
      <c r="L355" s="48">
        <v>1436</v>
      </c>
      <c r="M355" s="133"/>
      <c r="N355" s="1144" t="s">
        <v>1719</v>
      </c>
      <c r="O355" s="117" t="s">
        <v>1062</v>
      </c>
      <c r="P355" s="68">
        <v>3000</v>
      </c>
      <c r="Q355" s="341"/>
    </row>
    <row r="356" spans="1:17" ht="12.75" customHeight="1" x14ac:dyDescent="0.25">
      <c r="A356" s="42">
        <v>5</v>
      </c>
      <c r="B356" s="46"/>
      <c r="C356" s="46"/>
      <c r="D356" s="49"/>
      <c r="E356" s="42">
        <v>7</v>
      </c>
      <c r="F356" s="42" t="s">
        <v>174</v>
      </c>
      <c r="G356" s="62" t="s">
        <v>613</v>
      </c>
      <c r="H356" s="37">
        <f>3+2.4</f>
        <v>5.4</v>
      </c>
      <c r="I356" s="15">
        <v>7.8</v>
      </c>
      <c r="J356" s="98">
        <f>2.9+1+2.5+2.5</f>
        <v>8.9</v>
      </c>
      <c r="K356" s="37"/>
      <c r="L356" s="48"/>
      <c r="M356" s="133"/>
      <c r="N356" s="1144" t="s">
        <v>1719</v>
      </c>
      <c r="O356" s="117" t="s">
        <v>1069</v>
      </c>
      <c r="P356" s="68">
        <v>12</v>
      </c>
      <c r="Q356" s="341"/>
    </row>
    <row r="357" spans="1:17" ht="12.75" customHeight="1" x14ac:dyDescent="0.25">
      <c r="A357" s="42">
        <v>5</v>
      </c>
      <c r="B357" s="46"/>
      <c r="C357" s="46"/>
      <c r="D357" s="49"/>
      <c r="E357" s="42"/>
      <c r="F357" s="42" t="s">
        <v>1070</v>
      </c>
      <c r="G357" s="103" t="s">
        <v>492</v>
      </c>
      <c r="H357" s="105">
        <f>SUM(H355:H356)</f>
        <v>945</v>
      </c>
      <c r="I357" s="105">
        <f>SUM(I355:I356)</f>
        <v>1046.0999999999999</v>
      </c>
      <c r="J357" s="105">
        <f t="shared" ref="J357:L357" si="72">SUM(J355:J356)</f>
        <v>1344.9</v>
      </c>
      <c r="K357" s="105">
        <f t="shared" si="72"/>
        <v>1436</v>
      </c>
      <c r="L357" s="750">
        <f t="shared" si="72"/>
        <v>1436</v>
      </c>
      <c r="M357" s="133"/>
      <c r="N357" s="389"/>
      <c r="O357" s="117"/>
      <c r="P357" s="68"/>
      <c r="Q357" s="341"/>
    </row>
    <row r="358" spans="1:17" ht="12.75" customHeight="1" x14ac:dyDescent="0.25">
      <c r="A358" s="42">
        <v>5</v>
      </c>
      <c r="B358" s="46"/>
      <c r="C358" s="46" t="s">
        <v>1071</v>
      </c>
      <c r="D358" s="49" t="s">
        <v>1072</v>
      </c>
      <c r="E358" s="42">
        <v>7</v>
      </c>
      <c r="F358" s="42" t="s">
        <v>1073</v>
      </c>
      <c r="G358" s="42" t="s">
        <v>613</v>
      </c>
      <c r="H358" s="37">
        <f>65+60+50+50</f>
        <v>225</v>
      </c>
      <c r="I358" s="15">
        <v>16.600000000000001</v>
      </c>
      <c r="J358" s="98">
        <v>0</v>
      </c>
      <c r="K358" s="37">
        <v>0</v>
      </c>
      <c r="L358" s="48">
        <v>0</v>
      </c>
      <c r="M358" s="133"/>
      <c r="N358" s="1144" t="s">
        <v>1719</v>
      </c>
      <c r="O358" s="117" t="s">
        <v>1074</v>
      </c>
      <c r="P358" s="68">
        <v>100</v>
      </c>
      <c r="Q358" s="341"/>
    </row>
    <row r="359" spans="1:17" ht="13.2" x14ac:dyDescent="0.25">
      <c r="A359" s="42">
        <v>5</v>
      </c>
      <c r="B359" s="46"/>
      <c r="C359" s="46"/>
      <c r="D359" s="49"/>
      <c r="E359" s="42"/>
      <c r="F359" s="42" t="s">
        <v>1073</v>
      </c>
      <c r="G359" s="103" t="s">
        <v>492</v>
      </c>
      <c r="H359" s="105">
        <f>SUM(H358)</f>
        <v>225</v>
      </c>
      <c r="I359" s="105">
        <f>SUM(I358)</f>
        <v>16.600000000000001</v>
      </c>
      <c r="J359" s="105">
        <f t="shared" ref="J359:L359" si="73">SUM(J358)</f>
        <v>0</v>
      </c>
      <c r="K359" s="105">
        <f t="shared" si="73"/>
        <v>0</v>
      </c>
      <c r="L359" s="750">
        <f t="shared" si="73"/>
        <v>0</v>
      </c>
      <c r="M359" s="133"/>
      <c r="N359" s="389"/>
      <c r="O359" s="117"/>
      <c r="P359" s="68"/>
      <c r="Q359" s="341"/>
    </row>
    <row r="360" spans="1:17" ht="28.2" customHeight="1" x14ac:dyDescent="0.25">
      <c r="A360" s="42">
        <v>5</v>
      </c>
      <c r="B360" s="46"/>
      <c r="C360" s="46" t="s">
        <v>1075</v>
      </c>
      <c r="D360" s="49" t="s">
        <v>1076</v>
      </c>
      <c r="E360" s="42">
        <v>7</v>
      </c>
      <c r="F360" s="42" t="s">
        <v>1077</v>
      </c>
      <c r="G360" s="42" t="s">
        <v>613</v>
      </c>
      <c r="H360" s="105"/>
      <c r="I360" s="15">
        <f>6.7+1.4+0.7+3</f>
        <v>11.799999999999999</v>
      </c>
      <c r="J360" s="98">
        <f>2.4</f>
        <v>2.4</v>
      </c>
      <c r="K360" s="37"/>
      <c r="L360" s="48"/>
      <c r="M360" s="133"/>
      <c r="N360" s="389" t="s">
        <v>2004</v>
      </c>
      <c r="O360" s="342" t="s">
        <v>1062</v>
      </c>
      <c r="P360" s="68">
        <v>40</v>
      </c>
      <c r="Q360" s="341"/>
    </row>
    <row r="361" spans="1:17" ht="13.2" x14ac:dyDescent="0.25">
      <c r="A361" s="42">
        <v>5</v>
      </c>
      <c r="B361" s="46"/>
      <c r="C361" s="46"/>
      <c r="D361" s="49"/>
      <c r="E361" s="42">
        <v>7</v>
      </c>
      <c r="F361" s="42" t="s">
        <v>1077</v>
      </c>
      <c r="G361" s="103" t="s">
        <v>492</v>
      </c>
      <c r="H361" s="105"/>
      <c r="I361" s="105">
        <f>SUM(I360)</f>
        <v>11.799999999999999</v>
      </c>
      <c r="J361" s="105">
        <f t="shared" ref="J361:L361" si="74">SUM(J360)</f>
        <v>2.4</v>
      </c>
      <c r="K361" s="105">
        <f t="shared" si="74"/>
        <v>0</v>
      </c>
      <c r="L361" s="750">
        <f t="shared" si="74"/>
        <v>0</v>
      </c>
      <c r="M361" s="133"/>
      <c r="N361" s="389"/>
      <c r="O361" s="117"/>
      <c r="P361" s="68"/>
      <c r="Q361" s="341"/>
    </row>
    <row r="362" spans="1:17" ht="32.4" customHeight="1" x14ac:dyDescent="0.25">
      <c r="A362" s="42">
        <v>5</v>
      </c>
      <c r="B362" s="238" t="s">
        <v>1078</v>
      </c>
      <c r="C362" s="238" t="s">
        <v>1078</v>
      </c>
      <c r="D362" s="239" t="s">
        <v>175</v>
      </c>
      <c r="E362" s="240"/>
      <c r="F362" s="42"/>
      <c r="G362" s="54"/>
      <c r="H362" s="37"/>
      <c r="I362" s="188">
        <f>SUM(I364,I367,I369,I372)</f>
        <v>89.40000000000002</v>
      </c>
      <c r="J362" s="113"/>
      <c r="K362" s="113">
        <f t="shared" ref="K362:L362" si="75">SUM(K364,K367,K369,K372)</f>
        <v>162.69999999999999</v>
      </c>
      <c r="L362" s="806">
        <f t="shared" si="75"/>
        <v>162.69999999999999</v>
      </c>
      <c r="M362" s="133"/>
      <c r="N362" s="389"/>
      <c r="O362" s="117"/>
      <c r="P362" s="68"/>
      <c r="Q362" s="341"/>
    </row>
    <row r="363" spans="1:17" ht="29.4" customHeight="1" x14ac:dyDescent="0.25">
      <c r="A363" s="42">
        <v>5</v>
      </c>
      <c r="B363" s="46"/>
      <c r="C363" s="46" t="s">
        <v>1079</v>
      </c>
      <c r="D363" s="49" t="s">
        <v>176</v>
      </c>
      <c r="E363" s="42">
        <v>7</v>
      </c>
      <c r="F363" s="42" t="s">
        <v>177</v>
      </c>
      <c r="G363" s="42" t="s">
        <v>8</v>
      </c>
      <c r="H363" s="37"/>
      <c r="I363" s="15">
        <v>3</v>
      </c>
      <c r="J363" s="98">
        <v>12</v>
      </c>
      <c r="K363" s="37">
        <v>12</v>
      </c>
      <c r="L363" s="48">
        <v>12</v>
      </c>
      <c r="M363" s="185" t="s">
        <v>616</v>
      </c>
      <c r="N363" s="389" t="s">
        <v>1036</v>
      </c>
      <c r="O363" s="245" t="s">
        <v>1062</v>
      </c>
      <c r="P363" s="68">
        <v>2500</v>
      </c>
      <c r="Q363" s="341"/>
    </row>
    <row r="364" spans="1:17" ht="12.75" customHeight="1" x14ac:dyDescent="0.25">
      <c r="A364" s="42">
        <v>5</v>
      </c>
      <c r="B364" s="46"/>
      <c r="C364" s="46"/>
      <c r="D364" s="49"/>
      <c r="E364" s="42"/>
      <c r="F364" s="42" t="s">
        <v>177</v>
      </c>
      <c r="G364" s="103" t="s">
        <v>492</v>
      </c>
      <c r="H364" s="105">
        <f>SUM(H363)</f>
        <v>0</v>
      </c>
      <c r="I364" s="105">
        <f>SUM(I363)</f>
        <v>3</v>
      </c>
      <c r="J364" s="105">
        <f t="shared" ref="J364:L364" si="76">SUM(J363)</f>
        <v>12</v>
      </c>
      <c r="K364" s="105">
        <f t="shared" si="76"/>
        <v>12</v>
      </c>
      <c r="L364" s="750">
        <f t="shared" si="76"/>
        <v>12</v>
      </c>
      <c r="M364" s="133"/>
      <c r="N364" s="389"/>
      <c r="O364" s="66"/>
      <c r="P364" s="68"/>
      <c r="Q364" s="341"/>
    </row>
    <row r="365" spans="1:17" ht="19.5" customHeight="1" x14ac:dyDescent="0.25">
      <c r="A365" s="42">
        <v>5</v>
      </c>
      <c r="B365" s="46"/>
      <c r="C365" s="46" t="s">
        <v>1080</v>
      </c>
      <c r="D365" s="49" t="s">
        <v>178</v>
      </c>
      <c r="E365" s="42">
        <v>7</v>
      </c>
      <c r="F365" s="42" t="s">
        <v>179</v>
      </c>
      <c r="G365" s="42" t="s">
        <v>8</v>
      </c>
      <c r="H365" s="37">
        <v>32</v>
      </c>
      <c r="I365" s="15">
        <v>35.200000000000003</v>
      </c>
      <c r="J365" s="98">
        <f>40+12+10</f>
        <v>62</v>
      </c>
      <c r="K365" s="37">
        <v>32</v>
      </c>
      <c r="L365" s="48">
        <v>32</v>
      </c>
      <c r="M365" s="133" t="s">
        <v>629</v>
      </c>
      <c r="N365" s="389" t="s">
        <v>1715</v>
      </c>
      <c r="O365" s="186" t="s">
        <v>1081</v>
      </c>
      <c r="P365" s="68">
        <v>37</v>
      </c>
      <c r="Q365" s="341"/>
    </row>
    <row r="366" spans="1:17" ht="19.2" customHeight="1" x14ac:dyDescent="0.25">
      <c r="A366" s="42">
        <v>5</v>
      </c>
      <c r="B366" s="46"/>
      <c r="C366" s="46"/>
      <c r="D366" s="49"/>
      <c r="E366" s="42">
        <v>7</v>
      </c>
      <c r="F366" s="42" t="s">
        <v>179</v>
      </c>
      <c r="G366" s="42" t="s">
        <v>10</v>
      </c>
      <c r="H366" s="37">
        <f>40+25.5-25.5</f>
        <v>40</v>
      </c>
      <c r="I366" s="15">
        <v>41.6</v>
      </c>
      <c r="J366" s="98">
        <f>40+79.1-20</f>
        <v>99.1</v>
      </c>
      <c r="K366" s="37">
        <v>40</v>
      </c>
      <c r="L366" s="48">
        <v>40</v>
      </c>
      <c r="M366" s="133"/>
      <c r="N366" s="389" t="s">
        <v>1715</v>
      </c>
      <c r="O366" s="186" t="s">
        <v>1082</v>
      </c>
      <c r="P366" s="68">
        <v>37</v>
      </c>
      <c r="Q366" s="341"/>
    </row>
    <row r="367" spans="1:17" ht="13.2" x14ac:dyDescent="0.25">
      <c r="A367" s="42">
        <v>5</v>
      </c>
      <c r="B367" s="46"/>
      <c r="C367" s="46"/>
      <c r="D367" s="49"/>
      <c r="E367" s="42"/>
      <c r="F367" s="42" t="s">
        <v>179</v>
      </c>
      <c r="G367" s="103" t="s">
        <v>492</v>
      </c>
      <c r="H367" s="105">
        <f>SUM(H365:H366)</f>
        <v>72</v>
      </c>
      <c r="I367" s="105">
        <f>SUM(I365:I366)</f>
        <v>76.800000000000011</v>
      </c>
      <c r="J367" s="105">
        <f t="shared" ref="J367:L367" si="77">SUM(J365:J366)</f>
        <v>161.1</v>
      </c>
      <c r="K367" s="105">
        <f t="shared" si="77"/>
        <v>72</v>
      </c>
      <c r="L367" s="750">
        <f t="shared" si="77"/>
        <v>72</v>
      </c>
      <c r="M367" s="133"/>
      <c r="N367" s="389"/>
      <c r="O367" s="117"/>
      <c r="P367" s="68"/>
      <c r="Q367" s="341"/>
    </row>
    <row r="368" spans="1:17" ht="27" customHeight="1" x14ac:dyDescent="0.25">
      <c r="A368" s="42">
        <v>5</v>
      </c>
      <c r="B368" s="46"/>
      <c r="C368" s="46" t="s">
        <v>1083</v>
      </c>
      <c r="D368" s="49" t="s">
        <v>180</v>
      </c>
      <c r="E368" s="42">
        <v>7</v>
      </c>
      <c r="F368" s="42" t="s">
        <v>181</v>
      </c>
      <c r="G368" s="42" t="s">
        <v>10</v>
      </c>
      <c r="H368" s="37">
        <v>4.9000000000000004</v>
      </c>
      <c r="I368" s="15">
        <v>4.9000000000000004</v>
      </c>
      <c r="J368" s="98">
        <v>3.4</v>
      </c>
      <c r="K368" s="37">
        <v>3.4</v>
      </c>
      <c r="L368" s="48">
        <v>3.4</v>
      </c>
      <c r="M368" s="133"/>
      <c r="N368" s="389" t="s">
        <v>1707</v>
      </c>
      <c r="O368" s="186" t="s">
        <v>1084</v>
      </c>
      <c r="P368" s="68">
        <v>100</v>
      </c>
      <c r="Q368" s="341"/>
    </row>
    <row r="369" spans="1:17" ht="12.75" customHeight="1" x14ac:dyDescent="0.25">
      <c r="A369" s="42">
        <v>5</v>
      </c>
      <c r="B369" s="46"/>
      <c r="C369" s="46"/>
      <c r="D369" s="49"/>
      <c r="E369" s="42"/>
      <c r="F369" s="42" t="s">
        <v>181</v>
      </c>
      <c r="G369" s="103" t="s">
        <v>492</v>
      </c>
      <c r="H369" s="105">
        <f>SUM(H368)</f>
        <v>4.9000000000000004</v>
      </c>
      <c r="I369" s="105">
        <f>SUM(I368)</f>
        <v>4.9000000000000004</v>
      </c>
      <c r="J369" s="105">
        <f t="shared" ref="J369:L369" si="78">SUM(J368)</f>
        <v>3.4</v>
      </c>
      <c r="K369" s="105">
        <f t="shared" si="78"/>
        <v>3.4</v>
      </c>
      <c r="L369" s="750">
        <f t="shared" si="78"/>
        <v>3.4</v>
      </c>
      <c r="M369" s="133"/>
      <c r="N369" s="389"/>
      <c r="O369" s="117"/>
      <c r="P369" s="68"/>
      <c r="Q369" s="341"/>
    </row>
    <row r="370" spans="1:17" ht="12.75" customHeight="1" x14ac:dyDescent="0.25">
      <c r="A370" s="42">
        <v>5</v>
      </c>
      <c r="B370" s="46"/>
      <c r="C370" s="46" t="s">
        <v>1085</v>
      </c>
      <c r="D370" s="49" t="s">
        <v>1086</v>
      </c>
      <c r="E370" s="42">
        <v>7</v>
      </c>
      <c r="F370" s="42" t="s">
        <v>1087</v>
      </c>
      <c r="G370" s="42" t="s">
        <v>10</v>
      </c>
      <c r="H370" s="37"/>
      <c r="I370" s="15">
        <v>4.7</v>
      </c>
      <c r="J370" s="98">
        <f>55.3-34.9</f>
        <v>20.399999999999999</v>
      </c>
      <c r="K370" s="37">
        <v>55.3</v>
      </c>
      <c r="L370" s="48">
        <v>55.3</v>
      </c>
      <c r="M370" s="133"/>
      <c r="N370" s="389" t="s">
        <v>1711</v>
      </c>
      <c r="O370" s="245" t="s">
        <v>1062</v>
      </c>
      <c r="P370" s="68">
        <v>52</v>
      </c>
      <c r="Q370" s="341"/>
    </row>
    <row r="371" spans="1:17" ht="12.75" customHeight="1" x14ac:dyDescent="0.25">
      <c r="A371" s="42">
        <v>5</v>
      </c>
      <c r="B371" s="46"/>
      <c r="C371" s="46"/>
      <c r="D371" s="49"/>
      <c r="E371" s="42">
        <v>7</v>
      </c>
      <c r="F371" s="42" t="s">
        <v>1087</v>
      </c>
      <c r="G371" s="42" t="s">
        <v>8</v>
      </c>
      <c r="H371" s="37"/>
      <c r="I371" s="15"/>
      <c r="J371" s="98">
        <f>20-15</f>
        <v>5</v>
      </c>
      <c r="K371" s="37">
        <f>20</f>
        <v>20</v>
      </c>
      <c r="L371" s="48">
        <f>20</f>
        <v>20</v>
      </c>
      <c r="M371" s="133"/>
      <c r="N371" s="389"/>
      <c r="O371" s="245"/>
      <c r="P371" s="68"/>
      <c r="Q371" s="341"/>
    </row>
    <row r="372" spans="1:17" ht="13.2" x14ac:dyDescent="0.25">
      <c r="A372" s="42">
        <v>5</v>
      </c>
      <c r="B372" s="46"/>
      <c r="C372" s="46"/>
      <c r="D372" s="49"/>
      <c r="E372" s="42">
        <v>7</v>
      </c>
      <c r="F372" s="42" t="s">
        <v>1087</v>
      </c>
      <c r="G372" s="103" t="s">
        <v>492</v>
      </c>
      <c r="H372" s="105"/>
      <c r="I372" s="105">
        <f>SUM(I370:I371)</f>
        <v>4.7</v>
      </c>
      <c r="J372" s="105">
        <f t="shared" ref="J372:L372" si="79">SUM(J370:J371)</f>
        <v>25.4</v>
      </c>
      <c r="K372" s="105">
        <f t="shared" si="79"/>
        <v>75.3</v>
      </c>
      <c r="L372" s="750">
        <f t="shared" si="79"/>
        <v>75.3</v>
      </c>
      <c r="M372" s="133"/>
      <c r="N372" s="389"/>
      <c r="O372" s="117"/>
      <c r="P372" s="68"/>
      <c r="Q372" s="341"/>
    </row>
    <row r="373" spans="1:17" ht="30" customHeight="1" x14ac:dyDescent="0.25">
      <c r="A373" s="42">
        <v>5</v>
      </c>
      <c r="B373" s="237"/>
      <c r="C373" s="237"/>
      <c r="D373" s="94" t="s">
        <v>1088</v>
      </c>
      <c r="E373" s="95"/>
      <c r="F373" s="96"/>
      <c r="G373" s="95"/>
      <c r="H373" s="95"/>
      <c r="I373" s="95"/>
      <c r="J373" s="95"/>
      <c r="K373" s="95"/>
      <c r="L373" s="422"/>
      <c r="M373" s="133"/>
      <c r="N373" s="389"/>
      <c r="O373" s="117"/>
      <c r="P373" s="68"/>
      <c r="Q373" s="341"/>
    </row>
    <row r="374" spans="1:17" ht="33" customHeight="1" x14ac:dyDescent="0.25">
      <c r="A374" s="42">
        <v>5</v>
      </c>
      <c r="B374" s="238" t="s">
        <v>1089</v>
      </c>
      <c r="C374" s="238" t="s">
        <v>1089</v>
      </c>
      <c r="D374" s="239" t="s">
        <v>182</v>
      </c>
      <c r="E374" s="240"/>
      <c r="F374" s="42"/>
      <c r="G374" s="54"/>
      <c r="H374" s="37"/>
      <c r="I374" s="188" t="e">
        <f>SUM(#REF!,#REF!,#REF!,#REF!,#REF!,#REF!,I376,I378,#REF!,#REF!,#REF!)</f>
        <v>#REF!</v>
      </c>
      <c r="J374" s="113"/>
      <c r="K374" s="113"/>
      <c r="L374" s="806"/>
      <c r="M374" s="133"/>
      <c r="N374" s="389"/>
      <c r="O374" s="117"/>
      <c r="P374" s="68"/>
      <c r="Q374" s="341"/>
    </row>
    <row r="375" spans="1:17" ht="20.399999999999999" x14ac:dyDescent="0.25">
      <c r="A375" s="42">
        <v>5</v>
      </c>
      <c r="B375" s="46"/>
      <c r="C375" s="46" t="s">
        <v>1090</v>
      </c>
      <c r="D375" s="243" t="s">
        <v>1091</v>
      </c>
      <c r="E375" s="42">
        <v>18</v>
      </c>
      <c r="F375" s="42" t="s">
        <v>183</v>
      </c>
      <c r="G375" s="42" t="s">
        <v>8</v>
      </c>
      <c r="H375" s="37">
        <f>130-30-4</f>
        <v>96</v>
      </c>
      <c r="I375" s="15">
        <v>103</v>
      </c>
      <c r="J375" s="98">
        <f>100+40+16-5</f>
        <v>151</v>
      </c>
      <c r="K375" s="37">
        <v>100</v>
      </c>
      <c r="L375" s="48">
        <v>100</v>
      </c>
      <c r="M375" s="133" t="s">
        <v>616</v>
      </c>
      <c r="N375" s="389" t="s">
        <v>2005</v>
      </c>
      <c r="O375" s="117" t="s">
        <v>1092</v>
      </c>
      <c r="P375" s="68">
        <v>100</v>
      </c>
      <c r="Q375" s="341"/>
    </row>
    <row r="376" spans="1:17" ht="13.2" x14ac:dyDescent="0.25">
      <c r="A376" s="42">
        <v>5</v>
      </c>
      <c r="B376" s="46"/>
      <c r="C376" s="46"/>
      <c r="D376" s="243"/>
      <c r="E376" s="42"/>
      <c r="F376" s="42" t="s">
        <v>183</v>
      </c>
      <c r="G376" s="103" t="s">
        <v>492</v>
      </c>
      <c r="H376" s="105">
        <f>SUM(H375)</f>
        <v>96</v>
      </c>
      <c r="I376" s="105">
        <f>SUM(I375)</f>
        <v>103</v>
      </c>
      <c r="J376" s="105">
        <f t="shared" ref="J376:L376" si="80">SUM(J375)</f>
        <v>151</v>
      </c>
      <c r="K376" s="105">
        <f t="shared" si="80"/>
        <v>100</v>
      </c>
      <c r="L376" s="750">
        <f t="shared" si="80"/>
        <v>100</v>
      </c>
      <c r="M376" s="133"/>
      <c r="N376" s="389"/>
      <c r="O376" s="117"/>
      <c r="P376" s="68"/>
      <c r="Q376" s="341"/>
    </row>
    <row r="377" spans="1:17" ht="30.6" x14ac:dyDescent="0.25">
      <c r="A377" s="42">
        <v>5</v>
      </c>
      <c r="B377" s="46"/>
      <c r="C377" s="46" t="s">
        <v>1093</v>
      </c>
      <c r="D377" s="49" t="s">
        <v>1094</v>
      </c>
      <c r="E377" s="42">
        <v>7</v>
      </c>
      <c r="F377" s="42" t="s">
        <v>184</v>
      </c>
      <c r="G377" s="42" t="s">
        <v>8</v>
      </c>
      <c r="H377" s="37">
        <v>4</v>
      </c>
      <c r="I377" s="15">
        <v>8</v>
      </c>
      <c r="J377" s="98">
        <f>8-0.4</f>
        <v>7.6</v>
      </c>
      <c r="K377" s="37">
        <v>200</v>
      </c>
      <c r="L377" s="48">
        <v>200</v>
      </c>
      <c r="M377" s="133"/>
      <c r="N377" s="402" t="s">
        <v>2006</v>
      </c>
      <c r="O377" s="117" t="s">
        <v>1095</v>
      </c>
      <c r="P377" s="68">
        <v>100</v>
      </c>
      <c r="Q377" s="341"/>
    </row>
    <row r="378" spans="1:17" ht="13.2" x14ac:dyDescent="0.25">
      <c r="A378" s="42">
        <v>5</v>
      </c>
      <c r="B378" s="46"/>
      <c r="C378" s="46"/>
      <c r="D378" s="49"/>
      <c r="E378" s="42"/>
      <c r="F378" s="42" t="s">
        <v>184</v>
      </c>
      <c r="G378" s="103" t="s">
        <v>492</v>
      </c>
      <c r="H378" s="105">
        <f>SUM(H377:H377)</f>
        <v>4</v>
      </c>
      <c r="I378" s="105">
        <f>SUM(I377:I377)</f>
        <v>8</v>
      </c>
      <c r="J378" s="105">
        <f>SUM(J377:J377)</f>
        <v>7.6</v>
      </c>
      <c r="K378" s="105">
        <f>SUM(K377:K377)</f>
        <v>200</v>
      </c>
      <c r="L378" s="750">
        <f>SUM(L377:L377)</f>
        <v>200</v>
      </c>
      <c r="M378" s="133" t="s">
        <v>629</v>
      </c>
      <c r="N378" s="389"/>
      <c r="O378" s="117"/>
      <c r="P378" s="68"/>
      <c r="Q378" s="341"/>
    </row>
    <row r="379" spans="1:17" ht="20.399999999999999" x14ac:dyDescent="0.25">
      <c r="A379" s="42">
        <v>5</v>
      </c>
      <c r="B379" s="238" t="s">
        <v>1096</v>
      </c>
      <c r="C379" s="238" t="s">
        <v>1096</v>
      </c>
      <c r="D379" s="239" t="s">
        <v>185</v>
      </c>
      <c r="E379" s="42"/>
      <c r="F379" s="42"/>
      <c r="G379" s="20"/>
      <c r="H379" s="113"/>
      <c r="I379" s="188" t="e">
        <f>SUM(I383,I386,I388,I390,I394,I397,#REF!,I402,I404)</f>
        <v>#REF!</v>
      </c>
      <c r="J379" s="113"/>
      <c r="K379" s="113"/>
      <c r="L379" s="806"/>
      <c r="M379" s="133"/>
      <c r="N379" s="389"/>
      <c r="O379" s="117"/>
      <c r="P379" s="68"/>
      <c r="Q379" s="341"/>
    </row>
    <row r="380" spans="1:17" ht="51" x14ac:dyDescent="0.25">
      <c r="A380" s="42">
        <v>5</v>
      </c>
      <c r="B380" s="46"/>
      <c r="C380" s="46" t="s">
        <v>1097</v>
      </c>
      <c r="D380" s="178" t="s">
        <v>1098</v>
      </c>
      <c r="E380" s="42">
        <v>7</v>
      </c>
      <c r="F380" s="42" t="s">
        <v>186</v>
      </c>
      <c r="G380" s="42" t="s">
        <v>10</v>
      </c>
      <c r="H380" s="244">
        <f>797.6+133.4+332.1</f>
        <v>1263.0999999999999</v>
      </c>
      <c r="I380" s="15">
        <v>2059.4</v>
      </c>
      <c r="J380" s="98">
        <v>2124</v>
      </c>
      <c r="K380" s="244">
        <v>2124</v>
      </c>
      <c r="L380" s="835">
        <v>2124</v>
      </c>
      <c r="M380" s="133"/>
      <c r="N380" s="389" t="s">
        <v>2007</v>
      </c>
      <c r="O380" s="117" t="s">
        <v>1099</v>
      </c>
      <c r="P380" s="68">
        <v>100</v>
      </c>
      <c r="Q380" s="341"/>
    </row>
    <row r="381" spans="1:17" ht="30.6" x14ac:dyDescent="0.25">
      <c r="A381" s="42">
        <v>5</v>
      </c>
      <c r="B381" s="46"/>
      <c r="C381" s="46"/>
      <c r="D381" s="49"/>
      <c r="E381" s="42">
        <v>7</v>
      </c>
      <c r="F381" s="42" t="s">
        <v>186</v>
      </c>
      <c r="G381" s="42" t="s">
        <v>8</v>
      </c>
      <c r="H381" s="244">
        <v>1130</v>
      </c>
      <c r="I381" s="15">
        <v>1570.2</v>
      </c>
      <c r="J381" s="98">
        <f>2207.1-150-20</f>
        <v>2037.1</v>
      </c>
      <c r="K381" s="37">
        <v>2467.9</v>
      </c>
      <c r="L381" s="835">
        <v>2963.3</v>
      </c>
      <c r="M381" s="133" t="s">
        <v>616</v>
      </c>
      <c r="N381" s="389"/>
      <c r="O381" s="342" t="s">
        <v>1100</v>
      </c>
      <c r="P381" s="68">
        <v>1174</v>
      </c>
      <c r="Q381" s="341"/>
    </row>
    <row r="382" spans="1:17" ht="13.2" x14ac:dyDescent="0.25">
      <c r="A382" s="42">
        <v>5</v>
      </c>
      <c r="B382" s="46"/>
      <c r="C382" s="46"/>
      <c r="D382" s="49"/>
      <c r="E382" s="42">
        <v>7</v>
      </c>
      <c r="F382" s="42" t="s">
        <v>186</v>
      </c>
      <c r="G382" s="62" t="s">
        <v>613</v>
      </c>
      <c r="H382" s="244"/>
      <c r="I382" s="15"/>
      <c r="J382" s="98">
        <f>2.2+2.2+2.4+2.4</f>
        <v>9.2000000000000011</v>
      </c>
      <c r="K382" s="37"/>
      <c r="L382" s="835"/>
      <c r="M382" s="133"/>
      <c r="N382" s="389"/>
      <c r="O382" s="342"/>
      <c r="P382" s="68"/>
      <c r="Q382" s="341"/>
    </row>
    <row r="383" spans="1:17" ht="20.399999999999999" x14ac:dyDescent="0.25">
      <c r="A383" s="42">
        <v>5</v>
      </c>
      <c r="B383" s="46"/>
      <c r="C383" s="46"/>
      <c r="D383" s="49"/>
      <c r="E383" s="42">
        <v>7</v>
      </c>
      <c r="F383" s="42" t="s">
        <v>186</v>
      </c>
      <c r="G383" s="103" t="s">
        <v>492</v>
      </c>
      <c r="H383" s="105">
        <f>SUM(H380:H381)</f>
        <v>2393.1</v>
      </c>
      <c r="I383" s="105">
        <f>SUM(I380:I381)</f>
        <v>3629.6000000000004</v>
      </c>
      <c r="J383" s="105">
        <f>SUM(J380:J382)</f>
        <v>4170.3</v>
      </c>
      <c r="K383" s="105">
        <f t="shared" ref="K383:L383" si="81">SUM(K380:K381)</f>
        <v>4591.8999999999996</v>
      </c>
      <c r="L383" s="750">
        <f t="shared" si="81"/>
        <v>5087.3</v>
      </c>
      <c r="M383" s="133"/>
      <c r="N383" s="402"/>
      <c r="O383" s="342" t="s">
        <v>1101</v>
      </c>
      <c r="P383" s="65">
        <v>100</v>
      </c>
      <c r="Q383" s="341"/>
    </row>
    <row r="384" spans="1:17" ht="20.399999999999999" x14ac:dyDescent="0.25">
      <c r="A384" s="42">
        <v>5</v>
      </c>
      <c r="B384" s="46"/>
      <c r="C384" s="46" t="s">
        <v>1102</v>
      </c>
      <c r="D384" s="49" t="s">
        <v>1103</v>
      </c>
      <c r="E384" s="42">
        <v>7</v>
      </c>
      <c r="F384" s="42" t="s">
        <v>187</v>
      </c>
      <c r="G384" s="42" t="s">
        <v>8</v>
      </c>
      <c r="H384" s="37">
        <f>60-30-5</f>
        <v>25</v>
      </c>
      <c r="I384" s="15">
        <v>32.799999999999997</v>
      </c>
      <c r="J384" s="98">
        <f>70.3-19.2-12</f>
        <v>39.099999999999994</v>
      </c>
      <c r="K384" s="37">
        <v>70.3</v>
      </c>
      <c r="L384" s="48">
        <v>70.3</v>
      </c>
      <c r="M384" s="185" t="s">
        <v>616</v>
      </c>
      <c r="N384" s="389" t="s">
        <v>1711</v>
      </c>
      <c r="O384" s="245" t="s">
        <v>1104</v>
      </c>
      <c r="P384" s="65">
        <v>4</v>
      </c>
      <c r="Q384" s="341"/>
    </row>
    <row r="385" spans="1:17" ht="20.399999999999999" x14ac:dyDescent="0.25">
      <c r="A385" s="42">
        <v>5</v>
      </c>
      <c r="B385" s="46"/>
      <c r="C385" s="46"/>
      <c r="D385" s="49"/>
      <c r="E385" s="42">
        <v>7</v>
      </c>
      <c r="F385" s="42" t="s">
        <v>187</v>
      </c>
      <c r="G385" s="42" t="s">
        <v>10</v>
      </c>
      <c r="H385" s="37">
        <f>56.8-13.8</f>
        <v>43</v>
      </c>
      <c r="I385" s="15">
        <v>41.4</v>
      </c>
      <c r="J385" s="98">
        <f>47.1-3.4-1.6</f>
        <v>42.1</v>
      </c>
      <c r="K385" s="37">
        <v>47.1</v>
      </c>
      <c r="L385" s="48">
        <v>47.1</v>
      </c>
      <c r="M385" s="133"/>
      <c r="N385" s="389" t="s">
        <v>1711</v>
      </c>
      <c r="O385" s="245" t="s">
        <v>1105</v>
      </c>
      <c r="P385" s="65">
        <v>96</v>
      </c>
      <c r="Q385" s="341"/>
    </row>
    <row r="386" spans="1:17" ht="13.2" x14ac:dyDescent="0.25">
      <c r="A386" s="42">
        <v>5</v>
      </c>
      <c r="B386" s="46"/>
      <c r="C386" s="46"/>
      <c r="D386" s="49"/>
      <c r="E386" s="42">
        <v>7</v>
      </c>
      <c r="F386" s="42" t="s">
        <v>187</v>
      </c>
      <c r="G386" s="103" t="s">
        <v>492</v>
      </c>
      <c r="H386" s="105">
        <f>SUM(H384:H385)</f>
        <v>68</v>
      </c>
      <c r="I386" s="105">
        <f>SUM(I384:I385)</f>
        <v>74.199999999999989</v>
      </c>
      <c r="J386" s="105">
        <f t="shared" ref="J386:L386" si="82">SUM(J384:J385)</f>
        <v>81.199999999999989</v>
      </c>
      <c r="K386" s="105">
        <f t="shared" si="82"/>
        <v>117.4</v>
      </c>
      <c r="L386" s="750">
        <f t="shared" si="82"/>
        <v>117.4</v>
      </c>
      <c r="M386" s="133"/>
      <c r="N386" s="389" t="s">
        <v>1711</v>
      </c>
      <c r="O386" s="245" t="s">
        <v>1069</v>
      </c>
      <c r="P386" s="65">
        <v>4</v>
      </c>
      <c r="Q386" s="341"/>
    </row>
    <row r="387" spans="1:17" ht="30.6" x14ac:dyDescent="0.25">
      <c r="A387" s="42">
        <v>5</v>
      </c>
      <c r="B387" s="46"/>
      <c r="C387" s="46" t="s">
        <v>1106</v>
      </c>
      <c r="D387" s="49" t="s">
        <v>188</v>
      </c>
      <c r="E387" s="42">
        <v>7</v>
      </c>
      <c r="F387" s="42" t="s">
        <v>189</v>
      </c>
      <c r="G387" s="42" t="s">
        <v>8</v>
      </c>
      <c r="H387" s="37">
        <v>40</v>
      </c>
      <c r="I387" s="15">
        <v>40</v>
      </c>
      <c r="J387" s="98">
        <v>45</v>
      </c>
      <c r="K387" s="37">
        <v>45</v>
      </c>
      <c r="L387" s="48">
        <v>45</v>
      </c>
      <c r="M387" s="133" t="s">
        <v>616</v>
      </c>
      <c r="N387" s="389" t="s">
        <v>1711</v>
      </c>
      <c r="O387" s="117" t="s">
        <v>1062</v>
      </c>
      <c r="P387" s="65">
        <v>521</v>
      </c>
      <c r="Q387" s="341"/>
    </row>
    <row r="388" spans="1:17" ht="13.2" x14ac:dyDescent="0.25">
      <c r="A388" s="42">
        <v>5</v>
      </c>
      <c r="B388" s="46"/>
      <c r="C388" s="46"/>
      <c r="D388" s="49"/>
      <c r="E388" s="42">
        <v>7</v>
      </c>
      <c r="F388" s="42" t="s">
        <v>189</v>
      </c>
      <c r="G388" s="103" t="s">
        <v>492</v>
      </c>
      <c r="H388" s="105">
        <f>SUM(H387)</f>
        <v>40</v>
      </c>
      <c r="I388" s="105">
        <f>SUM(I387)</f>
        <v>40</v>
      </c>
      <c r="J388" s="105">
        <f t="shared" ref="J388:L388" si="83">SUM(J387)</f>
        <v>45</v>
      </c>
      <c r="K388" s="105">
        <f t="shared" si="83"/>
        <v>45</v>
      </c>
      <c r="L388" s="750">
        <f t="shared" si="83"/>
        <v>45</v>
      </c>
      <c r="M388" s="133"/>
      <c r="N388" s="389"/>
      <c r="O388" s="117"/>
      <c r="P388" s="65"/>
      <c r="Q388" s="341"/>
    </row>
    <row r="389" spans="1:17" ht="20.399999999999999" x14ac:dyDescent="0.25">
      <c r="A389" s="42">
        <v>5</v>
      </c>
      <c r="B389" s="46"/>
      <c r="C389" s="46" t="s">
        <v>1107</v>
      </c>
      <c r="D389" s="49" t="s">
        <v>190</v>
      </c>
      <c r="E389" s="42">
        <v>7</v>
      </c>
      <c r="F389" s="42" t="s">
        <v>191</v>
      </c>
      <c r="G389" s="42" t="s">
        <v>8</v>
      </c>
      <c r="H389" s="37">
        <v>2</v>
      </c>
      <c r="I389" s="15">
        <v>2</v>
      </c>
      <c r="J389" s="98">
        <v>2</v>
      </c>
      <c r="K389" s="37">
        <v>2</v>
      </c>
      <c r="L389" s="48">
        <v>2</v>
      </c>
      <c r="M389" s="133" t="s">
        <v>616</v>
      </c>
      <c r="N389" s="389" t="s">
        <v>1711</v>
      </c>
      <c r="O389" s="245" t="s">
        <v>1074</v>
      </c>
      <c r="P389" s="246">
        <v>100</v>
      </c>
      <c r="Q389" s="341"/>
    </row>
    <row r="390" spans="1:17" ht="13.2" x14ac:dyDescent="0.25">
      <c r="A390" s="42">
        <v>5</v>
      </c>
      <c r="B390" s="46"/>
      <c r="C390" s="46"/>
      <c r="D390" s="49"/>
      <c r="E390" s="42">
        <v>7</v>
      </c>
      <c r="F390" s="42" t="s">
        <v>191</v>
      </c>
      <c r="G390" s="103" t="s">
        <v>492</v>
      </c>
      <c r="H390" s="105">
        <f>SUM(H389)</f>
        <v>2</v>
      </c>
      <c r="I390" s="105">
        <f>SUM(I389)</f>
        <v>2</v>
      </c>
      <c r="J390" s="105">
        <f t="shared" ref="J390:L390" si="84">SUM(J389)</f>
        <v>2</v>
      </c>
      <c r="K390" s="105">
        <f t="shared" si="84"/>
        <v>2</v>
      </c>
      <c r="L390" s="750">
        <f t="shared" si="84"/>
        <v>2</v>
      </c>
      <c r="M390" s="133"/>
      <c r="N390" s="389"/>
      <c r="O390" s="117"/>
      <c r="P390" s="65"/>
      <c r="Q390" s="341"/>
    </row>
    <row r="391" spans="1:17" ht="20.399999999999999" x14ac:dyDescent="0.25">
      <c r="A391" s="42">
        <v>5</v>
      </c>
      <c r="B391" s="46"/>
      <c r="C391" s="46" t="s">
        <v>1108</v>
      </c>
      <c r="D391" s="49" t="s">
        <v>192</v>
      </c>
      <c r="E391" s="42">
        <v>7</v>
      </c>
      <c r="F391" s="42" t="s">
        <v>193</v>
      </c>
      <c r="G391" s="42" t="s">
        <v>8</v>
      </c>
      <c r="H391" s="37">
        <f>70.6-53.5+30</f>
        <v>47.099999999999994</v>
      </c>
      <c r="I391" s="15">
        <v>72</v>
      </c>
      <c r="J391" s="98">
        <f>111.3-20.5+20.4</f>
        <v>111.19999999999999</v>
      </c>
      <c r="K391" s="37">
        <f t="shared" ref="K391:L391" si="85">111.3-20.5</f>
        <v>90.8</v>
      </c>
      <c r="L391" s="48">
        <f t="shared" si="85"/>
        <v>90.8</v>
      </c>
      <c r="M391" s="133" t="s">
        <v>616</v>
      </c>
      <c r="N391" s="389" t="s">
        <v>1036</v>
      </c>
      <c r="O391" s="342" t="s">
        <v>1856</v>
      </c>
      <c r="P391" s="42" t="s">
        <v>1857</v>
      </c>
      <c r="Q391" s="341"/>
    </row>
    <row r="392" spans="1:17" ht="13.2" x14ac:dyDescent="0.25">
      <c r="A392" s="42">
        <v>5</v>
      </c>
      <c r="B392" s="46"/>
      <c r="C392" s="46"/>
      <c r="D392" s="49"/>
      <c r="E392" s="42">
        <v>7</v>
      </c>
      <c r="F392" s="42" t="s">
        <v>193</v>
      </c>
      <c r="G392" s="42" t="s">
        <v>10</v>
      </c>
      <c r="H392" s="37">
        <f>74-16.7</f>
        <v>57.3</v>
      </c>
      <c r="I392" s="15">
        <v>76.400000000000006</v>
      </c>
      <c r="J392" s="98">
        <v>116.6</v>
      </c>
      <c r="K392" s="37">
        <v>116.6</v>
      </c>
      <c r="L392" s="48">
        <v>116.6</v>
      </c>
      <c r="M392" s="133"/>
      <c r="N392" s="389"/>
      <c r="O392" s="117"/>
      <c r="P392" s="65"/>
      <c r="Q392" s="341"/>
    </row>
    <row r="393" spans="1:17" ht="12.75" customHeight="1" x14ac:dyDescent="0.25">
      <c r="A393" s="42">
        <v>5</v>
      </c>
      <c r="B393" s="46"/>
      <c r="C393" s="46"/>
      <c r="D393" s="49"/>
      <c r="E393" s="42">
        <v>7</v>
      </c>
      <c r="F393" s="42" t="s">
        <v>193</v>
      </c>
      <c r="G393" s="42" t="s">
        <v>613</v>
      </c>
      <c r="H393" s="37"/>
      <c r="I393" s="15">
        <v>0.1</v>
      </c>
      <c r="J393" s="98"/>
      <c r="K393" s="37"/>
      <c r="L393" s="48"/>
      <c r="M393" s="133"/>
      <c r="N393" s="389"/>
      <c r="O393" s="117"/>
      <c r="P393" s="65"/>
      <c r="Q393" s="341"/>
    </row>
    <row r="394" spans="1:17" ht="13.2" x14ac:dyDescent="0.25">
      <c r="A394" s="42">
        <v>5</v>
      </c>
      <c r="B394" s="46"/>
      <c r="C394" s="46"/>
      <c r="D394" s="49"/>
      <c r="E394" s="42"/>
      <c r="F394" s="42" t="s">
        <v>193</v>
      </c>
      <c r="G394" s="103" t="s">
        <v>492</v>
      </c>
      <c r="H394" s="105">
        <f>SUM(H391:H393)</f>
        <v>104.39999999999999</v>
      </c>
      <c r="I394" s="105">
        <f>SUM(I391:I393)</f>
        <v>148.5</v>
      </c>
      <c r="J394" s="105">
        <f>SUM(J391:J393)</f>
        <v>227.79999999999998</v>
      </c>
      <c r="K394" s="105">
        <f>SUM(K391:K393)</f>
        <v>207.39999999999998</v>
      </c>
      <c r="L394" s="750">
        <f>SUM(L391:L393)</f>
        <v>207.39999999999998</v>
      </c>
      <c r="M394" s="133"/>
      <c r="N394" s="389"/>
      <c r="O394" s="117"/>
      <c r="P394" s="65"/>
      <c r="Q394" s="341"/>
    </row>
    <row r="395" spans="1:17" ht="24.6" customHeight="1" x14ac:dyDescent="0.25">
      <c r="A395" s="42">
        <v>5</v>
      </c>
      <c r="B395" s="46"/>
      <c r="C395" s="46" t="s">
        <v>1109</v>
      </c>
      <c r="D395" s="49" t="s">
        <v>194</v>
      </c>
      <c r="E395" s="42">
        <v>7</v>
      </c>
      <c r="F395" s="42" t="s">
        <v>195</v>
      </c>
      <c r="G395" s="54" t="s">
        <v>10</v>
      </c>
      <c r="H395" s="37">
        <f>142.5+100.2</f>
        <v>242.7</v>
      </c>
      <c r="I395" s="15">
        <v>218.4</v>
      </c>
      <c r="J395" s="98">
        <f>315.3+17.7-51.3</f>
        <v>281.7</v>
      </c>
      <c r="K395" s="37">
        <v>315.3</v>
      </c>
      <c r="L395" s="48">
        <v>315.3</v>
      </c>
      <c r="M395" s="133"/>
      <c r="N395" s="389" t="s">
        <v>1707</v>
      </c>
      <c r="O395" s="342" t="s">
        <v>1856</v>
      </c>
      <c r="P395" s="42" t="s">
        <v>1858</v>
      </c>
      <c r="Q395" s="341"/>
    </row>
    <row r="396" spans="1:17" ht="12.75" customHeight="1" x14ac:dyDescent="0.25">
      <c r="A396" s="42">
        <v>5</v>
      </c>
      <c r="B396" s="46"/>
      <c r="C396" s="46"/>
      <c r="D396" s="49"/>
      <c r="E396" s="42">
        <v>7</v>
      </c>
      <c r="F396" s="42" t="s">
        <v>195</v>
      </c>
      <c r="G396" s="42" t="s">
        <v>613</v>
      </c>
      <c r="H396" s="37">
        <v>8.8000000000000007</v>
      </c>
      <c r="I396" s="15">
        <v>14.1</v>
      </c>
      <c r="J396" s="98">
        <f>2.7+3.2+3.3+3.3</f>
        <v>12.5</v>
      </c>
      <c r="K396" s="37"/>
      <c r="L396" s="48"/>
      <c r="M396" s="133"/>
      <c r="N396" s="389"/>
      <c r="O396" s="117"/>
      <c r="P396" s="65"/>
      <c r="Q396" s="341"/>
    </row>
    <row r="397" spans="1:17" ht="12.75" customHeight="1" x14ac:dyDescent="0.25">
      <c r="A397" s="42">
        <v>5</v>
      </c>
      <c r="B397" s="46"/>
      <c r="C397" s="46"/>
      <c r="D397" s="49"/>
      <c r="E397" s="42">
        <v>7</v>
      </c>
      <c r="F397" s="42" t="s">
        <v>195</v>
      </c>
      <c r="G397" s="103" t="s">
        <v>492</v>
      </c>
      <c r="H397" s="105">
        <f>SUM(H395:H396)</f>
        <v>251.5</v>
      </c>
      <c r="I397" s="105">
        <f>SUM(I395:I396)</f>
        <v>232.5</v>
      </c>
      <c r="J397" s="105">
        <f>SUM(J395:J396)</f>
        <v>294.2</v>
      </c>
      <c r="K397" s="105">
        <f>SUM(K395:K396)</f>
        <v>315.3</v>
      </c>
      <c r="L397" s="750">
        <f>SUM(L395:L396)</f>
        <v>315.3</v>
      </c>
      <c r="M397" s="133"/>
      <c r="N397" s="389"/>
      <c r="O397" s="117"/>
      <c r="P397" s="65"/>
      <c r="Q397" s="341"/>
    </row>
    <row r="398" spans="1:17" ht="21.6" customHeight="1" x14ac:dyDescent="0.25">
      <c r="A398" s="42">
        <v>5</v>
      </c>
      <c r="B398" s="46"/>
      <c r="C398" s="46" t="s">
        <v>2087</v>
      </c>
      <c r="D398" s="49" t="s">
        <v>2088</v>
      </c>
      <c r="E398" s="42">
        <v>7</v>
      </c>
      <c r="F398" s="42" t="s">
        <v>2089</v>
      </c>
      <c r="G398" s="42" t="s">
        <v>37</v>
      </c>
      <c r="H398" s="37"/>
      <c r="I398" s="15"/>
      <c r="J398" s="98">
        <v>4.5</v>
      </c>
      <c r="K398" s="105"/>
      <c r="L398" s="750"/>
      <c r="M398" s="133"/>
      <c r="N398" s="241" t="s">
        <v>2090</v>
      </c>
      <c r="O398" s="1216" t="s">
        <v>1074</v>
      </c>
      <c r="P398" s="1217">
        <v>100</v>
      </c>
      <c r="Q398" s="341"/>
    </row>
    <row r="399" spans="1:17" ht="12.75" customHeight="1" x14ac:dyDescent="0.25">
      <c r="A399" s="42">
        <v>5</v>
      </c>
      <c r="B399" s="46"/>
      <c r="C399" s="46"/>
      <c r="D399" s="49"/>
      <c r="E399" s="42">
        <v>7</v>
      </c>
      <c r="F399" s="42" t="s">
        <v>2089</v>
      </c>
      <c r="G399" s="103" t="s">
        <v>492</v>
      </c>
      <c r="H399" s="105"/>
      <c r="I399" s="105"/>
      <c r="J399" s="105">
        <f>SUM(J398)</f>
        <v>4.5</v>
      </c>
      <c r="K399" s="105"/>
      <c r="L399" s="750"/>
      <c r="M399" s="133"/>
      <c r="N399" s="389"/>
      <c r="O399" s="117"/>
      <c r="P399" s="65"/>
      <c r="Q399" s="341"/>
    </row>
    <row r="400" spans="1:17" ht="12.75" customHeight="1" x14ac:dyDescent="0.25">
      <c r="A400" s="42">
        <v>5</v>
      </c>
      <c r="B400" s="46"/>
      <c r="C400" s="46" t="s">
        <v>1110</v>
      </c>
      <c r="D400" s="49" t="s">
        <v>1111</v>
      </c>
      <c r="E400" s="42">
        <v>7</v>
      </c>
      <c r="F400" s="42" t="s">
        <v>1112</v>
      </c>
      <c r="G400" s="42" t="s">
        <v>8</v>
      </c>
      <c r="H400" s="37"/>
      <c r="I400" s="15">
        <v>29.2</v>
      </c>
      <c r="J400" s="98">
        <v>50</v>
      </c>
      <c r="K400" s="37">
        <v>50</v>
      </c>
      <c r="L400" s="48">
        <v>50</v>
      </c>
      <c r="M400" s="133" t="s">
        <v>619</v>
      </c>
      <c r="N400" s="389" t="s">
        <v>1711</v>
      </c>
      <c r="O400" s="186" t="s">
        <v>1062</v>
      </c>
      <c r="P400" s="68">
        <v>10</v>
      </c>
      <c r="Q400" s="341"/>
    </row>
    <row r="401" spans="1:17" ht="12.75" customHeight="1" x14ac:dyDescent="0.25">
      <c r="A401" s="42">
        <v>5</v>
      </c>
      <c r="B401" s="46"/>
      <c r="C401" s="46"/>
      <c r="D401" s="49"/>
      <c r="E401" s="42">
        <v>7</v>
      </c>
      <c r="F401" s="42" t="s">
        <v>1112</v>
      </c>
      <c r="G401" s="42" t="s">
        <v>37</v>
      </c>
      <c r="H401" s="37"/>
      <c r="I401" s="15">
        <v>25</v>
      </c>
      <c r="J401" s="98">
        <v>50</v>
      </c>
      <c r="K401" s="37">
        <v>50</v>
      </c>
      <c r="L401" s="48">
        <v>50</v>
      </c>
      <c r="M401" s="133"/>
      <c r="N401" s="389"/>
      <c r="O401" s="117"/>
      <c r="P401" s="65"/>
      <c r="Q401" s="341"/>
    </row>
    <row r="402" spans="1:17" ht="12.75" customHeight="1" x14ac:dyDescent="0.25">
      <c r="A402" s="42">
        <v>5</v>
      </c>
      <c r="B402" s="46"/>
      <c r="C402" s="46"/>
      <c r="D402" s="49"/>
      <c r="E402" s="42">
        <v>7</v>
      </c>
      <c r="F402" s="42" t="s">
        <v>1112</v>
      </c>
      <c r="G402" s="103" t="s">
        <v>492</v>
      </c>
      <c r="H402" s="105">
        <f>SUM(H400:H401)</f>
        <v>0</v>
      </c>
      <c r="I402" s="105">
        <f>SUM(I400:I401)</f>
        <v>54.2</v>
      </c>
      <c r="J402" s="105">
        <f t="shared" ref="J402:L402" si="86">SUM(J400:J401)</f>
        <v>100</v>
      </c>
      <c r="K402" s="105">
        <f t="shared" si="86"/>
        <v>100</v>
      </c>
      <c r="L402" s="750">
        <f t="shared" si="86"/>
        <v>100</v>
      </c>
      <c r="M402" s="133"/>
      <c r="N402" s="389"/>
      <c r="O402" s="117"/>
      <c r="P402" s="65"/>
      <c r="Q402" s="341"/>
    </row>
    <row r="403" spans="1:17" ht="12.75" customHeight="1" x14ac:dyDescent="0.25">
      <c r="A403" s="42">
        <v>5</v>
      </c>
      <c r="B403" s="46"/>
      <c r="C403" s="46" t="s">
        <v>1113</v>
      </c>
      <c r="D403" s="49" t="s">
        <v>1114</v>
      </c>
      <c r="E403" s="42">
        <v>7</v>
      </c>
      <c r="F403" s="42" t="s">
        <v>1115</v>
      </c>
      <c r="G403" s="73" t="s">
        <v>8</v>
      </c>
      <c r="H403" s="105"/>
      <c r="I403" s="15">
        <v>2.5</v>
      </c>
      <c r="J403" s="98">
        <f>90.5-20.4-32.2</f>
        <v>37.899999999999991</v>
      </c>
      <c r="K403" s="37">
        <v>179</v>
      </c>
      <c r="L403" s="48">
        <v>179</v>
      </c>
      <c r="M403" s="133" t="s">
        <v>689</v>
      </c>
      <c r="N403" s="389" t="s">
        <v>1036</v>
      </c>
      <c r="O403" s="117" t="s">
        <v>1116</v>
      </c>
      <c r="P403" s="65">
        <v>455</v>
      </c>
      <c r="Q403" s="341"/>
    </row>
    <row r="404" spans="1:17" ht="13.2" x14ac:dyDescent="0.25">
      <c r="A404" s="42">
        <v>5</v>
      </c>
      <c r="B404" s="46"/>
      <c r="C404" s="46"/>
      <c r="D404" s="49"/>
      <c r="E404" s="42">
        <v>7</v>
      </c>
      <c r="F404" s="42" t="s">
        <v>1115</v>
      </c>
      <c r="G404" s="103" t="s">
        <v>492</v>
      </c>
      <c r="H404" s="105"/>
      <c r="I404" s="105">
        <f>SUM(I403)</f>
        <v>2.5</v>
      </c>
      <c r="J404" s="105">
        <f>SUM(J403:J403)</f>
        <v>37.899999999999991</v>
      </c>
      <c r="K404" s="105">
        <f>SUM(K403:K403)</f>
        <v>179</v>
      </c>
      <c r="L404" s="750">
        <f>SUM(L403:L403)</f>
        <v>179</v>
      </c>
      <c r="M404" s="133" t="s">
        <v>689</v>
      </c>
      <c r="N404" s="389"/>
      <c r="O404" s="117"/>
      <c r="P404" s="37"/>
      <c r="Q404" s="341"/>
    </row>
    <row r="405" spans="1:17" ht="30" customHeight="1" x14ac:dyDescent="0.25">
      <c r="A405" s="42">
        <v>5</v>
      </c>
      <c r="B405" s="238" t="s">
        <v>1117</v>
      </c>
      <c r="C405" s="238" t="s">
        <v>1117</v>
      </c>
      <c r="D405" s="239" t="s">
        <v>196</v>
      </c>
      <c r="E405" s="42"/>
      <c r="F405" s="42"/>
      <c r="G405" s="20"/>
      <c r="H405" s="113"/>
      <c r="I405" s="188" t="e">
        <f>SUM(I412,#REF!,I416,#REF!,I420,#REF!,I423,#REF!,#REF!)</f>
        <v>#REF!</v>
      </c>
      <c r="J405" s="113"/>
      <c r="K405" s="113"/>
      <c r="L405" s="806"/>
      <c r="M405" s="133"/>
      <c r="N405" s="389"/>
      <c r="O405" s="117"/>
      <c r="P405" s="65"/>
      <c r="Q405" s="341"/>
    </row>
    <row r="406" spans="1:17" ht="32.4" customHeight="1" x14ac:dyDescent="0.25">
      <c r="A406" s="42">
        <v>5</v>
      </c>
      <c r="B406" s="46"/>
      <c r="C406" s="46" t="s">
        <v>1118</v>
      </c>
      <c r="D406" s="49" t="s">
        <v>197</v>
      </c>
      <c r="E406" s="42">
        <v>7</v>
      </c>
      <c r="F406" s="42" t="s">
        <v>198</v>
      </c>
      <c r="G406" s="42" t="s">
        <v>8</v>
      </c>
      <c r="H406" s="37">
        <v>74</v>
      </c>
      <c r="I406" s="15">
        <v>54.9</v>
      </c>
      <c r="J406" s="98">
        <f>75+15-6.3</f>
        <v>83.7</v>
      </c>
      <c r="K406" s="37">
        <v>75</v>
      </c>
      <c r="L406" s="48">
        <v>75</v>
      </c>
      <c r="M406" s="133" t="s">
        <v>629</v>
      </c>
      <c r="N406" s="389" t="s">
        <v>2008</v>
      </c>
      <c r="O406" s="117" t="s">
        <v>1119</v>
      </c>
      <c r="P406" s="65">
        <v>3</v>
      </c>
      <c r="Q406" s="341"/>
    </row>
    <row r="407" spans="1:17" ht="20.399999999999999" customHeight="1" x14ac:dyDescent="0.25">
      <c r="A407" s="42">
        <v>5</v>
      </c>
      <c r="B407" s="46"/>
      <c r="C407" s="46"/>
      <c r="D407" s="49"/>
      <c r="E407" s="42">
        <v>7</v>
      </c>
      <c r="F407" s="42" t="s">
        <v>198</v>
      </c>
      <c r="G407" s="42" t="s">
        <v>11</v>
      </c>
      <c r="H407" s="247">
        <v>26</v>
      </c>
      <c r="I407" s="15">
        <v>15.6</v>
      </c>
      <c r="J407" s="98">
        <v>26</v>
      </c>
      <c r="K407" s="247">
        <v>26</v>
      </c>
      <c r="L407" s="836">
        <v>26</v>
      </c>
      <c r="M407" s="133"/>
      <c r="N407" s="389" t="s">
        <v>2008</v>
      </c>
      <c r="O407" s="117" t="s">
        <v>1120</v>
      </c>
      <c r="P407" s="65">
        <v>5</v>
      </c>
      <c r="Q407" s="341"/>
    </row>
    <row r="408" spans="1:17" ht="12.75" customHeight="1" x14ac:dyDescent="0.25">
      <c r="A408" s="42">
        <v>5</v>
      </c>
      <c r="B408" s="46"/>
      <c r="C408" s="46"/>
      <c r="D408" s="49"/>
      <c r="E408" s="42">
        <v>7</v>
      </c>
      <c r="F408" s="42" t="s">
        <v>198</v>
      </c>
      <c r="G408" s="42" t="s">
        <v>10</v>
      </c>
      <c r="H408" s="37">
        <f>10.2+2.6</f>
        <v>12.799999999999999</v>
      </c>
      <c r="I408" s="15">
        <v>4.5</v>
      </c>
      <c r="J408" s="98">
        <f>55.7-35-17.7</f>
        <v>3.0000000000000036</v>
      </c>
      <c r="K408" s="37">
        <v>55.7</v>
      </c>
      <c r="L408" s="48">
        <v>55.7</v>
      </c>
      <c r="M408" s="133"/>
      <c r="N408" s="389" t="s">
        <v>2008</v>
      </c>
      <c r="O408" s="117"/>
      <c r="P408" s="65"/>
      <c r="Q408" s="341"/>
    </row>
    <row r="409" spans="1:17" ht="12.75" customHeight="1" x14ac:dyDescent="0.25">
      <c r="A409" s="42">
        <v>5</v>
      </c>
      <c r="B409" s="46"/>
      <c r="C409" s="46"/>
      <c r="D409" s="49"/>
      <c r="E409" s="42">
        <v>7</v>
      </c>
      <c r="F409" s="42" t="s">
        <v>198</v>
      </c>
      <c r="G409" s="42" t="s">
        <v>10</v>
      </c>
      <c r="H409" s="37"/>
      <c r="I409" s="15"/>
      <c r="J409" s="98">
        <f>2.4-2.4</f>
        <v>0</v>
      </c>
      <c r="K409" s="37">
        <v>2.4</v>
      </c>
      <c r="L409" s="48">
        <v>2.4</v>
      </c>
      <c r="M409" s="185"/>
      <c r="N409" s="389" t="s">
        <v>2008</v>
      </c>
      <c r="O409" s="117"/>
      <c r="P409" s="65"/>
      <c r="Q409" s="341"/>
    </row>
    <row r="410" spans="1:17" ht="12.75" customHeight="1" x14ac:dyDescent="0.25">
      <c r="A410" s="42">
        <v>5</v>
      </c>
      <c r="B410" s="46"/>
      <c r="C410" s="46"/>
      <c r="D410" s="49"/>
      <c r="E410" s="42">
        <v>7</v>
      </c>
      <c r="F410" s="42" t="s">
        <v>198</v>
      </c>
      <c r="G410" s="42" t="s">
        <v>199</v>
      </c>
      <c r="H410" s="247">
        <v>25</v>
      </c>
      <c r="I410" s="15">
        <v>3.6</v>
      </c>
      <c r="J410" s="98">
        <v>7.3</v>
      </c>
      <c r="K410" s="247"/>
      <c r="L410" s="836"/>
      <c r="M410" s="133"/>
      <c r="N410" s="389" t="s">
        <v>2008</v>
      </c>
      <c r="O410" s="117"/>
      <c r="P410" s="65"/>
      <c r="Q410" s="341"/>
    </row>
    <row r="411" spans="1:17" ht="12.75" customHeight="1" x14ac:dyDescent="0.25">
      <c r="A411" s="42">
        <v>5</v>
      </c>
      <c r="B411" s="46"/>
      <c r="C411" s="46"/>
      <c r="D411" s="49"/>
      <c r="E411" s="42">
        <v>7</v>
      </c>
      <c r="F411" s="42" t="s">
        <v>198</v>
      </c>
      <c r="G411" s="42" t="s">
        <v>613</v>
      </c>
      <c r="H411" s="247">
        <v>11.5</v>
      </c>
      <c r="I411" s="15">
        <v>4.5999999999999996</v>
      </c>
      <c r="J411" s="98">
        <f>1+4.7+6.5+5.6</f>
        <v>17.799999999999997</v>
      </c>
      <c r="K411" s="247"/>
      <c r="L411" s="836"/>
      <c r="M411" s="133"/>
      <c r="N411" s="389" t="s">
        <v>2008</v>
      </c>
      <c r="O411" s="117"/>
      <c r="P411" s="65"/>
      <c r="Q411" s="341"/>
    </row>
    <row r="412" spans="1:17" ht="13.2" x14ac:dyDescent="0.25">
      <c r="A412" s="42">
        <v>5</v>
      </c>
      <c r="B412" s="46"/>
      <c r="C412" s="46"/>
      <c r="D412" s="49"/>
      <c r="E412" s="42"/>
      <c r="F412" s="42" t="s">
        <v>198</v>
      </c>
      <c r="G412" s="103" t="s">
        <v>492</v>
      </c>
      <c r="H412" s="105">
        <f>SUM(H406:H411)</f>
        <v>149.30000000000001</v>
      </c>
      <c r="I412" s="105">
        <f>SUM(I406:I411)</f>
        <v>83.199999999999989</v>
      </c>
      <c r="J412" s="105">
        <f t="shared" ref="J412:L412" si="87">SUM(J406:J411)</f>
        <v>137.80000000000001</v>
      </c>
      <c r="K412" s="105">
        <f t="shared" si="87"/>
        <v>159.1</v>
      </c>
      <c r="L412" s="750">
        <f t="shared" si="87"/>
        <v>159.1</v>
      </c>
      <c r="M412" s="133"/>
      <c r="N412" s="389" t="s">
        <v>2008</v>
      </c>
      <c r="O412" s="117"/>
      <c r="P412" s="65"/>
      <c r="Q412" s="341"/>
    </row>
    <row r="413" spans="1:17" ht="42" customHeight="1" x14ac:dyDescent="0.25">
      <c r="A413" s="42">
        <v>5</v>
      </c>
      <c r="B413" s="46"/>
      <c r="C413" s="46" t="s">
        <v>1121</v>
      </c>
      <c r="D413" s="49" t="s">
        <v>1122</v>
      </c>
      <c r="E413" s="46"/>
      <c r="F413" s="42"/>
      <c r="G413" s="15"/>
      <c r="H413" s="37"/>
      <c r="I413" s="98"/>
      <c r="J413" s="367"/>
      <c r="K413" s="367"/>
      <c r="L413" s="837"/>
      <c r="M413" s="133"/>
      <c r="O413" s="186"/>
      <c r="P413" s="68"/>
      <c r="Q413" s="838"/>
    </row>
    <row r="414" spans="1:17" ht="12.75" customHeight="1" x14ac:dyDescent="0.25">
      <c r="A414" s="42">
        <v>5</v>
      </c>
      <c r="B414" s="46"/>
      <c r="C414" s="46" t="s">
        <v>1123</v>
      </c>
      <c r="D414" s="74" t="s">
        <v>1124</v>
      </c>
      <c r="E414" s="46" t="s">
        <v>148</v>
      </c>
      <c r="F414" s="42" t="s">
        <v>1125</v>
      </c>
      <c r="G414" s="133" t="s">
        <v>594</v>
      </c>
      <c r="H414" s="7"/>
      <c r="I414" s="59"/>
      <c r="J414" s="98">
        <f>157.6-157.6</f>
        <v>0</v>
      </c>
      <c r="K414" s="7">
        <v>265.7</v>
      </c>
      <c r="L414" s="784">
        <v>100.6</v>
      </c>
      <c r="M414" s="133" t="s">
        <v>619</v>
      </c>
      <c r="N414" s="389" t="s">
        <v>1685</v>
      </c>
      <c r="O414" s="117" t="s">
        <v>1865</v>
      </c>
      <c r="P414" s="68">
        <v>5</v>
      </c>
      <c r="Q414" s="341"/>
    </row>
    <row r="415" spans="1:17" ht="12.75" customHeight="1" x14ac:dyDescent="0.25">
      <c r="A415" s="42">
        <v>5</v>
      </c>
      <c r="B415" s="46"/>
      <c r="C415" s="46"/>
      <c r="D415" s="74"/>
      <c r="E415" s="46" t="s">
        <v>148</v>
      </c>
      <c r="F415" s="42" t="s">
        <v>1125</v>
      </c>
      <c r="G415" s="133" t="s">
        <v>37</v>
      </c>
      <c r="H415" s="7"/>
      <c r="I415" s="59"/>
      <c r="J415" s="98">
        <f>893.3-819.4</f>
        <v>73.899999999999977</v>
      </c>
      <c r="K415" s="7">
        <v>1505.8</v>
      </c>
      <c r="L415" s="784">
        <v>570.29999999999995</v>
      </c>
      <c r="M415" s="133"/>
      <c r="N415" s="389" t="s">
        <v>1685</v>
      </c>
      <c r="O415" s="117"/>
      <c r="P415" s="65"/>
      <c r="Q415" s="341"/>
    </row>
    <row r="416" spans="1:17" ht="13.2" x14ac:dyDescent="0.25">
      <c r="A416" s="42">
        <v>5</v>
      </c>
      <c r="B416" s="46"/>
      <c r="C416" s="46"/>
      <c r="D416" s="74"/>
      <c r="E416" s="46"/>
      <c r="F416" s="42"/>
      <c r="G416" s="103" t="s">
        <v>492</v>
      </c>
      <c r="H416" s="105">
        <f>SUM(H414:H415)</f>
        <v>0</v>
      </c>
      <c r="I416" s="105">
        <f>SUM(I414:I415)</f>
        <v>0</v>
      </c>
      <c r="J416" s="105">
        <f t="shared" ref="J416:L416" si="88">SUM(J414:J415)</f>
        <v>73.899999999999977</v>
      </c>
      <c r="K416" s="105">
        <f t="shared" si="88"/>
        <v>1771.5</v>
      </c>
      <c r="L416" s="750">
        <f t="shared" si="88"/>
        <v>670.9</v>
      </c>
      <c r="M416" s="133"/>
      <c r="N416" s="389"/>
      <c r="O416" s="117"/>
      <c r="P416" s="65"/>
      <c r="Q416" s="341"/>
    </row>
    <row r="417" spans="1:17" ht="35.4" customHeight="1" x14ac:dyDescent="0.25">
      <c r="A417" s="42">
        <v>5</v>
      </c>
      <c r="B417" s="46"/>
      <c r="C417" s="46" t="s">
        <v>1126</v>
      </c>
      <c r="D417" s="74" t="s">
        <v>1127</v>
      </c>
      <c r="E417" s="46" t="s">
        <v>148</v>
      </c>
      <c r="F417" s="42" t="s">
        <v>1128</v>
      </c>
      <c r="G417" s="133" t="s">
        <v>594</v>
      </c>
      <c r="H417" s="7"/>
      <c r="I417" s="59"/>
      <c r="J417" s="98">
        <f>18-18</f>
        <v>0</v>
      </c>
      <c r="K417" s="7">
        <v>17.3</v>
      </c>
      <c r="L417" s="784"/>
      <c r="M417" s="133" t="s">
        <v>619</v>
      </c>
      <c r="N417" s="389" t="s">
        <v>1685</v>
      </c>
      <c r="O417" s="186" t="s">
        <v>1129</v>
      </c>
      <c r="P417" s="65">
        <v>20</v>
      </c>
      <c r="Q417" s="241" t="s">
        <v>632</v>
      </c>
    </row>
    <row r="418" spans="1:17" ht="12.75" customHeight="1" x14ac:dyDescent="0.25">
      <c r="A418" s="42">
        <v>5</v>
      </c>
      <c r="B418" s="46"/>
      <c r="C418" s="46"/>
      <c r="D418" s="74"/>
      <c r="E418" s="46" t="s">
        <v>148</v>
      </c>
      <c r="F418" s="42" t="s">
        <v>1128</v>
      </c>
      <c r="G418" s="133" t="s">
        <v>37</v>
      </c>
      <c r="H418" s="7"/>
      <c r="I418" s="59"/>
      <c r="J418" s="98">
        <f>100-100</f>
        <v>0</v>
      </c>
      <c r="K418" s="7">
        <v>100</v>
      </c>
      <c r="L418" s="784"/>
      <c r="M418" s="133"/>
      <c r="N418" s="389" t="s">
        <v>1685</v>
      </c>
      <c r="O418" s="117"/>
      <c r="P418" s="65"/>
      <c r="Q418" s="241" t="s">
        <v>632</v>
      </c>
    </row>
    <row r="419" spans="1:17" ht="12.75" customHeight="1" x14ac:dyDescent="0.25">
      <c r="A419" s="42">
        <v>5</v>
      </c>
      <c r="B419" s="46"/>
      <c r="C419" s="46"/>
      <c r="D419" s="74"/>
      <c r="E419" s="46" t="s">
        <v>469</v>
      </c>
      <c r="F419" s="42" t="s">
        <v>1128</v>
      </c>
      <c r="G419" s="185" t="s">
        <v>8</v>
      </c>
      <c r="H419" s="7"/>
      <c r="I419" s="59"/>
      <c r="J419" s="98">
        <f>18</f>
        <v>18</v>
      </c>
      <c r="K419" s="7"/>
      <c r="L419" s="784"/>
      <c r="M419" s="133"/>
      <c r="N419" s="389" t="s">
        <v>579</v>
      </c>
      <c r="O419" s="186" t="s">
        <v>2048</v>
      </c>
      <c r="P419" s="68">
        <v>1</v>
      </c>
      <c r="Q419" s="241" t="s">
        <v>632</v>
      </c>
    </row>
    <row r="420" spans="1:17" ht="13.2" x14ac:dyDescent="0.25">
      <c r="A420" s="42">
        <v>5</v>
      </c>
      <c r="B420" s="46"/>
      <c r="C420" s="46"/>
      <c r="D420" s="74"/>
      <c r="E420" s="46"/>
      <c r="F420" s="42"/>
      <c r="G420" s="103" t="s">
        <v>492</v>
      </c>
      <c r="H420" s="105">
        <f>SUM(H417:H418)</f>
        <v>0</v>
      </c>
      <c r="I420" s="105">
        <f>SUM(I417:I418)</f>
        <v>0</v>
      </c>
      <c r="J420" s="105">
        <f>SUM(J417:J419)</f>
        <v>18</v>
      </c>
      <c r="K420" s="105">
        <f t="shared" ref="K420:L420" si="89">SUM(K417:K418)</f>
        <v>117.3</v>
      </c>
      <c r="L420" s="750">
        <f t="shared" si="89"/>
        <v>0</v>
      </c>
      <c r="M420" s="133"/>
      <c r="N420" s="389"/>
      <c r="O420" s="117"/>
      <c r="P420" s="65"/>
      <c r="Q420" s="341"/>
    </row>
    <row r="421" spans="1:17" ht="36.6" customHeight="1" x14ac:dyDescent="0.25">
      <c r="A421" s="42">
        <v>5</v>
      </c>
      <c r="B421" s="46"/>
      <c r="C421" s="46" t="s">
        <v>1130</v>
      </c>
      <c r="D421" s="74" t="s">
        <v>1131</v>
      </c>
      <c r="E421" s="46" t="s">
        <v>148</v>
      </c>
      <c r="F421" s="42" t="s">
        <v>1132</v>
      </c>
      <c r="G421" s="133" t="s">
        <v>594</v>
      </c>
      <c r="H421" s="7"/>
      <c r="I421" s="59"/>
      <c r="J421" s="98">
        <f>15-15</f>
        <v>0</v>
      </c>
      <c r="K421" s="7">
        <v>195.4</v>
      </c>
      <c r="L421" s="784">
        <v>142.5</v>
      </c>
      <c r="M421" s="133" t="s">
        <v>619</v>
      </c>
      <c r="N421" s="389" t="s">
        <v>1685</v>
      </c>
      <c r="O421" s="186" t="s">
        <v>1133</v>
      </c>
      <c r="P421" s="68">
        <v>1</v>
      </c>
      <c r="Q421" s="838"/>
    </row>
    <row r="422" spans="1:17" ht="12.75" customHeight="1" x14ac:dyDescent="0.25">
      <c r="A422" s="42">
        <v>5</v>
      </c>
      <c r="B422" s="46"/>
      <c r="C422" s="46"/>
      <c r="D422" s="74"/>
      <c r="E422" s="46" t="s">
        <v>148</v>
      </c>
      <c r="F422" s="42" t="s">
        <v>1132</v>
      </c>
      <c r="G422" s="133" t="s">
        <v>37</v>
      </c>
      <c r="H422" s="7"/>
      <c r="I422" s="59"/>
      <c r="J422" s="98">
        <f>85-85</f>
        <v>0</v>
      </c>
      <c r="K422" s="7">
        <v>1000</v>
      </c>
      <c r="L422" s="784">
        <v>950</v>
      </c>
      <c r="M422" s="133"/>
      <c r="N422" s="389" t="s">
        <v>1685</v>
      </c>
      <c r="O422" s="117"/>
      <c r="P422" s="65"/>
      <c r="Q422" s="341"/>
    </row>
    <row r="423" spans="1:17" ht="12.75" customHeight="1" x14ac:dyDescent="0.25">
      <c r="A423" s="42">
        <v>5</v>
      </c>
      <c r="B423" s="46"/>
      <c r="C423" s="46"/>
      <c r="D423" s="74"/>
      <c r="E423" s="46"/>
      <c r="F423" s="42"/>
      <c r="G423" s="103" t="s">
        <v>492</v>
      </c>
      <c r="H423" s="105">
        <f>SUM(H421:H422)</f>
        <v>0</v>
      </c>
      <c r="I423" s="105">
        <f>SUM(I421:I422)</f>
        <v>0</v>
      </c>
      <c r="J423" s="105">
        <f t="shared" ref="J423:L423" si="90">SUM(J421:J422)</f>
        <v>0</v>
      </c>
      <c r="K423" s="105">
        <f t="shared" si="90"/>
        <v>1195.4000000000001</v>
      </c>
      <c r="L423" s="750">
        <f t="shared" si="90"/>
        <v>1092.5</v>
      </c>
      <c r="M423" s="133"/>
      <c r="N423" s="389"/>
      <c r="O423" s="117"/>
      <c r="P423" s="65"/>
      <c r="Q423" s="341"/>
    </row>
    <row r="424" spans="1:17" ht="25.2" customHeight="1" x14ac:dyDescent="0.25">
      <c r="A424" s="42">
        <v>5</v>
      </c>
      <c r="B424" s="237"/>
      <c r="C424" s="237"/>
      <c r="D424" s="94" t="s">
        <v>1134</v>
      </c>
      <c r="E424" s="95"/>
      <c r="F424" s="96"/>
      <c r="G424" s="95"/>
      <c r="H424" s="95"/>
      <c r="I424" s="95"/>
      <c r="J424" s="95"/>
      <c r="K424" s="95"/>
      <c r="L424" s="422"/>
      <c r="M424" s="133"/>
      <c r="N424" s="389"/>
      <c r="O424" s="117"/>
      <c r="P424" s="65"/>
      <c r="Q424" s="341"/>
    </row>
    <row r="425" spans="1:17" ht="28.2" customHeight="1" x14ac:dyDescent="0.25">
      <c r="A425" s="42">
        <v>5</v>
      </c>
      <c r="B425" s="238" t="s">
        <v>1135</v>
      </c>
      <c r="C425" s="238" t="s">
        <v>1135</v>
      </c>
      <c r="D425" s="239" t="s">
        <v>200</v>
      </c>
      <c r="E425" s="240">
        <v>7</v>
      </c>
      <c r="F425" s="42" t="s">
        <v>201</v>
      </c>
      <c r="G425" s="54" t="s">
        <v>10</v>
      </c>
      <c r="H425" s="37">
        <v>107.2</v>
      </c>
      <c r="I425" s="15">
        <v>77.900000000000006</v>
      </c>
      <c r="J425" s="98">
        <v>77.2</v>
      </c>
      <c r="K425" s="37">
        <v>77.2</v>
      </c>
      <c r="L425" s="48">
        <v>77.2</v>
      </c>
      <c r="M425" s="133"/>
      <c r="N425" s="389" t="s">
        <v>1707</v>
      </c>
      <c r="O425" s="117" t="s">
        <v>1136</v>
      </c>
      <c r="P425" s="65">
        <v>5</v>
      </c>
      <c r="Q425" s="341"/>
    </row>
    <row r="426" spans="1:17" ht="13.2" x14ac:dyDescent="0.25">
      <c r="A426" s="42">
        <v>5</v>
      </c>
      <c r="B426" s="46"/>
      <c r="C426" s="46"/>
      <c r="D426" s="49"/>
      <c r="E426" s="240"/>
      <c r="F426" s="42" t="s">
        <v>201</v>
      </c>
      <c r="G426" s="103" t="s">
        <v>492</v>
      </c>
      <c r="H426" s="105">
        <f>SUM(H425:H425)</f>
        <v>107.2</v>
      </c>
      <c r="I426" s="105">
        <f>SUM(I425:I425)</f>
        <v>77.900000000000006</v>
      </c>
      <c r="J426" s="105">
        <f>SUM(J425:J425)</f>
        <v>77.2</v>
      </c>
      <c r="K426" s="105">
        <f>SUM(K425:K425)</f>
        <v>77.2</v>
      </c>
      <c r="L426" s="750">
        <f>SUM(L425:L425)</f>
        <v>77.2</v>
      </c>
      <c r="M426" s="133"/>
      <c r="N426" s="389"/>
      <c r="O426" s="117"/>
      <c r="P426" s="65"/>
      <c r="Q426" s="341"/>
    </row>
    <row r="427" spans="1:17" ht="36" customHeight="1" x14ac:dyDescent="0.25">
      <c r="A427" s="42">
        <v>5</v>
      </c>
      <c r="B427" s="238" t="s">
        <v>1137</v>
      </c>
      <c r="C427" s="238" t="s">
        <v>1137</v>
      </c>
      <c r="D427" s="239" t="s">
        <v>1138</v>
      </c>
      <c r="E427" s="240"/>
      <c r="F427" s="42"/>
      <c r="G427" s="73"/>
      <c r="H427" s="37"/>
      <c r="I427" s="188" t="e">
        <f>SUM(I431,#REF!)</f>
        <v>#REF!</v>
      </c>
      <c r="J427" s="113"/>
      <c r="K427" s="113"/>
      <c r="L427" s="806"/>
      <c r="M427" s="133"/>
      <c r="N427" s="389" t="s">
        <v>1973</v>
      </c>
      <c r="O427" s="130" t="s">
        <v>1139</v>
      </c>
      <c r="P427" s="65">
        <v>11</v>
      </c>
      <c r="Q427" s="341"/>
    </row>
    <row r="428" spans="1:17" ht="27" customHeight="1" x14ac:dyDescent="0.25">
      <c r="A428" s="42">
        <v>5</v>
      </c>
      <c r="B428" s="46"/>
      <c r="C428" s="46" t="s">
        <v>1140</v>
      </c>
      <c r="D428" s="49" t="s">
        <v>202</v>
      </c>
      <c r="E428" s="46" t="s">
        <v>203</v>
      </c>
      <c r="F428" s="42" t="s">
        <v>204</v>
      </c>
      <c r="G428" s="42" t="s">
        <v>8</v>
      </c>
      <c r="H428" s="15">
        <v>25</v>
      </c>
      <c r="I428" s="15">
        <v>22</v>
      </c>
      <c r="J428" s="98">
        <v>22.5</v>
      </c>
      <c r="K428" s="15">
        <v>22.5</v>
      </c>
      <c r="L428" s="33">
        <v>22.5</v>
      </c>
      <c r="M428" s="133" t="s">
        <v>629</v>
      </c>
      <c r="N428" s="389" t="s">
        <v>1973</v>
      </c>
      <c r="O428" s="130" t="s">
        <v>1859</v>
      </c>
      <c r="P428" s="42" t="s">
        <v>1860</v>
      </c>
      <c r="Q428" s="341"/>
    </row>
    <row r="429" spans="1:17" ht="24" customHeight="1" x14ac:dyDescent="0.25">
      <c r="A429" s="42">
        <v>5</v>
      </c>
      <c r="B429" s="46"/>
      <c r="C429" s="46"/>
      <c r="D429" s="49"/>
      <c r="E429" s="46" t="s">
        <v>203</v>
      </c>
      <c r="F429" s="42" t="s">
        <v>204</v>
      </c>
      <c r="G429" s="42" t="s">
        <v>10</v>
      </c>
      <c r="H429" s="15"/>
      <c r="I429" s="15"/>
      <c r="J429" s="98"/>
      <c r="K429" s="15"/>
      <c r="L429" s="33"/>
      <c r="M429" s="133"/>
      <c r="N429" s="389" t="s">
        <v>1973</v>
      </c>
      <c r="O429" s="130" t="s">
        <v>1861</v>
      </c>
      <c r="P429" s="65">
        <v>46</v>
      </c>
      <c r="Q429" s="341"/>
    </row>
    <row r="430" spans="1:17" ht="28.2" customHeight="1" x14ac:dyDescent="0.25">
      <c r="A430" s="42">
        <v>5</v>
      </c>
      <c r="B430" s="46"/>
      <c r="C430" s="46"/>
      <c r="D430" s="49"/>
      <c r="E430" s="46" t="s">
        <v>203</v>
      </c>
      <c r="F430" s="42" t="s">
        <v>204</v>
      </c>
      <c r="G430" s="42" t="s">
        <v>8</v>
      </c>
      <c r="H430" s="15">
        <f>20+5</f>
        <v>25</v>
      </c>
      <c r="I430" s="15">
        <v>21.1</v>
      </c>
      <c r="J430" s="98"/>
      <c r="K430" s="15"/>
      <c r="L430" s="33"/>
      <c r="M430" s="133" t="s">
        <v>629</v>
      </c>
      <c r="N430" s="389" t="s">
        <v>1973</v>
      </c>
      <c r="O430" s="130" t="s">
        <v>1141</v>
      </c>
      <c r="P430" s="65">
        <v>21</v>
      </c>
      <c r="Q430" s="341"/>
    </row>
    <row r="431" spans="1:17" ht="12.75" customHeight="1" x14ac:dyDescent="0.25">
      <c r="A431" s="42">
        <v>5</v>
      </c>
      <c r="B431" s="46"/>
      <c r="C431" s="46"/>
      <c r="D431" s="49"/>
      <c r="E431" s="46" t="s">
        <v>203</v>
      </c>
      <c r="F431" s="42" t="s">
        <v>204</v>
      </c>
      <c r="G431" s="103" t="s">
        <v>492</v>
      </c>
      <c r="H431" s="105">
        <f>SUM(H428:H430)</f>
        <v>50</v>
      </c>
      <c r="I431" s="105">
        <f>SUM(I428:I430)</f>
        <v>43.1</v>
      </c>
      <c r="J431" s="105">
        <f>SUM(J428:J430)</f>
        <v>22.5</v>
      </c>
      <c r="K431" s="105">
        <f>SUM(K428:K430)</f>
        <v>22.5</v>
      </c>
      <c r="L431" s="750">
        <f>SUM(L428:L430)</f>
        <v>22.5</v>
      </c>
      <c r="M431" s="133"/>
      <c r="N431" s="389" t="s">
        <v>1973</v>
      </c>
      <c r="O431" s="117"/>
      <c r="P431" s="65"/>
      <c r="Q431" s="341"/>
    </row>
    <row r="432" spans="1:17" ht="33" customHeight="1" x14ac:dyDescent="0.25">
      <c r="A432" s="42">
        <v>5</v>
      </c>
      <c r="B432" s="237"/>
      <c r="C432" s="237"/>
      <c r="D432" s="94" t="s">
        <v>1142</v>
      </c>
      <c r="E432" s="95"/>
      <c r="F432" s="96"/>
      <c r="G432" s="95"/>
      <c r="H432" s="95"/>
      <c r="I432" s="95"/>
      <c r="J432" s="95"/>
      <c r="K432" s="95"/>
      <c r="L432" s="422"/>
      <c r="M432" s="133"/>
      <c r="N432" s="389"/>
      <c r="O432" s="117"/>
      <c r="P432" s="65"/>
      <c r="Q432" s="341"/>
    </row>
    <row r="433" spans="1:17" ht="33.6" customHeight="1" x14ac:dyDescent="0.25">
      <c r="A433" s="42">
        <v>5</v>
      </c>
      <c r="B433" s="112" t="s">
        <v>1143</v>
      </c>
      <c r="C433" s="112" t="s">
        <v>1143</v>
      </c>
      <c r="D433" s="132" t="s">
        <v>206</v>
      </c>
      <c r="E433" s="63"/>
      <c r="F433" s="42"/>
      <c r="G433" s="73"/>
      <c r="H433" s="37"/>
      <c r="I433" s="188" t="e">
        <f>SUM(I436,I438,I440,I443)</f>
        <v>#REF!</v>
      </c>
      <c r="J433" s="98"/>
      <c r="K433" s="20"/>
      <c r="L433" s="56"/>
      <c r="M433" s="133"/>
      <c r="N433" s="389" t="s">
        <v>2009</v>
      </c>
      <c r="O433" s="248" t="s">
        <v>1144</v>
      </c>
      <c r="P433" s="65">
        <v>43</v>
      </c>
      <c r="Q433" s="341"/>
    </row>
    <row r="434" spans="1:17" ht="27" customHeight="1" x14ac:dyDescent="0.25">
      <c r="A434" s="42">
        <v>5</v>
      </c>
      <c r="B434" s="46"/>
      <c r="C434" s="46" t="s">
        <v>1145</v>
      </c>
      <c r="D434" s="49" t="s">
        <v>207</v>
      </c>
      <c r="E434" s="46" t="s">
        <v>1146</v>
      </c>
      <c r="F434" s="42" t="s">
        <v>208</v>
      </c>
      <c r="G434" s="42" t="s">
        <v>74</v>
      </c>
      <c r="H434" s="15"/>
      <c r="I434" s="15"/>
      <c r="J434" s="98"/>
      <c r="K434" s="15"/>
      <c r="L434" s="33"/>
      <c r="M434" s="133"/>
      <c r="N434" s="389" t="s">
        <v>2009</v>
      </c>
      <c r="O434" s="249" t="s">
        <v>1147</v>
      </c>
      <c r="P434" s="65">
        <v>43</v>
      </c>
      <c r="Q434" s="341"/>
    </row>
    <row r="435" spans="1:17" ht="25.2" customHeight="1" x14ac:dyDescent="0.25">
      <c r="A435" s="42">
        <v>5</v>
      </c>
      <c r="B435" s="46"/>
      <c r="C435" s="46"/>
      <c r="D435" s="49"/>
      <c r="E435" s="46" t="s">
        <v>1146</v>
      </c>
      <c r="F435" s="42" t="s">
        <v>208</v>
      </c>
      <c r="G435" s="42" t="s">
        <v>8</v>
      </c>
      <c r="H435" s="37">
        <f>160-8.7</f>
        <v>151.30000000000001</v>
      </c>
      <c r="I435" s="15">
        <v>160.30000000000001</v>
      </c>
      <c r="J435" s="98">
        <f>200-19</f>
        <v>181</v>
      </c>
      <c r="K435" s="37">
        <v>190</v>
      </c>
      <c r="L435" s="48">
        <v>190</v>
      </c>
      <c r="M435" s="133" t="s">
        <v>629</v>
      </c>
      <c r="N435" s="389" t="s">
        <v>2009</v>
      </c>
      <c r="O435" s="248" t="s">
        <v>1148</v>
      </c>
      <c r="P435" s="65">
        <v>2</v>
      </c>
      <c r="Q435" s="341"/>
    </row>
    <row r="436" spans="1:17" ht="20.399999999999999" x14ac:dyDescent="0.25">
      <c r="A436" s="42">
        <v>5</v>
      </c>
      <c r="B436" s="46"/>
      <c r="C436" s="46"/>
      <c r="D436" s="49"/>
      <c r="E436" s="46" t="s">
        <v>1146</v>
      </c>
      <c r="F436" s="42" t="s">
        <v>208</v>
      </c>
      <c r="G436" s="103" t="s">
        <v>492</v>
      </c>
      <c r="H436" s="105">
        <f>SUM(H434:H435)</f>
        <v>151.30000000000001</v>
      </c>
      <c r="I436" s="105">
        <f>SUM(I434:I435)</f>
        <v>160.30000000000001</v>
      </c>
      <c r="J436" s="105">
        <f t="shared" ref="J436:L436" si="91">SUM(J434:J435)</f>
        <v>181</v>
      </c>
      <c r="K436" s="105">
        <f t="shared" si="91"/>
        <v>190</v>
      </c>
      <c r="L436" s="750">
        <f t="shared" si="91"/>
        <v>190</v>
      </c>
      <c r="M436" s="133"/>
      <c r="N436" s="389" t="s">
        <v>2009</v>
      </c>
      <c r="O436" s="248" t="s">
        <v>1149</v>
      </c>
      <c r="P436" s="65">
        <v>9</v>
      </c>
      <c r="Q436" s="341"/>
    </row>
    <row r="437" spans="1:17" ht="36" customHeight="1" x14ac:dyDescent="0.25">
      <c r="A437" s="42">
        <v>5</v>
      </c>
      <c r="B437" s="46"/>
      <c r="C437" s="46" t="s">
        <v>1150</v>
      </c>
      <c r="D437" s="49" t="s">
        <v>209</v>
      </c>
      <c r="E437" s="63">
        <v>8</v>
      </c>
      <c r="F437" s="42" t="s">
        <v>1862</v>
      </c>
      <c r="G437" s="62" t="s">
        <v>10</v>
      </c>
      <c r="H437" s="15">
        <f>45+1.7</f>
        <v>46.7</v>
      </c>
      <c r="I437" s="15">
        <v>48.5</v>
      </c>
      <c r="J437" s="98">
        <v>49.6</v>
      </c>
      <c r="K437" s="15">
        <v>49.6</v>
      </c>
      <c r="L437" s="33">
        <v>49.6</v>
      </c>
      <c r="M437" s="133"/>
      <c r="N437" s="389" t="s">
        <v>2009</v>
      </c>
      <c r="O437" s="249" t="s">
        <v>1151</v>
      </c>
      <c r="P437" s="65">
        <v>12</v>
      </c>
      <c r="Q437" s="341"/>
    </row>
    <row r="438" spans="1:17" ht="13.2" x14ac:dyDescent="0.25">
      <c r="A438" s="42">
        <v>5</v>
      </c>
      <c r="B438" s="46"/>
      <c r="C438" s="46"/>
      <c r="D438" s="49"/>
      <c r="E438" s="63">
        <v>8</v>
      </c>
      <c r="F438" s="6" t="s">
        <v>1862</v>
      </c>
      <c r="G438" s="103" t="s">
        <v>492</v>
      </c>
      <c r="H438" s="105">
        <f>SUM(H437)</f>
        <v>46.7</v>
      </c>
      <c r="I438" s="105">
        <f>SUM(I437)</f>
        <v>48.5</v>
      </c>
      <c r="J438" s="105">
        <f t="shared" ref="J438:L438" si="92">SUM(J437)</f>
        <v>49.6</v>
      </c>
      <c r="K438" s="105">
        <f t="shared" si="92"/>
        <v>49.6</v>
      </c>
      <c r="L438" s="750">
        <f t="shared" si="92"/>
        <v>49.6</v>
      </c>
      <c r="M438" s="133"/>
      <c r="N438" s="389"/>
      <c r="O438" s="130"/>
      <c r="P438" s="65"/>
      <c r="Q438" s="341"/>
    </row>
    <row r="439" spans="1:17" ht="55.5" customHeight="1" x14ac:dyDescent="0.25">
      <c r="A439" s="42">
        <v>5</v>
      </c>
      <c r="B439" s="46"/>
      <c r="C439" s="46" t="s">
        <v>1152</v>
      </c>
      <c r="D439" s="49" t="s">
        <v>1914</v>
      </c>
      <c r="E439" s="46" t="s">
        <v>1146</v>
      </c>
      <c r="F439" s="42" t="s">
        <v>210</v>
      </c>
      <c r="G439" s="37" t="s">
        <v>8</v>
      </c>
      <c r="H439" s="37">
        <f>263.3+75+60+51.9+56.5</f>
        <v>506.7</v>
      </c>
      <c r="I439" s="15" t="e">
        <f>#REF!+#REF!+#REF!+#REF!+#REF!+#REF!+#REF!+#REF!</f>
        <v>#REF!</v>
      </c>
      <c r="J439" s="98">
        <v>48.8</v>
      </c>
      <c r="K439" s="98" t="e">
        <f>#REF!+#REF!+#REF!+#REF!+#REF!+#REF!+#REF!+#REF!</f>
        <v>#REF!</v>
      </c>
      <c r="L439" s="125" t="e">
        <f>#REF!+#REF!+#REF!+#REF!+#REF!+#REF!+#REF!+#REF!</f>
        <v>#REF!</v>
      </c>
      <c r="M439" s="133" t="s">
        <v>629</v>
      </c>
      <c r="N439" s="389" t="s">
        <v>2009</v>
      </c>
      <c r="O439" s="249" t="s">
        <v>1153</v>
      </c>
      <c r="P439" s="42">
        <v>2</v>
      </c>
      <c r="Q439" s="341"/>
    </row>
    <row r="440" spans="1:17" ht="12.75" customHeight="1" x14ac:dyDescent="0.25">
      <c r="A440" s="42">
        <v>5</v>
      </c>
      <c r="B440" s="46"/>
      <c r="C440" s="46"/>
      <c r="D440" s="49"/>
      <c r="E440" s="46" t="s">
        <v>1146</v>
      </c>
      <c r="F440" s="42" t="s">
        <v>210</v>
      </c>
      <c r="G440" s="103" t="s">
        <v>492</v>
      </c>
      <c r="H440" s="105">
        <f>SUM(H439)</f>
        <v>506.7</v>
      </c>
      <c r="I440" s="105" t="e">
        <f>SUM(I439)</f>
        <v>#REF!</v>
      </c>
      <c r="J440" s="105">
        <f t="shared" ref="J440:L440" si="93">SUM(J439)</f>
        <v>48.8</v>
      </c>
      <c r="K440" s="105" t="e">
        <f t="shared" si="93"/>
        <v>#REF!</v>
      </c>
      <c r="L440" s="750" t="e">
        <f t="shared" si="93"/>
        <v>#REF!</v>
      </c>
      <c r="M440" s="133"/>
      <c r="N440" s="389" t="s">
        <v>2009</v>
      </c>
      <c r="O440" s="130"/>
      <c r="P440" s="65"/>
      <c r="Q440" s="341"/>
    </row>
    <row r="441" spans="1:17" ht="32.4" customHeight="1" x14ac:dyDescent="0.25">
      <c r="A441" s="42">
        <v>5</v>
      </c>
      <c r="B441" s="46"/>
      <c r="C441" s="46" t="s">
        <v>1154</v>
      </c>
      <c r="D441" s="49" t="s">
        <v>211</v>
      </c>
      <c r="E441" s="63">
        <v>8</v>
      </c>
      <c r="F441" s="42" t="s">
        <v>212</v>
      </c>
      <c r="G441" s="42" t="s">
        <v>8</v>
      </c>
      <c r="H441" s="15">
        <f>150-20</f>
        <v>130</v>
      </c>
      <c r="I441" s="15">
        <v>129.9</v>
      </c>
      <c r="J441" s="98">
        <f>150-5-5</f>
        <v>140</v>
      </c>
      <c r="K441" s="15">
        <v>150</v>
      </c>
      <c r="L441" s="15">
        <v>150</v>
      </c>
      <c r="M441" s="185" t="s">
        <v>629</v>
      </c>
      <c r="N441" s="389" t="s">
        <v>2009</v>
      </c>
      <c r="O441" s="249" t="s">
        <v>1151</v>
      </c>
      <c r="P441" s="65">
        <v>14</v>
      </c>
      <c r="Q441" s="341"/>
    </row>
    <row r="442" spans="1:17" ht="12.75" customHeight="1" x14ac:dyDescent="0.25">
      <c r="A442" s="42">
        <v>5</v>
      </c>
      <c r="B442" s="46"/>
      <c r="C442" s="46"/>
      <c r="D442" s="49"/>
      <c r="E442" s="63">
        <v>8</v>
      </c>
      <c r="F442" s="42" t="s">
        <v>212</v>
      </c>
      <c r="G442" s="62" t="s">
        <v>74</v>
      </c>
      <c r="H442" s="15">
        <v>45</v>
      </c>
      <c r="I442" s="15">
        <v>45</v>
      </c>
      <c r="J442" s="98">
        <v>45</v>
      </c>
      <c r="K442" s="15">
        <v>45</v>
      </c>
      <c r="L442" s="33">
        <v>45</v>
      </c>
      <c r="M442" s="133"/>
      <c r="N442" s="389" t="s">
        <v>2009</v>
      </c>
      <c r="O442" s="130"/>
      <c r="P442" s="65"/>
      <c r="Q442" s="341"/>
    </row>
    <row r="443" spans="1:17" ht="12.75" customHeight="1" x14ac:dyDescent="0.25">
      <c r="A443" s="42">
        <v>5</v>
      </c>
      <c r="B443" s="46"/>
      <c r="C443" s="46"/>
      <c r="D443" s="49"/>
      <c r="E443" s="63"/>
      <c r="F443" s="42" t="s">
        <v>212</v>
      </c>
      <c r="G443" s="103" t="s">
        <v>492</v>
      </c>
      <c r="H443" s="105">
        <f>SUM(H441:H442)</f>
        <v>175</v>
      </c>
      <c r="I443" s="105">
        <f>SUM(I441:I442)</f>
        <v>174.9</v>
      </c>
      <c r="J443" s="105">
        <f t="shared" ref="J443:L443" si="94">SUM(J441:J442)</f>
        <v>185</v>
      </c>
      <c r="K443" s="105">
        <f t="shared" si="94"/>
        <v>195</v>
      </c>
      <c r="L443" s="750">
        <f t="shared" si="94"/>
        <v>195</v>
      </c>
      <c r="M443" s="133"/>
      <c r="N443" s="389" t="s">
        <v>2009</v>
      </c>
      <c r="O443" s="117"/>
      <c r="P443" s="65"/>
      <c r="Q443" s="341"/>
    </row>
    <row r="444" spans="1:17" ht="30.6" x14ac:dyDescent="0.25">
      <c r="A444" s="42">
        <v>5</v>
      </c>
      <c r="B444" s="46"/>
      <c r="C444" s="47" t="s">
        <v>2062</v>
      </c>
      <c r="D444" s="49" t="s">
        <v>2063</v>
      </c>
      <c r="E444" s="63">
        <v>8</v>
      </c>
      <c r="F444" s="42" t="s">
        <v>2064</v>
      </c>
      <c r="G444" s="62" t="s">
        <v>8</v>
      </c>
      <c r="H444" s="105"/>
      <c r="I444" s="105"/>
      <c r="J444" s="98">
        <f>19-10</f>
        <v>9</v>
      </c>
      <c r="K444" s="105"/>
      <c r="L444" s="750"/>
      <c r="M444" s="133"/>
      <c r="N444" s="1193" t="s">
        <v>2054</v>
      </c>
      <c r="O444" s="249" t="s">
        <v>2055</v>
      </c>
      <c r="P444" s="1194">
        <v>1</v>
      </c>
      <c r="Q444" s="341"/>
    </row>
    <row r="445" spans="1:17" ht="12.75" customHeight="1" x14ac:dyDescent="0.25">
      <c r="A445" s="42">
        <v>5</v>
      </c>
      <c r="B445" s="46"/>
      <c r="C445" s="46"/>
      <c r="D445" s="49"/>
      <c r="E445" s="63">
        <v>8</v>
      </c>
      <c r="F445" s="42" t="s">
        <v>2064</v>
      </c>
      <c r="G445" s="62" t="s">
        <v>37</v>
      </c>
      <c r="H445" s="105"/>
      <c r="I445" s="105"/>
      <c r="J445" s="98"/>
      <c r="K445" s="105"/>
      <c r="L445" s="750"/>
      <c r="M445" s="133"/>
      <c r="N445" s="389"/>
      <c r="O445" s="117"/>
      <c r="P445" s="65"/>
      <c r="Q445" s="341"/>
    </row>
    <row r="446" spans="1:17" ht="12.75" customHeight="1" x14ac:dyDescent="0.25">
      <c r="A446" s="42">
        <v>5</v>
      </c>
      <c r="B446" s="46"/>
      <c r="C446" s="46"/>
      <c r="D446" s="49"/>
      <c r="E446" s="63">
        <v>8</v>
      </c>
      <c r="F446" s="42" t="s">
        <v>2064</v>
      </c>
      <c r="G446" s="103" t="s">
        <v>492</v>
      </c>
      <c r="H446" s="105"/>
      <c r="I446" s="105"/>
      <c r="J446" s="105">
        <f t="shared" ref="J446" si="95">SUM(J444:J445)</f>
        <v>9</v>
      </c>
      <c r="K446" s="105"/>
      <c r="L446" s="750"/>
      <c r="M446" s="133"/>
      <c r="N446" s="389"/>
      <c r="O446" s="117"/>
      <c r="P446" s="65"/>
      <c r="Q446" s="341"/>
    </row>
    <row r="447" spans="1:17" ht="14.4" customHeight="1" x14ac:dyDescent="0.25">
      <c r="A447" s="909"/>
      <c r="B447" s="909"/>
      <c r="C447" s="909"/>
      <c r="D447" s="909" t="s">
        <v>1841</v>
      </c>
      <c r="E447" s="912"/>
      <c r="F447" s="909"/>
      <c r="G447" s="909"/>
      <c r="H447" s="909"/>
      <c r="I447" s="909"/>
      <c r="J447" s="909"/>
      <c r="K447" s="909"/>
      <c r="L447" s="911"/>
      <c r="M447" s="922"/>
      <c r="N447" s="1008"/>
      <c r="O447" s="977"/>
      <c r="P447" s="923"/>
      <c r="Q447" s="923"/>
    </row>
    <row r="448" spans="1:17" ht="34.200000000000003" customHeight="1" x14ac:dyDescent="0.25">
      <c r="A448" s="463">
        <v>6</v>
      </c>
      <c r="B448" s="464"/>
      <c r="C448" s="464"/>
      <c r="D448" s="259" t="s">
        <v>1155</v>
      </c>
      <c r="E448" s="1061"/>
      <c r="F448" s="1058"/>
      <c r="G448" s="465"/>
      <c r="H448" s="466"/>
      <c r="I448" s="466"/>
      <c r="J448" s="467"/>
      <c r="K448" s="468"/>
      <c r="L448" s="469"/>
      <c r="M448" s="470"/>
      <c r="N448" s="1020"/>
      <c r="O448" s="689"/>
      <c r="P448" s="690"/>
      <c r="Q448" s="689"/>
    </row>
    <row r="449" spans="1:17" ht="26.4" customHeight="1" x14ac:dyDescent="0.25">
      <c r="A449" s="463">
        <v>6</v>
      </c>
      <c r="B449" s="112" t="s">
        <v>1156</v>
      </c>
      <c r="C449" s="112" t="s">
        <v>1156</v>
      </c>
      <c r="D449" s="471" t="s">
        <v>213</v>
      </c>
      <c r="E449" s="472"/>
      <c r="F449" s="472"/>
      <c r="G449" s="472"/>
      <c r="H449" s="472"/>
      <c r="I449" s="472"/>
      <c r="J449" s="473"/>
      <c r="K449" s="473"/>
      <c r="L449" s="474"/>
      <c r="M449" s="133"/>
      <c r="N449" s="743"/>
      <c r="O449" s="81"/>
      <c r="P449" s="77"/>
      <c r="Q449" s="81"/>
    </row>
    <row r="450" spans="1:17" ht="20.399999999999999" x14ac:dyDescent="0.25">
      <c r="A450" s="463">
        <v>6</v>
      </c>
      <c r="B450" s="262"/>
      <c r="C450" s="475"/>
      <c r="D450" s="476"/>
      <c r="E450" s="247"/>
      <c r="F450" s="974"/>
      <c r="G450" s="251" t="s">
        <v>239</v>
      </c>
      <c r="H450" s="251">
        <f>SUM(H453,H456,H459,H462,H465,H468,H471,H474,H477,H480,H483,H486,)</f>
        <v>212.99999999999997</v>
      </c>
      <c r="I450" s="251">
        <f>SUM(I453,I456,I459,I462,I465,I468,I471,I474,I477,I480,I483,I486,I489)</f>
        <v>723.8</v>
      </c>
      <c r="J450" s="405">
        <f>SUM(J453,J456,J459,J462,J465,J468,J471,J474,J477,J480,J483,J486,J489)</f>
        <v>27.8</v>
      </c>
      <c r="K450" s="405">
        <f t="shared" ref="K450:L450" si="96">SUM(K453,K456,K459,K462,K465,K468,K471,K474,K477,K480,K483,K486,K489)</f>
        <v>100</v>
      </c>
      <c r="L450" s="412">
        <f t="shared" si="96"/>
        <v>50</v>
      </c>
      <c r="M450" s="133"/>
      <c r="N450" s="705"/>
      <c r="O450" s="691"/>
      <c r="P450" s="692"/>
      <c r="Q450" s="693"/>
    </row>
    <row r="451" spans="1:17" ht="20.399999999999999" x14ac:dyDescent="0.25">
      <c r="A451" s="463">
        <v>6</v>
      </c>
      <c r="B451" s="262"/>
      <c r="C451" s="262"/>
      <c r="D451" s="476"/>
      <c r="E451" s="247"/>
      <c r="F451" s="974"/>
      <c r="G451" s="251" t="s">
        <v>240</v>
      </c>
      <c r="H451" s="251">
        <f>SUM(H454,H457,H460,H463,H466,H469,H472,H475,H478,H481,H484)</f>
        <v>1469.8999999999999</v>
      </c>
      <c r="I451" s="251">
        <f>SUM(I454,I457,I460,I463,I466,I469,I472,I475,I478,I481,I484,I490,I487)</f>
        <v>1750.1000000000001</v>
      </c>
      <c r="J451" s="405">
        <f t="shared" ref="J451:L451" si="97">SUM(J454,J457,J460,J463,J466,J469,J472,J475,J478,J481,J484,J490,J487)</f>
        <v>2024.2999999999997</v>
      </c>
      <c r="K451" s="405">
        <f t="shared" si="97"/>
        <v>1999.9999999999998</v>
      </c>
      <c r="L451" s="412">
        <f t="shared" si="97"/>
        <v>1999.9999999999998</v>
      </c>
      <c r="M451" s="133"/>
      <c r="N451" s="705"/>
      <c r="O451" s="693"/>
      <c r="P451" s="692"/>
      <c r="Q451" s="693"/>
    </row>
    <row r="452" spans="1:17" ht="21" customHeight="1" x14ac:dyDescent="0.25">
      <c r="A452" s="463">
        <v>6</v>
      </c>
      <c r="B452" s="262"/>
      <c r="C452" s="262"/>
      <c r="D452" s="476"/>
      <c r="E452" s="247"/>
      <c r="F452" s="974"/>
      <c r="G452" s="252" t="s">
        <v>1157</v>
      </c>
      <c r="H452" s="252"/>
      <c r="I452" s="252">
        <f>I450+I451</f>
        <v>2473.9</v>
      </c>
      <c r="J452" s="406">
        <f t="shared" ref="J452:L452" si="98">J450+J451</f>
        <v>2052.1</v>
      </c>
      <c r="K452" s="406">
        <f t="shared" si="98"/>
        <v>2100</v>
      </c>
      <c r="L452" s="413">
        <f t="shared" si="98"/>
        <v>2050</v>
      </c>
      <c r="M452" s="133"/>
      <c r="N452" s="705"/>
      <c r="O452" s="693"/>
      <c r="P452" s="692"/>
      <c r="Q452" s="693"/>
    </row>
    <row r="453" spans="1:17" ht="24.6" customHeight="1" x14ac:dyDescent="0.25">
      <c r="A453" s="463">
        <v>6</v>
      </c>
      <c r="B453" s="262"/>
      <c r="C453" s="262" t="s">
        <v>1158</v>
      </c>
      <c r="D453" s="476" t="s">
        <v>214</v>
      </c>
      <c r="E453" s="463">
        <v>19</v>
      </c>
      <c r="F453" s="247" t="s">
        <v>215</v>
      </c>
      <c r="G453" s="247" t="s">
        <v>8</v>
      </c>
      <c r="H453" s="478">
        <v>5.5</v>
      </c>
      <c r="I453" s="481">
        <v>6.3</v>
      </c>
      <c r="J453" s="98"/>
      <c r="K453" s="479"/>
      <c r="L453" s="480"/>
      <c r="M453" s="133" t="s">
        <v>616</v>
      </c>
      <c r="N453" s="1137" t="s">
        <v>2013</v>
      </c>
      <c r="O453" s="693" t="s">
        <v>1159</v>
      </c>
      <c r="P453" s="945">
        <v>53.1</v>
      </c>
      <c r="Q453" s="693" t="s">
        <v>724</v>
      </c>
    </row>
    <row r="454" spans="1:17" ht="12.75" customHeight="1" x14ac:dyDescent="0.25">
      <c r="A454" s="463">
        <v>6</v>
      </c>
      <c r="B454" s="262"/>
      <c r="C454" s="262"/>
      <c r="D454" s="476"/>
      <c r="E454" s="463">
        <v>19</v>
      </c>
      <c r="F454" s="247" t="s">
        <v>215</v>
      </c>
      <c r="G454" s="481" t="s">
        <v>216</v>
      </c>
      <c r="H454" s="478">
        <v>48.1</v>
      </c>
      <c r="I454" s="481">
        <v>52.9</v>
      </c>
      <c r="J454" s="98">
        <v>62.5</v>
      </c>
      <c r="K454" s="482">
        <v>62.5</v>
      </c>
      <c r="L454" s="483">
        <v>62.5</v>
      </c>
      <c r="M454" s="133" t="s">
        <v>616</v>
      </c>
      <c r="N454" s="705"/>
      <c r="O454" s="693"/>
      <c r="P454" s="945"/>
      <c r="Q454" s="693" t="s">
        <v>724</v>
      </c>
    </row>
    <row r="455" spans="1:17" ht="13.2" x14ac:dyDescent="0.25">
      <c r="A455" s="463">
        <v>6</v>
      </c>
      <c r="B455" s="262"/>
      <c r="C455" s="262"/>
      <c r="D455" s="476"/>
      <c r="E455" s="463">
        <v>19</v>
      </c>
      <c r="F455" s="247" t="s">
        <v>215</v>
      </c>
      <c r="G455" s="103" t="s">
        <v>492</v>
      </c>
      <c r="H455" s="105">
        <f>SUM(H453:H454)</f>
        <v>53.6</v>
      </c>
      <c r="I455" s="105">
        <f>SUM(I453:I454)</f>
        <v>59.199999999999996</v>
      </c>
      <c r="J455" s="484">
        <f t="shared" ref="J455:L455" si="99">SUM(J453:J454)</f>
        <v>62.5</v>
      </c>
      <c r="K455" s="484">
        <f t="shared" si="99"/>
        <v>62.5</v>
      </c>
      <c r="L455" s="485">
        <f t="shared" si="99"/>
        <v>62.5</v>
      </c>
      <c r="M455" s="133"/>
      <c r="N455" s="705"/>
      <c r="O455" s="695"/>
      <c r="P455" s="719"/>
      <c r="Q455" s="695"/>
    </row>
    <row r="456" spans="1:17" ht="27" customHeight="1" x14ac:dyDescent="0.25">
      <c r="A456" s="463">
        <v>6</v>
      </c>
      <c r="B456" s="262"/>
      <c r="C456" s="262" t="s">
        <v>1160</v>
      </c>
      <c r="D456" s="476" t="s">
        <v>217</v>
      </c>
      <c r="E456" s="463">
        <v>20</v>
      </c>
      <c r="F456" s="247" t="s">
        <v>218</v>
      </c>
      <c r="G456" s="247" t="s">
        <v>8</v>
      </c>
      <c r="H456" s="478">
        <f>13.5</f>
        <v>13.5</v>
      </c>
      <c r="I456" s="481">
        <v>8.8000000000000007</v>
      </c>
      <c r="J456" s="98"/>
      <c r="K456" s="479"/>
      <c r="L456" s="480"/>
      <c r="M456" s="133" t="s">
        <v>616</v>
      </c>
      <c r="N456" s="1137" t="s">
        <v>2011</v>
      </c>
      <c r="O456" s="693" t="s">
        <v>1159</v>
      </c>
      <c r="P456" s="945">
        <v>72.900000000000006</v>
      </c>
      <c r="Q456" s="693" t="s">
        <v>972</v>
      </c>
    </row>
    <row r="457" spans="1:17" ht="12.75" customHeight="1" x14ac:dyDescent="0.25">
      <c r="A457" s="463">
        <v>6</v>
      </c>
      <c r="B457" s="262"/>
      <c r="C457" s="262"/>
      <c r="D457" s="476"/>
      <c r="E457" s="463">
        <v>20</v>
      </c>
      <c r="F457" s="247" t="s">
        <v>218</v>
      </c>
      <c r="G457" s="481" t="s">
        <v>216</v>
      </c>
      <c r="H457" s="478">
        <v>99</v>
      </c>
      <c r="I457" s="481">
        <v>114.9</v>
      </c>
      <c r="J457" s="98">
        <v>135.80000000000001</v>
      </c>
      <c r="K457" s="482">
        <v>135.80000000000001</v>
      </c>
      <c r="L457" s="483">
        <v>135.80000000000001</v>
      </c>
      <c r="M457" s="133" t="s">
        <v>616</v>
      </c>
      <c r="N457" s="705"/>
      <c r="O457" s="693"/>
      <c r="P457" s="945"/>
      <c r="Q457" s="693" t="s">
        <v>972</v>
      </c>
    </row>
    <row r="458" spans="1:17" ht="13.2" x14ac:dyDescent="0.25">
      <c r="A458" s="463">
        <v>6</v>
      </c>
      <c r="B458" s="262"/>
      <c r="C458" s="262"/>
      <c r="D458" s="476"/>
      <c r="E458" s="463">
        <v>20</v>
      </c>
      <c r="F458" s="247" t="s">
        <v>218</v>
      </c>
      <c r="G458" s="103" t="s">
        <v>492</v>
      </c>
      <c r="H458" s="105">
        <f>SUM(H456:H457)</f>
        <v>112.5</v>
      </c>
      <c r="I458" s="105">
        <f>SUM(I456:I457)</f>
        <v>123.7</v>
      </c>
      <c r="J458" s="486">
        <f>SUM(J456:J457)</f>
        <v>135.80000000000001</v>
      </c>
      <c r="K458" s="484">
        <f>SUM(K456:K457)</f>
        <v>135.80000000000001</v>
      </c>
      <c r="L458" s="485">
        <f>SUM(L456:L457)</f>
        <v>135.80000000000001</v>
      </c>
      <c r="M458" s="133"/>
      <c r="N458" s="705"/>
      <c r="O458" s="695"/>
      <c r="P458" s="719"/>
      <c r="Q458" s="695"/>
    </row>
    <row r="459" spans="1:17" ht="29.4" customHeight="1" x14ac:dyDescent="0.25">
      <c r="A459" s="463">
        <v>6</v>
      </c>
      <c r="B459" s="262"/>
      <c r="C459" s="262" t="s">
        <v>1162</v>
      </c>
      <c r="D459" s="476" t="s">
        <v>219</v>
      </c>
      <c r="E459" s="463">
        <v>21</v>
      </c>
      <c r="F459" s="247" t="s">
        <v>220</v>
      </c>
      <c r="G459" s="247" t="s">
        <v>8</v>
      </c>
      <c r="H459" s="478">
        <v>30</v>
      </c>
      <c r="I459" s="481">
        <v>59.8</v>
      </c>
      <c r="J459" s="98"/>
      <c r="K459" s="479"/>
      <c r="L459" s="480"/>
      <c r="M459" s="133" t="s">
        <v>616</v>
      </c>
      <c r="N459" s="1137" t="s">
        <v>1987</v>
      </c>
      <c r="O459" s="693" t="s">
        <v>1159</v>
      </c>
      <c r="P459" s="945">
        <v>119</v>
      </c>
      <c r="Q459" s="693" t="s">
        <v>708</v>
      </c>
    </row>
    <row r="460" spans="1:17" ht="12.75" customHeight="1" x14ac:dyDescent="0.25">
      <c r="A460" s="463">
        <v>6</v>
      </c>
      <c r="B460" s="262"/>
      <c r="C460" s="262"/>
      <c r="D460" s="476"/>
      <c r="E460" s="463">
        <v>21</v>
      </c>
      <c r="F460" s="247" t="s">
        <v>220</v>
      </c>
      <c r="G460" s="481" t="s">
        <v>216</v>
      </c>
      <c r="H460" s="478">
        <v>147.19999999999999</v>
      </c>
      <c r="I460" s="481">
        <v>164</v>
      </c>
      <c r="J460" s="98">
        <v>195.8</v>
      </c>
      <c r="K460" s="482">
        <v>195.8</v>
      </c>
      <c r="L460" s="483">
        <v>195.8</v>
      </c>
      <c r="M460" s="133" t="s">
        <v>616</v>
      </c>
      <c r="N460" s="705"/>
      <c r="O460" s="693"/>
      <c r="P460" s="945"/>
      <c r="Q460" s="693" t="s">
        <v>708</v>
      </c>
    </row>
    <row r="461" spans="1:17" ht="13.2" x14ac:dyDescent="0.25">
      <c r="A461" s="463">
        <v>6</v>
      </c>
      <c r="B461" s="262"/>
      <c r="C461" s="262"/>
      <c r="D461" s="476"/>
      <c r="E461" s="463">
        <v>21</v>
      </c>
      <c r="F461" s="247" t="s">
        <v>220</v>
      </c>
      <c r="G461" s="103" t="s">
        <v>492</v>
      </c>
      <c r="H461" s="105">
        <f>SUM(H459:H460)</f>
        <v>177.2</v>
      </c>
      <c r="I461" s="105">
        <f>SUM(I459:I460)</f>
        <v>223.8</v>
      </c>
      <c r="J461" s="486">
        <f>SUM(J459:J460)</f>
        <v>195.8</v>
      </c>
      <c r="K461" s="484">
        <f>SUM(K459:K460)</f>
        <v>195.8</v>
      </c>
      <c r="L461" s="485">
        <f>SUM(L459:L460)</f>
        <v>195.8</v>
      </c>
      <c r="M461" s="133"/>
      <c r="N461" s="705"/>
      <c r="O461" s="983"/>
      <c r="P461" s="719"/>
      <c r="Q461" s="695"/>
    </row>
    <row r="462" spans="1:17" ht="25.95" customHeight="1" x14ac:dyDescent="0.25">
      <c r="A462" s="463">
        <v>6</v>
      </c>
      <c r="B462" s="262"/>
      <c r="C462" s="262" t="s">
        <v>1163</v>
      </c>
      <c r="D462" s="476" t="s">
        <v>221</v>
      </c>
      <c r="E462" s="463">
        <v>22</v>
      </c>
      <c r="F462" s="247" t="s">
        <v>222</v>
      </c>
      <c r="G462" s="247" t="s">
        <v>8</v>
      </c>
      <c r="H462" s="478">
        <v>9.4</v>
      </c>
      <c r="I462" s="481">
        <v>14.6</v>
      </c>
      <c r="J462" s="98"/>
      <c r="K462" s="479"/>
      <c r="L462" s="480"/>
      <c r="M462" s="133" t="s">
        <v>616</v>
      </c>
      <c r="N462" s="1137" t="s">
        <v>2015</v>
      </c>
      <c r="O462" s="693" t="s">
        <v>1159</v>
      </c>
      <c r="P462" s="945">
        <v>77.900000000000006</v>
      </c>
      <c r="Q462" s="693" t="s">
        <v>742</v>
      </c>
    </row>
    <row r="463" spans="1:17" ht="12.75" customHeight="1" x14ac:dyDescent="0.25">
      <c r="A463" s="463">
        <v>6</v>
      </c>
      <c r="B463" s="262"/>
      <c r="C463" s="262"/>
      <c r="D463" s="476"/>
      <c r="E463" s="463">
        <v>22</v>
      </c>
      <c r="F463" s="247" t="s">
        <v>222</v>
      </c>
      <c r="G463" s="481" t="s">
        <v>216</v>
      </c>
      <c r="H463" s="478">
        <v>69.2</v>
      </c>
      <c r="I463" s="481">
        <v>76.2</v>
      </c>
      <c r="J463" s="98">
        <v>87.7</v>
      </c>
      <c r="K463" s="482">
        <v>87.7</v>
      </c>
      <c r="L463" s="483">
        <v>87.7</v>
      </c>
      <c r="M463" s="133" t="s">
        <v>616</v>
      </c>
      <c r="N463" s="705"/>
      <c r="O463" s="693"/>
      <c r="P463" s="945"/>
      <c r="Q463" s="693" t="s">
        <v>742</v>
      </c>
    </row>
    <row r="464" spans="1:17" ht="13.2" x14ac:dyDescent="0.25">
      <c r="A464" s="463">
        <v>6</v>
      </c>
      <c r="B464" s="262"/>
      <c r="C464" s="262"/>
      <c r="D464" s="476"/>
      <c r="E464" s="463">
        <v>22</v>
      </c>
      <c r="F464" s="247" t="s">
        <v>222</v>
      </c>
      <c r="G464" s="103" t="s">
        <v>492</v>
      </c>
      <c r="H464" s="105">
        <f>SUM(H462:H463)</f>
        <v>78.600000000000009</v>
      </c>
      <c r="I464" s="105">
        <f>SUM(I462:I463)</f>
        <v>90.8</v>
      </c>
      <c r="J464" s="486">
        <f>SUM(J462:J463)</f>
        <v>87.7</v>
      </c>
      <c r="K464" s="484">
        <f>SUM(K462:K463)</f>
        <v>87.7</v>
      </c>
      <c r="L464" s="485">
        <f>SUM(L462:L463)</f>
        <v>87.7</v>
      </c>
      <c r="M464" s="133"/>
      <c r="N464" s="705"/>
      <c r="O464" s="695"/>
      <c r="P464" s="719"/>
      <c r="Q464" s="695"/>
    </row>
    <row r="465" spans="1:17" ht="24" customHeight="1" x14ac:dyDescent="0.25">
      <c r="A465" s="463">
        <v>6</v>
      </c>
      <c r="B465" s="262"/>
      <c r="C465" s="262" t="s">
        <v>1164</v>
      </c>
      <c r="D465" s="476" t="s">
        <v>223</v>
      </c>
      <c r="E465" s="463">
        <v>23</v>
      </c>
      <c r="F465" s="247" t="s">
        <v>224</v>
      </c>
      <c r="G465" s="247" t="s">
        <v>8</v>
      </c>
      <c r="H465" s="478">
        <v>23.6</v>
      </c>
      <c r="I465" s="481">
        <v>123</v>
      </c>
      <c r="J465" s="98">
        <v>10</v>
      </c>
      <c r="K465" s="479"/>
      <c r="L465" s="480"/>
      <c r="M465" s="133" t="s">
        <v>616</v>
      </c>
      <c r="N465" s="1137" t="s">
        <v>2010</v>
      </c>
      <c r="O465" s="693" t="s">
        <v>1159</v>
      </c>
      <c r="P465" s="945">
        <v>65.599999999999994</v>
      </c>
      <c r="Q465" s="693" t="s">
        <v>632</v>
      </c>
    </row>
    <row r="466" spans="1:17" ht="12.75" customHeight="1" x14ac:dyDescent="0.25">
      <c r="A466" s="463">
        <v>6</v>
      </c>
      <c r="B466" s="262"/>
      <c r="C466" s="262"/>
      <c r="D466" s="476"/>
      <c r="E466" s="463">
        <v>23</v>
      </c>
      <c r="F466" s="247" t="s">
        <v>224</v>
      </c>
      <c r="G466" s="481" t="s">
        <v>216</v>
      </c>
      <c r="H466" s="478">
        <v>208.9</v>
      </c>
      <c r="I466" s="481">
        <v>224</v>
      </c>
      <c r="J466" s="98">
        <v>258.2</v>
      </c>
      <c r="K466" s="482">
        <v>258.2</v>
      </c>
      <c r="L466" s="483">
        <v>258.2</v>
      </c>
      <c r="M466" s="133" t="s">
        <v>616</v>
      </c>
      <c r="N466" s="705"/>
      <c r="O466" s="693"/>
      <c r="P466" s="945"/>
      <c r="Q466" s="693" t="s">
        <v>632</v>
      </c>
    </row>
    <row r="467" spans="1:17" ht="13.2" x14ac:dyDescent="0.25">
      <c r="A467" s="463">
        <v>6</v>
      </c>
      <c r="B467" s="262"/>
      <c r="C467" s="262"/>
      <c r="D467" s="476"/>
      <c r="E467" s="463">
        <v>23</v>
      </c>
      <c r="F467" s="247" t="s">
        <v>224</v>
      </c>
      <c r="G467" s="103" t="s">
        <v>492</v>
      </c>
      <c r="H467" s="105">
        <f>SUM(H465:H466)</f>
        <v>232.5</v>
      </c>
      <c r="I467" s="105">
        <f>SUM(I465:I466)</f>
        <v>347</v>
      </c>
      <c r="J467" s="486">
        <f>SUM(J465:J466)</f>
        <v>268.2</v>
      </c>
      <c r="K467" s="484">
        <f>SUM(K465:K466)</f>
        <v>258.2</v>
      </c>
      <c r="L467" s="485">
        <f>SUM(L465:L466)</f>
        <v>258.2</v>
      </c>
      <c r="M467" s="133"/>
      <c r="N467" s="705"/>
      <c r="O467" s="695"/>
      <c r="P467" s="719"/>
      <c r="Q467" s="695"/>
    </row>
    <row r="468" spans="1:17" ht="25.2" customHeight="1" x14ac:dyDescent="0.25">
      <c r="A468" s="463">
        <v>6</v>
      </c>
      <c r="B468" s="262"/>
      <c r="C468" s="262" t="s">
        <v>1166</v>
      </c>
      <c r="D468" s="476" t="s">
        <v>225</v>
      </c>
      <c r="E468" s="463">
        <v>24</v>
      </c>
      <c r="F468" s="247" t="s">
        <v>226</v>
      </c>
      <c r="G468" s="247" t="s">
        <v>8</v>
      </c>
      <c r="H468" s="478">
        <f>4.8</f>
        <v>4.8</v>
      </c>
      <c r="I468" s="481">
        <v>0.4</v>
      </c>
      <c r="J468" s="98"/>
      <c r="K468" s="479"/>
      <c r="L468" s="480"/>
      <c r="M468" s="133" t="s">
        <v>616</v>
      </c>
      <c r="N468" s="1137" t="s">
        <v>2014</v>
      </c>
      <c r="O468" s="693" t="s">
        <v>1159</v>
      </c>
      <c r="P468" s="945">
        <v>42.4</v>
      </c>
      <c r="Q468" s="693" t="s">
        <v>827</v>
      </c>
    </row>
    <row r="469" spans="1:17" ht="12.75" customHeight="1" x14ac:dyDescent="0.25">
      <c r="A469" s="463">
        <v>6</v>
      </c>
      <c r="B469" s="262"/>
      <c r="C469" s="262"/>
      <c r="D469" s="476"/>
      <c r="E469" s="463">
        <v>24</v>
      </c>
      <c r="F469" s="247" t="s">
        <v>226</v>
      </c>
      <c r="G469" s="481" t="s">
        <v>216</v>
      </c>
      <c r="H469" s="478">
        <v>35</v>
      </c>
      <c r="I469" s="481">
        <v>38.799999999999997</v>
      </c>
      <c r="J469" s="98">
        <v>45.7</v>
      </c>
      <c r="K469" s="482">
        <v>45.7</v>
      </c>
      <c r="L469" s="483">
        <v>45.7</v>
      </c>
      <c r="M469" s="133" t="s">
        <v>616</v>
      </c>
      <c r="N469" s="705"/>
      <c r="O469" s="693"/>
      <c r="P469" s="945"/>
      <c r="Q469" s="693" t="s">
        <v>827</v>
      </c>
    </row>
    <row r="470" spans="1:17" ht="13.2" x14ac:dyDescent="0.25">
      <c r="A470" s="463">
        <v>6</v>
      </c>
      <c r="B470" s="262"/>
      <c r="C470" s="262"/>
      <c r="D470" s="476"/>
      <c r="E470" s="463">
        <v>24</v>
      </c>
      <c r="F470" s="247" t="s">
        <v>226</v>
      </c>
      <c r="G470" s="103" t="s">
        <v>492</v>
      </c>
      <c r="H470" s="105">
        <f>SUM(H468:H469)</f>
        <v>39.799999999999997</v>
      </c>
      <c r="I470" s="105">
        <f>SUM(I468:I469)</f>
        <v>39.199999999999996</v>
      </c>
      <c r="J470" s="486">
        <f>SUM(J468:J469)</f>
        <v>45.7</v>
      </c>
      <c r="K470" s="484">
        <f>SUM(K468:K469)</f>
        <v>45.7</v>
      </c>
      <c r="L470" s="485">
        <f>SUM(L468:L469)</f>
        <v>45.7</v>
      </c>
      <c r="M470" s="133"/>
      <c r="N470" s="705"/>
      <c r="O470" s="695"/>
      <c r="P470" s="719"/>
      <c r="Q470" s="695"/>
    </row>
    <row r="471" spans="1:17" ht="28.2" customHeight="1" x14ac:dyDescent="0.25">
      <c r="A471" s="463">
        <v>6</v>
      </c>
      <c r="B471" s="262"/>
      <c r="C471" s="262" t="s">
        <v>1167</v>
      </c>
      <c r="D471" s="476" t="s">
        <v>227</v>
      </c>
      <c r="E471" s="463">
        <v>25</v>
      </c>
      <c r="F471" s="247" t="s">
        <v>228</v>
      </c>
      <c r="G471" s="247" t="s">
        <v>8</v>
      </c>
      <c r="H471" s="478">
        <v>21.3</v>
      </c>
      <c r="I471" s="481">
        <v>22</v>
      </c>
      <c r="J471" s="98"/>
      <c r="K471" s="479"/>
      <c r="L471" s="480"/>
      <c r="M471" s="133" t="s">
        <v>616</v>
      </c>
      <c r="N471" s="1137" t="s">
        <v>2012</v>
      </c>
      <c r="O471" s="693" t="s">
        <v>1159</v>
      </c>
      <c r="P471" s="945">
        <v>139.30000000000001</v>
      </c>
      <c r="Q471" s="693" t="s">
        <v>720</v>
      </c>
    </row>
    <row r="472" spans="1:17" ht="12.75" customHeight="1" x14ac:dyDescent="0.25">
      <c r="A472" s="463">
        <v>6</v>
      </c>
      <c r="B472" s="262"/>
      <c r="C472" s="262"/>
      <c r="D472" s="476"/>
      <c r="E472" s="463">
        <v>25</v>
      </c>
      <c r="F472" s="247" t="s">
        <v>228</v>
      </c>
      <c r="G472" s="481" t="s">
        <v>216</v>
      </c>
      <c r="H472" s="478">
        <v>156.19999999999999</v>
      </c>
      <c r="I472" s="481">
        <v>177.2</v>
      </c>
      <c r="J472" s="98">
        <v>209.8</v>
      </c>
      <c r="K472" s="482">
        <v>209.8</v>
      </c>
      <c r="L472" s="483">
        <v>209.8</v>
      </c>
      <c r="M472" s="133" t="s">
        <v>616</v>
      </c>
      <c r="N472" s="705"/>
      <c r="O472" s="693"/>
      <c r="P472" s="945"/>
      <c r="Q472" s="693" t="s">
        <v>720</v>
      </c>
    </row>
    <row r="473" spans="1:17" ht="13.2" x14ac:dyDescent="0.25">
      <c r="A473" s="463">
        <v>6</v>
      </c>
      <c r="B473" s="262"/>
      <c r="C473" s="262"/>
      <c r="D473" s="476"/>
      <c r="E473" s="463">
        <v>25</v>
      </c>
      <c r="F473" s="247" t="s">
        <v>228</v>
      </c>
      <c r="G473" s="103" t="s">
        <v>492</v>
      </c>
      <c r="H473" s="105">
        <f>SUM(H471:H472)</f>
        <v>177.5</v>
      </c>
      <c r="I473" s="105">
        <f>SUM(I471:I472)</f>
        <v>199.2</v>
      </c>
      <c r="J473" s="486">
        <f>SUM(J471:J472)</f>
        <v>209.8</v>
      </c>
      <c r="K473" s="484">
        <f>SUM(K471:K472)</f>
        <v>209.8</v>
      </c>
      <c r="L473" s="485">
        <f>SUM(L471:L472)</f>
        <v>209.8</v>
      </c>
      <c r="M473" s="133"/>
      <c r="N473" s="705"/>
      <c r="O473" s="695"/>
      <c r="P473" s="719"/>
      <c r="Q473" s="695"/>
    </row>
    <row r="474" spans="1:17" ht="26.4" customHeight="1" x14ac:dyDescent="0.25">
      <c r="A474" s="463">
        <v>6</v>
      </c>
      <c r="B474" s="262"/>
      <c r="C474" s="262" t="s">
        <v>1168</v>
      </c>
      <c r="D474" s="476" t="s">
        <v>229</v>
      </c>
      <c r="E474" s="463">
        <v>26</v>
      </c>
      <c r="F474" s="247" t="s">
        <v>230</v>
      </c>
      <c r="G474" s="247" t="s">
        <v>8</v>
      </c>
      <c r="H474" s="478">
        <v>6.8</v>
      </c>
      <c r="I474" s="481">
        <v>45.5</v>
      </c>
      <c r="J474" s="98"/>
      <c r="K474" s="479"/>
      <c r="L474" s="480"/>
      <c r="M474" s="133" t="s">
        <v>616</v>
      </c>
      <c r="N474" s="1137" t="s">
        <v>2016</v>
      </c>
      <c r="O474" s="693" t="s">
        <v>1159</v>
      </c>
      <c r="P474" s="945">
        <v>144.30000000000001</v>
      </c>
      <c r="Q474" s="693" t="s">
        <v>712</v>
      </c>
    </row>
    <row r="475" spans="1:17" ht="12.75" customHeight="1" x14ac:dyDescent="0.25">
      <c r="A475" s="463">
        <v>6</v>
      </c>
      <c r="B475" s="262"/>
      <c r="C475" s="262"/>
      <c r="D475" s="476"/>
      <c r="E475" s="463">
        <v>26</v>
      </c>
      <c r="F475" s="247" t="s">
        <v>230</v>
      </c>
      <c r="G475" s="481" t="s">
        <v>216</v>
      </c>
      <c r="H475" s="478">
        <v>205.6</v>
      </c>
      <c r="I475" s="481">
        <v>228.7</v>
      </c>
      <c r="J475" s="98">
        <v>270.2</v>
      </c>
      <c r="K475" s="482">
        <v>270.2</v>
      </c>
      <c r="L475" s="483">
        <v>270.2</v>
      </c>
      <c r="M475" s="133" t="s">
        <v>616</v>
      </c>
      <c r="N475" s="705"/>
      <c r="O475" s="693"/>
      <c r="P475" s="945"/>
      <c r="Q475" s="693" t="s">
        <v>712</v>
      </c>
    </row>
    <row r="476" spans="1:17" ht="13.2" x14ac:dyDescent="0.25">
      <c r="A476" s="463">
        <v>6</v>
      </c>
      <c r="B476" s="262"/>
      <c r="C476" s="262"/>
      <c r="D476" s="476"/>
      <c r="E476" s="463">
        <v>26</v>
      </c>
      <c r="F476" s="247" t="s">
        <v>230</v>
      </c>
      <c r="G476" s="103" t="s">
        <v>492</v>
      </c>
      <c r="H476" s="105">
        <f>SUM(H474:H475)</f>
        <v>212.4</v>
      </c>
      <c r="I476" s="105">
        <f>SUM(I474:I475)</f>
        <v>274.2</v>
      </c>
      <c r="J476" s="486">
        <f>SUM(J474:J475)</f>
        <v>270.2</v>
      </c>
      <c r="K476" s="484">
        <f>SUM(K474:K475)</f>
        <v>270.2</v>
      </c>
      <c r="L476" s="485">
        <f>SUM(L474:L475)</f>
        <v>270.2</v>
      </c>
      <c r="M476" s="133"/>
      <c r="N476" s="705"/>
      <c r="O476" s="695"/>
      <c r="P476" s="719"/>
      <c r="Q476" s="695"/>
    </row>
    <row r="477" spans="1:17" ht="25.2" customHeight="1" x14ac:dyDescent="0.25">
      <c r="A477" s="463">
        <v>6</v>
      </c>
      <c r="B477" s="262"/>
      <c r="C477" s="262" t="s">
        <v>1169</v>
      </c>
      <c r="D477" s="476" t="s">
        <v>231</v>
      </c>
      <c r="E477" s="463">
        <v>27</v>
      </c>
      <c r="F477" s="247" t="s">
        <v>232</v>
      </c>
      <c r="G477" s="247" t="s">
        <v>8</v>
      </c>
      <c r="H477" s="478">
        <v>31.9</v>
      </c>
      <c r="I477" s="481">
        <v>95.1</v>
      </c>
      <c r="J477" s="98">
        <v>17.8</v>
      </c>
      <c r="K477" s="479"/>
      <c r="L477" s="480"/>
      <c r="M477" s="133" t="s">
        <v>616</v>
      </c>
      <c r="N477" s="1137" t="s">
        <v>2017</v>
      </c>
      <c r="O477" s="693" t="s">
        <v>1159</v>
      </c>
      <c r="P477" s="945">
        <v>87.8</v>
      </c>
      <c r="Q477" s="693" t="s">
        <v>692</v>
      </c>
    </row>
    <row r="478" spans="1:17" ht="12.75" customHeight="1" x14ac:dyDescent="0.25">
      <c r="A478" s="463">
        <v>6</v>
      </c>
      <c r="B478" s="262"/>
      <c r="C478" s="262"/>
      <c r="D478" s="476"/>
      <c r="E478" s="463">
        <v>27</v>
      </c>
      <c r="F478" s="247" t="s">
        <v>232</v>
      </c>
      <c r="G478" s="481" t="s">
        <v>216</v>
      </c>
      <c r="H478" s="478">
        <v>234.6</v>
      </c>
      <c r="I478" s="481">
        <v>279</v>
      </c>
      <c r="J478" s="98">
        <v>339.9</v>
      </c>
      <c r="K478" s="482">
        <v>339.9</v>
      </c>
      <c r="L478" s="483">
        <v>339.9</v>
      </c>
      <c r="M478" s="133" t="s">
        <v>616</v>
      </c>
      <c r="N478" s="705"/>
      <c r="O478" s="693"/>
      <c r="P478" s="945"/>
      <c r="Q478" s="693" t="s">
        <v>692</v>
      </c>
    </row>
    <row r="479" spans="1:17" ht="13.2" x14ac:dyDescent="0.25">
      <c r="A479" s="463">
        <v>6</v>
      </c>
      <c r="B479" s="262"/>
      <c r="C479" s="262"/>
      <c r="D479" s="476"/>
      <c r="E479" s="463">
        <v>27</v>
      </c>
      <c r="F479" s="247" t="s">
        <v>232</v>
      </c>
      <c r="G479" s="103" t="s">
        <v>492</v>
      </c>
      <c r="H479" s="105">
        <f>SUM(H477:H478)</f>
        <v>266.5</v>
      </c>
      <c r="I479" s="105">
        <f>SUM(I477:I478)</f>
        <v>374.1</v>
      </c>
      <c r="J479" s="486">
        <f>SUM(J477:J478)</f>
        <v>357.7</v>
      </c>
      <c r="K479" s="484">
        <f>SUM(K477:K478)</f>
        <v>339.9</v>
      </c>
      <c r="L479" s="485">
        <f>SUM(L477:L478)</f>
        <v>339.9</v>
      </c>
      <c r="M479" s="133"/>
      <c r="N479" s="705"/>
      <c r="O479" s="695"/>
      <c r="P479" s="719"/>
      <c r="Q479" s="695"/>
    </row>
    <row r="480" spans="1:17" ht="32.4" customHeight="1" x14ac:dyDescent="0.25">
      <c r="A480" s="463">
        <v>6</v>
      </c>
      <c r="B480" s="262"/>
      <c r="C480" s="262" t="s">
        <v>1170</v>
      </c>
      <c r="D480" s="476" t="s">
        <v>233</v>
      </c>
      <c r="E480" s="463">
        <v>28</v>
      </c>
      <c r="F480" s="247" t="s">
        <v>234</v>
      </c>
      <c r="G480" s="247" t="s">
        <v>8</v>
      </c>
      <c r="H480" s="478">
        <v>15.6</v>
      </c>
      <c r="I480" s="481">
        <v>36.1</v>
      </c>
      <c r="J480" s="98"/>
      <c r="K480" s="479"/>
      <c r="L480" s="480"/>
      <c r="M480" s="133" t="s">
        <v>616</v>
      </c>
      <c r="N480" s="1137" t="s">
        <v>2018</v>
      </c>
      <c r="O480" s="693" t="s">
        <v>1159</v>
      </c>
      <c r="P480" s="945">
        <v>127.5</v>
      </c>
      <c r="Q480" s="693" t="s">
        <v>704</v>
      </c>
    </row>
    <row r="481" spans="1:17" ht="12.75" customHeight="1" x14ac:dyDescent="0.25">
      <c r="A481" s="463">
        <v>6</v>
      </c>
      <c r="B481" s="262"/>
      <c r="C481" s="262"/>
      <c r="D481" s="476"/>
      <c r="E481" s="463">
        <v>28</v>
      </c>
      <c r="F481" s="247" t="s">
        <v>234</v>
      </c>
      <c r="G481" s="481" t="s">
        <v>216</v>
      </c>
      <c r="H481" s="478">
        <v>114.5</v>
      </c>
      <c r="I481" s="481">
        <v>126.5</v>
      </c>
      <c r="J481" s="98">
        <v>148.30000000000001</v>
      </c>
      <c r="K481" s="482">
        <v>148.30000000000001</v>
      </c>
      <c r="L481" s="483">
        <v>148.30000000000001</v>
      </c>
      <c r="M481" s="133" t="s">
        <v>616</v>
      </c>
      <c r="N481" s="705"/>
      <c r="O481" s="693"/>
      <c r="P481" s="945"/>
      <c r="Q481" s="693" t="s">
        <v>704</v>
      </c>
    </row>
    <row r="482" spans="1:17" ht="13.2" x14ac:dyDescent="0.25">
      <c r="A482" s="463">
        <v>6</v>
      </c>
      <c r="B482" s="262"/>
      <c r="C482" s="262"/>
      <c r="D482" s="476"/>
      <c r="E482" s="463">
        <v>28</v>
      </c>
      <c r="F482" s="247" t="s">
        <v>234</v>
      </c>
      <c r="G482" s="103" t="s">
        <v>492</v>
      </c>
      <c r="H482" s="105">
        <f>SUM(H480:H481)</f>
        <v>130.1</v>
      </c>
      <c r="I482" s="105">
        <f>SUM(I480:I481)</f>
        <v>162.6</v>
      </c>
      <c r="J482" s="486">
        <f>SUM(J480:J481)</f>
        <v>148.30000000000001</v>
      </c>
      <c r="K482" s="484">
        <f>SUM(K480:K481)</f>
        <v>148.30000000000001</v>
      </c>
      <c r="L482" s="485">
        <f>SUM(L480:L481)</f>
        <v>148.30000000000001</v>
      </c>
      <c r="M482" s="133"/>
      <c r="N482" s="705"/>
      <c r="O482" s="695"/>
      <c r="P482" s="719"/>
      <c r="Q482" s="695"/>
    </row>
    <row r="483" spans="1:17" ht="29.4" customHeight="1" x14ac:dyDescent="0.25">
      <c r="A483" s="463">
        <v>6</v>
      </c>
      <c r="B483" s="262"/>
      <c r="C483" s="262" t="s">
        <v>1171</v>
      </c>
      <c r="D483" s="476" t="s">
        <v>235</v>
      </c>
      <c r="E483" s="463">
        <v>29</v>
      </c>
      <c r="F483" s="247" t="s">
        <v>236</v>
      </c>
      <c r="G483" s="247" t="s">
        <v>8</v>
      </c>
      <c r="H483" s="478">
        <v>20.6</v>
      </c>
      <c r="I483" s="481">
        <v>25.5</v>
      </c>
      <c r="J483" s="98"/>
      <c r="K483" s="479"/>
      <c r="L483" s="480"/>
      <c r="M483" s="133" t="s">
        <v>616</v>
      </c>
      <c r="N483" s="1137" t="s">
        <v>2019</v>
      </c>
      <c r="O483" s="693" t="s">
        <v>1159</v>
      </c>
      <c r="P483" s="945">
        <v>153.4</v>
      </c>
      <c r="Q483" s="693" t="s">
        <v>719</v>
      </c>
    </row>
    <row r="484" spans="1:17" ht="12.75" customHeight="1" x14ac:dyDescent="0.25">
      <c r="A484" s="463">
        <v>6</v>
      </c>
      <c r="B484" s="262"/>
      <c r="C484" s="262"/>
      <c r="D484" s="476"/>
      <c r="E484" s="463">
        <v>29</v>
      </c>
      <c r="F484" s="247" t="s">
        <v>236</v>
      </c>
      <c r="G484" s="481" t="s">
        <v>216</v>
      </c>
      <c r="H484" s="478">
        <v>151.6</v>
      </c>
      <c r="I484" s="481">
        <v>167.9</v>
      </c>
      <c r="J484" s="98">
        <v>196.1</v>
      </c>
      <c r="K484" s="482">
        <v>196.1</v>
      </c>
      <c r="L484" s="483">
        <v>196.1</v>
      </c>
      <c r="M484" s="133" t="s">
        <v>616</v>
      </c>
      <c r="N484" s="705"/>
      <c r="O484" s="693"/>
      <c r="P484" s="945"/>
      <c r="Q484" s="693" t="s">
        <v>719</v>
      </c>
    </row>
    <row r="485" spans="1:17" ht="13.2" x14ac:dyDescent="0.25">
      <c r="A485" s="463">
        <v>6</v>
      </c>
      <c r="B485" s="262"/>
      <c r="C485" s="262"/>
      <c r="D485" s="476"/>
      <c r="E485" s="463">
        <v>29</v>
      </c>
      <c r="F485" s="247" t="s">
        <v>236</v>
      </c>
      <c r="G485" s="103" t="s">
        <v>492</v>
      </c>
      <c r="H485" s="105">
        <f>SUM(H483:H484)</f>
        <v>172.2</v>
      </c>
      <c r="I485" s="105">
        <f>SUM(I483:I484)</f>
        <v>193.4</v>
      </c>
      <c r="J485" s="486">
        <f>SUM(J483:J484)</f>
        <v>196.1</v>
      </c>
      <c r="K485" s="484">
        <f>SUM(K483:K484)</f>
        <v>196.1</v>
      </c>
      <c r="L485" s="485">
        <f>SUM(L483:L484)</f>
        <v>196.1</v>
      </c>
      <c r="M485" s="133"/>
      <c r="N485" s="705"/>
      <c r="O485" s="695"/>
      <c r="P485" s="719"/>
      <c r="Q485" s="695"/>
    </row>
    <row r="486" spans="1:17" ht="38.4" customHeight="1" x14ac:dyDescent="0.25">
      <c r="A486" s="463">
        <v>6</v>
      </c>
      <c r="B486" s="262"/>
      <c r="C486" s="262" t="s">
        <v>1172</v>
      </c>
      <c r="D486" s="205" t="s">
        <v>237</v>
      </c>
      <c r="E486" s="463">
        <v>9</v>
      </c>
      <c r="F486" s="247" t="s">
        <v>238</v>
      </c>
      <c r="G486" s="247" t="s">
        <v>8</v>
      </c>
      <c r="H486" s="478">
        <v>30</v>
      </c>
      <c r="I486" s="481">
        <v>50</v>
      </c>
      <c r="J486" s="98"/>
      <c r="K486" s="482"/>
      <c r="L486" s="483"/>
      <c r="M486" s="133" t="s">
        <v>616</v>
      </c>
      <c r="N486" s="1137" t="s">
        <v>1811</v>
      </c>
      <c r="O486" s="693" t="s">
        <v>1173</v>
      </c>
      <c r="P486" s="946">
        <v>100</v>
      </c>
      <c r="Q486" s="693"/>
    </row>
    <row r="487" spans="1:17" ht="12.75" customHeight="1" x14ac:dyDescent="0.25">
      <c r="A487" s="463">
        <v>6</v>
      </c>
      <c r="B487" s="262"/>
      <c r="C487" s="262"/>
      <c r="D487" s="205"/>
      <c r="E487" s="463">
        <v>9</v>
      </c>
      <c r="F487" s="247" t="s">
        <v>238</v>
      </c>
      <c r="G487" s="247" t="s">
        <v>216</v>
      </c>
      <c r="H487" s="478"/>
      <c r="I487" s="481"/>
      <c r="J487" s="98">
        <v>50</v>
      </c>
      <c r="K487" s="482">
        <v>50</v>
      </c>
      <c r="L487" s="483">
        <v>50</v>
      </c>
      <c r="M487" s="133"/>
      <c r="N487" s="1137" t="s">
        <v>1811</v>
      </c>
      <c r="O487" s="693"/>
      <c r="P487" s="946"/>
      <c r="Q487" s="693"/>
    </row>
    <row r="488" spans="1:17" ht="13.2" x14ac:dyDescent="0.25">
      <c r="A488" s="463">
        <v>6</v>
      </c>
      <c r="B488" s="262"/>
      <c r="C488" s="262"/>
      <c r="D488" s="476"/>
      <c r="E488" s="463"/>
      <c r="F488" s="247" t="s">
        <v>238</v>
      </c>
      <c r="G488" s="103" t="s">
        <v>492</v>
      </c>
      <c r="H488" s="105">
        <f>SUM(H486)</f>
        <v>30</v>
      </c>
      <c r="I488" s="105">
        <f>SUM(I486:I487)</f>
        <v>50</v>
      </c>
      <c r="J488" s="484">
        <f t="shared" ref="J488:L488" si="100">SUM(J486:J487)</f>
        <v>50</v>
      </c>
      <c r="K488" s="484">
        <f t="shared" si="100"/>
        <v>50</v>
      </c>
      <c r="L488" s="485">
        <f t="shared" si="100"/>
        <v>50</v>
      </c>
      <c r="M488" s="133"/>
      <c r="N488" s="705"/>
      <c r="O488" s="695"/>
      <c r="P488" s="719"/>
      <c r="Q488" s="697"/>
    </row>
    <row r="489" spans="1:17" ht="19.2" customHeight="1" x14ac:dyDescent="0.25">
      <c r="A489" s="463">
        <v>6</v>
      </c>
      <c r="B489" s="487"/>
      <c r="C489" s="262" t="s">
        <v>1174</v>
      </c>
      <c r="D489" s="488" t="s">
        <v>1175</v>
      </c>
      <c r="E489" s="463" t="s">
        <v>2020</v>
      </c>
      <c r="F489" s="247" t="s">
        <v>243</v>
      </c>
      <c r="G489" s="247" t="s">
        <v>8</v>
      </c>
      <c r="H489" s="247"/>
      <c r="I489" s="889">
        <v>236.7</v>
      </c>
      <c r="J489" s="98">
        <f>100-50-50</f>
        <v>0</v>
      </c>
      <c r="K489" s="489">
        <v>100</v>
      </c>
      <c r="L489" s="490">
        <v>50</v>
      </c>
      <c r="M489" s="133" t="s">
        <v>629</v>
      </c>
      <c r="N489" s="1022" t="s">
        <v>2021</v>
      </c>
      <c r="O489" s="693" t="s">
        <v>1176</v>
      </c>
      <c r="P489" s="947">
        <v>100</v>
      </c>
      <c r="Q489" s="57"/>
    </row>
    <row r="490" spans="1:17" ht="12.75" customHeight="1" x14ac:dyDescent="0.25">
      <c r="A490" s="463">
        <v>6</v>
      </c>
      <c r="B490" s="487"/>
      <c r="C490" s="487"/>
      <c r="D490" s="476"/>
      <c r="E490" s="463" t="s">
        <v>2020</v>
      </c>
      <c r="F490" s="247" t="s">
        <v>243</v>
      </c>
      <c r="G490" s="481" t="s">
        <v>216</v>
      </c>
      <c r="H490" s="478">
        <v>100</v>
      </c>
      <c r="I490" s="481">
        <v>100</v>
      </c>
      <c r="J490" s="98">
        <f>161.7-100-37.4</f>
        <v>24.29999999999999</v>
      </c>
      <c r="K490" s="482"/>
      <c r="L490" s="483"/>
      <c r="M490" s="133" t="s">
        <v>629</v>
      </c>
      <c r="N490" s="1022"/>
      <c r="O490" s="693"/>
      <c r="P490" s="692"/>
      <c r="Q490" s="698"/>
    </row>
    <row r="491" spans="1:17" ht="13.2" x14ac:dyDescent="0.25">
      <c r="A491" s="463">
        <v>6</v>
      </c>
      <c r="B491" s="487"/>
      <c r="C491" s="487"/>
      <c r="D491" s="476"/>
      <c r="E491" s="463"/>
      <c r="F491" s="247" t="s">
        <v>243</v>
      </c>
      <c r="G491" s="103" t="s">
        <v>492</v>
      </c>
      <c r="H491" s="105">
        <f>SUM(H489:H490)</f>
        <v>100</v>
      </c>
      <c r="I491" s="105">
        <f>SUM(I489:I490)</f>
        <v>336.7</v>
      </c>
      <c r="J491" s="484">
        <f>SUM(J489:J490)</f>
        <v>24.29999999999999</v>
      </c>
      <c r="K491" s="484">
        <f t="shared" ref="K491:L491" si="101">SUM(K489:K490)</f>
        <v>100</v>
      </c>
      <c r="L491" s="485">
        <f t="shared" si="101"/>
        <v>50</v>
      </c>
      <c r="M491" s="133"/>
      <c r="N491" s="705"/>
      <c r="O491" s="695"/>
      <c r="P491" s="696"/>
      <c r="Q491" s="695"/>
    </row>
    <row r="492" spans="1:17" ht="25.2" customHeight="1" x14ac:dyDescent="0.25">
      <c r="A492" s="463">
        <v>6</v>
      </c>
      <c r="B492" s="464"/>
      <c r="C492" s="464"/>
      <c r="D492" s="259" t="s">
        <v>1177</v>
      </c>
      <c r="E492" s="1062"/>
      <c r="F492" s="491"/>
      <c r="G492" s="491"/>
      <c r="H492" s="492"/>
      <c r="I492" s="492"/>
      <c r="J492" s="493"/>
      <c r="K492" s="493"/>
      <c r="L492" s="494"/>
      <c r="M492" s="470"/>
      <c r="N492" s="1145"/>
      <c r="O492" s="253"/>
      <c r="P492" s="254"/>
      <c r="Q492" s="253"/>
    </row>
    <row r="493" spans="1:17" ht="30.6" customHeight="1" x14ac:dyDescent="0.25">
      <c r="A493" s="463">
        <v>6</v>
      </c>
      <c r="B493" s="112" t="s">
        <v>1178</v>
      </c>
      <c r="C493" s="112" t="s">
        <v>1178</v>
      </c>
      <c r="D493" s="471" t="s">
        <v>1179</v>
      </c>
      <c r="E493" s="472"/>
      <c r="F493" s="472"/>
      <c r="G493" s="472"/>
      <c r="H493" s="472"/>
      <c r="I493" s="472"/>
      <c r="J493" s="473"/>
      <c r="K493" s="473"/>
      <c r="L493" s="474"/>
      <c r="M493" s="133"/>
      <c r="N493" s="705"/>
      <c r="O493" s="695"/>
      <c r="P493" s="696"/>
      <c r="Q493" s="695"/>
    </row>
    <row r="494" spans="1:17" ht="24.6" customHeight="1" x14ac:dyDescent="0.25">
      <c r="A494" s="463">
        <v>6</v>
      </c>
      <c r="B494" s="262"/>
      <c r="C494" s="475"/>
      <c r="D494" s="476"/>
      <c r="E494" s="247"/>
      <c r="F494" s="974"/>
      <c r="G494" s="251" t="s">
        <v>239</v>
      </c>
      <c r="H494" s="251" t="e">
        <f>SUM(H505,#REF!,#REF!,#REF!,H507,H510,#REF!,#REF!,#REF!,#REF!,#REF!,#REF!,)</f>
        <v>#REF!</v>
      </c>
      <c r="I494" s="251" t="e">
        <f>SUM(I505,I508,I509,I510,I511,I512,#REF!,I532,I513,I514,I516,I524,I526,I527,I507,I503,I504,#REF!,I533,I534)</f>
        <v>#REF!</v>
      </c>
      <c r="J494" s="405">
        <f>SUM(J505,J508,J509,J510,J511,J512,J532,J513,J514,J516,J524,J526,J527,J507,J503,J504,J533,J534,J523,J528)</f>
        <v>3943.8</v>
      </c>
      <c r="K494" s="405" t="e">
        <f>SUM(K505,K508,K509,K510,K511,K512,#REF!,K532,K513,K514,K516,K524,K526,K527,K507,K503,K504,#REF!,K533,K534)</f>
        <v>#REF!</v>
      </c>
      <c r="L494" s="412" t="e">
        <f>SUM(L505,L508,L509,L510,L511,L512,#REF!,L532,L513,L514,L516,L524,L526,L527,L507,L503,L504,#REF!,L533,L534)</f>
        <v>#REF!</v>
      </c>
      <c r="M494" s="133"/>
      <c r="N494" s="705"/>
      <c r="O494" s="699"/>
      <c r="P494" s="948"/>
      <c r="Q494" s="379"/>
    </row>
    <row r="495" spans="1:17" ht="12.75" customHeight="1" x14ac:dyDescent="0.25">
      <c r="A495" s="463">
        <v>6</v>
      </c>
      <c r="B495" s="262"/>
      <c r="C495" s="475"/>
      <c r="D495" s="476"/>
      <c r="E495" s="247"/>
      <c r="F495" s="974"/>
      <c r="G495" s="251" t="s">
        <v>11</v>
      </c>
      <c r="H495" s="251"/>
      <c r="I495" s="251">
        <f>SUM(I506,I515,I517,I535)</f>
        <v>1540.8</v>
      </c>
      <c r="J495" s="405">
        <f>SUM(J506,J515,J517,J535)</f>
        <v>48.9</v>
      </c>
      <c r="K495" s="405">
        <f>SUM(K506,K515,K517,K535)</f>
        <v>0</v>
      </c>
      <c r="L495" s="412">
        <f>SUM(L506,L515,L517,L535)</f>
        <v>610</v>
      </c>
      <c r="M495" s="133"/>
      <c r="N495" s="1023"/>
      <c r="O495" s="700"/>
      <c r="P495" s="949"/>
      <c r="Q495" s="377"/>
    </row>
    <row r="496" spans="1:17" ht="12.75" customHeight="1" x14ac:dyDescent="0.25">
      <c r="A496" s="463">
        <v>6</v>
      </c>
      <c r="B496" s="262"/>
      <c r="C496" s="475"/>
      <c r="D496" s="476"/>
      <c r="E496" s="247"/>
      <c r="F496" s="974"/>
      <c r="G496" s="251" t="s">
        <v>199</v>
      </c>
      <c r="H496" s="251"/>
      <c r="I496" s="251"/>
      <c r="J496" s="405"/>
      <c r="K496" s="405"/>
      <c r="L496" s="412"/>
      <c r="M496" s="133"/>
      <c r="N496" s="1023"/>
      <c r="O496" s="701"/>
      <c r="P496" s="949"/>
      <c r="Q496" s="377"/>
    </row>
    <row r="497" spans="1:17" ht="12.75" customHeight="1" x14ac:dyDescent="0.25">
      <c r="A497" s="463">
        <v>6</v>
      </c>
      <c r="B497" s="262"/>
      <c r="C497" s="475"/>
      <c r="D497" s="476"/>
      <c r="E497" s="247"/>
      <c r="F497" s="974"/>
      <c r="G497" s="251" t="s">
        <v>10</v>
      </c>
      <c r="H497" s="251"/>
      <c r="I497" s="251">
        <f>SUM(I520,I521,I522)</f>
        <v>152</v>
      </c>
      <c r="J497" s="405">
        <f>SUM(J520,J521,J522)</f>
        <v>2279.4</v>
      </c>
      <c r="K497" s="405">
        <f t="shared" ref="K497:L497" si="102">SUM(K520,K521,K522)</f>
        <v>2160</v>
      </c>
      <c r="L497" s="412">
        <f t="shared" si="102"/>
        <v>1000</v>
      </c>
      <c r="M497" s="133"/>
      <c r="N497" s="1023"/>
      <c r="O497" s="701"/>
      <c r="P497" s="949"/>
      <c r="Q497" s="377"/>
    </row>
    <row r="498" spans="1:17" ht="12.75" customHeight="1" x14ac:dyDescent="0.25">
      <c r="A498" s="463">
        <v>6</v>
      </c>
      <c r="B498" s="262"/>
      <c r="C498" s="475"/>
      <c r="D498" s="476"/>
      <c r="E498" s="247"/>
      <c r="F498" s="974"/>
      <c r="G498" s="251" t="s">
        <v>1180</v>
      </c>
      <c r="H498" s="251"/>
      <c r="I498" s="251">
        <f>SUM(I525)</f>
        <v>93.100000000000009</v>
      </c>
      <c r="J498" s="405">
        <f>SUM(J525)</f>
        <v>40.200000000000003</v>
      </c>
      <c r="K498" s="405">
        <f>SUM(K525)</f>
        <v>0</v>
      </c>
      <c r="L498" s="412">
        <f>SUM(L525)</f>
        <v>0</v>
      </c>
      <c r="M498" s="133"/>
      <c r="N498" s="1023"/>
      <c r="O498" s="701"/>
      <c r="P498" s="949"/>
      <c r="Q498" s="378"/>
    </row>
    <row r="499" spans="1:17" ht="12.75" customHeight="1" x14ac:dyDescent="0.25">
      <c r="A499" s="463">
        <v>6</v>
      </c>
      <c r="B499" s="262"/>
      <c r="C499" s="475"/>
      <c r="D499" s="476"/>
      <c r="E499" s="247"/>
      <c r="F499" s="974"/>
      <c r="G499" s="251" t="s">
        <v>37</v>
      </c>
      <c r="H499" s="251"/>
      <c r="I499" s="251">
        <f>SUM(I519)</f>
        <v>0</v>
      </c>
      <c r="J499" s="405">
        <f>SUM(J519)</f>
        <v>0</v>
      </c>
      <c r="K499" s="405">
        <f>SUM(K519)</f>
        <v>1045.7</v>
      </c>
      <c r="L499" s="412">
        <f>SUM(L519)</f>
        <v>0</v>
      </c>
      <c r="M499" s="133"/>
      <c r="N499" s="1023"/>
      <c r="O499" s="701"/>
      <c r="P499" s="949"/>
      <c r="Q499" s="377"/>
    </row>
    <row r="500" spans="1:17" ht="12.75" customHeight="1" x14ac:dyDescent="0.25">
      <c r="A500" s="463">
        <v>6</v>
      </c>
      <c r="B500" s="262"/>
      <c r="C500" s="475"/>
      <c r="D500" s="476"/>
      <c r="E500" s="247"/>
      <c r="F500" s="974"/>
      <c r="G500" s="251" t="s">
        <v>594</v>
      </c>
      <c r="H500" s="251"/>
      <c r="I500" s="251">
        <f>I518</f>
        <v>0</v>
      </c>
      <c r="J500" s="405">
        <f t="shared" ref="J500:L500" si="103">J518</f>
        <v>55.8</v>
      </c>
      <c r="K500" s="405">
        <f t="shared" si="103"/>
        <v>126.39999999999999</v>
      </c>
      <c r="L500" s="412">
        <f t="shared" si="103"/>
        <v>0</v>
      </c>
      <c r="M500" s="133"/>
      <c r="N500" s="1023"/>
      <c r="O500" s="701"/>
      <c r="P500" s="949"/>
      <c r="Q500" s="377"/>
    </row>
    <row r="501" spans="1:17" ht="12.75" customHeight="1" x14ac:dyDescent="0.25">
      <c r="A501" s="463">
        <v>6</v>
      </c>
      <c r="B501" s="262"/>
      <c r="C501" s="262"/>
      <c r="D501" s="476"/>
      <c r="E501" s="247"/>
      <c r="F501" s="974"/>
      <c r="G501" s="251" t="s">
        <v>74</v>
      </c>
      <c r="H501" s="251" t="e">
        <f>SUM(H506,#REF!,#REF!,#REF!,H508,H511,#REF!,#REF!,#REF!,#REF!,#REF!)</f>
        <v>#REF!</v>
      </c>
      <c r="I501" s="251" t="e">
        <f>SUM(#REF!)</f>
        <v>#REF!</v>
      </c>
      <c r="J501" s="405">
        <f>J529</f>
        <v>0</v>
      </c>
      <c r="K501" s="405"/>
      <c r="L501" s="412"/>
      <c r="M501" s="133"/>
      <c r="N501" s="1023"/>
      <c r="O501" s="701"/>
      <c r="P501" s="702"/>
      <c r="Q501" s="702"/>
    </row>
    <row r="502" spans="1:17" ht="16.95" customHeight="1" x14ac:dyDescent="0.25">
      <c r="A502" s="463">
        <v>6</v>
      </c>
      <c r="B502" s="262"/>
      <c r="C502" s="262"/>
      <c r="D502" s="321"/>
      <c r="E502" s="247"/>
      <c r="F502" s="974"/>
      <c r="G502" s="251" t="s">
        <v>614</v>
      </c>
      <c r="H502" s="251"/>
      <c r="I502" s="251" t="e">
        <f>SUM(I494:I501)</f>
        <v>#REF!</v>
      </c>
      <c r="J502" s="405">
        <f t="shared" ref="J502:L502" si="104">SUM(J494:J501)</f>
        <v>6368.1</v>
      </c>
      <c r="K502" s="405" t="e">
        <f t="shared" si="104"/>
        <v>#REF!</v>
      </c>
      <c r="L502" s="412" t="e">
        <f t="shared" si="104"/>
        <v>#REF!</v>
      </c>
      <c r="M502" s="133"/>
      <c r="N502" s="1023"/>
      <c r="O502" s="701"/>
      <c r="P502" s="702"/>
      <c r="Q502" s="702"/>
    </row>
    <row r="503" spans="1:17" ht="81" customHeight="1" x14ac:dyDescent="0.25">
      <c r="A503" s="463">
        <v>6</v>
      </c>
      <c r="B503" s="262"/>
      <c r="C503" s="262" t="s">
        <v>1181</v>
      </c>
      <c r="D503" s="321" t="s">
        <v>1182</v>
      </c>
      <c r="E503" s="463">
        <v>9</v>
      </c>
      <c r="F503" s="495" t="s">
        <v>1183</v>
      </c>
      <c r="G503" s="7" t="s">
        <v>8</v>
      </c>
      <c r="H503" s="255"/>
      <c r="I503" s="889"/>
      <c r="J503" s="98">
        <v>192.5</v>
      </c>
      <c r="K503" s="408"/>
      <c r="L503" s="414"/>
      <c r="M503" s="133" t="s">
        <v>619</v>
      </c>
      <c r="N503" s="1024" t="s">
        <v>2022</v>
      </c>
      <c r="O503" s="839" t="s">
        <v>1185</v>
      </c>
      <c r="P503" s="950">
        <v>100</v>
      </c>
      <c r="Q503" s="703" t="s">
        <v>708</v>
      </c>
    </row>
    <row r="504" spans="1:17" ht="37.200000000000003" customHeight="1" x14ac:dyDescent="0.25">
      <c r="A504" s="463">
        <v>6</v>
      </c>
      <c r="B504" s="262"/>
      <c r="C504" s="262" t="s">
        <v>1186</v>
      </c>
      <c r="D504" s="321" t="s">
        <v>1187</v>
      </c>
      <c r="E504" s="463">
        <v>9</v>
      </c>
      <c r="F504" s="496" t="s">
        <v>1188</v>
      </c>
      <c r="G504" s="7" t="s">
        <v>8</v>
      </c>
      <c r="H504" s="251"/>
      <c r="I504" s="59">
        <v>0</v>
      </c>
      <c r="J504" s="98">
        <f>120+60</f>
        <v>180</v>
      </c>
      <c r="K504" s="407">
        <v>70</v>
      </c>
      <c r="L504" s="414"/>
      <c r="M504" s="133" t="s">
        <v>702</v>
      </c>
      <c r="N504" s="1024" t="s">
        <v>2022</v>
      </c>
      <c r="O504" s="840" t="s">
        <v>1189</v>
      </c>
      <c r="P504" s="951">
        <v>100</v>
      </c>
      <c r="Q504" s="705" t="s">
        <v>692</v>
      </c>
    </row>
    <row r="505" spans="1:17" ht="12.75" customHeight="1" x14ac:dyDescent="0.25">
      <c r="A505" s="463">
        <v>6</v>
      </c>
      <c r="B505" s="262"/>
      <c r="C505" s="262" t="s">
        <v>1190</v>
      </c>
      <c r="D505" s="1229" t="s">
        <v>1197</v>
      </c>
      <c r="E505" s="463">
        <v>9</v>
      </c>
      <c r="F505" s="373" t="s">
        <v>1198</v>
      </c>
      <c r="G505" s="7" t="s">
        <v>8</v>
      </c>
      <c r="H505" s="498"/>
      <c r="I505" s="400">
        <v>70.900000000000006</v>
      </c>
      <c r="J505" s="98">
        <f>764.7-218</f>
        <v>546.70000000000005</v>
      </c>
      <c r="K505" s="499"/>
      <c r="L505" s="500"/>
      <c r="M505" s="133" t="s">
        <v>619</v>
      </c>
      <c r="N505" s="841" t="s">
        <v>1979</v>
      </c>
      <c r="O505" s="718" t="s">
        <v>1185</v>
      </c>
      <c r="P505" s="721">
        <v>100</v>
      </c>
      <c r="Q505" s="693" t="s">
        <v>692</v>
      </c>
    </row>
    <row r="506" spans="1:17" ht="24.6" customHeight="1" x14ac:dyDescent="0.25">
      <c r="A506" s="463">
        <v>6</v>
      </c>
      <c r="B506" s="262"/>
      <c r="C506" s="262" t="s">
        <v>1190</v>
      </c>
      <c r="D506" s="1231"/>
      <c r="E506" s="463">
        <v>9</v>
      </c>
      <c r="F506" s="428" t="s">
        <v>1198</v>
      </c>
      <c r="G506" s="133" t="s">
        <v>11</v>
      </c>
      <c r="H506" s="7"/>
      <c r="I506" s="400">
        <v>400</v>
      </c>
      <c r="J506" s="98"/>
      <c r="K506" s="501"/>
      <c r="L506" s="502"/>
      <c r="M506" s="185" t="s">
        <v>619</v>
      </c>
      <c r="N506" s="137"/>
      <c r="O506" s="984"/>
      <c r="P506" s="952"/>
      <c r="Q506" s="707" t="s">
        <v>692</v>
      </c>
    </row>
    <row r="507" spans="1:17" ht="36" customHeight="1" x14ac:dyDescent="0.25">
      <c r="A507" s="463">
        <v>6</v>
      </c>
      <c r="B507" s="262"/>
      <c r="C507" s="262" t="s">
        <v>1196</v>
      </c>
      <c r="D507" s="74" t="s">
        <v>1831</v>
      </c>
      <c r="E507" s="463">
        <v>9</v>
      </c>
      <c r="F507" s="373" t="s">
        <v>1200</v>
      </c>
      <c r="G507" s="133" t="s">
        <v>8</v>
      </c>
      <c r="H507" s="498"/>
      <c r="I507" s="15"/>
      <c r="J507" s="98">
        <f>45-45</f>
        <v>0</v>
      </c>
      <c r="K507" s="499">
        <f>300+45</f>
        <v>345</v>
      </c>
      <c r="L507" s="503"/>
      <c r="M507" s="185" t="s">
        <v>702</v>
      </c>
      <c r="N507" s="1024" t="s">
        <v>2023</v>
      </c>
      <c r="O507" s="841" t="s">
        <v>1201</v>
      </c>
      <c r="P507" s="945" t="s">
        <v>1202</v>
      </c>
      <c r="Q507" s="695" t="s">
        <v>632</v>
      </c>
    </row>
    <row r="508" spans="1:17" ht="21.6" customHeight="1" x14ac:dyDescent="0.25">
      <c r="A508" s="463">
        <v>6</v>
      </c>
      <c r="B508" s="262"/>
      <c r="C508" s="262" t="s">
        <v>1199</v>
      </c>
      <c r="D508" s="74" t="s">
        <v>1204</v>
      </c>
      <c r="E508" s="463">
        <v>9</v>
      </c>
      <c r="F508" s="373" t="s">
        <v>1205</v>
      </c>
      <c r="G508" s="133" t="s">
        <v>8</v>
      </c>
      <c r="H508" s="498"/>
      <c r="I508" s="15">
        <f>180-140</f>
        <v>40</v>
      </c>
      <c r="J508" s="98"/>
      <c r="K508" s="22">
        <v>100</v>
      </c>
      <c r="L508" s="504"/>
      <c r="M508" s="185" t="s">
        <v>702</v>
      </c>
      <c r="N508" s="1024" t="s">
        <v>1811</v>
      </c>
      <c r="O508" s="718" t="s">
        <v>1206</v>
      </c>
      <c r="P508" s="953">
        <v>0.35</v>
      </c>
      <c r="Q508" s="695" t="s">
        <v>632</v>
      </c>
    </row>
    <row r="509" spans="1:17" ht="20.25" customHeight="1" x14ac:dyDescent="0.25">
      <c r="A509" s="463">
        <v>6</v>
      </c>
      <c r="B509" s="262"/>
      <c r="C509" s="262" t="s">
        <v>1203</v>
      </c>
      <c r="D509" s="74" t="s">
        <v>1208</v>
      </c>
      <c r="E509" s="463">
        <v>9</v>
      </c>
      <c r="F509" s="373" t="s">
        <v>1209</v>
      </c>
      <c r="G509" s="133" t="s">
        <v>8</v>
      </c>
      <c r="H509" s="498"/>
      <c r="I509" s="15">
        <v>325.8</v>
      </c>
      <c r="J509" s="98">
        <f>388+50+28.4</f>
        <v>466.4</v>
      </c>
      <c r="K509" s="22">
        <v>100</v>
      </c>
      <c r="L509" s="504">
        <v>0</v>
      </c>
      <c r="M509" s="185" t="s">
        <v>619</v>
      </c>
      <c r="N509" s="1024" t="s">
        <v>1947</v>
      </c>
      <c r="O509" s="718" t="s">
        <v>1210</v>
      </c>
      <c r="P509" s="954">
        <v>100</v>
      </c>
      <c r="Q509" s="695" t="s">
        <v>632</v>
      </c>
    </row>
    <row r="510" spans="1:17" ht="27.75" customHeight="1" x14ac:dyDescent="0.25">
      <c r="A510" s="463">
        <v>6</v>
      </c>
      <c r="B510" s="505"/>
      <c r="C510" s="505" t="s">
        <v>1207</v>
      </c>
      <c r="D510" s="322" t="s">
        <v>1212</v>
      </c>
      <c r="E510" s="506">
        <v>9</v>
      </c>
      <c r="F510" s="507" t="s">
        <v>1213</v>
      </c>
      <c r="G510" s="508" t="s">
        <v>8</v>
      </c>
      <c r="H510" s="336"/>
      <c r="I510" s="368">
        <v>4.9000000000000004</v>
      </c>
      <c r="J510" s="98">
        <f>25-17</f>
        <v>8</v>
      </c>
      <c r="K510" s="509">
        <v>120</v>
      </c>
      <c r="L510" s="510"/>
      <c r="M510" s="185" t="s">
        <v>702</v>
      </c>
      <c r="N510" s="1024" t="s">
        <v>1947</v>
      </c>
      <c r="O510" s="841" t="s">
        <v>1214</v>
      </c>
      <c r="P510" s="955" t="s">
        <v>741</v>
      </c>
      <c r="Q510" s="695" t="s">
        <v>632</v>
      </c>
    </row>
    <row r="511" spans="1:17" ht="33.6" customHeight="1" x14ac:dyDescent="0.25">
      <c r="A511" s="463">
        <v>6</v>
      </c>
      <c r="B511" s="511"/>
      <c r="C511" s="511" t="s">
        <v>1211</v>
      </c>
      <c r="D511" s="157" t="s">
        <v>1216</v>
      </c>
      <c r="E511" s="512">
        <v>9</v>
      </c>
      <c r="F511" s="200" t="s">
        <v>1217</v>
      </c>
      <c r="G511" s="155" t="s">
        <v>8</v>
      </c>
      <c r="H511" s="513"/>
      <c r="I511" s="392">
        <v>10</v>
      </c>
      <c r="J511" s="98">
        <f>35-35</f>
        <v>0</v>
      </c>
      <c r="K511" s="514">
        <v>120</v>
      </c>
      <c r="L511" s="515"/>
      <c r="M511" s="185" t="s">
        <v>619</v>
      </c>
      <c r="N511" s="1024" t="s">
        <v>1947</v>
      </c>
      <c r="O511" s="718" t="s">
        <v>1218</v>
      </c>
      <c r="P511" s="954">
        <v>1</v>
      </c>
      <c r="Q511" s="695" t="s">
        <v>632</v>
      </c>
    </row>
    <row r="512" spans="1:17" ht="50.4" customHeight="1" x14ac:dyDescent="0.25">
      <c r="A512" s="463">
        <v>6</v>
      </c>
      <c r="B512" s="511"/>
      <c r="C512" s="511" t="s">
        <v>1215</v>
      </c>
      <c r="D512" s="323" t="s">
        <v>1220</v>
      </c>
      <c r="E512" s="512">
        <v>9</v>
      </c>
      <c r="F512" s="516" t="s">
        <v>251</v>
      </c>
      <c r="G512" s="517" t="s">
        <v>8</v>
      </c>
      <c r="H512" s="518">
        <f>50-32-18</f>
        <v>0</v>
      </c>
      <c r="I512" s="890">
        <v>18.38</v>
      </c>
      <c r="J512" s="98">
        <f>46.9-45-1.9</f>
        <v>0</v>
      </c>
      <c r="K512" s="519">
        <f>500-400</f>
        <v>100</v>
      </c>
      <c r="L512" s="520">
        <f>600+400</f>
        <v>1000</v>
      </c>
      <c r="M512" s="133" t="s">
        <v>702</v>
      </c>
      <c r="N512" s="1024" t="s">
        <v>1979</v>
      </c>
      <c r="O512" s="718" t="s">
        <v>1221</v>
      </c>
      <c r="P512" s="954">
        <v>1</v>
      </c>
      <c r="Q512" s="695" t="s">
        <v>632</v>
      </c>
    </row>
    <row r="513" spans="1:17" ht="24.6" customHeight="1" x14ac:dyDescent="0.25">
      <c r="A513" s="463">
        <v>6</v>
      </c>
      <c r="B513" s="262"/>
      <c r="C513" s="505" t="s">
        <v>1219</v>
      </c>
      <c r="D513" s="521" t="s">
        <v>1223</v>
      </c>
      <c r="E513" s="506">
        <v>9</v>
      </c>
      <c r="F513" s="435" t="s">
        <v>1224</v>
      </c>
      <c r="G513" s="522" t="s">
        <v>8</v>
      </c>
      <c r="H513" s="523"/>
      <c r="I513" s="368"/>
      <c r="J513" s="98">
        <f>80-40-30-5-5</f>
        <v>0</v>
      </c>
      <c r="K513" s="524">
        <f>300+40</f>
        <v>340</v>
      </c>
      <c r="L513" s="500">
        <v>200</v>
      </c>
      <c r="M513" s="133" t="s">
        <v>702</v>
      </c>
      <c r="N513" s="1024" t="s">
        <v>2051</v>
      </c>
      <c r="O513" s="718" t="s">
        <v>1832</v>
      </c>
      <c r="P513" s="956">
        <v>1</v>
      </c>
      <c r="Q513" s="709" t="s">
        <v>720</v>
      </c>
    </row>
    <row r="514" spans="1:17" ht="12.75" customHeight="1" x14ac:dyDescent="0.25">
      <c r="A514" s="463">
        <v>6</v>
      </c>
      <c r="B514" s="525"/>
      <c r="C514" s="511" t="s">
        <v>1222</v>
      </c>
      <c r="D514" s="1249" t="s">
        <v>1226</v>
      </c>
      <c r="E514" s="512" t="s">
        <v>530</v>
      </c>
      <c r="F514" s="526" t="s">
        <v>1227</v>
      </c>
      <c r="G514" s="153" t="s">
        <v>8</v>
      </c>
      <c r="H514" s="517"/>
      <c r="I514" s="127"/>
      <c r="J514" s="98">
        <f>370-70+6.2+118.6+55.6+15.1+1.8</f>
        <v>497.3</v>
      </c>
      <c r="K514" s="527">
        <v>50</v>
      </c>
      <c r="L514" s="502"/>
      <c r="M514" s="133" t="s">
        <v>689</v>
      </c>
      <c r="N514" s="1025" t="s">
        <v>2024</v>
      </c>
      <c r="O514" s="842" t="s">
        <v>1228</v>
      </c>
      <c r="P514" s="957">
        <v>1</v>
      </c>
      <c r="Q514" s="710" t="s">
        <v>692</v>
      </c>
    </row>
    <row r="515" spans="1:17" ht="12.75" customHeight="1" x14ac:dyDescent="0.25">
      <c r="A515" s="463">
        <v>6</v>
      </c>
      <c r="B515" s="525"/>
      <c r="C515" s="511" t="s">
        <v>1222</v>
      </c>
      <c r="D515" s="1250"/>
      <c r="E515" s="843">
        <v>9</v>
      </c>
      <c r="F515" s="528" t="s">
        <v>1227</v>
      </c>
      <c r="G515" s="155" t="s">
        <v>11</v>
      </c>
      <c r="H515" s="513"/>
      <c r="I515" s="392">
        <v>65</v>
      </c>
      <c r="J515" s="98"/>
      <c r="K515" s="527"/>
      <c r="L515" s="502"/>
      <c r="M515" s="185" t="s">
        <v>689</v>
      </c>
      <c r="N515" s="1025" t="s">
        <v>2025</v>
      </c>
      <c r="O515" s="842" t="s">
        <v>1230</v>
      </c>
      <c r="P515" s="957">
        <v>100</v>
      </c>
      <c r="Q515" s="712" t="s">
        <v>692</v>
      </c>
    </row>
    <row r="516" spans="1:17" ht="12.75" customHeight="1" x14ac:dyDescent="0.25">
      <c r="A516" s="463">
        <v>6</v>
      </c>
      <c r="B516" s="262"/>
      <c r="C516" s="529" t="s">
        <v>1225</v>
      </c>
      <c r="D516" s="1251" t="s">
        <v>1232</v>
      </c>
      <c r="E516" s="530">
        <v>9</v>
      </c>
      <c r="F516" s="528" t="s">
        <v>1233</v>
      </c>
      <c r="G516" s="531" t="s">
        <v>8</v>
      </c>
      <c r="H516" s="532"/>
      <c r="I516" s="891"/>
      <c r="J516" s="98">
        <f>1015-400-85-300-130-55.6+19.8-41.2</f>
        <v>23</v>
      </c>
      <c r="K516" s="533">
        <f>700-85+300+130</f>
        <v>1045</v>
      </c>
      <c r="L516" s="534"/>
      <c r="M516" s="185" t="s">
        <v>689</v>
      </c>
      <c r="N516" s="1025" t="s">
        <v>2025</v>
      </c>
      <c r="O516" s="744" t="s">
        <v>1234</v>
      </c>
      <c r="P516" s="958">
        <v>100</v>
      </c>
      <c r="Q516" s="713" t="s">
        <v>692</v>
      </c>
    </row>
    <row r="517" spans="1:17" ht="12.75" customHeight="1" x14ac:dyDescent="0.25">
      <c r="A517" s="463">
        <v>6</v>
      </c>
      <c r="B517" s="505"/>
      <c r="C517" s="529" t="s">
        <v>1225</v>
      </c>
      <c r="D517" s="1252"/>
      <c r="E517" s="512" t="s">
        <v>530</v>
      </c>
      <c r="F517" s="528" t="s">
        <v>1233</v>
      </c>
      <c r="G517" s="517" t="s">
        <v>11</v>
      </c>
      <c r="H517" s="535"/>
      <c r="I517" s="127">
        <v>50</v>
      </c>
      <c r="J517" s="98"/>
      <c r="K517" s="536"/>
      <c r="L517" s="537"/>
      <c r="M517" s="185" t="s">
        <v>689</v>
      </c>
      <c r="N517" s="1025" t="s">
        <v>2024</v>
      </c>
      <c r="O517" s="844" t="s">
        <v>1235</v>
      </c>
      <c r="P517" s="954">
        <v>1</v>
      </c>
      <c r="Q517" s="695" t="s">
        <v>692</v>
      </c>
    </row>
    <row r="518" spans="1:17" ht="12.75" customHeight="1" x14ac:dyDescent="0.25">
      <c r="A518" s="463">
        <v>6</v>
      </c>
      <c r="B518" s="505"/>
      <c r="C518" s="529" t="s">
        <v>1225</v>
      </c>
      <c r="D518" s="1252"/>
      <c r="E518" s="512">
        <v>9</v>
      </c>
      <c r="F518" s="528" t="s">
        <v>1233</v>
      </c>
      <c r="G518" s="517" t="s">
        <v>594</v>
      </c>
      <c r="H518" s="535"/>
      <c r="I518" s="127"/>
      <c r="J518" s="98">
        <f>85-29.2</f>
        <v>55.8</v>
      </c>
      <c r="K518" s="538">
        <f>182.2-J518</f>
        <v>126.39999999999999</v>
      </c>
      <c r="L518" s="537"/>
      <c r="M518" s="185" t="s">
        <v>689</v>
      </c>
      <c r="N518" s="1025" t="s">
        <v>2025</v>
      </c>
      <c r="O518" s="744"/>
      <c r="P518" s="721"/>
      <c r="Q518" s="695" t="s">
        <v>692</v>
      </c>
    </row>
    <row r="519" spans="1:17" ht="34.5" customHeight="1" x14ac:dyDescent="0.25">
      <c r="A519" s="463">
        <v>6</v>
      </c>
      <c r="B519" s="262"/>
      <c r="C519" s="529" t="s">
        <v>1225</v>
      </c>
      <c r="D519" s="1252"/>
      <c r="E519" s="512">
        <v>9</v>
      </c>
      <c r="F519" s="528" t="s">
        <v>1233</v>
      </c>
      <c r="G519" s="539" t="s">
        <v>37</v>
      </c>
      <c r="H519" s="535"/>
      <c r="I519" s="127"/>
      <c r="J519" s="98">
        <f>400-400</f>
        <v>0</v>
      </c>
      <c r="K519" s="540">
        <f>1032.2-J519+13.5</f>
        <v>1045.7</v>
      </c>
      <c r="L519" s="537"/>
      <c r="M519" s="185" t="s">
        <v>689</v>
      </c>
      <c r="N519" s="1025" t="s">
        <v>2025</v>
      </c>
      <c r="O519" s="744"/>
      <c r="P519" s="719"/>
      <c r="Q519" s="695" t="s">
        <v>692</v>
      </c>
    </row>
    <row r="520" spans="1:17" ht="31.2" x14ac:dyDescent="0.25">
      <c r="A520" s="463">
        <v>6</v>
      </c>
      <c r="B520" s="529"/>
      <c r="C520" s="541" t="s">
        <v>1231</v>
      </c>
      <c r="D520" s="325" t="s">
        <v>1237</v>
      </c>
      <c r="E520" s="512">
        <v>9</v>
      </c>
      <c r="F520" s="542" t="s">
        <v>1238</v>
      </c>
      <c r="G520" s="155" t="s">
        <v>10</v>
      </c>
      <c r="H520" s="513"/>
      <c r="I520" s="392">
        <f>460-308</f>
        <v>152</v>
      </c>
      <c r="J520" s="98">
        <f>1000+475</f>
        <v>1475</v>
      </c>
      <c r="K520" s="527">
        <f>1200-100</f>
        <v>1100</v>
      </c>
      <c r="L520" s="502"/>
      <c r="M520" s="185" t="s">
        <v>619</v>
      </c>
      <c r="N520" s="795" t="s">
        <v>2022</v>
      </c>
      <c r="O520" s="788" t="s">
        <v>1239</v>
      </c>
      <c r="P520" s="959" t="s">
        <v>842</v>
      </c>
      <c r="Q520" s="288" t="s">
        <v>712</v>
      </c>
    </row>
    <row r="521" spans="1:17" ht="44.4" customHeight="1" x14ac:dyDescent="0.25">
      <c r="A521" s="463">
        <v>6</v>
      </c>
      <c r="B521" s="525"/>
      <c r="C521" s="511" t="s">
        <v>1236</v>
      </c>
      <c r="D521" s="543" t="s">
        <v>1240</v>
      </c>
      <c r="E521" s="544">
        <v>9</v>
      </c>
      <c r="F521" s="545" t="s">
        <v>1238</v>
      </c>
      <c r="G521" s="434" t="s">
        <v>10</v>
      </c>
      <c r="H521" s="5"/>
      <c r="I521" s="892"/>
      <c r="J521" s="98">
        <f>60</f>
        <v>60</v>
      </c>
      <c r="K521" s="503">
        <f>1000+60</f>
        <v>1060</v>
      </c>
      <c r="L521" s="546">
        <v>1000</v>
      </c>
      <c r="M521" s="185" t="s">
        <v>619</v>
      </c>
      <c r="N521" s="1146" t="s">
        <v>2025</v>
      </c>
      <c r="O521" s="842" t="s">
        <v>1228</v>
      </c>
      <c r="P521" s="960">
        <v>1</v>
      </c>
      <c r="Q521" s="288" t="s">
        <v>712</v>
      </c>
    </row>
    <row r="522" spans="1:17" ht="27.75" customHeight="1" x14ac:dyDescent="0.25">
      <c r="A522" s="463">
        <v>6</v>
      </c>
      <c r="B522" s="525"/>
      <c r="C522" s="1092" t="s">
        <v>1241</v>
      </c>
      <c r="D522" s="1264" t="s">
        <v>1242</v>
      </c>
      <c r="E522" s="463">
        <v>9</v>
      </c>
      <c r="F522" s="545" t="s">
        <v>1243</v>
      </c>
      <c r="G522" s="133" t="s">
        <v>10</v>
      </c>
      <c r="H522" s="7"/>
      <c r="I522" s="59"/>
      <c r="J522" s="98">
        <v>744.4</v>
      </c>
      <c r="K522" s="548"/>
      <c r="L522" s="549"/>
      <c r="M522" s="185" t="s">
        <v>619</v>
      </c>
      <c r="N522" s="1147" t="s">
        <v>1811</v>
      </c>
      <c r="O522" s="1089" t="s">
        <v>1244</v>
      </c>
      <c r="P522" s="1090">
        <v>100</v>
      </c>
      <c r="Q522" s="1091" t="s">
        <v>692</v>
      </c>
    </row>
    <row r="523" spans="1:17" ht="25.5" customHeight="1" x14ac:dyDescent="0.25">
      <c r="A523" s="463">
        <v>6</v>
      </c>
      <c r="B523" s="525"/>
      <c r="C523" s="262"/>
      <c r="D523" s="1265"/>
      <c r="E523" s="463">
        <v>9</v>
      </c>
      <c r="F523" s="545" t="s">
        <v>1243</v>
      </c>
      <c r="G523" s="185" t="s">
        <v>8</v>
      </c>
      <c r="H523" s="7"/>
      <c r="I523" s="59"/>
      <c r="J523" s="98">
        <f>744.4-744.4</f>
        <v>0</v>
      </c>
      <c r="K523" s="548"/>
      <c r="L523" s="90"/>
      <c r="M523" s="185"/>
      <c r="N523" s="1147" t="s">
        <v>1811</v>
      </c>
      <c r="O523" s="718"/>
      <c r="P523" s="721"/>
      <c r="Q523" s="715"/>
    </row>
    <row r="524" spans="1:17" ht="32.4" customHeight="1" x14ac:dyDescent="0.25">
      <c r="A524" s="463">
        <v>6</v>
      </c>
      <c r="B524" s="262"/>
      <c r="C524" s="1093" t="s">
        <v>1245</v>
      </c>
      <c r="D524" s="1245" t="s">
        <v>1246</v>
      </c>
      <c r="E524" s="463">
        <v>9</v>
      </c>
      <c r="F524" s="247" t="s">
        <v>256</v>
      </c>
      <c r="G524" s="185" t="s">
        <v>8</v>
      </c>
      <c r="H524" s="105"/>
      <c r="I524" s="59">
        <v>341.8</v>
      </c>
      <c r="J524" s="98">
        <f>797.2-100+21</f>
        <v>718.2</v>
      </c>
      <c r="K524" s="232"/>
      <c r="L524" s="548"/>
      <c r="M524" s="133" t="s">
        <v>689</v>
      </c>
      <c r="N524" s="1024" t="s">
        <v>2022</v>
      </c>
      <c r="O524" s="718" t="s">
        <v>1185</v>
      </c>
      <c r="P524" s="721">
        <v>100</v>
      </c>
      <c r="Q524" s="320" t="s">
        <v>712</v>
      </c>
    </row>
    <row r="525" spans="1:17" ht="12.75" customHeight="1" x14ac:dyDescent="0.25">
      <c r="A525" s="463">
        <v>6</v>
      </c>
      <c r="B525" s="262"/>
      <c r="C525" s="511" t="s">
        <v>1245</v>
      </c>
      <c r="D525" s="1230"/>
      <c r="E525" s="463">
        <v>9</v>
      </c>
      <c r="F525" s="247" t="s">
        <v>256</v>
      </c>
      <c r="G525" s="133" t="s">
        <v>595</v>
      </c>
      <c r="H525" s="105"/>
      <c r="I525" s="59">
        <f>133.3-40.2</f>
        <v>93.100000000000009</v>
      </c>
      <c r="J525" s="98">
        <v>40.200000000000003</v>
      </c>
      <c r="K525" s="232"/>
      <c r="L525" s="548"/>
      <c r="M525" s="133" t="s">
        <v>689</v>
      </c>
      <c r="N525" s="1024" t="s">
        <v>2022</v>
      </c>
      <c r="O525" s="718"/>
      <c r="P525" s="719"/>
      <c r="Q525" s="320" t="s">
        <v>712</v>
      </c>
    </row>
    <row r="526" spans="1:17" ht="21" customHeight="1" x14ac:dyDescent="0.25">
      <c r="A526" s="463">
        <v>6</v>
      </c>
      <c r="B526" s="262"/>
      <c r="C526" s="511" t="s">
        <v>1247</v>
      </c>
      <c r="D526" s="74" t="s">
        <v>1248</v>
      </c>
      <c r="E526" s="463">
        <v>26</v>
      </c>
      <c r="F526" s="247" t="s">
        <v>2081</v>
      </c>
      <c r="G526" s="185" t="s">
        <v>8</v>
      </c>
      <c r="H526" s="105"/>
      <c r="I526" s="59">
        <v>10</v>
      </c>
      <c r="J526" s="98">
        <v>10</v>
      </c>
      <c r="K526" s="232">
        <v>10</v>
      </c>
      <c r="L526" s="548">
        <v>10</v>
      </c>
      <c r="M526" s="133" t="s">
        <v>702</v>
      </c>
      <c r="N526" s="1024" t="s">
        <v>2026</v>
      </c>
      <c r="O526" s="718"/>
      <c r="P526" s="719"/>
      <c r="Q526" s="320" t="s">
        <v>712</v>
      </c>
    </row>
    <row r="527" spans="1:17" ht="20.399999999999999" x14ac:dyDescent="0.25">
      <c r="A527" s="463">
        <v>6</v>
      </c>
      <c r="B527" s="262"/>
      <c r="C527" s="1092" t="s">
        <v>1250</v>
      </c>
      <c r="D527" s="326" t="s">
        <v>1251</v>
      </c>
      <c r="E527" s="463">
        <v>29</v>
      </c>
      <c r="F527" s="247" t="s">
        <v>2082</v>
      </c>
      <c r="G527" s="185" t="s">
        <v>8</v>
      </c>
      <c r="H527" s="105"/>
      <c r="I527" s="59"/>
      <c r="J527" s="98">
        <v>200</v>
      </c>
      <c r="K527" s="232"/>
      <c r="L527" s="548"/>
      <c r="M527" s="133" t="s">
        <v>619</v>
      </c>
      <c r="N527" s="1137" t="s">
        <v>1995</v>
      </c>
      <c r="O527" s="718" t="s">
        <v>1185</v>
      </c>
      <c r="P527" s="721">
        <v>100</v>
      </c>
      <c r="Q527" s="320" t="s">
        <v>719</v>
      </c>
    </row>
    <row r="528" spans="1:17" ht="51" x14ac:dyDescent="0.25">
      <c r="A528" s="565">
        <v>6</v>
      </c>
      <c r="B528" s="262"/>
      <c r="C528" s="262" t="s">
        <v>2040</v>
      </c>
      <c r="D528" s="83" t="s">
        <v>2041</v>
      </c>
      <c r="E528" s="547">
        <v>9</v>
      </c>
      <c r="F528" s="247" t="s">
        <v>2042</v>
      </c>
      <c r="G528" s="185" t="s">
        <v>8</v>
      </c>
      <c r="H528" s="105"/>
      <c r="I528" s="1168"/>
      <c r="J528" s="98">
        <f>J531</f>
        <v>0</v>
      </c>
      <c r="K528" s="232"/>
      <c r="L528" s="548"/>
      <c r="M528" s="133"/>
      <c r="N528" s="1175" t="s">
        <v>2044</v>
      </c>
      <c r="O528" s="718"/>
      <c r="P528" s="721"/>
      <c r="Q528" s="320"/>
    </row>
    <row r="529" spans="1:17" ht="13.2" x14ac:dyDescent="0.25">
      <c r="A529" s="565">
        <v>6</v>
      </c>
      <c r="B529" s="262"/>
      <c r="C529" s="262"/>
      <c r="D529" s="326"/>
      <c r="E529" s="547">
        <v>9</v>
      </c>
      <c r="F529" s="247" t="s">
        <v>2042</v>
      </c>
      <c r="G529" s="185" t="s">
        <v>74</v>
      </c>
      <c r="H529" s="105"/>
      <c r="I529" s="1168"/>
      <c r="J529" s="98"/>
      <c r="K529" s="232"/>
      <c r="L529" s="548"/>
      <c r="M529" s="133"/>
      <c r="N529" s="1175" t="s">
        <v>2044</v>
      </c>
      <c r="O529" s="718"/>
      <c r="P529" s="721"/>
      <c r="Q529" s="320"/>
    </row>
    <row r="530" spans="1:17" ht="13.2" x14ac:dyDescent="0.25">
      <c r="A530" s="565">
        <v>6</v>
      </c>
      <c r="B530" s="262"/>
      <c r="C530" s="525"/>
      <c r="D530" s="326"/>
      <c r="E530" s="547"/>
      <c r="F530" s="247"/>
      <c r="G530" s="103" t="s">
        <v>492</v>
      </c>
      <c r="H530" s="105">
        <f>SUM(H528:H529)</f>
        <v>0</v>
      </c>
      <c r="I530" s="105">
        <f>SUM(I528:I529)</f>
        <v>0</v>
      </c>
      <c r="J530" s="486">
        <f>SUM(J528:J529)</f>
        <v>0</v>
      </c>
      <c r="K530" s="232"/>
      <c r="L530" s="548"/>
      <c r="M530" s="133"/>
      <c r="N530" s="1173"/>
      <c r="O530" s="718"/>
      <c r="P530" s="721"/>
      <c r="Q530" s="320"/>
    </row>
    <row r="531" spans="1:17" ht="13.2" x14ac:dyDescent="0.25">
      <c r="A531" s="565">
        <v>6</v>
      </c>
      <c r="B531" s="262"/>
      <c r="C531" s="525"/>
      <c r="D531" s="1174" t="s">
        <v>2043</v>
      </c>
      <c r="E531" s="547">
        <v>9</v>
      </c>
      <c r="F531" s="247" t="s">
        <v>2042</v>
      </c>
      <c r="G531" s="185" t="s">
        <v>8</v>
      </c>
      <c r="H531" s="105"/>
      <c r="I531" s="1168"/>
      <c r="J531" s="98">
        <f>25.8-25.8</f>
        <v>0</v>
      </c>
      <c r="K531" s="232"/>
      <c r="L531" s="548"/>
      <c r="M531" s="133"/>
      <c r="N531" s="1175" t="s">
        <v>2044</v>
      </c>
      <c r="O531" s="718" t="s">
        <v>1185</v>
      </c>
      <c r="P531" s="721">
        <v>100</v>
      </c>
      <c r="Q531" s="320" t="s">
        <v>720</v>
      </c>
    </row>
    <row r="532" spans="1:17" ht="21" customHeight="1" x14ac:dyDescent="0.25">
      <c r="A532" s="463">
        <v>6</v>
      </c>
      <c r="B532" s="262"/>
      <c r="C532" s="525" t="s">
        <v>1253</v>
      </c>
      <c r="D532" s="327" t="s">
        <v>1254</v>
      </c>
      <c r="E532" s="547">
        <v>9</v>
      </c>
      <c r="F532" s="247" t="s">
        <v>252</v>
      </c>
      <c r="G532" s="73" t="s">
        <v>8</v>
      </c>
      <c r="H532" s="498"/>
      <c r="I532" s="893"/>
      <c r="J532" s="98">
        <f>600+620-120</f>
        <v>1100</v>
      </c>
      <c r="K532" s="22">
        <f>600-277.8</f>
        <v>322.2</v>
      </c>
      <c r="L532" s="504">
        <f>600+3536.4-282.6</f>
        <v>3853.7999999999997</v>
      </c>
      <c r="M532" s="133" t="s">
        <v>702</v>
      </c>
      <c r="N532" s="1169" t="s">
        <v>1811</v>
      </c>
      <c r="O532" s="1170" t="s">
        <v>1255</v>
      </c>
      <c r="P532" s="1171" t="s">
        <v>1256</v>
      </c>
      <c r="Q532" s="1172"/>
    </row>
    <row r="533" spans="1:17" ht="22.2" customHeight="1" x14ac:dyDescent="0.25">
      <c r="A533" s="463">
        <v>6</v>
      </c>
      <c r="B533" s="262"/>
      <c r="C533" s="525" t="s">
        <v>1257</v>
      </c>
      <c r="D533" s="397" t="s">
        <v>248</v>
      </c>
      <c r="E533" s="547">
        <v>9</v>
      </c>
      <c r="F533" s="247" t="s">
        <v>249</v>
      </c>
      <c r="G533" s="398" t="s">
        <v>8</v>
      </c>
      <c r="H533" s="553"/>
      <c r="I533" s="127">
        <v>631.6</v>
      </c>
      <c r="J533" s="98">
        <f>15.6-13.9</f>
        <v>1.6999999999999993</v>
      </c>
      <c r="K533" s="22"/>
      <c r="L533" s="504"/>
      <c r="M533" s="133"/>
      <c r="N533" s="1025" t="s">
        <v>1811</v>
      </c>
      <c r="O533" s="842" t="s">
        <v>1868</v>
      </c>
      <c r="P533" s="961"/>
      <c r="Q533" s="716" t="s">
        <v>632</v>
      </c>
    </row>
    <row r="534" spans="1:17" ht="21" customHeight="1" x14ac:dyDescent="0.25">
      <c r="A534" s="463">
        <v>6</v>
      </c>
      <c r="B534" s="262"/>
      <c r="C534" s="525" t="s">
        <v>1258</v>
      </c>
      <c r="D534" s="397" t="s">
        <v>246</v>
      </c>
      <c r="E534" s="547">
        <v>9</v>
      </c>
      <c r="F534" s="247" t="s">
        <v>247</v>
      </c>
      <c r="G534" s="398" t="s">
        <v>8</v>
      </c>
      <c r="H534" s="553"/>
      <c r="I534" s="127">
        <v>70.599999999999994</v>
      </c>
      <c r="J534" s="98">
        <f>2.3-2.3</f>
        <v>0</v>
      </c>
      <c r="K534" s="22"/>
      <c r="L534" s="504"/>
      <c r="M534" s="133"/>
      <c r="N534" s="1025" t="s">
        <v>1811</v>
      </c>
      <c r="O534" s="842" t="s">
        <v>1868</v>
      </c>
      <c r="P534" s="961"/>
      <c r="Q534" s="716" t="s">
        <v>692</v>
      </c>
    </row>
    <row r="535" spans="1:17" ht="30.6" x14ac:dyDescent="0.25">
      <c r="A535" s="463">
        <v>6</v>
      </c>
      <c r="B535" s="262"/>
      <c r="C535" s="525" t="s">
        <v>1259</v>
      </c>
      <c r="D535" s="397" t="s">
        <v>1260</v>
      </c>
      <c r="E535" s="547">
        <v>9</v>
      </c>
      <c r="F535" s="247" t="s">
        <v>1261</v>
      </c>
      <c r="G535" s="398" t="s">
        <v>11</v>
      </c>
      <c r="H535" s="553"/>
      <c r="I535" s="127">
        <v>1025.8</v>
      </c>
      <c r="J535" s="98">
        <v>48.9</v>
      </c>
      <c r="K535" s="22"/>
      <c r="L535" s="504">
        <v>610</v>
      </c>
      <c r="M535" s="133"/>
      <c r="N535" s="1025" t="s">
        <v>1811</v>
      </c>
      <c r="O535" s="842" t="s">
        <v>1868</v>
      </c>
      <c r="P535" s="961"/>
      <c r="Q535" s="716"/>
    </row>
    <row r="536" spans="1:17" ht="44.4" customHeight="1" x14ac:dyDescent="0.25">
      <c r="A536" s="463">
        <v>6</v>
      </c>
      <c r="B536" s="112" t="s">
        <v>1262</v>
      </c>
      <c r="C536" s="112" t="s">
        <v>1262</v>
      </c>
      <c r="D536" s="471" t="s">
        <v>1263</v>
      </c>
      <c r="E536" s="472"/>
      <c r="F536" s="472"/>
      <c r="G536" s="472"/>
      <c r="H536" s="472"/>
      <c r="I536" s="554"/>
      <c r="J536" s="473"/>
      <c r="K536" s="473"/>
      <c r="L536" s="474"/>
      <c r="M536" s="133"/>
      <c r="N536" s="1026"/>
      <c r="O536" s="845"/>
      <c r="P536" s="962"/>
      <c r="Q536" s="328"/>
    </row>
    <row r="537" spans="1:17" ht="12.75" customHeight="1" x14ac:dyDescent="0.25">
      <c r="A537" s="463">
        <v>6</v>
      </c>
      <c r="B537" s="555"/>
      <c r="C537" s="555"/>
      <c r="D537" s="556"/>
      <c r="E537" s="557"/>
      <c r="F537" s="558"/>
      <c r="G537" s="559" t="s">
        <v>242</v>
      </c>
      <c r="H537" s="560">
        <f>3100+55.7</f>
        <v>3155.7</v>
      </c>
      <c r="I537" s="561" t="e">
        <f>I548+I555+I557+I559+I561+I563+#REF!+#REF!+#REF!+I566+I568+#REF!+I571+I573+I575+I579+I581+I588+I583+I551</f>
        <v>#REF!</v>
      </c>
      <c r="J537" s="562">
        <f>J548+J555+J557+J559+J561+J563+J566+J568+J571+J573+J575+J579+J581+J588+J583+J551</f>
        <v>3852.8999999999996</v>
      </c>
      <c r="K537" s="562" t="e">
        <f>K548+K555+K557+K559+K561+K563+#REF!+#REF!+#REF!+K566+K568+#REF!+K571+K573+K575+K579+K581+K588+K583+K551</f>
        <v>#REF!</v>
      </c>
      <c r="L537" s="563" t="e">
        <f>L548+L555+L557+L559+L561+L563+#REF!+#REF!+#REF!+L566+L568+#REF!+L571+L573+L575+L579+L581+L588+L583+L551</f>
        <v>#REF!</v>
      </c>
      <c r="M537" s="133"/>
      <c r="N537" s="703"/>
      <c r="O537" s="691"/>
      <c r="P537" s="963"/>
      <c r="Q537" s="329"/>
    </row>
    <row r="538" spans="1:17" ht="12.75" customHeight="1" x14ac:dyDescent="0.25">
      <c r="A538" s="463">
        <v>6</v>
      </c>
      <c r="B538" s="564"/>
      <c r="C538" s="564"/>
      <c r="D538" s="215"/>
      <c r="E538" s="565"/>
      <c r="F538" s="481"/>
      <c r="G538" s="256" t="s">
        <v>216</v>
      </c>
      <c r="H538" s="566">
        <v>450</v>
      </c>
      <c r="I538" s="566">
        <f>I576</f>
        <v>0</v>
      </c>
      <c r="J538" s="567">
        <f>J576+J586</f>
        <v>77.7</v>
      </c>
      <c r="K538" s="567">
        <f t="shared" ref="K538:L538" si="105">K576</f>
        <v>0</v>
      </c>
      <c r="L538" s="568">
        <f t="shared" si="105"/>
        <v>0</v>
      </c>
      <c r="M538" s="185"/>
      <c r="N538" s="705"/>
      <c r="O538" s="691"/>
      <c r="P538" s="963"/>
      <c r="Q538" s="329"/>
    </row>
    <row r="539" spans="1:17" ht="12.75" customHeight="1" x14ac:dyDescent="0.25">
      <c r="A539" s="463">
        <v>6</v>
      </c>
      <c r="B539" s="564"/>
      <c r="C539" s="564"/>
      <c r="D539" s="215"/>
      <c r="E539" s="565"/>
      <c r="F539" s="481"/>
      <c r="G539" s="256" t="s">
        <v>11</v>
      </c>
      <c r="H539" s="566"/>
      <c r="I539" s="566">
        <f>I577+I584</f>
        <v>733.9</v>
      </c>
      <c r="J539" s="567">
        <f t="shared" ref="J539:L539" si="106">J577+J584</f>
        <v>575</v>
      </c>
      <c r="K539" s="567">
        <f t="shared" si="106"/>
        <v>610</v>
      </c>
      <c r="L539" s="568">
        <f t="shared" si="106"/>
        <v>0</v>
      </c>
      <c r="M539" s="185"/>
      <c r="N539" s="705"/>
      <c r="O539" s="691"/>
      <c r="P539" s="963"/>
      <c r="Q539" s="329"/>
    </row>
    <row r="540" spans="1:17" ht="12.75" customHeight="1" x14ac:dyDescent="0.25">
      <c r="A540" s="463">
        <v>6</v>
      </c>
      <c r="B540" s="564"/>
      <c r="C540" s="564"/>
      <c r="D540" s="215"/>
      <c r="E540" s="565"/>
      <c r="F540" s="481"/>
      <c r="G540" s="256" t="s">
        <v>37</v>
      </c>
      <c r="H540" s="566"/>
      <c r="I540" s="566">
        <f>SUM(I549,I552)</f>
        <v>0</v>
      </c>
      <c r="J540" s="567">
        <f t="shared" ref="J540:L540" si="107">SUM(J549,J552)</f>
        <v>383.3</v>
      </c>
      <c r="K540" s="567">
        <f t="shared" si="107"/>
        <v>764.8</v>
      </c>
      <c r="L540" s="568">
        <f t="shared" si="107"/>
        <v>371.7</v>
      </c>
      <c r="M540" s="185"/>
      <c r="N540" s="705"/>
      <c r="O540" s="691"/>
      <c r="P540" s="963"/>
      <c r="Q540" s="329"/>
    </row>
    <row r="541" spans="1:17" ht="12.75" customHeight="1" x14ac:dyDescent="0.25">
      <c r="A541" s="463">
        <v>6</v>
      </c>
      <c r="B541" s="564"/>
      <c r="C541" s="564"/>
      <c r="D541" s="215"/>
      <c r="E541" s="565"/>
      <c r="F541" s="481"/>
      <c r="G541" s="256" t="s">
        <v>594</v>
      </c>
      <c r="H541" s="566"/>
      <c r="I541" s="566">
        <f>I553</f>
        <v>0</v>
      </c>
      <c r="J541" s="567">
        <f t="shared" ref="J541:L541" si="108">J553</f>
        <v>0</v>
      </c>
      <c r="K541" s="567">
        <f t="shared" si="108"/>
        <v>79.099999999999994</v>
      </c>
      <c r="L541" s="568">
        <f t="shared" si="108"/>
        <v>70</v>
      </c>
      <c r="M541" s="185"/>
      <c r="N541" s="705"/>
      <c r="O541" s="691"/>
      <c r="P541" s="963"/>
      <c r="Q541" s="329"/>
    </row>
    <row r="542" spans="1:17" ht="12.75" customHeight="1" x14ac:dyDescent="0.25">
      <c r="A542" s="463">
        <v>6</v>
      </c>
      <c r="B542" s="564"/>
      <c r="C542" s="564"/>
      <c r="D542" s="215"/>
      <c r="E542" s="565"/>
      <c r="F542" s="481"/>
      <c r="G542" s="256" t="s">
        <v>199</v>
      </c>
      <c r="H542" s="566"/>
      <c r="I542" s="566">
        <f>SUM(I570,I585)</f>
        <v>736.1</v>
      </c>
      <c r="J542" s="567">
        <f t="shared" ref="J542:L542" si="109">SUM(J570,J585)</f>
        <v>81.599999999999994</v>
      </c>
      <c r="K542" s="567">
        <f t="shared" si="109"/>
        <v>0</v>
      </c>
      <c r="L542" s="568">
        <f t="shared" si="109"/>
        <v>0</v>
      </c>
      <c r="M542" s="185"/>
      <c r="N542" s="705"/>
      <c r="O542" s="691"/>
      <c r="P542" s="717"/>
      <c r="Q542" s="717"/>
    </row>
    <row r="543" spans="1:17" ht="12.75" customHeight="1" x14ac:dyDescent="0.25">
      <c r="A543" s="463">
        <v>6</v>
      </c>
      <c r="B543" s="564"/>
      <c r="C543" s="564"/>
      <c r="D543" s="215"/>
      <c r="E543" s="565"/>
      <c r="F543" s="481"/>
      <c r="G543" s="256" t="s">
        <v>8</v>
      </c>
      <c r="H543" s="566">
        <v>45.8</v>
      </c>
      <c r="I543" s="251" t="e">
        <f>I545+I546+I547+I550+I554+I556+I558+I560+I562+#REF!+#REF!+#REF!+I564+I565+I567+#REF!+I569+I572+I574+I578+I580+I582+I587+I589+I590</f>
        <v>#REF!</v>
      </c>
      <c r="J543" s="405">
        <f>J545+J546+J547+J550+J554+J556+J558+J560+J562+J564+J565+J567+J569+J572+J574+J578+J580+J582+J587+J589+J590</f>
        <v>908.7</v>
      </c>
      <c r="K543" s="405" t="e">
        <f>K545+K546+K547+K550+K554+K556+K558+K560+K562+#REF!+#REF!+#REF!+K564+K565+K567+#REF!+K569+K572+K574+K578+K580+K582+K587+K589+K590</f>
        <v>#REF!</v>
      </c>
      <c r="L543" s="412" t="e">
        <f>L545+L546+L547+L550+L554+L556+L558+L560+L562+#REF!+#REF!+#REF!+L564+L565+L567+#REF!+L569+L572+L574+L578+L580+L582+L587+L589+L590</f>
        <v>#REF!</v>
      </c>
      <c r="M543" s="185"/>
      <c r="N543" s="705"/>
      <c r="O543" s="693"/>
      <c r="P543" s="692"/>
      <c r="Q543" s="693"/>
    </row>
    <row r="544" spans="1:17" ht="28.5" customHeight="1" x14ac:dyDescent="0.25">
      <c r="A544" s="463">
        <v>6</v>
      </c>
      <c r="B544" s="564"/>
      <c r="C544" s="564"/>
      <c r="D544" s="215"/>
      <c r="E544" s="565"/>
      <c r="F544" s="481"/>
      <c r="G544" s="103" t="s">
        <v>492</v>
      </c>
      <c r="H544" s="256">
        <f>SUM(H536:H543)</f>
        <v>3651.5</v>
      </c>
      <c r="I544" s="105" t="e">
        <f>SUM(I536:I543)</f>
        <v>#REF!</v>
      </c>
      <c r="J544" s="484">
        <f>SUM(J536:J543)</f>
        <v>5879.2</v>
      </c>
      <c r="K544" s="484" t="e">
        <f>SUM(K536:K543)</f>
        <v>#REF!</v>
      </c>
      <c r="L544" s="485" t="e">
        <f>SUM(L536:L543)</f>
        <v>#REF!</v>
      </c>
      <c r="M544" s="133"/>
      <c r="N544" s="705"/>
      <c r="O544" s="695"/>
      <c r="P544" s="696"/>
      <c r="Q544" s="695"/>
    </row>
    <row r="545" spans="1:17" ht="21" x14ac:dyDescent="0.25">
      <c r="A545" s="463">
        <v>6</v>
      </c>
      <c r="B545" s="564"/>
      <c r="C545" s="569" t="s">
        <v>1264</v>
      </c>
      <c r="D545" s="205" t="s">
        <v>1265</v>
      </c>
      <c r="E545" s="463">
        <v>9</v>
      </c>
      <c r="F545" s="80" t="s">
        <v>1266</v>
      </c>
      <c r="G545" s="133" t="s">
        <v>8</v>
      </c>
      <c r="H545" s="256"/>
      <c r="I545" s="59"/>
      <c r="J545" s="98">
        <v>132.30000000000001</v>
      </c>
      <c r="K545" s="499"/>
      <c r="L545" s="501"/>
      <c r="M545" s="133" t="s">
        <v>702</v>
      </c>
      <c r="N545" s="1137" t="s">
        <v>1811</v>
      </c>
      <c r="O545" s="695" t="s">
        <v>1244</v>
      </c>
      <c r="P545" s="696">
        <v>100</v>
      </c>
      <c r="Q545" s="695" t="s">
        <v>692</v>
      </c>
    </row>
    <row r="546" spans="1:17" ht="35.4" customHeight="1" x14ac:dyDescent="0.25">
      <c r="A546" s="463">
        <v>6</v>
      </c>
      <c r="B546" s="257"/>
      <c r="C546" s="569" t="s">
        <v>1267</v>
      </c>
      <c r="D546" s="81" t="s">
        <v>1268</v>
      </c>
      <c r="E546" s="463">
        <v>9</v>
      </c>
      <c r="F546" s="428" t="s">
        <v>244</v>
      </c>
      <c r="G546" s="133" t="s">
        <v>8</v>
      </c>
      <c r="H546" s="256"/>
      <c r="I546" s="59">
        <v>132.64699999999999</v>
      </c>
      <c r="J546" s="98">
        <v>11</v>
      </c>
      <c r="K546" s="499"/>
      <c r="L546" s="501"/>
      <c r="M546" s="133" t="s">
        <v>619</v>
      </c>
      <c r="N546" s="1137" t="s">
        <v>2022</v>
      </c>
      <c r="O546" s="1005" t="s">
        <v>1894</v>
      </c>
      <c r="P546" s="708">
        <v>100</v>
      </c>
      <c r="Q546" s="695" t="s">
        <v>692</v>
      </c>
    </row>
    <row r="547" spans="1:17" ht="12.75" customHeight="1" x14ac:dyDescent="0.25">
      <c r="A547" s="463">
        <v>6</v>
      </c>
      <c r="B547" s="257"/>
      <c r="C547" s="370" t="s">
        <v>1269</v>
      </c>
      <c r="D547" s="1229" t="s">
        <v>1270</v>
      </c>
      <c r="E547" s="463">
        <v>9</v>
      </c>
      <c r="F547" s="428" t="s">
        <v>1271</v>
      </c>
      <c r="G547" s="133" t="s">
        <v>8</v>
      </c>
      <c r="H547" s="256"/>
      <c r="I547" s="59"/>
      <c r="J547" s="98">
        <f>1.5+8.4</f>
        <v>9.9</v>
      </c>
      <c r="K547" s="499">
        <v>2</v>
      </c>
      <c r="L547" s="501">
        <v>20</v>
      </c>
      <c r="M547" s="133" t="s">
        <v>689</v>
      </c>
      <c r="N547" s="1137" t="s">
        <v>2022</v>
      </c>
      <c r="O547" s="695" t="s">
        <v>1244</v>
      </c>
      <c r="P547" s="708">
        <v>10</v>
      </c>
      <c r="Q547" s="695" t="s">
        <v>692</v>
      </c>
    </row>
    <row r="548" spans="1:17" ht="43.95" customHeight="1" x14ac:dyDescent="0.25">
      <c r="A548" s="463">
        <v>6</v>
      </c>
      <c r="B548" s="257"/>
      <c r="C548" s="258"/>
      <c r="D548" s="1230"/>
      <c r="E548" s="463">
        <v>9</v>
      </c>
      <c r="F548" s="428" t="s">
        <v>1271</v>
      </c>
      <c r="G548" s="133" t="s">
        <v>242</v>
      </c>
      <c r="H548" s="256"/>
      <c r="I548" s="59"/>
      <c r="J548" s="98">
        <v>100</v>
      </c>
      <c r="K548" s="499">
        <v>800</v>
      </c>
      <c r="L548" s="501">
        <v>1000</v>
      </c>
      <c r="M548" s="133" t="s">
        <v>689</v>
      </c>
      <c r="N548" s="1137" t="s">
        <v>2022</v>
      </c>
      <c r="O548" s="1006" t="s">
        <v>1275</v>
      </c>
      <c r="P548" s="708">
        <v>1</v>
      </c>
      <c r="Q548" s="695" t="s">
        <v>692</v>
      </c>
    </row>
    <row r="549" spans="1:17" ht="12.75" customHeight="1" x14ac:dyDescent="0.25">
      <c r="A549" s="463">
        <v>6</v>
      </c>
      <c r="B549" s="257"/>
      <c r="C549" s="258"/>
      <c r="D549" s="1231"/>
      <c r="E549" s="463">
        <v>9</v>
      </c>
      <c r="F549" s="428" t="s">
        <v>1271</v>
      </c>
      <c r="G549" s="185" t="s">
        <v>37</v>
      </c>
      <c r="H549" s="256"/>
      <c r="I549" s="59"/>
      <c r="J549" s="98">
        <f>ROUND((2300/3/2), 1)</f>
        <v>383.3</v>
      </c>
      <c r="K549" s="22">
        <f>ROUND((736.3-J549+15.1), 1)</f>
        <v>368.1</v>
      </c>
      <c r="L549" s="504"/>
      <c r="M549" s="133" t="s">
        <v>689</v>
      </c>
      <c r="N549" s="1137" t="s">
        <v>2022</v>
      </c>
      <c r="O549" s="695"/>
      <c r="P549" s="708"/>
      <c r="Q549" s="695" t="s">
        <v>692</v>
      </c>
    </row>
    <row r="550" spans="1:17" ht="12.75" customHeight="1" x14ac:dyDescent="0.25">
      <c r="A550" s="463">
        <v>6</v>
      </c>
      <c r="B550" s="257"/>
      <c r="C550" s="370" t="s">
        <v>1272</v>
      </c>
      <c r="D550" s="1229" t="s">
        <v>1273</v>
      </c>
      <c r="E550" s="463">
        <v>9</v>
      </c>
      <c r="F550" s="428" t="s">
        <v>1274</v>
      </c>
      <c r="G550" s="185" t="s">
        <v>8</v>
      </c>
      <c r="H550" s="256"/>
      <c r="I550" s="59"/>
      <c r="J550" s="98"/>
      <c r="K550" s="570">
        <f>ROUND((2800-(2800/3))/2-900, 1)</f>
        <v>33.299999999999997</v>
      </c>
      <c r="L550" s="571">
        <f>ROUND((2800-(2800/3))/2, 1)</f>
        <v>933.3</v>
      </c>
      <c r="M550" s="133" t="s">
        <v>689</v>
      </c>
      <c r="N550" s="1137" t="s">
        <v>2022</v>
      </c>
      <c r="O550" s="695" t="s">
        <v>1275</v>
      </c>
      <c r="P550" s="708">
        <v>1</v>
      </c>
      <c r="Q550" s="695" t="s">
        <v>692</v>
      </c>
    </row>
    <row r="551" spans="1:17" ht="12.75" customHeight="1" x14ac:dyDescent="0.25">
      <c r="A551" s="463">
        <v>6</v>
      </c>
      <c r="B551" s="257"/>
      <c r="C551" s="370"/>
      <c r="D551" s="1230"/>
      <c r="E551" s="463">
        <v>9</v>
      </c>
      <c r="F551" s="428" t="s">
        <v>1274</v>
      </c>
      <c r="G551" s="185" t="s">
        <v>242</v>
      </c>
      <c r="H551" s="256"/>
      <c r="I551" s="59"/>
      <c r="J551" s="98"/>
      <c r="K551" s="570">
        <v>900</v>
      </c>
      <c r="L551" s="571"/>
      <c r="M551" s="133" t="s">
        <v>689</v>
      </c>
      <c r="N551" s="1137" t="s">
        <v>2022</v>
      </c>
      <c r="O551" s="695" t="s">
        <v>958</v>
      </c>
      <c r="P551" s="708">
        <v>1</v>
      </c>
      <c r="Q551" s="695" t="s">
        <v>692</v>
      </c>
    </row>
    <row r="552" spans="1:17" ht="12.75" customHeight="1" x14ac:dyDescent="0.25">
      <c r="A552" s="463">
        <v>6</v>
      </c>
      <c r="B552" s="257"/>
      <c r="C552" s="258"/>
      <c r="D552" s="1230"/>
      <c r="E552" s="463">
        <v>9</v>
      </c>
      <c r="F552" s="428" t="s">
        <v>1274</v>
      </c>
      <c r="G552" s="185" t="s">
        <v>37</v>
      </c>
      <c r="H552" s="256"/>
      <c r="I552" s="59"/>
      <c r="J552" s="98"/>
      <c r="K552" s="570">
        <f>ROUND((2800/3*0.85/2), 1)</f>
        <v>396.7</v>
      </c>
      <c r="L552" s="571">
        <f>744.9-K552+23.5</f>
        <v>371.7</v>
      </c>
      <c r="M552" s="133" t="s">
        <v>689</v>
      </c>
      <c r="N552" s="1137" t="s">
        <v>2022</v>
      </c>
      <c r="O552" s="695"/>
      <c r="P552" s="708"/>
      <c r="Q552" s="695" t="s">
        <v>692</v>
      </c>
    </row>
    <row r="553" spans="1:17" ht="12.75" customHeight="1" x14ac:dyDescent="0.25">
      <c r="A553" s="463">
        <v>6</v>
      </c>
      <c r="B553" s="257"/>
      <c r="C553" s="258"/>
      <c r="D553" s="1231"/>
      <c r="E553" s="463">
        <v>9</v>
      </c>
      <c r="F553" s="428" t="s">
        <v>1274</v>
      </c>
      <c r="G553" s="185" t="s">
        <v>594</v>
      </c>
      <c r="H553" s="256"/>
      <c r="I553" s="59"/>
      <c r="J553" s="98"/>
      <c r="K553" s="22">
        <f>149.1-L553</f>
        <v>79.099999999999994</v>
      </c>
      <c r="L553" s="504">
        <f>2800/3*0.15/2</f>
        <v>70</v>
      </c>
      <c r="M553" s="133" t="s">
        <v>689</v>
      </c>
      <c r="N553" s="1137" t="s">
        <v>2022</v>
      </c>
      <c r="O553" s="695"/>
      <c r="P553" s="708"/>
      <c r="Q553" s="695" t="s">
        <v>692</v>
      </c>
    </row>
    <row r="554" spans="1:17" ht="12.75" customHeight="1" x14ac:dyDescent="0.25">
      <c r="A554" s="463">
        <v>6</v>
      </c>
      <c r="B554" s="257"/>
      <c r="C554" s="370" t="s">
        <v>1276</v>
      </c>
      <c r="D554" s="1229" t="s">
        <v>1277</v>
      </c>
      <c r="E554" s="463">
        <v>9</v>
      </c>
      <c r="F554" s="428" t="s">
        <v>1278</v>
      </c>
      <c r="G554" s="133" t="s">
        <v>8</v>
      </c>
      <c r="H554" s="256"/>
      <c r="I554" s="59"/>
      <c r="J554" s="98">
        <f>20-20</f>
        <v>0</v>
      </c>
      <c r="K554" s="499">
        <v>10</v>
      </c>
      <c r="L554" s="501"/>
      <c r="M554" s="133" t="s">
        <v>702</v>
      </c>
      <c r="N554" s="1137" t="s">
        <v>2025</v>
      </c>
      <c r="O554" s="695" t="s">
        <v>1279</v>
      </c>
      <c r="P554" s="708">
        <v>50</v>
      </c>
      <c r="Q554" s="695" t="s">
        <v>692</v>
      </c>
    </row>
    <row r="555" spans="1:17" ht="36.6" customHeight="1" x14ac:dyDescent="0.25">
      <c r="A555" s="463">
        <v>6</v>
      </c>
      <c r="B555" s="257"/>
      <c r="C555" s="258"/>
      <c r="D555" s="1231"/>
      <c r="E555" s="463">
        <v>9</v>
      </c>
      <c r="F555" s="428" t="s">
        <v>1278</v>
      </c>
      <c r="G555" s="133" t="s">
        <v>242</v>
      </c>
      <c r="H555" s="256"/>
      <c r="I555" s="59"/>
      <c r="J555" s="98"/>
      <c r="K555" s="499"/>
      <c r="L555" s="501">
        <v>300</v>
      </c>
      <c r="M555" s="133" t="s">
        <v>702</v>
      </c>
      <c r="N555" s="705" t="s">
        <v>1229</v>
      </c>
      <c r="O555" s="695"/>
      <c r="P555" s="708"/>
      <c r="Q555" s="695" t="s">
        <v>692</v>
      </c>
    </row>
    <row r="556" spans="1:17" ht="12.75" customHeight="1" x14ac:dyDescent="0.25">
      <c r="A556" s="463">
        <v>6</v>
      </c>
      <c r="B556" s="257"/>
      <c r="C556" s="370" t="s">
        <v>1280</v>
      </c>
      <c r="D556" s="1229" t="s">
        <v>1281</v>
      </c>
      <c r="E556" s="463">
        <v>9</v>
      </c>
      <c r="F556" s="428" t="s">
        <v>1282</v>
      </c>
      <c r="G556" s="133" t="s">
        <v>8</v>
      </c>
      <c r="H556" s="256"/>
      <c r="I556" s="59"/>
      <c r="J556" s="98">
        <f>30-30</f>
        <v>0</v>
      </c>
      <c r="K556" s="499">
        <v>25</v>
      </c>
      <c r="L556" s="501"/>
      <c r="M556" s="133" t="s">
        <v>702</v>
      </c>
      <c r="N556" s="705" t="s">
        <v>1184</v>
      </c>
      <c r="O556" s="695" t="s">
        <v>1279</v>
      </c>
      <c r="P556" s="708">
        <v>50</v>
      </c>
      <c r="Q556" s="695" t="s">
        <v>712</v>
      </c>
    </row>
    <row r="557" spans="1:17" ht="39.6" customHeight="1" x14ac:dyDescent="0.25">
      <c r="A557" s="463">
        <v>6</v>
      </c>
      <c r="B557" s="257"/>
      <c r="C557" s="258"/>
      <c r="D557" s="1231"/>
      <c r="E557" s="463">
        <v>9</v>
      </c>
      <c r="F557" s="428" t="s">
        <v>1282</v>
      </c>
      <c r="G557" s="133" t="s">
        <v>242</v>
      </c>
      <c r="H557" s="256"/>
      <c r="I557" s="59"/>
      <c r="J557" s="98"/>
      <c r="K557" s="499"/>
      <c r="L557" s="501"/>
      <c r="M557" s="133" t="s">
        <v>702</v>
      </c>
      <c r="N557" s="705" t="s">
        <v>1184</v>
      </c>
      <c r="O557" s="695"/>
      <c r="P557" s="708"/>
      <c r="Q557" s="695" t="s">
        <v>712</v>
      </c>
    </row>
    <row r="558" spans="1:17" ht="12.75" customHeight="1" x14ac:dyDescent="0.25">
      <c r="A558" s="463">
        <v>6</v>
      </c>
      <c r="B558" s="257"/>
      <c r="C558" s="370" t="s">
        <v>1283</v>
      </c>
      <c r="D558" s="1229" t="s">
        <v>1284</v>
      </c>
      <c r="E558" s="463">
        <v>9</v>
      </c>
      <c r="F558" s="428" t="s">
        <v>1285</v>
      </c>
      <c r="G558" s="133" t="s">
        <v>8</v>
      </c>
      <c r="H558" s="256"/>
      <c r="I558" s="59"/>
      <c r="J558" s="98">
        <f>10-10</f>
        <v>0</v>
      </c>
      <c r="K558" s="499">
        <v>8</v>
      </c>
      <c r="L558" s="501"/>
      <c r="M558" s="133" t="s">
        <v>702</v>
      </c>
      <c r="N558" s="705" t="s">
        <v>1229</v>
      </c>
      <c r="O558" s="695" t="s">
        <v>1279</v>
      </c>
      <c r="P558" s="708">
        <v>50</v>
      </c>
      <c r="Q558" s="695" t="s">
        <v>719</v>
      </c>
    </row>
    <row r="559" spans="1:17" ht="33.6" customHeight="1" x14ac:dyDescent="0.25">
      <c r="A559" s="463">
        <v>6</v>
      </c>
      <c r="B559" s="257"/>
      <c r="C559" s="258"/>
      <c r="D559" s="1231"/>
      <c r="E559" s="463">
        <v>9</v>
      </c>
      <c r="F559" s="428" t="s">
        <v>1285</v>
      </c>
      <c r="G559" s="133" t="s">
        <v>242</v>
      </c>
      <c r="H559" s="256"/>
      <c r="I559" s="59"/>
      <c r="J559" s="98"/>
      <c r="K559" s="499"/>
      <c r="L559" s="501"/>
      <c r="M559" s="133" t="s">
        <v>702</v>
      </c>
      <c r="N559" s="705" t="s">
        <v>1229</v>
      </c>
      <c r="O559" s="695"/>
      <c r="P559" s="708"/>
      <c r="Q559" s="695" t="s">
        <v>719</v>
      </c>
    </row>
    <row r="560" spans="1:17" ht="30.6" customHeight="1" x14ac:dyDescent="0.25">
      <c r="A560" s="463">
        <v>6</v>
      </c>
      <c r="B560" s="257"/>
      <c r="C560" s="370" t="s">
        <v>1286</v>
      </c>
      <c r="D560" s="1229" t="s">
        <v>1287</v>
      </c>
      <c r="E560" s="463">
        <v>9</v>
      </c>
      <c r="F560" s="428" t="s">
        <v>1288</v>
      </c>
      <c r="G560" s="133" t="s">
        <v>8</v>
      </c>
      <c r="H560" s="256"/>
      <c r="I560" s="59"/>
      <c r="J560" s="98">
        <f>20-13.9-0.6</f>
        <v>5.5</v>
      </c>
      <c r="K560" s="499">
        <v>42</v>
      </c>
      <c r="L560" s="501"/>
      <c r="M560" s="133" t="s">
        <v>702</v>
      </c>
      <c r="N560" s="705" t="s">
        <v>1229</v>
      </c>
      <c r="O560" s="695" t="s">
        <v>1279</v>
      </c>
      <c r="P560" s="708">
        <v>50</v>
      </c>
      <c r="Q560" s="695" t="s">
        <v>719</v>
      </c>
    </row>
    <row r="561" spans="1:17" ht="12.75" customHeight="1" x14ac:dyDescent="0.25">
      <c r="A561" s="463">
        <v>6</v>
      </c>
      <c r="B561" s="257"/>
      <c r="C561" s="258"/>
      <c r="D561" s="1231"/>
      <c r="E561" s="463">
        <v>9</v>
      </c>
      <c r="F561" s="428" t="s">
        <v>1288</v>
      </c>
      <c r="G561" s="133" t="s">
        <v>242</v>
      </c>
      <c r="H561" s="256"/>
      <c r="I561" s="59"/>
      <c r="J561" s="98"/>
      <c r="K561" s="499"/>
      <c r="L561" s="501"/>
      <c r="M561" s="133" t="s">
        <v>702</v>
      </c>
      <c r="N561" s="705" t="s">
        <v>1229</v>
      </c>
      <c r="O561" s="695"/>
      <c r="P561" s="708"/>
      <c r="Q561" s="695" t="s">
        <v>719</v>
      </c>
    </row>
    <row r="562" spans="1:17" ht="33.6" customHeight="1" x14ac:dyDescent="0.25">
      <c r="A562" s="463">
        <v>6</v>
      </c>
      <c r="B562" s="257"/>
      <c r="C562" s="370" t="s">
        <v>1289</v>
      </c>
      <c r="D562" s="1229" t="s">
        <v>1290</v>
      </c>
      <c r="E562" s="463">
        <v>9</v>
      </c>
      <c r="F562" s="428" t="s">
        <v>1291</v>
      </c>
      <c r="G562" s="133" t="s">
        <v>8</v>
      </c>
      <c r="H562" s="256"/>
      <c r="I562" s="59"/>
      <c r="J562" s="98">
        <f>15+3.2</f>
        <v>18.2</v>
      </c>
      <c r="K562" s="499">
        <v>22</v>
      </c>
      <c r="L562" s="501"/>
      <c r="M562" s="133" t="s">
        <v>702</v>
      </c>
      <c r="N562" s="705" t="s">
        <v>1229</v>
      </c>
      <c r="O562" s="695" t="s">
        <v>1279</v>
      </c>
      <c r="P562" s="708">
        <v>50</v>
      </c>
      <c r="Q562" s="695" t="s">
        <v>692</v>
      </c>
    </row>
    <row r="563" spans="1:17" ht="12.75" customHeight="1" x14ac:dyDescent="0.25">
      <c r="A563" s="463">
        <v>6</v>
      </c>
      <c r="B563" s="257"/>
      <c r="C563" s="258"/>
      <c r="D563" s="1231"/>
      <c r="E563" s="463">
        <v>9</v>
      </c>
      <c r="F563" s="428" t="s">
        <v>1291</v>
      </c>
      <c r="G563" s="133" t="s">
        <v>242</v>
      </c>
      <c r="H563" s="256"/>
      <c r="I563" s="59"/>
      <c r="J563" s="98"/>
      <c r="K563" s="499"/>
      <c r="L563" s="501"/>
      <c r="M563" s="133" t="s">
        <v>702</v>
      </c>
      <c r="N563" s="705" t="s">
        <v>1229</v>
      </c>
      <c r="O563" s="695"/>
      <c r="P563" s="708"/>
      <c r="Q563" s="695" t="s">
        <v>692</v>
      </c>
    </row>
    <row r="564" spans="1:17" ht="23.4" customHeight="1" x14ac:dyDescent="0.25">
      <c r="A564" s="463">
        <v>6</v>
      </c>
      <c r="B564" s="262"/>
      <c r="C564" s="370" t="s">
        <v>1292</v>
      </c>
      <c r="D564" s="320" t="s">
        <v>1293</v>
      </c>
      <c r="E564" s="463">
        <v>9</v>
      </c>
      <c r="F564" s="428" t="s">
        <v>245</v>
      </c>
      <c r="G564" s="133" t="s">
        <v>8</v>
      </c>
      <c r="H564" s="7"/>
      <c r="I564" s="59"/>
      <c r="J564" s="98">
        <f>5.6+32.6</f>
        <v>38.200000000000003</v>
      </c>
      <c r="K564" s="499">
        <v>50</v>
      </c>
      <c r="L564" s="501"/>
      <c r="M564" s="185" t="s">
        <v>702</v>
      </c>
      <c r="N564" s="705" t="s">
        <v>630</v>
      </c>
      <c r="O564" s="693" t="s">
        <v>1294</v>
      </c>
      <c r="P564" s="708">
        <v>1</v>
      </c>
      <c r="Q564" s="695" t="s">
        <v>632</v>
      </c>
    </row>
    <row r="565" spans="1:17" ht="12.75" customHeight="1" x14ac:dyDescent="0.25">
      <c r="A565" s="463">
        <v>6</v>
      </c>
      <c r="B565" s="262"/>
      <c r="C565" s="370" t="s">
        <v>1295</v>
      </c>
      <c r="D565" s="1229" t="s">
        <v>1296</v>
      </c>
      <c r="E565" s="463">
        <v>9</v>
      </c>
      <c r="F565" s="373" t="s">
        <v>1297</v>
      </c>
      <c r="G565" s="133" t="s">
        <v>8</v>
      </c>
      <c r="H565" s="7"/>
      <c r="I565" s="59"/>
      <c r="J565" s="98">
        <f>7-4</f>
        <v>3</v>
      </c>
      <c r="K565" s="232"/>
      <c r="L565" s="548"/>
      <c r="M565" s="185" t="s">
        <v>619</v>
      </c>
      <c r="N565" s="1148" t="s">
        <v>630</v>
      </c>
      <c r="O565" s="695" t="s">
        <v>1244</v>
      </c>
      <c r="P565" s="708">
        <v>100</v>
      </c>
      <c r="Q565" s="707" t="s">
        <v>708</v>
      </c>
    </row>
    <row r="566" spans="1:17" ht="12.75" customHeight="1" x14ac:dyDescent="0.25">
      <c r="A566" s="463">
        <v>6</v>
      </c>
      <c r="B566" s="262"/>
      <c r="C566" s="262"/>
      <c r="D566" s="1231"/>
      <c r="E566" s="463">
        <v>9</v>
      </c>
      <c r="F566" s="373" t="s">
        <v>1297</v>
      </c>
      <c r="G566" s="133" t="s">
        <v>242</v>
      </c>
      <c r="H566" s="7"/>
      <c r="I566" s="59"/>
      <c r="J566" s="98">
        <v>233.5</v>
      </c>
      <c r="K566" s="232"/>
      <c r="L566" s="548"/>
      <c r="M566" s="185" t="s">
        <v>619</v>
      </c>
      <c r="N566" s="1228" t="s">
        <v>630</v>
      </c>
      <c r="O566" s="695"/>
      <c r="P566" s="696"/>
      <c r="Q566" s="707" t="s">
        <v>708</v>
      </c>
    </row>
    <row r="567" spans="1:17" ht="38.4" customHeight="1" x14ac:dyDescent="0.25">
      <c r="A567" s="463">
        <v>6</v>
      </c>
      <c r="B567" s="573"/>
      <c r="C567" s="370" t="s">
        <v>1298</v>
      </c>
      <c r="D567" s="1245" t="s">
        <v>1299</v>
      </c>
      <c r="E567" s="574">
        <v>9</v>
      </c>
      <c r="F567" s="575" t="s">
        <v>1300</v>
      </c>
      <c r="G567" s="423" t="s">
        <v>8</v>
      </c>
      <c r="H567" s="122"/>
      <c r="I567" s="400">
        <v>0</v>
      </c>
      <c r="J567" s="98">
        <f>9-5.6</f>
        <v>3.4000000000000004</v>
      </c>
      <c r="K567" s="550"/>
      <c r="L567" s="576">
        <v>599</v>
      </c>
      <c r="M567" s="495" t="s">
        <v>619</v>
      </c>
      <c r="N567" s="1149" t="s">
        <v>1184</v>
      </c>
      <c r="O567" s="718" t="s">
        <v>1275</v>
      </c>
      <c r="P567" s="708">
        <v>1</v>
      </c>
      <c r="Q567" s="715" t="s">
        <v>708</v>
      </c>
    </row>
    <row r="568" spans="1:17" ht="12.75" customHeight="1" x14ac:dyDescent="0.25">
      <c r="A568" s="463">
        <v>6</v>
      </c>
      <c r="B568" s="262"/>
      <c r="C568" s="262"/>
      <c r="D568" s="1246"/>
      <c r="E568" s="463">
        <v>9</v>
      </c>
      <c r="F568" s="373" t="s">
        <v>1300</v>
      </c>
      <c r="G568" s="133" t="s">
        <v>242</v>
      </c>
      <c r="H568" s="7"/>
      <c r="I568" s="59"/>
      <c r="J568" s="98"/>
      <c r="K568" s="232"/>
      <c r="L568" s="548"/>
      <c r="M568" s="185" t="s">
        <v>619</v>
      </c>
      <c r="N568" s="1149" t="s">
        <v>1184</v>
      </c>
      <c r="O568" s="695"/>
      <c r="P568" s="696"/>
      <c r="Q568" s="707" t="s">
        <v>708</v>
      </c>
    </row>
    <row r="569" spans="1:17" ht="12.75" customHeight="1" x14ac:dyDescent="0.25">
      <c r="A569" s="463">
        <v>6</v>
      </c>
      <c r="B569" s="262"/>
      <c r="C569" s="370" t="s">
        <v>1301</v>
      </c>
      <c r="D569" s="1229" t="s">
        <v>1302</v>
      </c>
      <c r="E569" s="463">
        <v>9</v>
      </c>
      <c r="F569" s="373" t="s">
        <v>1303</v>
      </c>
      <c r="G569" s="133" t="s">
        <v>8</v>
      </c>
      <c r="H569" s="7"/>
      <c r="I569" s="59"/>
      <c r="J569" s="98">
        <f>39+20.5</f>
        <v>59.5</v>
      </c>
      <c r="K569" s="232">
        <v>13</v>
      </c>
      <c r="L569" s="548"/>
      <c r="M569" s="133" t="s">
        <v>619</v>
      </c>
      <c r="N569" s="705" t="s">
        <v>630</v>
      </c>
      <c r="O569" s="695" t="s">
        <v>1244</v>
      </c>
      <c r="P569" s="708">
        <v>80</v>
      </c>
      <c r="Q569" s="707" t="s">
        <v>972</v>
      </c>
    </row>
    <row r="570" spans="1:17" ht="12.75" customHeight="1" x14ac:dyDescent="0.25">
      <c r="A570" s="463">
        <v>6</v>
      </c>
      <c r="B570" s="262"/>
      <c r="C570" s="262"/>
      <c r="D570" s="1230"/>
      <c r="E570" s="463">
        <v>9</v>
      </c>
      <c r="F570" s="373" t="s">
        <v>1303</v>
      </c>
      <c r="G570" s="133" t="s">
        <v>199</v>
      </c>
      <c r="H570" s="7"/>
      <c r="I570" s="59">
        <v>370</v>
      </c>
      <c r="J570" s="98"/>
      <c r="K570" s="232"/>
      <c r="L570" s="548"/>
      <c r="M570" s="133" t="s">
        <v>619</v>
      </c>
      <c r="N570" s="705" t="s">
        <v>630</v>
      </c>
      <c r="O570" s="695"/>
      <c r="P570" s="696"/>
      <c r="Q570" s="707" t="s">
        <v>972</v>
      </c>
    </row>
    <row r="571" spans="1:17" ht="12.75" customHeight="1" x14ac:dyDescent="0.25">
      <c r="A571" s="463">
        <v>6</v>
      </c>
      <c r="B571" s="262"/>
      <c r="C571" s="262"/>
      <c r="D571" s="1231"/>
      <c r="E571" s="463">
        <v>9</v>
      </c>
      <c r="F571" s="373" t="s">
        <v>1303</v>
      </c>
      <c r="G571" s="133" t="s">
        <v>242</v>
      </c>
      <c r="H571" s="7"/>
      <c r="I571" s="59">
        <v>276.89999999999998</v>
      </c>
      <c r="J571" s="98">
        <v>1130.5999999999999</v>
      </c>
      <c r="K571" s="232">
        <v>299.3</v>
      </c>
      <c r="L571" s="548"/>
      <c r="M571" s="133" t="s">
        <v>619</v>
      </c>
      <c r="N571" s="705" t="s">
        <v>630</v>
      </c>
      <c r="O571" s="695"/>
      <c r="P571" s="696"/>
      <c r="Q571" s="707" t="s">
        <v>972</v>
      </c>
    </row>
    <row r="572" spans="1:17" ht="57.6" customHeight="1" x14ac:dyDescent="0.25">
      <c r="A572" s="463">
        <v>6</v>
      </c>
      <c r="B572" s="262"/>
      <c r="C572" s="370" t="s">
        <v>1304</v>
      </c>
      <c r="D572" s="1229" t="s">
        <v>1305</v>
      </c>
      <c r="E572" s="463">
        <v>9</v>
      </c>
      <c r="F572" s="373" t="s">
        <v>1306</v>
      </c>
      <c r="G572" s="133" t="s">
        <v>8</v>
      </c>
      <c r="H572" s="7"/>
      <c r="I572" s="59"/>
      <c r="J572" s="98">
        <f>25-3.4</f>
        <v>21.6</v>
      </c>
      <c r="K572" s="550">
        <v>11.8</v>
      </c>
      <c r="L572" s="577"/>
      <c r="M572" s="185" t="s">
        <v>619</v>
      </c>
      <c r="N572" s="1148" t="s">
        <v>1229</v>
      </c>
      <c r="O572" s="695" t="s">
        <v>1244</v>
      </c>
      <c r="P572" s="708">
        <v>80</v>
      </c>
      <c r="Q572" s="707" t="s">
        <v>632</v>
      </c>
    </row>
    <row r="573" spans="1:17" ht="12.75" customHeight="1" x14ac:dyDescent="0.25">
      <c r="A573" s="463">
        <v>6</v>
      </c>
      <c r="B573" s="262"/>
      <c r="C573" s="262"/>
      <c r="D573" s="1231"/>
      <c r="E573" s="463">
        <v>9</v>
      </c>
      <c r="F573" s="373" t="s">
        <v>1306</v>
      </c>
      <c r="G573" s="133" t="s">
        <v>242</v>
      </c>
      <c r="H573" s="7"/>
      <c r="I573" s="59">
        <v>1000</v>
      </c>
      <c r="J573" s="98">
        <v>1307.0999999999999</v>
      </c>
      <c r="K573" s="572">
        <v>926.2</v>
      </c>
      <c r="L573" s="577"/>
      <c r="M573" s="185" t="s">
        <v>619</v>
      </c>
      <c r="N573" s="1148" t="s">
        <v>1229</v>
      </c>
      <c r="O573" s="695"/>
      <c r="P573" s="696"/>
      <c r="Q573" s="707" t="s">
        <v>632</v>
      </c>
    </row>
    <row r="574" spans="1:17" ht="12.75" customHeight="1" x14ac:dyDescent="0.25">
      <c r="A574" s="463">
        <v>6</v>
      </c>
      <c r="B574" s="262"/>
      <c r="C574" s="370" t="s">
        <v>1307</v>
      </c>
      <c r="D574" s="1229" t="s">
        <v>1308</v>
      </c>
      <c r="E574" s="463">
        <v>9</v>
      </c>
      <c r="F574" s="373" t="s">
        <v>1309</v>
      </c>
      <c r="G574" s="133" t="s">
        <v>8</v>
      </c>
      <c r="H574" s="7"/>
      <c r="I574" s="59"/>
      <c r="J574" s="98">
        <f>6-5.5+170+95.1+82.5</f>
        <v>348.1</v>
      </c>
      <c r="K574" s="232">
        <v>6</v>
      </c>
      <c r="L574" s="548"/>
      <c r="M574" s="185" t="s">
        <v>619</v>
      </c>
      <c r="N574" s="1148" t="s">
        <v>1229</v>
      </c>
      <c r="O574" s="718" t="s">
        <v>1244</v>
      </c>
      <c r="P574" s="720">
        <v>100</v>
      </c>
      <c r="Q574" s="707" t="s">
        <v>692</v>
      </c>
    </row>
    <row r="575" spans="1:17" ht="12.75" customHeight="1" x14ac:dyDescent="0.25">
      <c r="A575" s="463">
        <v>6</v>
      </c>
      <c r="B575" s="262"/>
      <c r="C575" s="262"/>
      <c r="D575" s="1230"/>
      <c r="E575" s="463">
        <v>9</v>
      </c>
      <c r="F575" s="373" t="s">
        <v>1309</v>
      </c>
      <c r="G575" s="133" t="s">
        <v>242</v>
      </c>
      <c r="H575" s="7"/>
      <c r="I575" s="59"/>
      <c r="J575" s="98">
        <v>759.6</v>
      </c>
      <c r="K575" s="232"/>
      <c r="L575" s="548"/>
      <c r="M575" s="185" t="s">
        <v>619</v>
      </c>
      <c r="N575" s="1148" t="s">
        <v>1229</v>
      </c>
      <c r="O575" s="718"/>
      <c r="P575" s="720"/>
      <c r="Q575" s="707" t="s">
        <v>692</v>
      </c>
    </row>
    <row r="576" spans="1:17" ht="12.75" customHeight="1" x14ac:dyDescent="0.25">
      <c r="A576" s="463">
        <v>6</v>
      </c>
      <c r="B576" s="262"/>
      <c r="C576" s="262"/>
      <c r="D576" s="1230"/>
      <c r="E576" s="463">
        <v>9</v>
      </c>
      <c r="F576" s="373" t="s">
        <v>1309</v>
      </c>
      <c r="G576" s="133" t="s">
        <v>216</v>
      </c>
      <c r="H576" s="7"/>
      <c r="I576" s="59"/>
      <c r="J576" s="98">
        <f>100-25</f>
        <v>75</v>
      </c>
      <c r="K576" s="232"/>
      <c r="L576" s="548"/>
      <c r="M576" s="185"/>
      <c r="N576" s="1148" t="s">
        <v>1229</v>
      </c>
      <c r="O576" s="718"/>
      <c r="P576" s="720"/>
      <c r="Q576" s="707" t="s">
        <v>692</v>
      </c>
    </row>
    <row r="577" spans="1:17" ht="12.75" customHeight="1" x14ac:dyDescent="0.25">
      <c r="A577" s="463">
        <v>6</v>
      </c>
      <c r="B577" s="262"/>
      <c r="C577" s="262"/>
      <c r="D577" s="1231"/>
      <c r="E577" s="463">
        <v>9</v>
      </c>
      <c r="F577" s="428" t="s">
        <v>1309</v>
      </c>
      <c r="G577" s="185" t="s">
        <v>11</v>
      </c>
      <c r="H577" s="366"/>
      <c r="I577" s="59">
        <v>600</v>
      </c>
      <c r="J577" s="98">
        <f>1063-580-100-100-283</f>
        <v>0</v>
      </c>
      <c r="K577" s="499">
        <v>100</v>
      </c>
      <c r="L577" s="501"/>
      <c r="M577" s="185" t="s">
        <v>619</v>
      </c>
      <c r="N577" s="1148" t="s">
        <v>1229</v>
      </c>
      <c r="O577" s="846"/>
      <c r="P577" s="706"/>
      <c r="Q577" s="707" t="s">
        <v>692</v>
      </c>
    </row>
    <row r="578" spans="1:17" ht="33.6" customHeight="1" x14ac:dyDescent="0.25">
      <c r="A578" s="463">
        <v>6</v>
      </c>
      <c r="B578" s="262"/>
      <c r="C578" s="370" t="s">
        <v>1310</v>
      </c>
      <c r="D578" s="1229" t="s">
        <v>1311</v>
      </c>
      <c r="E578" s="463">
        <v>9</v>
      </c>
      <c r="F578" s="373" t="s">
        <v>1312</v>
      </c>
      <c r="G578" s="133" t="s">
        <v>8</v>
      </c>
      <c r="H578" s="7"/>
      <c r="I578" s="59">
        <v>7</v>
      </c>
      <c r="J578" s="98">
        <v>16</v>
      </c>
      <c r="K578" s="578"/>
      <c r="L578" s="577"/>
      <c r="M578" s="185" t="s">
        <v>619</v>
      </c>
      <c r="N578" s="1148" t="s">
        <v>1229</v>
      </c>
      <c r="O578" s="927" t="s">
        <v>1867</v>
      </c>
      <c r="P578" s="721"/>
      <c r="Q578" s="707" t="s">
        <v>708</v>
      </c>
    </row>
    <row r="579" spans="1:17" ht="12.75" customHeight="1" x14ac:dyDescent="0.25">
      <c r="A579" s="463">
        <v>6</v>
      </c>
      <c r="B579" s="262"/>
      <c r="C579" s="262"/>
      <c r="D579" s="1231"/>
      <c r="E579" s="463">
        <v>9</v>
      </c>
      <c r="F579" s="373" t="s">
        <v>1312</v>
      </c>
      <c r="G579" s="133" t="s">
        <v>242</v>
      </c>
      <c r="H579" s="7"/>
      <c r="I579" s="59">
        <v>1000</v>
      </c>
      <c r="J579" s="98">
        <v>66.5</v>
      </c>
      <c r="K579" s="578"/>
      <c r="L579" s="577"/>
      <c r="M579" s="185" t="s">
        <v>619</v>
      </c>
      <c r="N579" s="1148" t="s">
        <v>1229</v>
      </c>
      <c r="O579" s="695"/>
      <c r="P579" s="696"/>
      <c r="Q579" s="707" t="s">
        <v>708</v>
      </c>
    </row>
    <row r="580" spans="1:17" ht="30.6" customHeight="1" x14ac:dyDescent="0.25">
      <c r="A580" s="463">
        <v>6</v>
      </c>
      <c r="B580" s="262"/>
      <c r="C580" s="370" t="s">
        <v>1313</v>
      </c>
      <c r="D580" s="1229" t="s">
        <v>1314</v>
      </c>
      <c r="E580" s="463">
        <v>9</v>
      </c>
      <c r="F580" s="373" t="s">
        <v>1315</v>
      </c>
      <c r="G580" s="133" t="s">
        <v>8</v>
      </c>
      <c r="H580" s="7"/>
      <c r="I580" s="59">
        <v>20</v>
      </c>
      <c r="J580" s="98">
        <v>5</v>
      </c>
      <c r="K580" s="232">
        <v>10</v>
      </c>
      <c r="L580" s="548">
        <v>10</v>
      </c>
      <c r="M580" s="185" t="s">
        <v>619</v>
      </c>
      <c r="N580" s="1148" t="s">
        <v>630</v>
      </c>
      <c r="O580" s="695"/>
      <c r="P580" s="708"/>
      <c r="Q580" s="707" t="s">
        <v>720</v>
      </c>
    </row>
    <row r="581" spans="1:17" ht="12.75" customHeight="1" x14ac:dyDescent="0.25">
      <c r="A581" s="463">
        <v>6</v>
      </c>
      <c r="B581" s="262"/>
      <c r="C581" s="262"/>
      <c r="D581" s="1231"/>
      <c r="E581" s="463">
        <v>9</v>
      </c>
      <c r="F581" s="373" t="s">
        <v>1315</v>
      </c>
      <c r="G581" s="133" t="s">
        <v>242</v>
      </c>
      <c r="H581" s="7"/>
      <c r="I581" s="59"/>
      <c r="J581" s="98">
        <v>0.1</v>
      </c>
      <c r="K581" s="232">
        <v>500</v>
      </c>
      <c r="L581" s="548">
        <v>1000</v>
      </c>
      <c r="M581" s="185" t="s">
        <v>619</v>
      </c>
      <c r="N581" s="1148" t="s">
        <v>630</v>
      </c>
      <c r="O581" s="718" t="s">
        <v>1244</v>
      </c>
      <c r="P581" s="721">
        <v>20</v>
      </c>
      <c r="Q581" s="707" t="s">
        <v>720</v>
      </c>
    </row>
    <row r="582" spans="1:17" ht="12.75" customHeight="1" x14ac:dyDescent="0.25">
      <c r="A582" s="463">
        <v>6</v>
      </c>
      <c r="B582" s="573"/>
      <c r="C582" s="370" t="s">
        <v>1316</v>
      </c>
      <c r="D582" s="1229" t="s">
        <v>1317</v>
      </c>
      <c r="E582" s="574">
        <v>9</v>
      </c>
      <c r="F582" s="575" t="s">
        <v>1318</v>
      </c>
      <c r="G582" s="423" t="s">
        <v>8</v>
      </c>
      <c r="H582" s="122"/>
      <c r="I582" s="400">
        <v>60.8</v>
      </c>
      <c r="J582" s="98">
        <f>1096.5-500-400-180+400+40.8-285.5</f>
        <v>171.8</v>
      </c>
      <c r="K582" s="572">
        <f>500-300</f>
        <v>200</v>
      </c>
      <c r="L582" s="576"/>
      <c r="M582" s="423" t="s">
        <v>619</v>
      </c>
      <c r="N582" s="1149" t="s">
        <v>1229</v>
      </c>
      <c r="O582" s="718" t="s">
        <v>1244</v>
      </c>
      <c r="P582" s="721">
        <v>50</v>
      </c>
      <c r="Q582" s="715" t="s">
        <v>712</v>
      </c>
    </row>
    <row r="583" spans="1:17" ht="12.75" customHeight="1" x14ac:dyDescent="0.25">
      <c r="A583" s="463">
        <v>6</v>
      </c>
      <c r="B583" s="573"/>
      <c r="C583" s="573"/>
      <c r="D583" s="1230"/>
      <c r="E583" s="574">
        <v>9</v>
      </c>
      <c r="F583" s="575" t="s">
        <v>1318</v>
      </c>
      <c r="G583" s="423" t="s">
        <v>242</v>
      </c>
      <c r="H583" s="122"/>
      <c r="I583" s="400"/>
      <c r="J583" s="98">
        <v>255.5</v>
      </c>
      <c r="K583" s="572"/>
      <c r="L583" s="576"/>
      <c r="M583" s="423"/>
      <c r="N583" s="1149" t="s">
        <v>1229</v>
      </c>
      <c r="O583" s="718"/>
      <c r="P583" s="721"/>
      <c r="Q583" s="715" t="s">
        <v>712</v>
      </c>
    </row>
    <row r="584" spans="1:17" ht="12.75" customHeight="1" x14ac:dyDescent="0.25">
      <c r="A584" s="463">
        <v>6</v>
      </c>
      <c r="B584" s="262"/>
      <c r="C584" s="262"/>
      <c r="D584" s="1230"/>
      <c r="E584" s="463">
        <v>9</v>
      </c>
      <c r="F584" s="428" t="s">
        <v>1318</v>
      </c>
      <c r="G584" s="185" t="s">
        <v>11</v>
      </c>
      <c r="H584" s="366"/>
      <c r="I584" s="59">
        <f>500-I585</f>
        <v>133.89999999999998</v>
      </c>
      <c r="J584" s="98">
        <f>580-206.4+201.4</f>
        <v>575</v>
      </c>
      <c r="K584" s="22">
        <f>206.4+300+3.6</f>
        <v>510</v>
      </c>
      <c r="L584" s="501"/>
      <c r="M584" s="185" t="s">
        <v>619</v>
      </c>
      <c r="N584" s="705" t="s">
        <v>1229</v>
      </c>
      <c r="O584" s="695"/>
      <c r="P584" s="706"/>
      <c r="Q584" s="707" t="s">
        <v>712</v>
      </c>
    </row>
    <row r="585" spans="1:17" ht="12.75" customHeight="1" x14ac:dyDescent="0.25">
      <c r="A585" s="463">
        <v>6</v>
      </c>
      <c r="B585" s="262"/>
      <c r="C585" s="262"/>
      <c r="D585" s="1230"/>
      <c r="E585" s="463">
        <v>9</v>
      </c>
      <c r="F585" s="428" t="s">
        <v>1318</v>
      </c>
      <c r="G585" s="185" t="s">
        <v>199</v>
      </c>
      <c r="H585" s="7"/>
      <c r="I585" s="59">
        <f>866.1-500</f>
        <v>366.1</v>
      </c>
      <c r="J585" s="98">
        <f>81.6</f>
        <v>81.599999999999994</v>
      </c>
      <c r="K585" s="499"/>
      <c r="L585" s="501"/>
      <c r="M585" s="185" t="s">
        <v>619</v>
      </c>
      <c r="N585" s="705" t="s">
        <v>1229</v>
      </c>
      <c r="O585" s="1095"/>
      <c r="P585" s="706"/>
      <c r="Q585" s="723" t="s">
        <v>712</v>
      </c>
    </row>
    <row r="586" spans="1:17" ht="12.75" customHeight="1" x14ac:dyDescent="0.25">
      <c r="A586" s="463">
        <v>6</v>
      </c>
      <c r="B586" s="262"/>
      <c r="C586" s="1094"/>
      <c r="D586" s="1231"/>
      <c r="E586" s="463">
        <v>9</v>
      </c>
      <c r="F586" s="428" t="s">
        <v>1318</v>
      </c>
      <c r="G586" s="185" t="s">
        <v>216</v>
      </c>
      <c r="H586" s="7"/>
      <c r="I586" s="59"/>
      <c r="J586" s="98">
        <f>25-22.3</f>
        <v>2.6999999999999993</v>
      </c>
      <c r="K586" s="499"/>
      <c r="L586" s="501"/>
      <c r="M586" s="185"/>
      <c r="N586" s="705" t="s">
        <v>1229</v>
      </c>
      <c r="O586" s="722"/>
      <c r="P586" s="706"/>
      <c r="Q586" s="723"/>
    </row>
    <row r="587" spans="1:17" ht="12.75" customHeight="1" x14ac:dyDescent="0.25">
      <c r="A587" s="463">
        <v>6</v>
      </c>
      <c r="B587" s="262"/>
      <c r="C587" s="370" t="s">
        <v>1319</v>
      </c>
      <c r="D587" s="1229" t="s">
        <v>1320</v>
      </c>
      <c r="E587" s="463" t="s">
        <v>530</v>
      </c>
      <c r="F587" s="373" t="s">
        <v>1321</v>
      </c>
      <c r="G587" s="133" t="s">
        <v>8</v>
      </c>
      <c r="H587" s="7"/>
      <c r="I587" s="59">
        <v>5</v>
      </c>
      <c r="J587" s="98">
        <f>30-21.5</f>
        <v>8.5</v>
      </c>
      <c r="K587" s="550">
        <v>5</v>
      </c>
      <c r="L587" s="548"/>
      <c r="M587" s="185" t="s">
        <v>619</v>
      </c>
      <c r="N587" s="1185" t="s">
        <v>2049</v>
      </c>
      <c r="O587" s="722" t="s">
        <v>1322</v>
      </c>
      <c r="P587" s="1096">
        <v>1</v>
      </c>
      <c r="Q587" s="723" t="s">
        <v>692</v>
      </c>
    </row>
    <row r="588" spans="1:17" ht="42" customHeight="1" x14ac:dyDescent="0.25">
      <c r="A588" s="463">
        <v>6</v>
      </c>
      <c r="B588" s="262"/>
      <c r="C588" s="262"/>
      <c r="D588" s="1231"/>
      <c r="E588" s="463" t="s">
        <v>530</v>
      </c>
      <c r="F588" s="373" t="s">
        <v>1321</v>
      </c>
      <c r="G588" s="133" t="s">
        <v>242</v>
      </c>
      <c r="H588" s="7"/>
      <c r="I588" s="59"/>
      <c r="J588" s="98"/>
      <c r="K588" s="232"/>
      <c r="L588" s="548">
        <f>200+1000</f>
        <v>1200</v>
      </c>
      <c r="M588" s="185" t="s">
        <v>702</v>
      </c>
      <c r="N588" s="1185" t="s">
        <v>2049</v>
      </c>
      <c r="O588" s="722"/>
      <c r="P588" s="711"/>
      <c r="Q588" s="723" t="s">
        <v>692</v>
      </c>
    </row>
    <row r="589" spans="1:17" ht="42.6" customHeight="1" x14ac:dyDescent="0.25">
      <c r="A589" s="463">
        <v>6</v>
      </c>
      <c r="B589" s="262"/>
      <c r="C589" s="370" t="s">
        <v>1323</v>
      </c>
      <c r="D589" s="81" t="s">
        <v>2086</v>
      </c>
      <c r="E589" s="463">
        <v>9</v>
      </c>
      <c r="F589" s="373" t="s">
        <v>1324</v>
      </c>
      <c r="G589" s="133" t="s">
        <v>8</v>
      </c>
      <c r="H589" s="7"/>
      <c r="I589" s="59">
        <v>0</v>
      </c>
      <c r="J589" s="98">
        <f>27-2</f>
        <v>25</v>
      </c>
      <c r="K589" s="232"/>
      <c r="L589" s="548"/>
      <c r="M589" s="185" t="s">
        <v>619</v>
      </c>
      <c r="N589" s="1150" t="s">
        <v>1229</v>
      </c>
      <c r="O589" s="724" t="s">
        <v>1322</v>
      </c>
      <c r="P589" s="964">
        <v>1</v>
      </c>
      <c r="Q589" s="725" t="s">
        <v>712</v>
      </c>
    </row>
    <row r="590" spans="1:17" ht="33.6" customHeight="1" x14ac:dyDescent="0.25">
      <c r="A590" s="463">
        <v>6</v>
      </c>
      <c r="B590" s="262"/>
      <c r="C590" s="370" t="s">
        <v>1325</v>
      </c>
      <c r="D590" s="579" t="s">
        <v>1326</v>
      </c>
      <c r="E590" s="463">
        <v>9</v>
      </c>
      <c r="F590" s="373" t="s">
        <v>253</v>
      </c>
      <c r="G590" s="133" t="s">
        <v>8</v>
      </c>
      <c r="H590" s="7"/>
      <c r="I590" s="59"/>
      <c r="J590" s="98">
        <f>100-50-10-8.3</f>
        <v>31.7</v>
      </c>
      <c r="K590" s="232">
        <v>100.1</v>
      </c>
      <c r="L590" s="548">
        <v>100.2</v>
      </c>
      <c r="M590" s="185" t="s">
        <v>629</v>
      </c>
      <c r="N590" s="705" t="s">
        <v>723</v>
      </c>
      <c r="O590" s="693" t="s">
        <v>1173</v>
      </c>
      <c r="P590" s="726">
        <v>100</v>
      </c>
      <c r="Q590" s="707"/>
    </row>
    <row r="591" spans="1:17" ht="22.2" customHeight="1" x14ac:dyDescent="0.25">
      <c r="A591" s="463">
        <v>6</v>
      </c>
      <c r="B591" s="112" t="s">
        <v>1327</v>
      </c>
      <c r="C591" s="112" t="s">
        <v>1328</v>
      </c>
      <c r="D591" s="471" t="s">
        <v>257</v>
      </c>
      <c r="E591" s="472"/>
      <c r="F591" s="472"/>
      <c r="G591" s="472"/>
      <c r="H591" s="472"/>
      <c r="I591" s="472"/>
      <c r="J591" s="473"/>
      <c r="K591" s="473"/>
      <c r="L591" s="474"/>
      <c r="M591" s="133"/>
      <c r="N591" s="705"/>
      <c r="O591" s="695"/>
      <c r="P591" s="696"/>
      <c r="Q591" s="695"/>
    </row>
    <row r="592" spans="1:17" ht="13.2" x14ac:dyDescent="0.25">
      <c r="A592" s="463">
        <v>6</v>
      </c>
      <c r="B592" s="297"/>
      <c r="C592" s="297"/>
      <c r="D592" s="580"/>
      <c r="E592" s="565"/>
      <c r="F592" s="481"/>
      <c r="G592" s="251" t="s">
        <v>8</v>
      </c>
      <c r="H592" s="251" t="e">
        <f>SUM(H596,H598,H594,H593,H597,#REF!)</f>
        <v>#REF!</v>
      </c>
      <c r="I592" s="251">
        <f>SUM(I596,I598,I594,I593)</f>
        <v>48.599999999999994</v>
      </c>
      <c r="J592" s="405">
        <f>SUM(J596,J598,J594,J593)</f>
        <v>65.400000000000006</v>
      </c>
      <c r="K592" s="405">
        <f>SUM(K596,K598,K594,K593)</f>
        <v>65</v>
      </c>
      <c r="L592" s="412">
        <f>SUM(L596,L598,L594,L593)</f>
        <v>65</v>
      </c>
      <c r="M592" s="133"/>
      <c r="N592" s="705"/>
      <c r="O592" s="695"/>
      <c r="P592" s="696"/>
      <c r="Q592" s="695"/>
    </row>
    <row r="593" spans="1:17" ht="40.799999999999997" x14ac:dyDescent="0.25">
      <c r="A593" s="463">
        <v>6</v>
      </c>
      <c r="B593" s="262"/>
      <c r="C593" s="262" t="s">
        <v>1329</v>
      </c>
      <c r="D593" s="476" t="s">
        <v>258</v>
      </c>
      <c r="E593" s="463">
        <v>9</v>
      </c>
      <c r="F593" s="1059" t="s">
        <v>259</v>
      </c>
      <c r="G593" s="498" t="s">
        <v>8</v>
      </c>
      <c r="H593" s="478">
        <v>1</v>
      </c>
      <c r="I593" s="481">
        <v>9.1999999999999993</v>
      </c>
      <c r="J593" s="98">
        <f>10-8.1</f>
        <v>1.9000000000000004</v>
      </c>
      <c r="K593" s="581">
        <v>10</v>
      </c>
      <c r="L593" s="582">
        <v>10</v>
      </c>
      <c r="M593" s="133" t="s">
        <v>616</v>
      </c>
      <c r="N593" s="705" t="s">
        <v>723</v>
      </c>
      <c r="O593" s="693" t="s">
        <v>1330</v>
      </c>
      <c r="P593" s="708">
        <v>100</v>
      </c>
      <c r="Q593" s="695"/>
    </row>
    <row r="594" spans="1:17" ht="20.399999999999999" customHeight="1" x14ac:dyDescent="0.25">
      <c r="A594" s="463">
        <v>6</v>
      </c>
      <c r="B594" s="262"/>
      <c r="C594" s="262"/>
      <c r="D594" s="476"/>
      <c r="E594" s="463">
        <v>9</v>
      </c>
      <c r="F594" s="1059" t="s">
        <v>259</v>
      </c>
      <c r="G594" s="498" t="s">
        <v>8</v>
      </c>
      <c r="H594" s="478"/>
      <c r="I594" s="481"/>
      <c r="J594" s="98">
        <f>30-30</f>
        <v>0</v>
      </c>
      <c r="K594" s="581"/>
      <c r="L594" s="582"/>
      <c r="M594" s="133" t="s">
        <v>702</v>
      </c>
      <c r="N594" s="705" t="s">
        <v>1252</v>
      </c>
      <c r="O594" s="693" t="s">
        <v>1331</v>
      </c>
      <c r="P594" s="708">
        <v>1</v>
      </c>
      <c r="Q594" s="695"/>
    </row>
    <row r="595" spans="1:17" ht="12.75" customHeight="1" x14ac:dyDescent="0.25">
      <c r="A595" s="463">
        <v>6</v>
      </c>
      <c r="B595" s="262"/>
      <c r="C595" s="262"/>
      <c r="D595" s="476"/>
      <c r="E595" s="463"/>
      <c r="F595" s="1059" t="s">
        <v>259</v>
      </c>
      <c r="G595" s="103" t="s">
        <v>492</v>
      </c>
      <c r="H595" s="552">
        <f>SUM(H593)</f>
        <v>1</v>
      </c>
      <c r="I595" s="105">
        <f>SUM(I593:I594)</f>
        <v>9.1999999999999993</v>
      </c>
      <c r="J595" s="484">
        <f t="shared" ref="J595:L595" si="110">SUM(J593:J594)</f>
        <v>1.9000000000000004</v>
      </c>
      <c r="K595" s="484">
        <f t="shared" si="110"/>
        <v>10</v>
      </c>
      <c r="L595" s="485">
        <f t="shared" si="110"/>
        <v>10</v>
      </c>
      <c r="M595" s="133"/>
      <c r="N595" s="705"/>
      <c r="O595" s="695"/>
      <c r="P595" s="696"/>
      <c r="Q595" s="695"/>
    </row>
    <row r="596" spans="1:17" ht="12.75" customHeight="1" x14ac:dyDescent="0.25">
      <c r="A596" s="463">
        <v>6</v>
      </c>
      <c r="B596" s="262"/>
      <c r="C596" s="262" t="s">
        <v>1332</v>
      </c>
      <c r="D596" s="476" t="s">
        <v>260</v>
      </c>
      <c r="E596" s="463">
        <v>9</v>
      </c>
      <c r="F596" s="247" t="s">
        <v>261</v>
      </c>
      <c r="G596" s="247" t="s">
        <v>8</v>
      </c>
      <c r="H596" s="247">
        <v>14.3</v>
      </c>
      <c r="I596" s="15">
        <f>SUM(I597:I597)</f>
        <v>14.4</v>
      </c>
      <c r="J596" s="583">
        <f>SUM(J597:J597)</f>
        <v>15</v>
      </c>
      <c r="K596" s="583">
        <f>SUM(K597:K597)</f>
        <v>15</v>
      </c>
      <c r="L596" s="584">
        <f>SUM(L597:L597)</f>
        <v>15</v>
      </c>
      <c r="M596" s="133"/>
      <c r="N596" s="705" t="s">
        <v>1252</v>
      </c>
      <c r="O596" s="695" t="s">
        <v>1333</v>
      </c>
      <c r="P596" s="708">
        <v>3</v>
      </c>
      <c r="Q596" s="695" t="s">
        <v>632</v>
      </c>
    </row>
    <row r="597" spans="1:17" ht="12.75" customHeight="1" x14ac:dyDescent="0.25">
      <c r="A597" s="463">
        <v>6</v>
      </c>
      <c r="B597" s="262"/>
      <c r="C597" s="262"/>
      <c r="D597" s="585" t="s">
        <v>1334</v>
      </c>
      <c r="E597" s="463">
        <v>9</v>
      </c>
      <c r="F597" s="247" t="s">
        <v>261</v>
      </c>
      <c r="G597" s="73" t="s">
        <v>8</v>
      </c>
      <c r="H597" s="498"/>
      <c r="I597" s="481">
        <v>14.4</v>
      </c>
      <c r="J597" s="98">
        <v>15</v>
      </c>
      <c r="K597" s="499">
        <v>15</v>
      </c>
      <c r="L597" s="501">
        <v>15</v>
      </c>
      <c r="M597" s="133" t="s">
        <v>616</v>
      </c>
      <c r="N597" s="705" t="s">
        <v>1252</v>
      </c>
      <c r="O597" s="926" t="s">
        <v>1866</v>
      </c>
      <c r="P597" s="696">
        <v>1</v>
      </c>
      <c r="Q597" s="695" t="s">
        <v>632</v>
      </c>
    </row>
    <row r="598" spans="1:17" ht="27.6" customHeight="1" x14ac:dyDescent="0.25">
      <c r="A598" s="463">
        <v>6</v>
      </c>
      <c r="B598" s="262"/>
      <c r="C598" s="262" t="s">
        <v>1335</v>
      </c>
      <c r="D598" s="476" t="s">
        <v>262</v>
      </c>
      <c r="E598" s="463">
        <v>13</v>
      </c>
      <c r="F598" s="247" t="s">
        <v>263</v>
      </c>
      <c r="G598" s="247" t="s">
        <v>8</v>
      </c>
      <c r="H598" s="478">
        <v>21.8</v>
      </c>
      <c r="I598" s="481">
        <v>25</v>
      </c>
      <c r="J598" s="98">
        <f>40+15-6.5</f>
        <v>48.5</v>
      </c>
      <c r="K598" s="581">
        <v>40</v>
      </c>
      <c r="L598" s="582">
        <v>40</v>
      </c>
      <c r="M598" s="133" t="s">
        <v>616</v>
      </c>
      <c r="N598" s="705" t="s">
        <v>1336</v>
      </c>
      <c r="O598" s="693" t="s">
        <v>1337</v>
      </c>
      <c r="P598" s="708">
        <v>100</v>
      </c>
      <c r="Q598" s="695"/>
    </row>
    <row r="599" spans="1:17" ht="13.2" x14ac:dyDescent="0.25">
      <c r="A599" s="463">
        <v>6</v>
      </c>
      <c r="B599" s="262"/>
      <c r="C599" s="262"/>
      <c r="D599" s="476"/>
      <c r="E599" s="463"/>
      <c r="F599" s="247" t="s">
        <v>263</v>
      </c>
      <c r="G599" s="103" t="s">
        <v>492</v>
      </c>
      <c r="H599" s="552">
        <f>SUM(H598)</f>
        <v>21.8</v>
      </c>
      <c r="I599" s="105">
        <f>SUM(I598)</f>
        <v>25</v>
      </c>
      <c r="J599" s="484">
        <f>SUM(J598)</f>
        <v>48.5</v>
      </c>
      <c r="K599" s="484">
        <f>SUM(K598)</f>
        <v>40</v>
      </c>
      <c r="L599" s="485">
        <f>SUM(L598)</f>
        <v>40</v>
      </c>
      <c r="M599" s="133"/>
      <c r="N599" s="705"/>
      <c r="O599" s="695"/>
      <c r="P599" s="696"/>
      <c r="Q599" s="695"/>
    </row>
    <row r="600" spans="1:17" ht="33.6" customHeight="1" x14ac:dyDescent="0.25">
      <c r="A600" s="463">
        <v>6</v>
      </c>
      <c r="B600" s="464"/>
      <c r="C600" s="464"/>
      <c r="D600" s="259" t="s">
        <v>1338</v>
      </c>
      <c r="E600" s="1062"/>
      <c r="F600" s="491"/>
      <c r="G600" s="491"/>
      <c r="H600" s="492"/>
      <c r="I600" s="586"/>
      <c r="J600" s="493"/>
      <c r="K600" s="493"/>
      <c r="L600" s="494"/>
      <c r="M600" s="470"/>
      <c r="N600" s="1145"/>
      <c r="O600" s="253"/>
      <c r="P600" s="254"/>
      <c r="Q600" s="253"/>
    </row>
    <row r="601" spans="1:17" ht="37.200000000000003" customHeight="1" x14ac:dyDescent="0.25">
      <c r="A601" s="463">
        <v>6</v>
      </c>
      <c r="B601" s="112" t="s">
        <v>1339</v>
      </c>
      <c r="C601" s="112" t="s">
        <v>1339</v>
      </c>
      <c r="D601" s="471" t="s">
        <v>1845</v>
      </c>
      <c r="E601" s="472"/>
      <c r="F601" s="472"/>
      <c r="G601" s="587"/>
      <c r="H601" s="472">
        <v>100</v>
      </c>
      <c r="I601" s="587"/>
      <c r="J601" s="473"/>
      <c r="K601" s="473"/>
      <c r="L601" s="474"/>
      <c r="M601" s="185"/>
      <c r="N601" s="705"/>
      <c r="O601" s="693"/>
      <c r="P601" s="692"/>
      <c r="Q601" s="693"/>
    </row>
    <row r="602" spans="1:17" ht="13.2" x14ac:dyDescent="0.25">
      <c r="A602" s="463">
        <v>6</v>
      </c>
      <c r="B602" s="297"/>
      <c r="C602" s="297"/>
      <c r="D602" s="580"/>
      <c r="E602" s="565"/>
      <c r="F602" s="481"/>
      <c r="G602" s="260" t="s">
        <v>8</v>
      </c>
      <c r="H602" s="263"/>
      <c r="I602" s="589">
        <f>SUM(I603:I603)</f>
        <v>240</v>
      </c>
      <c r="J602" s="590">
        <f>SUM(J603:J603)</f>
        <v>33.200000000000003</v>
      </c>
      <c r="K602" s="590">
        <f>SUM(K603:K603)</f>
        <v>0</v>
      </c>
      <c r="L602" s="591">
        <f>SUM(L603:L603)</f>
        <v>0</v>
      </c>
      <c r="M602" s="185"/>
      <c r="N602" s="705"/>
      <c r="O602" s="693"/>
      <c r="P602" s="692"/>
      <c r="Q602" s="693"/>
    </row>
    <row r="603" spans="1:17" ht="33" customHeight="1" x14ac:dyDescent="0.25">
      <c r="A603" s="463">
        <v>6</v>
      </c>
      <c r="B603" s="262"/>
      <c r="C603" s="262" t="s">
        <v>1340</v>
      </c>
      <c r="D603" s="261" t="s">
        <v>1341</v>
      </c>
      <c r="E603" s="463">
        <v>9</v>
      </c>
      <c r="F603" s="247" t="s">
        <v>254</v>
      </c>
      <c r="G603" s="247" t="s">
        <v>8</v>
      </c>
      <c r="H603" s="37"/>
      <c r="I603" s="59">
        <v>240</v>
      </c>
      <c r="J603" s="98">
        <f>35-1.8</f>
        <v>33.200000000000003</v>
      </c>
      <c r="K603" s="499"/>
      <c r="L603" s="501"/>
      <c r="M603" s="133" t="s">
        <v>619</v>
      </c>
      <c r="N603" s="1022" t="s">
        <v>1184</v>
      </c>
      <c r="O603" s="927" t="s">
        <v>1867</v>
      </c>
      <c r="P603" s="708"/>
      <c r="Q603" s="695" t="s">
        <v>704</v>
      </c>
    </row>
    <row r="604" spans="1:17" ht="36" customHeight="1" x14ac:dyDescent="0.25">
      <c r="A604" s="463">
        <v>6</v>
      </c>
      <c r="B604" s="112" t="s">
        <v>1342</v>
      </c>
      <c r="C604" s="112" t="s">
        <v>1342</v>
      </c>
      <c r="D604" s="471" t="s">
        <v>1343</v>
      </c>
      <c r="E604" s="472">
        <v>9</v>
      </c>
      <c r="F604" s="472" t="s">
        <v>255</v>
      </c>
      <c r="G604" s="472" t="s">
        <v>8</v>
      </c>
      <c r="H604" s="472">
        <f>40-40</f>
        <v>0</v>
      </c>
      <c r="I604" s="472">
        <f>I609</f>
        <v>0</v>
      </c>
      <c r="J604" s="473">
        <f>90-0.9</f>
        <v>89.1</v>
      </c>
      <c r="K604" s="473"/>
      <c r="L604" s="474"/>
      <c r="M604" s="185" t="s">
        <v>619</v>
      </c>
      <c r="N604" s="705"/>
      <c r="O604" s="727"/>
      <c r="P604" s="696"/>
      <c r="Q604" s="695"/>
    </row>
    <row r="605" spans="1:17" ht="12.75" customHeight="1" x14ac:dyDescent="0.25">
      <c r="A605" s="463">
        <v>6</v>
      </c>
      <c r="B605" s="297"/>
      <c r="C605" s="297"/>
      <c r="D605" s="580"/>
      <c r="E605" s="565"/>
      <c r="F605" s="481"/>
      <c r="G605" s="263" t="s">
        <v>11</v>
      </c>
      <c r="H605" s="260"/>
      <c r="I605" s="589">
        <v>3.5</v>
      </c>
      <c r="J605" s="1210">
        <f t="shared" ref="J605:L605" si="111">J608</f>
        <v>7.2</v>
      </c>
      <c r="K605" s="590">
        <f t="shared" si="111"/>
        <v>7.2</v>
      </c>
      <c r="L605" s="591">
        <f t="shared" si="111"/>
        <v>7.2</v>
      </c>
      <c r="M605" s="185"/>
      <c r="N605" s="705"/>
      <c r="O605" s="695"/>
      <c r="P605" s="696"/>
      <c r="Q605" s="695"/>
    </row>
    <row r="606" spans="1:17" ht="12.75" customHeight="1" x14ac:dyDescent="0.25">
      <c r="A606" s="463">
        <v>6</v>
      </c>
      <c r="B606" s="297"/>
      <c r="C606" s="297"/>
      <c r="D606" s="580"/>
      <c r="E606" s="565"/>
      <c r="F606" s="481"/>
      <c r="G606" s="263" t="s">
        <v>74</v>
      </c>
      <c r="H606" s="260"/>
      <c r="I606" s="589"/>
      <c r="J606" s="1210">
        <v>11.4</v>
      </c>
      <c r="K606" s="590"/>
      <c r="L606" s="591"/>
      <c r="M606" s="185"/>
      <c r="N606" s="705"/>
      <c r="O606" s="695"/>
      <c r="P606" s="696"/>
      <c r="Q606" s="695"/>
    </row>
    <row r="607" spans="1:17" ht="12.75" customHeight="1" x14ac:dyDescent="0.25">
      <c r="A607" s="463">
        <v>6</v>
      </c>
      <c r="B607" s="297"/>
      <c r="C607" s="297"/>
      <c r="D607" s="580"/>
      <c r="E607" s="565"/>
      <c r="F607" s="481"/>
      <c r="G607" s="103" t="s">
        <v>492</v>
      </c>
      <c r="H607" s="552">
        <f>SUM(H605)</f>
        <v>0</v>
      </c>
      <c r="I607" s="105">
        <f>SUM(I605,I604)</f>
        <v>3.5</v>
      </c>
      <c r="J607" s="484">
        <f>SUM(J605,J606,J604)</f>
        <v>107.69999999999999</v>
      </c>
      <c r="K607" s="484">
        <f>SUM(K605,K604)</f>
        <v>7.2</v>
      </c>
      <c r="L607" s="485">
        <f>SUM(L605,L604)</f>
        <v>7.2</v>
      </c>
      <c r="M607" s="185"/>
      <c r="N607" s="705"/>
      <c r="O607" s="695"/>
      <c r="P607" s="696"/>
      <c r="Q607" s="695"/>
    </row>
    <row r="608" spans="1:17" ht="13.2" x14ac:dyDescent="0.25">
      <c r="A608" s="463">
        <v>6</v>
      </c>
      <c r="B608" s="262"/>
      <c r="C608" s="262" t="s">
        <v>1344</v>
      </c>
      <c r="D608" s="592" t="s">
        <v>1345</v>
      </c>
      <c r="E608" s="463">
        <v>9</v>
      </c>
      <c r="F608" s="247" t="s">
        <v>255</v>
      </c>
      <c r="G608" s="481" t="s">
        <v>11</v>
      </c>
      <c r="H608" s="593"/>
      <c r="I608" s="15">
        <v>3.5</v>
      </c>
      <c r="J608" s="98">
        <v>7.2</v>
      </c>
      <c r="K608" s="594">
        <v>7.2</v>
      </c>
      <c r="L608" s="595">
        <v>7.2</v>
      </c>
      <c r="M608" s="133"/>
      <c r="N608" s="705" t="s">
        <v>1346</v>
      </c>
      <c r="O608" s="695" t="s">
        <v>1347</v>
      </c>
      <c r="P608" s="708">
        <v>2</v>
      </c>
      <c r="Q608" s="695"/>
    </row>
    <row r="609" spans="1:17" ht="20.399999999999999" x14ac:dyDescent="0.25">
      <c r="A609" s="463">
        <v>6</v>
      </c>
      <c r="B609" s="262"/>
      <c r="C609" s="262" t="s">
        <v>1348</v>
      </c>
      <c r="D609" s="74" t="s">
        <v>1349</v>
      </c>
      <c r="E609" s="463">
        <v>9</v>
      </c>
      <c r="F609" s="247" t="s">
        <v>255</v>
      </c>
      <c r="G609" s="73" t="s">
        <v>8</v>
      </c>
      <c r="H609" s="37"/>
      <c r="I609" s="59">
        <v>0</v>
      </c>
      <c r="J609" s="98">
        <f>90-0.9</f>
        <v>89.1</v>
      </c>
      <c r="K609" s="499"/>
      <c r="L609" s="501"/>
      <c r="M609" s="133" t="s">
        <v>619</v>
      </c>
      <c r="N609" s="705" t="s">
        <v>1346</v>
      </c>
      <c r="O609" s="693" t="s">
        <v>1350</v>
      </c>
      <c r="P609" s="708">
        <v>1</v>
      </c>
      <c r="Q609" s="695" t="s">
        <v>1195</v>
      </c>
    </row>
    <row r="610" spans="1:17" ht="40.200000000000003" customHeight="1" x14ac:dyDescent="0.25">
      <c r="A610" s="463">
        <v>6</v>
      </c>
      <c r="B610" s="464"/>
      <c r="C610" s="464"/>
      <c r="D610" s="259" t="s">
        <v>1351</v>
      </c>
      <c r="E610" s="1062" t="s">
        <v>1846</v>
      </c>
      <c r="F610" s="491"/>
      <c r="G610" s="491"/>
      <c r="H610" s="492"/>
      <c r="I610" s="586"/>
      <c r="J610" s="493"/>
      <c r="K610" s="493"/>
      <c r="L610" s="494"/>
      <c r="M610" s="470"/>
      <c r="N610" s="1145"/>
      <c r="O610" s="253"/>
      <c r="P610" s="254"/>
      <c r="Q610" s="253"/>
    </row>
    <row r="611" spans="1:17" ht="20.399999999999999" x14ac:dyDescent="0.25">
      <c r="A611" s="463">
        <v>6</v>
      </c>
      <c r="B611" s="112" t="s">
        <v>1352</v>
      </c>
      <c r="C611" s="112" t="s">
        <v>1352</v>
      </c>
      <c r="D611" s="471" t="s">
        <v>264</v>
      </c>
      <c r="E611" s="472"/>
      <c r="F611" s="472"/>
      <c r="G611" s="472"/>
      <c r="H611" s="472"/>
      <c r="I611" s="472"/>
      <c r="J611" s="473"/>
      <c r="K611" s="473"/>
      <c r="L611" s="474"/>
      <c r="M611" s="133"/>
      <c r="N611" s="705"/>
      <c r="O611" s="695"/>
      <c r="P611" s="696"/>
      <c r="Q611" s="695"/>
    </row>
    <row r="612" spans="1:17" ht="13.2" x14ac:dyDescent="0.25">
      <c r="A612" s="463">
        <v>6</v>
      </c>
      <c r="B612" s="297"/>
      <c r="C612" s="297"/>
      <c r="D612" s="580"/>
      <c r="E612" s="565"/>
      <c r="F612" s="481"/>
      <c r="G612" s="260" t="s">
        <v>8</v>
      </c>
      <c r="H612" s="263"/>
      <c r="I612" s="589">
        <f>SUM(I614,I613)</f>
        <v>96.6</v>
      </c>
      <c r="J612" s="590">
        <f>SUM(J614,J613)</f>
        <v>243.4</v>
      </c>
      <c r="K612" s="590">
        <f>SUM(K614,K613)</f>
        <v>600</v>
      </c>
      <c r="L612" s="591">
        <f>SUM(L614,L613)</f>
        <v>1700</v>
      </c>
      <c r="M612" s="133"/>
      <c r="N612" s="705"/>
      <c r="O612" s="695"/>
      <c r="P612" s="696"/>
      <c r="Q612" s="695"/>
    </row>
    <row r="613" spans="1:17" ht="39.6" customHeight="1" x14ac:dyDescent="0.25">
      <c r="A613" s="463">
        <v>6</v>
      </c>
      <c r="B613" s="487"/>
      <c r="C613" s="487" t="s">
        <v>1353</v>
      </c>
      <c r="D613" s="476" t="s">
        <v>265</v>
      </c>
      <c r="E613" s="596">
        <v>9</v>
      </c>
      <c r="F613" s="247" t="s">
        <v>266</v>
      </c>
      <c r="G613" s="481" t="s">
        <v>8</v>
      </c>
      <c r="H613" s="478">
        <v>39.200000000000003</v>
      </c>
      <c r="I613" s="15">
        <v>36.6</v>
      </c>
      <c r="J613" s="98">
        <v>50</v>
      </c>
      <c r="K613" s="482">
        <v>50</v>
      </c>
      <c r="L613" s="483">
        <v>50</v>
      </c>
      <c r="M613" s="133" t="s">
        <v>616</v>
      </c>
      <c r="N613" s="705" t="s">
        <v>1346</v>
      </c>
      <c r="O613" s="693" t="s">
        <v>1354</v>
      </c>
      <c r="P613" s="694">
        <v>100</v>
      </c>
      <c r="Q613" s="693"/>
    </row>
    <row r="614" spans="1:17" ht="30.6" customHeight="1" x14ac:dyDescent="0.25">
      <c r="A614" s="463">
        <v>6</v>
      </c>
      <c r="B614" s="487"/>
      <c r="C614" s="487" t="s">
        <v>1355</v>
      </c>
      <c r="D614" s="476" t="s">
        <v>267</v>
      </c>
      <c r="E614" s="596">
        <v>9</v>
      </c>
      <c r="F614" s="247" t="s">
        <v>268</v>
      </c>
      <c r="G614" s="481" t="s">
        <v>8</v>
      </c>
      <c r="H614" s="478">
        <v>57.2</v>
      </c>
      <c r="I614" s="15">
        <v>60</v>
      </c>
      <c r="J614" s="98">
        <f>100-40+120+13.4</f>
        <v>193.4</v>
      </c>
      <c r="K614" s="597">
        <f>900-350</f>
        <v>550</v>
      </c>
      <c r="L614" s="598">
        <f>1300+350</f>
        <v>1650</v>
      </c>
      <c r="M614" s="133" t="s">
        <v>619</v>
      </c>
      <c r="N614" s="705" t="s">
        <v>1346</v>
      </c>
      <c r="O614" s="693" t="s">
        <v>1356</v>
      </c>
      <c r="P614" s="694">
        <v>100</v>
      </c>
      <c r="Q614" s="693"/>
    </row>
    <row r="615" spans="1:17" ht="20.399999999999999" x14ac:dyDescent="0.25">
      <c r="A615" s="463">
        <v>6</v>
      </c>
      <c r="B615" s="112" t="s">
        <v>1357</v>
      </c>
      <c r="C615" s="112" t="s">
        <v>1357</v>
      </c>
      <c r="D615" s="471" t="s">
        <v>269</v>
      </c>
      <c r="E615" s="472"/>
      <c r="F615" s="472"/>
      <c r="G615" s="472"/>
      <c r="H615" s="472"/>
      <c r="I615" s="472"/>
      <c r="J615" s="473"/>
      <c r="K615" s="473"/>
      <c r="L615" s="474"/>
      <c r="M615" s="133"/>
      <c r="N615" s="705"/>
      <c r="O615" s="695"/>
      <c r="P615" s="696"/>
      <c r="Q615" s="695"/>
    </row>
    <row r="616" spans="1:17" ht="12.75" customHeight="1" x14ac:dyDescent="0.25">
      <c r="A616" s="463">
        <v>6</v>
      </c>
      <c r="B616" s="297"/>
      <c r="C616" s="297"/>
      <c r="D616" s="580"/>
      <c r="E616" s="600"/>
      <c r="F616" s="600"/>
      <c r="G616" s="260" t="s">
        <v>8</v>
      </c>
      <c r="H616" s="260"/>
      <c r="I616" s="589">
        <f>SUM(I617,I618,I619,I620,I621,I622,I623,I624,I625,I626,I627)</f>
        <v>434.5</v>
      </c>
      <c r="J616" s="590">
        <f>SUM(J617,J618,J619,J620,J621,J622,J623,J624,J625,J626,J627)</f>
        <v>387.5</v>
      </c>
      <c r="K616" s="590">
        <f>SUM(K617,K618,K619,K620,K621,K622,K623,K624,K625,K626,K627)</f>
        <v>357.5</v>
      </c>
      <c r="L616" s="591">
        <f>SUM(L617,L618,L619,L620,L621,L622,L623,L624,L625,L626,L627)</f>
        <v>428.79999999999995</v>
      </c>
      <c r="M616" s="133"/>
      <c r="N616" s="705"/>
      <c r="O616" s="727"/>
      <c r="P616" s="696"/>
      <c r="Q616" s="695"/>
    </row>
    <row r="617" spans="1:17" ht="16.2" customHeight="1" x14ac:dyDescent="0.25">
      <c r="A617" s="463">
        <v>6</v>
      </c>
      <c r="B617" s="487"/>
      <c r="C617" s="487" t="s">
        <v>1358</v>
      </c>
      <c r="D617" s="476" t="s">
        <v>270</v>
      </c>
      <c r="E617" s="596">
        <v>19</v>
      </c>
      <c r="F617" s="498" t="s">
        <v>271</v>
      </c>
      <c r="G617" s="498" t="s">
        <v>8</v>
      </c>
      <c r="H617" s="478">
        <f>11.7-1.7-4</f>
        <v>6</v>
      </c>
      <c r="I617" s="15">
        <f>11.7-1.7-4</f>
        <v>6</v>
      </c>
      <c r="J617" s="98">
        <f>11.7-1.7-4</f>
        <v>6</v>
      </c>
      <c r="K617" s="407">
        <f>11.7-1.7-4</f>
        <v>6</v>
      </c>
      <c r="L617" s="483">
        <v>7.2</v>
      </c>
      <c r="M617" s="133" t="s">
        <v>616</v>
      </c>
      <c r="N617" s="705" t="s">
        <v>1359</v>
      </c>
      <c r="O617" s="693" t="s">
        <v>1360</v>
      </c>
      <c r="P617" s="694">
        <v>74</v>
      </c>
      <c r="Q617" s="693" t="s">
        <v>724</v>
      </c>
    </row>
    <row r="618" spans="1:17" ht="25.95" customHeight="1" x14ac:dyDescent="0.25">
      <c r="A618" s="463">
        <v>6</v>
      </c>
      <c r="B618" s="487"/>
      <c r="C618" s="487" t="s">
        <v>1361</v>
      </c>
      <c r="D618" s="476" t="s">
        <v>272</v>
      </c>
      <c r="E618" s="596">
        <v>20</v>
      </c>
      <c r="F618" s="498" t="s">
        <v>273</v>
      </c>
      <c r="G618" s="498" t="s">
        <v>8</v>
      </c>
      <c r="H618" s="478">
        <f>27.1-3.9-8</f>
        <v>15.200000000000003</v>
      </c>
      <c r="I618" s="15">
        <f>27.1-3.9-8+3</f>
        <v>18.200000000000003</v>
      </c>
      <c r="J618" s="98">
        <f>27.1-3.9-8</f>
        <v>15.200000000000003</v>
      </c>
      <c r="K618" s="407">
        <f>27.1-3.9-8</f>
        <v>15.200000000000003</v>
      </c>
      <c r="L618" s="483">
        <v>18.2</v>
      </c>
      <c r="M618" s="133" t="s">
        <v>616</v>
      </c>
      <c r="N618" s="705" t="s">
        <v>1161</v>
      </c>
      <c r="O618" s="693" t="s">
        <v>1360</v>
      </c>
      <c r="P618" s="694">
        <v>205</v>
      </c>
      <c r="Q618" s="693" t="s">
        <v>972</v>
      </c>
    </row>
    <row r="619" spans="1:17" ht="16.2" customHeight="1" x14ac:dyDescent="0.25">
      <c r="A619" s="463">
        <v>6</v>
      </c>
      <c r="B619" s="487"/>
      <c r="C619" s="487" t="s">
        <v>1362</v>
      </c>
      <c r="D619" s="476" t="s">
        <v>274</v>
      </c>
      <c r="E619" s="596">
        <v>21</v>
      </c>
      <c r="F619" s="498" t="s">
        <v>275</v>
      </c>
      <c r="G619" s="498" t="s">
        <v>8</v>
      </c>
      <c r="H619" s="478">
        <v>15.8</v>
      </c>
      <c r="I619" s="15">
        <f>54.6-8-25+23</f>
        <v>44.6</v>
      </c>
      <c r="J619" s="98">
        <f>54.6-8-25</f>
        <v>21.6</v>
      </c>
      <c r="K619" s="407">
        <f>54.6-8-25</f>
        <v>21.6</v>
      </c>
      <c r="L619" s="483">
        <v>25.9</v>
      </c>
      <c r="M619" s="133" t="s">
        <v>616</v>
      </c>
      <c r="N619" s="705" t="s">
        <v>1363</v>
      </c>
      <c r="O619" s="693" t="s">
        <v>1360</v>
      </c>
      <c r="P619" s="694">
        <v>455</v>
      </c>
      <c r="Q619" s="693" t="s">
        <v>708</v>
      </c>
    </row>
    <row r="620" spans="1:17" ht="16.2" customHeight="1" x14ac:dyDescent="0.25">
      <c r="A620" s="463">
        <v>6</v>
      </c>
      <c r="B620" s="487"/>
      <c r="C620" s="487" t="s">
        <v>1364</v>
      </c>
      <c r="D620" s="476" t="s">
        <v>276</v>
      </c>
      <c r="E620" s="596">
        <v>22</v>
      </c>
      <c r="F620" s="498" t="s">
        <v>277</v>
      </c>
      <c r="G620" s="498" t="s">
        <v>8</v>
      </c>
      <c r="H620" s="478">
        <v>13.8</v>
      </c>
      <c r="I620" s="15">
        <f>17.2-2.5</f>
        <v>14.7</v>
      </c>
      <c r="J620" s="98">
        <f>17.2-2.5</f>
        <v>14.7</v>
      </c>
      <c r="K620" s="407">
        <f>17.2-2.5</f>
        <v>14.7</v>
      </c>
      <c r="L620" s="483">
        <v>17.600000000000001</v>
      </c>
      <c r="M620" s="133" t="s">
        <v>616</v>
      </c>
      <c r="N620" s="705" t="s">
        <v>1365</v>
      </c>
      <c r="O620" s="693" t="s">
        <v>1360</v>
      </c>
      <c r="P620" s="694">
        <v>170</v>
      </c>
      <c r="Q620" s="693" t="s">
        <v>742</v>
      </c>
    </row>
    <row r="621" spans="1:17" ht="16.2" customHeight="1" x14ac:dyDescent="0.25">
      <c r="A621" s="463">
        <v>6</v>
      </c>
      <c r="B621" s="487"/>
      <c r="C621" s="487" t="s">
        <v>1366</v>
      </c>
      <c r="D621" s="476" t="s">
        <v>278</v>
      </c>
      <c r="E621" s="596">
        <v>23</v>
      </c>
      <c r="F621" s="498" t="s">
        <v>279</v>
      </c>
      <c r="G621" s="498" t="s">
        <v>8</v>
      </c>
      <c r="H621" s="478">
        <f>176.6-29.9-10</f>
        <v>136.69999999999999</v>
      </c>
      <c r="I621" s="15">
        <f>176.6-29.9-10+45</f>
        <v>181.7</v>
      </c>
      <c r="J621" s="98">
        <f>176.6-29.9-10</f>
        <v>136.69999999999999</v>
      </c>
      <c r="K621" s="407">
        <f>176.6-29.9-10</f>
        <v>136.69999999999999</v>
      </c>
      <c r="L621" s="483">
        <v>164</v>
      </c>
      <c r="M621" s="133" t="s">
        <v>616</v>
      </c>
      <c r="N621" s="705" t="s">
        <v>1165</v>
      </c>
      <c r="O621" s="693" t="s">
        <v>1360</v>
      </c>
      <c r="P621" s="694">
        <v>1171</v>
      </c>
      <c r="Q621" s="693" t="s">
        <v>632</v>
      </c>
    </row>
    <row r="622" spans="1:17" ht="16.2" customHeight="1" x14ac:dyDescent="0.25">
      <c r="A622" s="463">
        <v>6</v>
      </c>
      <c r="B622" s="487"/>
      <c r="C622" s="487" t="s">
        <v>1367</v>
      </c>
      <c r="D622" s="476" t="s">
        <v>280</v>
      </c>
      <c r="E622" s="596">
        <v>24</v>
      </c>
      <c r="F622" s="498" t="s">
        <v>281</v>
      </c>
      <c r="G622" s="498" t="s">
        <v>8</v>
      </c>
      <c r="H622" s="478">
        <f>15.5-2.3-6</f>
        <v>7.1999999999999993</v>
      </c>
      <c r="I622" s="15">
        <f>15.5-2.3-6</f>
        <v>7.1999999999999993</v>
      </c>
      <c r="J622" s="98">
        <f>15.5-2.3-6+5</f>
        <v>12.2</v>
      </c>
      <c r="K622" s="407">
        <f>15.5-2.3-6</f>
        <v>7.1999999999999993</v>
      </c>
      <c r="L622" s="483">
        <v>8.6</v>
      </c>
      <c r="M622" s="133" t="s">
        <v>616</v>
      </c>
      <c r="N622" s="705" t="s">
        <v>1368</v>
      </c>
      <c r="O622" s="693" t="s">
        <v>1360</v>
      </c>
      <c r="P622" s="694">
        <v>120</v>
      </c>
      <c r="Q622" s="693" t="s">
        <v>827</v>
      </c>
    </row>
    <row r="623" spans="1:17" ht="16.2" customHeight="1" x14ac:dyDescent="0.25">
      <c r="A623" s="463">
        <v>6</v>
      </c>
      <c r="B623" s="487"/>
      <c r="C623" s="487" t="s">
        <v>1369</v>
      </c>
      <c r="D623" s="476" t="s">
        <v>282</v>
      </c>
      <c r="E623" s="596">
        <v>25</v>
      </c>
      <c r="F623" s="498" t="s">
        <v>283</v>
      </c>
      <c r="G623" s="498" t="s">
        <v>8</v>
      </c>
      <c r="H623" s="478">
        <f>56.2-8.2-16</f>
        <v>32</v>
      </c>
      <c r="I623" s="15">
        <f>56.2-8.2-16+6</f>
        <v>38</v>
      </c>
      <c r="J623" s="98">
        <f>56.2-8.2-16</f>
        <v>32</v>
      </c>
      <c r="K623" s="407">
        <f>56.2-8.2-16</f>
        <v>32</v>
      </c>
      <c r="L623" s="483">
        <v>38.4</v>
      </c>
      <c r="M623" s="133" t="s">
        <v>616</v>
      </c>
      <c r="N623" s="705" t="s">
        <v>1370</v>
      </c>
      <c r="O623" s="693" t="s">
        <v>1360</v>
      </c>
      <c r="P623" s="694">
        <v>185</v>
      </c>
      <c r="Q623" s="693" t="s">
        <v>720</v>
      </c>
    </row>
    <row r="624" spans="1:17" ht="16.2" customHeight="1" x14ac:dyDescent="0.25">
      <c r="A624" s="463">
        <v>6</v>
      </c>
      <c r="B624" s="487"/>
      <c r="C624" s="487" t="s">
        <v>1371</v>
      </c>
      <c r="D624" s="476" t="s">
        <v>284</v>
      </c>
      <c r="E624" s="596">
        <v>26</v>
      </c>
      <c r="F624" s="498" t="s">
        <v>285</v>
      </c>
      <c r="G624" s="498" t="s">
        <v>8</v>
      </c>
      <c r="H624" s="478">
        <f>64.7-9.4-13</f>
        <v>42.300000000000004</v>
      </c>
      <c r="I624" s="15">
        <f>64.7-9.4-13</f>
        <v>42.300000000000004</v>
      </c>
      <c r="J624" s="98">
        <f>64.7-9.4-13+10</f>
        <v>52.300000000000004</v>
      </c>
      <c r="K624" s="407">
        <f>64.7-9.4-13</f>
        <v>42.300000000000004</v>
      </c>
      <c r="L624" s="483">
        <v>50.8</v>
      </c>
      <c r="M624" s="133" t="s">
        <v>616</v>
      </c>
      <c r="N624" s="705" t="s">
        <v>1372</v>
      </c>
      <c r="O624" s="693" t="s">
        <v>1360</v>
      </c>
      <c r="P624" s="694">
        <v>452</v>
      </c>
      <c r="Q624" s="693" t="s">
        <v>712</v>
      </c>
    </row>
    <row r="625" spans="1:17" ht="16.2" customHeight="1" x14ac:dyDescent="0.25">
      <c r="A625" s="463">
        <v>6</v>
      </c>
      <c r="B625" s="487"/>
      <c r="C625" s="487" t="s">
        <v>1373</v>
      </c>
      <c r="D625" s="476" t="s">
        <v>286</v>
      </c>
      <c r="E625" s="596">
        <v>27</v>
      </c>
      <c r="F625" s="498" t="s">
        <v>287</v>
      </c>
      <c r="G625" s="498" t="s">
        <v>8</v>
      </c>
      <c r="H625" s="478">
        <v>21.7</v>
      </c>
      <c r="I625" s="15">
        <f>42.2-6.1-10</f>
        <v>26.1</v>
      </c>
      <c r="J625" s="98">
        <f>42.2-6.1-10+15</f>
        <v>41.1</v>
      </c>
      <c r="K625" s="407">
        <f>42.2-6.1-10</f>
        <v>26.1</v>
      </c>
      <c r="L625" s="483">
        <v>31.3</v>
      </c>
      <c r="M625" s="133" t="s">
        <v>616</v>
      </c>
      <c r="N625" s="1021" t="s">
        <v>1850</v>
      </c>
      <c r="O625" s="693" t="s">
        <v>1360</v>
      </c>
      <c r="P625" s="694">
        <v>275</v>
      </c>
      <c r="Q625" s="693" t="s">
        <v>692</v>
      </c>
    </row>
    <row r="626" spans="1:17" ht="16.2" customHeight="1" x14ac:dyDescent="0.25">
      <c r="A626" s="463">
        <v>6</v>
      </c>
      <c r="B626" s="487"/>
      <c r="C626" s="487" t="s">
        <v>1374</v>
      </c>
      <c r="D626" s="476" t="s">
        <v>288</v>
      </c>
      <c r="E626" s="596">
        <v>28</v>
      </c>
      <c r="F626" s="498" t="s">
        <v>289</v>
      </c>
      <c r="G626" s="498" t="s">
        <v>8</v>
      </c>
      <c r="H626" s="478">
        <f>42.3-6.1-10</f>
        <v>26.199999999999996</v>
      </c>
      <c r="I626" s="15">
        <f>42.3-6.1-10</f>
        <v>26.199999999999996</v>
      </c>
      <c r="J626" s="98">
        <f>42.3-6.1-10</f>
        <v>26.199999999999996</v>
      </c>
      <c r="K626" s="407">
        <f>42.3-6.1-10</f>
        <v>26.199999999999996</v>
      </c>
      <c r="L626" s="483">
        <v>31.4</v>
      </c>
      <c r="M626" s="133" t="s">
        <v>616</v>
      </c>
      <c r="N626" s="705" t="s">
        <v>1375</v>
      </c>
      <c r="O626" s="693" t="s">
        <v>1360</v>
      </c>
      <c r="P626" s="694">
        <v>353</v>
      </c>
      <c r="Q626" s="693" t="s">
        <v>704</v>
      </c>
    </row>
    <row r="627" spans="1:17" ht="30" customHeight="1" x14ac:dyDescent="0.25">
      <c r="A627" s="463">
        <v>6</v>
      </c>
      <c r="B627" s="487"/>
      <c r="C627" s="487" t="s">
        <v>1376</v>
      </c>
      <c r="D627" s="476" t="s">
        <v>290</v>
      </c>
      <c r="E627" s="596">
        <v>29</v>
      </c>
      <c r="F627" s="498" t="s">
        <v>291</v>
      </c>
      <c r="G627" s="498" t="s">
        <v>8</v>
      </c>
      <c r="H627" s="478">
        <f>41.6-6.1-6</f>
        <v>29.5</v>
      </c>
      <c r="I627" s="15">
        <f>41.6-6.1-6</f>
        <v>29.5</v>
      </c>
      <c r="J627" s="98">
        <f>41.6-6.1-6</f>
        <v>29.5</v>
      </c>
      <c r="K627" s="407">
        <f>41.6-6.1-6</f>
        <v>29.5</v>
      </c>
      <c r="L627" s="483">
        <v>35.4</v>
      </c>
      <c r="M627" s="133" t="s">
        <v>616</v>
      </c>
      <c r="N627" s="705" t="s">
        <v>1377</v>
      </c>
      <c r="O627" s="693" t="s">
        <v>1360</v>
      </c>
      <c r="P627" s="694">
        <v>372</v>
      </c>
      <c r="Q627" s="693" t="s">
        <v>719</v>
      </c>
    </row>
    <row r="628" spans="1:17" ht="28.2" customHeight="1" x14ac:dyDescent="0.25">
      <c r="A628" s="463">
        <v>6</v>
      </c>
      <c r="B628" s="464"/>
      <c r="C628" s="464"/>
      <c r="D628" s="259" t="s">
        <v>1378</v>
      </c>
      <c r="E628" s="1062"/>
      <c r="F628" s="491"/>
      <c r="G628" s="491"/>
      <c r="H628" s="492"/>
      <c r="I628" s="586"/>
      <c r="J628" s="493"/>
      <c r="K628" s="493"/>
      <c r="L628" s="494"/>
      <c r="M628" s="470"/>
      <c r="N628" s="1145"/>
      <c r="O628" s="253"/>
      <c r="P628" s="254"/>
      <c r="Q628" s="253"/>
    </row>
    <row r="629" spans="1:17" ht="24.6" customHeight="1" x14ac:dyDescent="0.25">
      <c r="A629" s="463">
        <v>6</v>
      </c>
      <c r="B629" s="112" t="s">
        <v>1379</v>
      </c>
      <c r="C629" s="112" t="s">
        <v>1380</v>
      </c>
      <c r="D629" s="471" t="s">
        <v>292</v>
      </c>
      <c r="E629" s="472"/>
      <c r="F629" s="472"/>
      <c r="G629" s="472"/>
      <c r="H629" s="472"/>
      <c r="I629" s="472"/>
      <c r="J629" s="473"/>
      <c r="K629" s="473"/>
      <c r="L629" s="474"/>
      <c r="M629" s="133"/>
      <c r="N629" s="705"/>
      <c r="O629" s="695"/>
      <c r="P629" s="696"/>
      <c r="Q629" s="695"/>
    </row>
    <row r="630" spans="1:17" ht="13.2" x14ac:dyDescent="0.25">
      <c r="A630" s="463">
        <v>6</v>
      </c>
      <c r="B630" s="297"/>
      <c r="C630" s="297"/>
      <c r="D630" s="580"/>
      <c r="E630" s="565"/>
      <c r="F630" s="481"/>
      <c r="G630" s="260" t="s">
        <v>8</v>
      </c>
      <c r="H630" s="263"/>
      <c r="I630" s="589">
        <f>I631</f>
        <v>100</v>
      </c>
      <c r="J630" s="590">
        <f t="shared" ref="J630:L630" si="112">J631</f>
        <v>120</v>
      </c>
      <c r="K630" s="590">
        <f t="shared" si="112"/>
        <v>120</v>
      </c>
      <c r="L630" s="591">
        <f t="shared" si="112"/>
        <v>120</v>
      </c>
      <c r="M630" s="133"/>
      <c r="N630" s="705"/>
      <c r="O630" s="695"/>
      <c r="P630" s="696"/>
      <c r="Q630" s="695"/>
    </row>
    <row r="631" spans="1:17" ht="28.2" customHeight="1" x14ac:dyDescent="0.25">
      <c r="A631" s="463">
        <v>6</v>
      </c>
      <c r="B631" s="487"/>
      <c r="C631" s="487" t="s">
        <v>1381</v>
      </c>
      <c r="D631" s="476" t="s">
        <v>293</v>
      </c>
      <c r="E631" s="599">
        <v>18</v>
      </c>
      <c r="F631" s="498" t="s">
        <v>294</v>
      </c>
      <c r="G631" s="600" t="s">
        <v>8</v>
      </c>
      <c r="H631" s="478">
        <v>100</v>
      </c>
      <c r="I631" s="188">
        <v>100</v>
      </c>
      <c r="J631" s="98">
        <v>120</v>
      </c>
      <c r="K631" s="408">
        <v>120</v>
      </c>
      <c r="L631" s="414">
        <v>120</v>
      </c>
      <c r="M631" s="133" t="s">
        <v>629</v>
      </c>
      <c r="N631" s="705" t="s">
        <v>1382</v>
      </c>
      <c r="O631" s="476" t="s">
        <v>1383</v>
      </c>
      <c r="P631" s="694">
        <v>25</v>
      </c>
      <c r="Q631" s="693"/>
    </row>
    <row r="632" spans="1:17" ht="21.6" customHeight="1" x14ac:dyDescent="0.25">
      <c r="A632" s="463">
        <v>6</v>
      </c>
      <c r="B632" s="112" t="s">
        <v>1379</v>
      </c>
      <c r="C632" s="112" t="s">
        <v>1379</v>
      </c>
      <c r="D632" s="471" t="s">
        <v>1384</v>
      </c>
      <c r="E632" s="472"/>
      <c r="F632" s="472"/>
      <c r="G632" s="472"/>
      <c r="H632" s="472"/>
      <c r="I632" s="472"/>
      <c r="J632" s="473"/>
      <c r="K632" s="473"/>
      <c r="L632" s="474"/>
      <c r="M632" s="133"/>
      <c r="N632" s="705"/>
      <c r="O632" s="695"/>
      <c r="P632" s="696"/>
      <c r="Q632" s="695"/>
    </row>
    <row r="633" spans="1:17" ht="13.2" x14ac:dyDescent="0.25">
      <c r="A633" s="463">
        <v>6</v>
      </c>
      <c r="B633" s="601"/>
      <c r="C633" s="601"/>
      <c r="D633" s="592"/>
      <c r="E633" s="599"/>
      <c r="F633" s="600"/>
      <c r="G633" s="260" t="s">
        <v>8</v>
      </c>
      <c r="H633" s="263"/>
      <c r="I633" s="589">
        <f>I634+I635+I636</f>
        <v>602.9</v>
      </c>
      <c r="J633" s="590">
        <f>J634+J635+J636</f>
        <v>2028.7</v>
      </c>
      <c r="K633" s="590">
        <f>K634+K635+K636</f>
        <v>1566</v>
      </c>
      <c r="L633" s="591">
        <f>L634+L635+L636</f>
        <v>1566</v>
      </c>
      <c r="M633" s="133"/>
      <c r="N633" s="705"/>
      <c r="O633" s="695"/>
      <c r="P633" s="696"/>
      <c r="Q633" s="695"/>
    </row>
    <row r="634" spans="1:17" ht="22.2" customHeight="1" x14ac:dyDescent="0.25">
      <c r="A634" s="463">
        <v>6</v>
      </c>
      <c r="B634" s="487"/>
      <c r="C634" s="487" t="s">
        <v>1385</v>
      </c>
      <c r="D634" s="602" t="s">
        <v>295</v>
      </c>
      <c r="E634" s="596">
        <v>9</v>
      </c>
      <c r="F634" s="498" t="s">
        <v>296</v>
      </c>
      <c r="G634" s="600" t="s">
        <v>8</v>
      </c>
      <c r="H634" s="478">
        <f>150+75+65+5</f>
        <v>295</v>
      </c>
      <c r="I634" s="15">
        <v>598.9</v>
      </c>
      <c r="J634" s="98">
        <f>1200+200+350+230</f>
        <v>1980</v>
      </c>
      <c r="K634" s="407">
        <v>1500</v>
      </c>
      <c r="L634" s="551">
        <v>1500</v>
      </c>
      <c r="M634" s="133" t="s">
        <v>616</v>
      </c>
      <c r="N634" s="705" t="s">
        <v>636</v>
      </c>
      <c r="O634" s="693" t="s">
        <v>1386</v>
      </c>
      <c r="P634" s="694">
        <v>100</v>
      </c>
      <c r="Q634" s="693"/>
    </row>
    <row r="635" spans="1:17" ht="27.6" customHeight="1" x14ac:dyDescent="0.25">
      <c r="A635" s="463">
        <v>6</v>
      </c>
      <c r="B635" s="487"/>
      <c r="C635" s="487" t="s">
        <v>1387</v>
      </c>
      <c r="D635" s="602" t="s">
        <v>297</v>
      </c>
      <c r="E635" s="596">
        <v>9</v>
      </c>
      <c r="F635" s="498" t="s">
        <v>298</v>
      </c>
      <c r="G635" s="600" t="s">
        <v>8</v>
      </c>
      <c r="H635" s="478">
        <v>3.1</v>
      </c>
      <c r="I635" s="15">
        <v>4</v>
      </c>
      <c r="J635" s="98">
        <f>6-6</f>
        <v>0</v>
      </c>
      <c r="K635" s="407">
        <v>6</v>
      </c>
      <c r="L635" s="551">
        <v>6</v>
      </c>
      <c r="M635" s="133" t="s">
        <v>616</v>
      </c>
      <c r="N635" s="705" t="s">
        <v>636</v>
      </c>
      <c r="O635" s="693" t="s">
        <v>1388</v>
      </c>
      <c r="P635" s="694">
        <v>15</v>
      </c>
      <c r="Q635" s="693"/>
    </row>
    <row r="636" spans="1:17" ht="29.4" customHeight="1" x14ac:dyDescent="0.25">
      <c r="A636" s="463">
        <v>6</v>
      </c>
      <c r="B636" s="487"/>
      <c r="C636" s="487" t="s">
        <v>1389</v>
      </c>
      <c r="D636" s="602" t="s">
        <v>299</v>
      </c>
      <c r="E636" s="596">
        <v>9</v>
      </c>
      <c r="F636" s="498" t="s">
        <v>300</v>
      </c>
      <c r="G636" s="600" t="s">
        <v>8</v>
      </c>
      <c r="H636" s="478">
        <v>134.4</v>
      </c>
      <c r="I636" s="15"/>
      <c r="J636" s="98">
        <f>70-21.3</f>
        <v>48.7</v>
      </c>
      <c r="K636" s="407">
        <v>60</v>
      </c>
      <c r="L636" s="551">
        <v>60</v>
      </c>
      <c r="M636" s="133" t="s">
        <v>629</v>
      </c>
      <c r="N636" s="705" t="s">
        <v>695</v>
      </c>
      <c r="O636" s="693" t="s">
        <v>1390</v>
      </c>
      <c r="P636" s="694">
        <v>2</v>
      </c>
      <c r="Q636" s="693" t="s">
        <v>632</v>
      </c>
    </row>
    <row r="637" spans="1:17" ht="19.5" customHeight="1" x14ac:dyDescent="0.25">
      <c r="A637" s="463">
        <v>6</v>
      </c>
      <c r="B637" s="112" t="s">
        <v>1929</v>
      </c>
      <c r="C637" s="112" t="s">
        <v>1929</v>
      </c>
      <c r="D637" s="471" t="s">
        <v>1930</v>
      </c>
      <c r="E637" s="472"/>
      <c r="F637" s="472"/>
      <c r="G637" s="472"/>
      <c r="H637" s="1098"/>
      <c r="I637" s="14"/>
      <c r="J637" s="473"/>
      <c r="K637" s="1099"/>
      <c r="L637" s="1100"/>
      <c r="M637" s="133"/>
      <c r="N637" s="1117"/>
      <c r="O637" s="1112"/>
      <c r="P637" s="1109"/>
      <c r="Q637" s="1113"/>
    </row>
    <row r="638" spans="1:17" ht="13.2" x14ac:dyDescent="0.25">
      <c r="A638" s="463">
        <v>6</v>
      </c>
      <c r="B638" s="917"/>
      <c r="C638" s="917"/>
      <c r="D638" s="1101"/>
      <c r="E638" s="296"/>
      <c r="F638" s="1102"/>
      <c r="G638" s="1103" t="s">
        <v>8</v>
      </c>
      <c r="H638" s="1098"/>
      <c r="I638" s="14"/>
      <c r="J638" s="1106">
        <f>SUM(J642,J645,J643,J648)</f>
        <v>569.79999999999995</v>
      </c>
      <c r="K638" s="1099"/>
      <c r="L638" s="1100"/>
      <c r="M638" s="133"/>
      <c r="N638" s="1117"/>
      <c r="O638" s="1112"/>
      <c r="P638" s="1109"/>
      <c r="Q638" s="1113"/>
    </row>
    <row r="639" spans="1:17" ht="13.2" x14ac:dyDescent="0.25">
      <c r="A639" s="463">
        <v>6</v>
      </c>
      <c r="B639" s="917"/>
      <c r="C639" s="917"/>
      <c r="D639" s="1101"/>
      <c r="E639" s="296"/>
      <c r="F639" s="1102"/>
      <c r="G639" s="1104" t="s">
        <v>37</v>
      </c>
      <c r="H639" s="1098"/>
      <c r="I639" s="14"/>
      <c r="J639" s="1106">
        <f t="shared" ref="J639" si="113">SUM(J646)</f>
        <v>170.3</v>
      </c>
      <c r="K639" s="1099"/>
      <c r="L639" s="1100"/>
      <c r="M639" s="133"/>
      <c r="N639" s="1117"/>
      <c r="O639" s="1112"/>
      <c r="P639" s="1109"/>
      <c r="Q639" s="1113"/>
    </row>
    <row r="640" spans="1:17" ht="13.2" x14ac:dyDescent="0.25">
      <c r="A640" s="463">
        <v>6</v>
      </c>
      <c r="B640" s="917"/>
      <c r="C640" s="917"/>
      <c r="D640" s="1101"/>
      <c r="E640" s="296"/>
      <c r="F640" s="1102"/>
      <c r="G640" s="1104" t="s">
        <v>166</v>
      </c>
      <c r="H640" s="1098"/>
      <c r="I640" s="14"/>
      <c r="J640" s="1106">
        <f>J650</f>
        <v>90</v>
      </c>
      <c r="K640" s="1099"/>
      <c r="L640" s="1100"/>
      <c r="M640" s="133"/>
      <c r="N640" s="1117"/>
      <c r="O640" s="1112"/>
      <c r="P640" s="1109"/>
      <c r="Q640" s="1113"/>
    </row>
    <row r="641" spans="1:17" ht="13.2" x14ac:dyDescent="0.25">
      <c r="A641" s="463">
        <v>6</v>
      </c>
      <c r="B641" s="917"/>
      <c r="C641" s="917"/>
      <c r="D641" s="1101"/>
      <c r="E641" s="296"/>
      <c r="F641" s="1102"/>
      <c r="G641" s="264" t="s">
        <v>492</v>
      </c>
      <c r="H641" s="1098"/>
      <c r="I641" s="14"/>
      <c r="J641" s="473">
        <f>SUM(J644,J647,J651,J649)</f>
        <v>830.09999999999991</v>
      </c>
      <c r="K641" s="1099"/>
      <c r="L641" s="1100"/>
      <c r="M641" s="133"/>
      <c r="N641" s="1117"/>
      <c r="O641" s="1112"/>
      <c r="P641" s="1109"/>
      <c r="Q641" s="1113"/>
    </row>
    <row r="642" spans="1:17" ht="29.4" customHeight="1" x14ac:dyDescent="0.25">
      <c r="A642" s="463">
        <v>6</v>
      </c>
      <c r="B642" s="487"/>
      <c r="C642" s="487" t="s">
        <v>1931</v>
      </c>
      <c r="D642" s="1105" t="s">
        <v>1191</v>
      </c>
      <c r="E642" s="463">
        <v>9</v>
      </c>
      <c r="F642" s="496" t="s">
        <v>1192</v>
      </c>
      <c r="G642" s="7" t="s">
        <v>8</v>
      </c>
      <c r="H642" s="1098"/>
      <c r="I642" s="14"/>
      <c r="J642" s="497">
        <f>70-7.3</f>
        <v>62.7</v>
      </c>
      <c r="K642" s="1099"/>
      <c r="L642" s="1100"/>
      <c r="M642" s="133"/>
      <c r="N642" s="1114" t="s">
        <v>1193</v>
      </c>
      <c r="O642" s="1206" t="s">
        <v>1194</v>
      </c>
      <c r="P642" s="1207">
        <v>100</v>
      </c>
      <c r="Q642" s="1196" t="s">
        <v>1195</v>
      </c>
    </row>
    <row r="643" spans="1:17" ht="29.4" customHeight="1" x14ac:dyDescent="0.25">
      <c r="A643" s="463">
        <v>6</v>
      </c>
      <c r="B643" s="487"/>
      <c r="C643" s="487"/>
      <c r="D643" s="1105"/>
      <c r="E643" s="1197">
        <v>23</v>
      </c>
      <c r="F643" s="496" t="s">
        <v>2070</v>
      </c>
      <c r="G643" s="7" t="s">
        <v>8</v>
      </c>
      <c r="H643" s="1098"/>
      <c r="I643" s="14"/>
      <c r="J643" s="497">
        <v>7.3</v>
      </c>
      <c r="K643" s="1099"/>
      <c r="L643" s="1100"/>
      <c r="M643" s="133"/>
      <c r="N643" s="1195"/>
      <c r="O643" s="1208"/>
      <c r="P643" s="1209"/>
      <c r="Q643" s="1107"/>
    </row>
    <row r="644" spans="1:17" ht="13.2" x14ac:dyDescent="0.25">
      <c r="A644" s="463">
        <v>6</v>
      </c>
      <c r="B644" s="487"/>
      <c r="C644" s="487"/>
      <c r="D644" s="476"/>
      <c r="E644" s="477"/>
      <c r="F644" s="588"/>
      <c r="G644" s="103" t="s">
        <v>492</v>
      </c>
      <c r="H644" s="1098"/>
      <c r="I644" s="14"/>
      <c r="J644" s="105">
        <f>SUM(J642:J643)</f>
        <v>70</v>
      </c>
      <c r="K644" s="1099"/>
      <c r="L644" s="1100"/>
      <c r="M644" s="133"/>
      <c r="N644" s="1117"/>
      <c r="O644" s="1115"/>
      <c r="P644" s="1109"/>
      <c r="Q644" s="1116"/>
    </row>
    <row r="645" spans="1:17" ht="29.4" customHeight="1" x14ac:dyDescent="0.25">
      <c r="A645" s="463">
        <v>6</v>
      </c>
      <c r="B645" s="487"/>
      <c r="C645" s="262" t="s">
        <v>1932</v>
      </c>
      <c r="D645" s="1266" t="s">
        <v>1933</v>
      </c>
      <c r="E645" s="463" t="s">
        <v>1934</v>
      </c>
      <c r="F645" s="481" t="s">
        <v>1935</v>
      </c>
      <c r="G645" s="247" t="s">
        <v>8</v>
      </c>
      <c r="H645" s="1098"/>
      <c r="I645" s="14"/>
      <c r="J645" s="1111">
        <f>353+185.8+21.5-70</f>
        <v>490.29999999999995</v>
      </c>
      <c r="K645" s="1099"/>
      <c r="L645" s="1100"/>
      <c r="M645" s="133"/>
      <c r="N645" s="1117" t="s">
        <v>1939</v>
      </c>
      <c r="O645" s="1107" t="s">
        <v>1940</v>
      </c>
      <c r="P645" s="1108">
        <v>2.6</v>
      </c>
      <c r="Q645" s="1116"/>
    </row>
    <row r="646" spans="1:17" ht="29.4" customHeight="1" x14ac:dyDescent="0.25">
      <c r="A646" s="463">
        <v>6</v>
      </c>
      <c r="B646" s="487"/>
      <c r="C646" s="262" t="s">
        <v>1932</v>
      </c>
      <c r="D646" s="1267"/>
      <c r="E646" s="463" t="s">
        <v>1934</v>
      </c>
      <c r="F646" s="481" t="s">
        <v>1935</v>
      </c>
      <c r="G646" s="481" t="s">
        <v>37</v>
      </c>
      <c r="H646" s="1098"/>
      <c r="I646" s="14"/>
      <c r="J646" s="1111">
        <f>170.3</f>
        <v>170.3</v>
      </c>
      <c r="K646" s="1099"/>
      <c r="L646" s="1100"/>
      <c r="M646" s="133"/>
      <c r="N646" s="1117" t="s">
        <v>1939</v>
      </c>
      <c r="O646" s="1107" t="s">
        <v>1941</v>
      </c>
      <c r="P646" s="1109">
        <v>0.8</v>
      </c>
      <c r="Q646" s="1116"/>
    </row>
    <row r="647" spans="1:17" ht="29.4" customHeight="1" x14ac:dyDescent="0.25">
      <c r="A647" s="463">
        <v>6</v>
      </c>
      <c r="B647" s="487"/>
      <c r="C647" s="262"/>
      <c r="D647" s="476"/>
      <c r="E647" s="477"/>
      <c r="F647" s="588"/>
      <c r="G647" s="103" t="s">
        <v>492</v>
      </c>
      <c r="H647" s="1098"/>
      <c r="I647" s="14"/>
      <c r="J647" s="105">
        <f>SUM(J645:J646)</f>
        <v>660.59999999999991</v>
      </c>
      <c r="K647" s="1099"/>
      <c r="L647" s="1100"/>
      <c r="M647" s="133"/>
      <c r="N647" s="1117" t="s">
        <v>1939</v>
      </c>
      <c r="O647" s="1214" t="s">
        <v>1942</v>
      </c>
      <c r="P647" s="1108">
        <v>1</v>
      </c>
      <c r="Q647" s="1213"/>
    </row>
    <row r="648" spans="1:17" ht="39" customHeight="1" x14ac:dyDescent="0.25">
      <c r="A648" s="463">
        <v>6</v>
      </c>
      <c r="B648" s="487"/>
      <c r="C648" s="1198" t="s">
        <v>2072</v>
      </c>
      <c r="D648" s="1199" t="s">
        <v>2073</v>
      </c>
      <c r="E648" s="1197">
        <v>9</v>
      </c>
      <c r="F648" s="1200" t="s">
        <v>2074</v>
      </c>
      <c r="G648" s="1200" t="s">
        <v>8</v>
      </c>
      <c r="H648" s="1098"/>
      <c r="I648" s="14"/>
      <c r="J648" s="1111">
        <f>5+4.5</f>
        <v>9.5</v>
      </c>
      <c r="K648" s="1099"/>
      <c r="L648" s="1100"/>
      <c r="M648" s="133"/>
      <c r="N648" s="1203" t="s">
        <v>723</v>
      </c>
      <c r="O648" s="1204" t="s">
        <v>2075</v>
      </c>
      <c r="P648" s="1205">
        <v>1</v>
      </c>
      <c r="Q648" s="1116"/>
    </row>
    <row r="649" spans="1:17" ht="13.2" x14ac:dyDescent="0.25">
      <c r="A649" s="463">
        <v>6</v>
      </c>
      <c r="B649" s="487"/>
      <c r="C649" s="1198"/>
      <c r="D649" s="1199"/>
      <c r="E649" s="1201"/>
      <c r="F649" s="1202"/>
      <c r="G649" s="103" t="s">
        <v>492</v>
      </c>
      <c r="H649" s="1098"/>
      <c r="I649" s="14"/>
      <c r="J649" s="105">
        <f>J648</f>
        <v>9.5</v>
      </c>
      <c r="K649" s="1099"/>
      <c r="L649" s="1100"/>
      <c r="M649" s="133"/>
      <c r="N649" s="1117"/>
      <c r="O649" s="1107"/>
      <c r="P649" s="1109"/>
      <c r="Q649" s="1116"/>
    </row>
    <row r="650" spans="1:17" ht="29.4" customHeight="1" x14ac:dyDescent="0.25">
      <c r="A650" s="463">
        <v>6</v>
      </c>
      <c r="B650" s="262"/>
      <c r="C650" s="262" t="s">
        <v>1936</v>
      </c>
      <c r="D650" s="476" t="s">
        <v>1937</v>
      </c>
      <c r="E650" s="477">
        <v>9</v>
      </c>
      <c r="F650" s="588" t="s">
        <v>1938</v>
      </c>
      <c r="G650" s="247" t="s">
        <v>166</v>
      </c>
      <c r="H650" s="1098"/>
      <c r="I650" s="14"/>
      <c r="J650" s="1111">
        <v>90</v>
      </c>
      <c r="K650" s="1099"/>
      <c r="L650" s="1100"/>
      <c r="M650" s="133"/>
      <c r="N650" s="1151" t="s">
        <v>723</v>
      </c>
      <c r="O650" s="1115" t="s">
        <v>1943</v>
      </c>
      <c r="P650" s="1109">
        <v>100</v>
      </c>
      <c r="Q650" s="1116" t="s">
        <v>720</v>
      </c>
    </row>
    <row r="651" spans="1:17" ht="13.2" x14ac:dyDescent="0.25">
      <c r="A651" s="463">
        <v>6</v>
      </c>
      <c r="B651" s="564"/>
      <c r="C651" s="564"/>
      <c r="D651" s="592"/>
      <c r="E651" s="477"/>
      <c r="F651" s="588"/>
      <c r="G651" s="103" t="s">
        <v>492</v>
      </c>
      <c r="H651" s="1098"/>
      <c r="I651" s="14"/>
      <c r="J651" s="1110">
        <f t="shared" ref="J651" si="114">SUM(J650)</f>
        <v>90</v>
      </c>
      <c r="K651" s="1099"/>
      <c r="L651" s="1100"/>
      <c r="M651" s="133"/>
      <c r="N651" s="1117"/>
      <c r="O651" s="1115"/>
      <c r="P651" s="1109"/>
      <c r="Q651" s="1116"/>
    </row>
    <row r="652" spans="1:17" ht="36" customHeight="1" x14ac:dyDescent="0.25">
      <c r="A652" s="463">
        <v>6</v>
      </c>
      <c r="B652" s="464"/>
      <c r="C652" s="464"/>
      <c r="D652" s="603" t="s">
        <v>1391</v>
      </c>
      <c r="E652" s="1062"/>
      <c r="F652" s="491"/>
      <c r="G652" s="604"/>
      <c r="H652" s="605"/>
      <c r="I652" s="606"/>
      <c r="J652" s="607"/>
      <c r="K652" s="607"/>
      <c r="L652" s="608"/>
      <c r="M652" s="470"/>
      <c r="N652" s="1152"/>
      <c r="O652" s="253"/>
      <c r="P652" s="254"/>
      <c r="Q652" s="380"/>
    </row>
    <row r="653" spans="1:17" ht="30" customHeight="1" x14ac:dyDescent="0.25">
      <c r="A653" s="463">
        <v>6</v>
      </c>
      <c r="B653" s="112" t="s">
        <v>1392</v>
      </c>
      <c r="C653" s="112" t="s">
        <v>1392</v>
      </c>
      <c r="D653" s="471" t="s">
        <v>1393</v>
      </c>
      <c r="E653" s="472"/>
      <c r="F653" s="472"/>
      <c r="G653" s="472"/>
      <c r="H653" s="472"/>
      <c r="I653" s="472"/>
      <c r="J653" s="473"/>
      <c r="K653" s="473"/>
      <c r="L653" s="474"/>
      <c r="M653" s="191"/>
      <c r="N653" s="795"/>
      <c r="O653" s="788"/>
      <c r="P653" s="799"/>
      <c r="Q653" s="324"/>
    </row>
    <row r="654" spans="1:17" ht="12.75" customHeight="1" x14ac:dyDescent="0.25">
      <c r="A654" s="463">
        <v>6</v>
      </c>
      <c r="B654" s="609"/>
      <c r="C654" s="609"/>
      <c r="D654" s="376"/>
      <c r="E654" s="80"/>
      <c r="F654" s="182"/>
      <c r="G654" s="1050" t="s">
        <v>8</v>
      </c>
      <c r="H654" s="264"/>
      <c r="I654" s="265">
        <f>I667+I669+I670+I672+I673+I674+I675+I665</f>
        <v>0</v>
      </c>
      <c r="J654" s="409">
        <f>J667+J669+J670+J672+J673+J674+J675+J665+J677</f>
        <v>42</v>
      </c>
      <c r="K654" s="409">
        <f t="shared" ref="K654:L654" si="115">K667+K669+K670+K672+K673+K674+K675+K665</f>
        <v>2003.4</v>
      </c>
      <c r="L654" s="415">
        <f t="shared" si="115"/>
        <v>1058</v>
      </c>
      <c r="M654" s="191"/>
      <c r="N654" s="795"/>
      <c r="O654" s="985"/>
      <c r="P654" s="799"/>
      <c r="Q654" s="324"/>
    </row>
    <row r="655" spans="1:17" ht="12.75" customHeight="1" x14ac:dyDescent="0.25">
      <c r="A655" s="463">
        <v>6</v>
      </c>
      <c r="B655" s="610"/>
      <c r="C655" s="610"/>
      <c r="D655" s="376"/>
      <c r="E655" s="80"/>
      <c r="F655" s="182"/>
      <c r="G655" s="1051" t="s">
        <v>80</v>
      </c>
      <c r="H655" s="264"/>
      <c r="I655" s="265">
        <f>I660</f>
        <v>0</v>
      </c>
      <c r="J655" s="409">
        <f>J660</f>
        <v>390</v>
      </c>
      <c r="K655" s="409">
        <f t="shared" ref="K655:L655" si="116">K660</f>
        <v>0</v>
      </c>
      <c r="L655" s="415">
        <f t="shared" si="116"/>
        <v>0</v>
      </c>
      <c r="M655" s="191"/>
      <c r="N655" s="795"/>
      <c r="O655" s="788"/>
      <c r="P655" s="799"/>
      <c r="Q655" s="324"/>
    </row>
    <row r="656" spans="1:17" ht="12.75" customHeight="1" x14ac:dyDescent="0.25">
      <c r="A656" s="463">
        <v>6</v>
      </c>
      <c r="B656" s="610"/>
      <c r="C656" s="610"/>
      <c r="D656" s="376"/>
      <c r="E656" s="80"/>
      <c r="F656" s="182"/>
      <c r="G656" s="1051" t="s">
        <v>199</v>
      </c>
      <c r="H656" s="264"/>
      <c r="I656" s="265">
        <f>I663</f>
        <v>0</v>
      </c>
      <c r="J656" s="409">
        <f t="shared" ref="J656:L656" si="117">J663</f>
        <v>0</v>
      </c>
      <c r="K656" s="409">
        <f t="shared" si="117"/>
        <v>0</v>
      </c>
      <c r="L656" s="415">
        <f t="shared" si="117"/>
        <v>0</v>
      </c>
      <c r="M656" s="191"/>
      <c r="N656" s="795"/>
      <c r="O656" s="788"/>
      <c r="P656" s="799"/>
      <c r="Q656" s="324"/>
    </row>
    <row r="657" spans="1:17" ht="12.75" customHeight="1" x14ac:dyDescent="0.25">
      <c r="A657" s="463">
        <v>6</v>
      </c>
      <c r="B657" s="610"/>
      <c r="C657" s="610"/>
      <c r="D657" s="376"/>
      <c r="E657" s="80"/>
      <c r="F657" s="182"/>
      <c r="G657" s="1051" t="s">
        <v>11</v>
      </c>
      <c r="H657" s="264"/>
      <c r="I657" s="265"/>
      <c r="J657" s="409">
        <f>J664</f>
        <v>81.599999999999994</v>
      </c>
      <c r="K657" s="409"/>
      <c r="L657" s="415"/>
      <c r="M657" s="191"/>
      <c r="N657" s="795"/>
      <c r="O657" s="788"/>
      <c r="P657" s="799"/>
      <c r="Q657" s="324"/>
    </row>
    <row r="658" spans="1:17" ht="12.75" customHeight="1" x14ac:dyDescent="0.25">
      <c r="A658" s="463">
        <v>6</v>
      </c>
      <c r="B658" s="610"/>
      <c r="C658" s="610"/>
      <c r="D658" s="376"/>
      <c r="E658" s="80"/>
      <c r="F658" s="182"/>
      <c r="G658" s="1050" t="s">
        <v>74</v>
      </c>
      <c r="H658" s="264"/>
      <c r="I658" s="265">
        <f>I661+I662+I666+I668+I671+I676</f>
        <v>33</v>
      </c>
      <c r="J658" s="409">
        <f t="shared" ref="J658:L658" si="118">J661+J662+J666+J668+J671+J676</f>
        <v>1723</v>
      </c>
      <c r="K658" s="409">
        <f t="shared" si="118"/>
        <v>868.6</v>
      </c>
      <c r="L658" s="415">
        <f t="shared" si="118"/>
        <v>242</v>
      </c>
      <c r="M658" s="191"/>
      <c r="N658" s="795"/>
      <c r="O658" s="788"/>
      <c r="P658" s="799"/>
      <c r="Q658" s="324"/>
    </row>
    <row r="659" spans="1:17" ht="12.75" customHeight="1" x14ac:dyDescent="0.25">
      <c r="A659" s="463">
        <v>6</v>
      </c>
      <c r="B659" s="610"/>
      <c r="C659" s="610"/>
      <c r="D659" s="376"/>
      <c r="E659" s="80"/>
      <c r="F659" s="182"/>
      <c r="G659" s="1052" t="s">
        <v>492</v>
      </c>
      <c r="H659" s="264"/>
      <c r="I659" s="265">
        <f>SUM(I654:I658)</f>
        <v>33</v>
      </c>
      <c r="J659" s="409">
        <f>SUM(J654:J658)</f>
        <v>2236.6</v>
      </c>
      <c r="K659" s="409">
        <f t="shared" ref="K659:L659" si="119">SUM(K654:K658)</f>
        <v>2872</v>
      </c>
      <c r="L659" s="415">
        <f t="shared" si="119"/>
        <v>1300</v>
      </c>
      <c r="M659" s="191"/>
      <c r="N659" s="795"/>
      <c r="O659" s="788"/>
      <c r="P659" s="799"/>
      <c r="Q659" s="324"/>
    </row>
    <row r="660" spans="1:17" ht="20.399999999999999" customHeight="1" x14ac:dyDescent="0.25">
      <c r="A660" s="463">
        <v>6</v>
      </c>
      <c r="B660" s="611"/>
      <c r="C660" s="611" t="s">
        <v>1394</v>
      </c>
      <c r="D660" s="1245" t="s">
        <v>1395</v>
      </c>
      <c r="E660" s="138" t="s">
        <v>103</v>
      </c>
      <c r="F660" s="182" t="s">
        <v>1396</v>
      </c>
      <c r="G660" s="138" t="s">
        <v>80</v>
      </c>
      <c r="H660" s="191"/>
      <c r="I660" s="894">
        <v>0</v>
      </c>
      <c r="J660" s="98">
        <v>390</v>
      </c>
      <c r="K660" s="612">
        <v>0</v>
      </c>
      <c r="L660" s="613">
        <v>0</v>
      </c>
      <c r="M660" s="416"/>
      <c r="N660" s="795" t="s">
        <v>1397</v>
      </c>
      <c r="O660" s="725" t="s">
        <v>1185</v>
      </c>
      <c r="P660" s="423">
        <v>70</v>
      </c>
      <c r="Q660" s="729" t="s">
        <v>692</v>
      </c>
    </row>
    <row r="661" spans="1:17" ht="12.75" customHeight="1" x14ac:dyDescent="0.25">
      <c r="A661" s="463">
        <v>6</v>
      </c>
      <c r="B661" s="611"/>
      <c r="C661" s="611" t="s">
        <v>1394</v>
      </c>
      <c r="D661" s="1246"/>
      <c r="E661" s="138" t="s">
        <v>103</v>
      </c>
      <c r="F661" s="182" t="s">
        <v>1396</v>
      </c>
      <c r="G661" s="138" t="s">
        <v>74</v>
      </c>
      <c r="H661" s="191"/>
      <c r="I661" s="894">
        <v>0</v>
      </c>
      <c r="J661" s="98">
        <v>105</v>
      </c>
      <c r="K661" s="612">
        <v>300</v>
      </c>
      <c r="L661" s="614"/>
      <c r="M661" s="121"/>
      <c r="N661" s="795"/>
      <c r="O661" s="725"/>
      <c r="P661" s="423"/>
      <c r="Q661" s="728" t="s">
        <v>692</v>
      </c>
    </row>
    <row r="662" spans="1:17" ht="22.2" customHeight="1" x14ac:dyDescent="0.25">
      <c r="A662" s="463">
        <v>6</v>
      </c>
      <c r="B662" s="611"/>
      <c r="C662" s="611" t="s">
        <v>1398</v>
      </c>
      <c r="D662" s="1229" t="s">
        <v>1399</v>
      </c>
      <c r="E662" s="423" t="s">
        <v>103</v>
      </c>
      <c r="F662" s="182" t="s">
        <v>1396</v>
      </c>
      <c r="G662" s="162" t="s">
        <v>74</v>
      </c>
      <c r="H662" s="191"/>
      <c r="I662" s="894">
        <v>0</v>
      </c>
      <c r="J662" s="98">
        <v>1504</v>
      </c>
      <c r="K662" s="615">
        <v>0</v>
      </c>
      <c r="L662" s="616">
        <v>0</v>
      </c>
      <c r="M662" s="416"/>
      <c r="N662" s="1027" t="s">
        <v>1397</v>
      </c>
      <c r="O662" s="725" t="s">
        <v>1185</v>
      </c>
      <c r="P662" s="423">
        <v>50</v>
      </c>
      <c r="Q662" s="728" t="s">
        <v>1400</v>
      </c>
    </row>
    <row r="663" spans="1:17" ht="12.75" customHeight="1" x14ac:dyDescent="0.25">
      <c r="A663" s="463">
        <v>6</v>
      </c>
      <c r="B663" s="611"/>
      <c r="C663" s="611" t="s">
        <v>1398</v>
      </c>
      <c r="D663" s="1230"/>
      <c r="E663" s="495">
        <v>9</v>
      </c>
      <c r="F663" s="182" t="s">
        <v>1396</v>
      </c>
      <c r="G663" s="162" t="s">
        <v>199</v>
      </c>
      <c r="H663" s="191"/>
      <c r="I663" s="894">
        <v>0</v>
      </c>
      <c r="J663" s="98">
        <f>174.105-174.105+137.1-55.5-81.6</f>
        <v>0</v>
      </c>
      <c r="K663" s="612">
        <v>0</v>
      </c>
      <c r="L663" s="616">
        <v>0</v>
      </c>
      <c r="M663" s="416" t="s">
        <v>702</v>
      </c>
      <c r="N663" s="1027" t="s">
        <v>840</v>
      </c>
      <c r="O663" s="986" t="s">
        <v>1401</v>
      </c>
      <c r="P663" s="423">
        <v>100</v>
      </c>
      <c r="Q663" s="728" t="s">
        <v>1400</v>
      </c>
    </row>
    <row r="664" spans="1:17" ht="12.75" customHeight="1" x14ac:dyDescent="0.25">
      <c r="A664" s="463">
        <v>6</v>
      </c>
      <c r="B664" s="617"/>
      <c r="C664" s="611" t="s">
        <v>1398</v>
      </c>
      <c r="D664" s="1230"/>
      <c r="E664" s="495">
        <v>9</v>
      </c>
      <c r="F664" s="182" t="s">
        <v>1396</v>
      </c>
      <c r="G664" s="314" t="s">
        <v>11</v>
      </c>
      <c r="H664" s="191"/>
      <c r="I664" s="894"/>
      <c r="J664" s="98">
        <f>81.6</f>
        <v>81.599999999999994</v>
      </c>
      <c r="K664" s="612"/>
      <c r="L664" s="618"/>
      <c r="M664" s="416"/>
      <c r="N664" s="1027" t="s">
        <v>840</v>
      </c>
      <c r="O664" s="986" t="s">
        <v>1401</v>
      </c>
      <c r="P664" s="423">
        <v>100</v>
      </c>
      <c r="Q664" s="728" t="s">
        <v>1400</v>
      </c>
    </row>
    <row r="665" spans="1:17" ht="12.75" customHeight="1" x14ac:dyDescent="0.25">
      <c r="A665" s="463">
        <v>6</v>
      </c>
      <c r="B665" s="617"/>
      <c r="C665" s="611" t="s">
        <v>1398</v>
      </c>
      <c r="D665" s="1231"/>
      <c r="E665" s="1063">
        <v>9</v>
      </c>
      <c r="F665" s="182" t="s">
        <v>1396</v>
      </c>
      <c r="G665" s="162" t="s">
        <v>8</v>
      </c>
      <c r="H665" s="191"/>
      <c r="I665" s="894">
        <v>0</v>
      </c>
      <c r="J665" s="98"/>
      <c r="K665" s="612">
        <f>575.9+174.1-J663</f>
        <v>750</v>
      </c>
      <c r="L665" s="618"/>
      <c r="M665" s="416" t="s">
        <v>702</v>
      </c>
      <c r="N665" s="1028"/>
      <c r="O665" s="987"/>
      <c r="P665" s="965"/>
      <c r="Q665" s="728" t="s">
        <v>1400</v>
      </c>
    </row>
    <row r="666" spans="1:17" ht="30" customHeight="1" x14ac:dyDescent="0.25">
      <c r="A666" s="463">
        <v>6</v>
      </c>
      <c r="B666" s="617"/>
      <c r="C666" s="617" t="s">
        <v>1402</v>
      </c>
      <c r="D666" s="1270" t="s">
        <v>1403</v>
      </c>
      <c r="E666" s="965" t="s">
        <v>103</v>
      </c>
      <c r="F666" s="182" t="s">
        <v>1396</v>
      </c>
      <c r="G666" s="1053" t="s">
        <v>74</v>
      </c>
      <c r="H666" s="619"/>
      <c r="I666" s="895">
        <v>33</v>
      </c>
      <c r="J666" s="98">
        <v>84</v>
      </c>
      <c r="K666" s="620">
        <v>105.6</v>
      </c>
      <c r="L666" s="618">
        <v>0</v>
      </c>
      <c r="M666" s="416"/>
      <c r="N666" s="1028" t="s">
        <v>1397</v>
      </c>
      <c r="O666" s="987" t="s">
        <v>1185</v>
      </c>
      <c r="P666" s="965">
        <v>20</v>
      </c>
      <c r="Q666" s="730" t="s">
        <v>742</v>
      </c>
    </row>
    <row r="667" spans="1:17" ht="12.75" customHeight="1" x14ac:dyDescent="0.25">
      <c r="A667" s="463">
        <v>6</v>
      </c>
      <c r="B667" s="621"/>
      <c r="C667" s="617" t="s">
        <v>1402</v>
      </c>
      <c r="D667" s="1271"/>
      <c r="E667" s="1064">
        <v>9</v>
      </c>
      <c r="F667" s="182" t="s">
        <v>1396</v>
      </c>
      <c r="G667" s="154" t="s">
        <v>8</v>
      </c>
      <c r="H667" s="622"/>
      <c r="I667" s="896">
        <v>0</v>
      </c>
      <c r="J667" s="98">
        <f>216-150-66</f>
        <v>0</v>
      </c>
      <c r="K667" s="623">
        <f>271.4+150</f>
        <v>421.4</v>
      </c>
      <c r="L667" s="624">
        <v>0</v>
      </c>
      <c r="M667" s="416" t="s">
        <v>702</v>
      </c>
      <c r="N667" s="1027" t="s">
        <v>840</v>
      </c>
      <c r="O667" s="986" t="s">
        <v>1401</v>
      </c>
      <c r="P667" s="964">
        <v>100</v>
      </c>
      <c r="Q667" s="731" t="s">
        <v>742</v>
      </c>
    </row>
    <row r="668" spans="1:17" ht="21.6" customHeight="1" x14ac:dyDescent="0.25">
      <c r="A668" s="463">
        <v>6</v>
      </c>
      <c r="B668" s="617"/>
      <c r="C668" s="617" t="s">
        <v>1404</v>
      </c>
      <c r="D668" s="1272" t="s">
        <v>1405</v>
      </c>
      <c r="E668" s="965" t="s">
        <v>103</v>
      </c>
      <c r="F668" s="182" t="s">
        <v>1396</v>
      </c>
      <c r="G668" s="1053" t="s">
        <v>74</v>
      </c>
      <c r="H668" s="619"/>
      <c r="I668" s="895">
        <v>0</v>
      </c>
      <c r="J668" s="98">
        <v>30</v>
      </c>
      <c r="K668" s="620">
        <v>50</v>
      </c>
      <c r="L668" s="618">
        <v>242</v>
      </c>
      <c r="M668" s="416"/>
      <c r="N668" s="1028" t="s">
        <v>1397</v>
      </c>
      <c r="O668" s="988" t="s">
        <v>1406</v>
      </c>
      <c r="P668" s="965">
        <v>1</v>
      </c>
      <c r="Q668" s="730" t="s">
        <v>719</v>
      </c>
    </row>
    <row r="669" spans="1:17" ht="24" customHeight="1" x14ac:dyDescent="0.25">
      <c r="A669" s="463">
        <v>6</v>
      </c>
      <c r="B669" s="625"/>
      <c r="C669" s="617" t="s">
        <v>1404</v>
      </c>
      <c r="D669" s="1273"/>
      <c r="E669" s="1065">
        <v>9</v>
      </c>
      <c r="F669" s="182" t="s">
        <v>1396</v>
      </c>
      <c r="G669" s="1054" t="s">
        <v>8</v>
      </c>
      <c r="H669" s="626"/>
      <c r="I669" s="897">
        <v>0</v>
      </c>
      <c r="J669" s="98">
        <v>0</v>
      </c>
      <c r="K669" s="627">
        <v>0</v>
      </c>
      <c r="L669" s="628">
        <v>858</v>
      </c>
      <c r="M669" s="416" t="s">
        <v>702</v>
      </c>
      <c r="N669" s="1029"/>
      <c r="O669" s="989"/>
      <c r="P669" s="966"/>
      <c r="Q669" s="732" t="s">
        <v>719</v>
      </c>
    </row>
    <row r="670" spans="1:17" ht="21.6" customHeight="1" x14ac:dyDescent="0.25">
      <c r="A670" s="463">
        <v>6</v>
      </c>
      <c r="B670" s="621"/>
      <c r="C670" s="621" t="s">
        <v>1407</v>
      </c>
      <c r="D670" s="1268" t="s">
        <v>1408</v>
      </c>
      <c r="E670" s="975">
        <v>9</v>
      </c>
      <c r="F670" s="182" t="s">
        <v>1396</v>
      </c>
      <c r="G670" s="154" t="s">
        <v>8</v>
      </c>
      <c r="H670" s="622"/>
      <c r="I670" s="896"/>
      <c r="J670" s="98">
        <f>300-274-20</f>
        <v>6</v>
      </c>
      <c r="K670" s="623">
        <v>762</v>
      </c>
      <c r="L670" s="624">
        <v>0</v>
      </c>
      <c r="M670" s="416" t="s">
        <v>619</v>
      </c>
      <c r="N670" s="795" t="s">
        <v>1409</v>
      </c>
      <c r="O670" s="156" t="s">
        <v>1410</v>
      </c>
      <c r="P670" s="964">
        <v>30</v>
      </c>
      <c r="Q670" s="57" t="s">
        <v>632</v>
      </c>
    </row>
    <row r="671" spans="1:17" ht="27" customHeight="1" x14ac:dyDescent="0.25">
      <c r="A671" s="463">
        <v>6</v>
      </c>
      <c r="B671" s="621"/>
      <c r="C671" s="621" t="s">
        <v>1407</v>
      </c>
      <c r="D671" s="1269"/>
      <c r="E671" s="966">
        <v>9</v>
      </c>
      <c r="F671" s="182" t="s">
        <v>1396</v>
      </c>
      <c r="G671" s="1054" t="s">
        <v>74</v>
      </c>
      <c r="H671" s="626"/>
      <c r="I671" s="897">
        <v>0</v>
      </c>
      <c r="J671" s="98">
        <v>0</v>
      </c>
      <c r="K671" s="627">
        <v>413</v>
      </c>
      <c r="L671" s="628">
        <v>0</v>
      </c>
      <c r="M671" s="416"/>
      <c r="N671" s="1029"/>
      <c r="O671" s="990" t="s">
        <v>1218</v>
      </c>
      <c r="P671" s="966">
        <v>1</v>
      </c>
      <c r="Q671" s="733" t="s">
        <v>632</v>
      </c>
    </row>
    <row r="672" spans="1:17" ht="21" x14ac:dyDescent="0.25">
      <c r="A672" s="463">
        <v>6</v>
      </c>
      <c r="B672" s="629"/>
      <c r="C672" s="621" t="s">
        <v>1411</v>
      </c>
      <c r="D672" s="324" t="s">
        <v>1412</v>
      </c>
      <c r="E672" s="964">
        <v>9</v>
      </c>
      <c r="F672" s="182" t="s">
        <v>1396</v>
      </c>
      <c r="G672" s="154" t="s">
        <v>8</v>
      </c>
      <c r="H672" s="622"/>
      <c r="I672" s="896">
        <v>0</v>
      </c>
      <c r="J672" s="98">
        <f>70-70</f>
        <v>0</v>
      </c>
      <c r="K672" s="623">
        <v>30</v>
      </c>
      <c r="L672" s="624">
        <v>0</v>
      </c>
      <c r="M672" s="416" t="s">
        <v>619</v>
      </c>
      <c r="N672" s="795" t="s">
        <v>840</v>
      </c>
      <c r="O672" s="156" t="s">
        <v>1413</v>
      </c>
      <c r="P672" s="966">
        <v>1</v>
      </c>
      <c r="Q672" s="57" t="s">
        <v>1400</v>
      </c>
    </row>
    <row r="673" spans="1:17" ht="21" x14ac:dyDescent="0.25">
      <c r="A673" s="463">
        <v>6</v>
      </c>
      <c r="B673" s="629"/>
      <c r="C673" s="621" t="s">
        <v>1414</v>
      </c>
      <c r="D673" s="324" t="s">
        <v>1415</v>
      </c>
      <c r="E673" s="423">
        <v>28</v>
      </c>
      <c r="F673" s="182" t="s">
        <v>2083</v>
      </c>
      <c r="G673" s="423" t="s">
        <v>8</v>
      </c>
      <c r="H673" s="191"/>
      <c r="I673" s="894">
        <v>0</v>
      </c>
      <c r="J673" s="98">
        <v>10</v>
      </c>
      <c r="K673" s="612">
        <v>0</v>
      </c>
      <c r="L673" s="616">
        <v>0</v>
      </c>
      <c r="M673" s="416" t="s">
        <v>702</v>
      </c>
      <c r="N673" s="991" t="s">
        <v>1416</v>
      </c>
      <c r="O673" s="137" t="s">
        <v>1322</v>
      </c>
      <c r="P673" s="423">
        <v>1</v>
      </c>
      <c r="Q673" s="728" t="s">
        <v>704</v>
      </c>
    </row>
    <row r="674" spans="1:17" ht="21" x14ac:dyDescent="0.25">
      <c r="A674" s="463">
        <v>6</v>
      </c>
      <c r="B674" s="630"/>
      <c r="C674" s="625" t="s">
        <v>1417</v>
      </c>
      <c r="D674" s="365" t="s">
        <v>1418</v>
      </c>
      <c r="E674" s="965">
        <v>28</v>
      </c>
      <c r="F674" s="182" t="s">
        <v>2083</v>
      </c>
      <c r="G674" s="965" t="s">
        <v>8</v>
      </c>
      <c r="H674" s="619"/>
      <c r="I674" s="895">
        <v>0</v>
      </c>
      <c r="J674" s="98">
        <f>23-5</f>
        <v>18</v>
      </c>
      <c r="K674" s="620">
        <v>0</v>
      </c>
      <c r="L674" s="618">
        <v>0</v>
      </c>
      <c r="M674" s="416" t="s">
        <v>702</v>
      </c>
      <c r="N674" s="795" t="s">
        <v>1416</v>
      </c>
      <c r="O674" s="991" t="s">
        <v>1419</v>
      </c>
      <c r="P674" s="965">
        <v>100</v>
      </c>
      <c r="Q674" s="730" t="s">
        <v>704</v>
      </c>
    </row>
    <row r="675" spans="1:17" ht="20.25" customHeight="1" x14ac:dyDescent="0.25">
      <c r="A675" s="463">
        <v>6</v>
      </c>
      <c r="B675" s="631"/>
      <c r="C675" s="621" t="s">
        <v>1420</v>
      </c>
      <c r="D675" s="1268" t="s">
        <v>1421</v>
      </c>
      <c r="E675" s="155">
        <v>9</v>
      </c>
      <c r="F675" s="182" t="s">
        <v>1396</v>
      </c>
      <c r="G675" s="153" t="s">
        <v>8</v>
      </c>
      <c r="H675" s="194"/>
      <c r="I675" s="898">
        <v>0</v>
      </c>
      <c r="J675" s="98">
        <f>40-40</f>
        <v>0</v>
      </c>
      <c r="K675" s="632">
        <v>40</v>
      </c>
      <c r="L675" s="633">
        <v>200</v>
      </c>
      <c r="M675" s="121" t="s">
        <v>702</v>
      </c>
      <c r="N675" s="1153" t="s">
        <v>840</v>
      </c>
      <c r="O675" s="992" t="s">
        <v>1422</v>
      </c>
      <c r="P675" s="964">
        <v>100</v>
      </c>
      <c r="Q675" s="714" t="s">
        <v>1400</v>
      </c>
    </row>
    <row r="676" spans="1:17" ht="36.6" customHeight="1" x14ac:dyDescent="0.25">
      <c r="A676" s="463">
        <v>6</v>
      </c>
      <c r="B676" s="625"/>
      <c r="C676" s="621" t="s">
        <v>1420</v>
      </c>
      <c r="D676" s="1269"/>
      <c r="E676" s="1066" t="s">
        <v>103</v>
      </c>
      <c r="F676" s="182" t="s">
        <v>1396</v>
      </c>
      <c r="G676" s="1055" t="s">
        <v>74</v>
      </c>
      <c r="H676" s="634"/>
      <c r="I676" s="899">
        <v>0</v>
      </c>
      <c r="J676" s="98">
        <v>0</v>
      </c>
      <c r="K676" s="635">
        <v>0</v>
      </c>
      <c r="L676" s="636">
        <v>0</v>
      </c>
      <c r="M676" s="121"/>
      <c r="N676" s="1030" t="s">
        <v>1397</v>
      </c>
      <c r="O676" s="993"/>
      <c r="P676" s="944"/>
      <c r="Q676" s="847" t="s">
        <v>1400</v>
      </c>
    </row>
    <row r="677" spans="1:17" ht="36.6" customHeight="1" x14ac:dyDescent="0.25">
      <c r="A677" s="463">
        <v>6</v>
      </c>
      <c r="B677" s="629"/>
      <c r="C677" s="621" t="s">
        <v>2091</v>
      </c>
      <c r="D677" s="70" t="s">
        <v>2092</v>
      </c>
      <c r="E677" s="121">
        <v>9</v>
      </c>
      <c r="F677" s="1219" t="s">
        <v>1396</v>
      </c>
      <c r="G677" s="1178" t="s">
        <v>8</v>
      </c>
      <c r="H677" s="1218"/>
      <c r="I677" s="1220"/>
      <c r="J677" s="1221">
        <v>8</v>
      </c>
      <c r="K677" s="1222"/>
      <c r="L677" s="1223"/>
      <c r="M677" s="1218"/>
      <c r="N677" s="115" t="s">
        <v>840</v>
      </c>
      <c r="O677" s="729" t="s">
        <v>2093</v>
      </c>
      <c r="P677" s="423"/>
      <c r="Q677" s="728"/>
    </row>
    <row r="678" spans="1:17" ht="27" customHeight="1" x14ac:dyDescent="0.25">
      <c r="A678" s="463">
        <v>6</v>
      </c>
      <c r="B678" s="637"/>
      <c r="C678" s="637" t="s">
        <v>1423</v>
      </c>
      <c r="D678" s="638" t="s">
        <v>1424</v>
      </c>
      <c r="E678" s="1056"/>
      <c r="F678" s="1056"/>
      <c r="G678" s="1056"/>
      <c r="H678" s="266"/>
      <c r="I678" s="639"/>
      <c r="J678" s="640"/>
      <c r="K678" s="640"/>
      <c r="L678" s="641"/>
      <c r="M678" s="121"/>
      <c r="N678" s="788"/>
      <c r="O678" s="994"/>
      <c r="P678" s="967"/>
      <c r="Q678" s="728"/>
    </row>
    <row r="679" spans="1:17" ht="25.95" customHeight="1" x14ac:dyDescent="0.25">
      <c r="A679" s="463">
        <v>6</v>
      </c>
      <c r="B679" s="637"/>
      <c r="C679" s="637"/>
      <c r="D679" s="642"/>
      <c r="E679" s="1056"/>
      <c r="F679" s="1056"/>
      <c r="G679" s="1056" t="s">
        <v>8</v>
      </c>
      <c r="H679" s="266"/>
      <c r="I679" s="639">
        <f>I680+I681+I691+I692+I699</f>
        <v>445.3</v>
      </c>
      <c r="J679" s="640">
        <f>J680+J681+J691+J692</f>
        <v>724.8</v>
      </c>
      <c r="K679" s="640">
        <f>K680+K681+K691+K692+K699</f>
        <v>887.09999999999991</v>
      </c>
      <c r="L679" s="641">
        <f>L680+L681+L691+L692+L699</f>
        <v>1450.4</v>
      </c>
      <c r="M679" s="121"/>
      <c r="N679" s="788"/>
      <c r="O679" s="985"/>
      <c r="P679" s="423"/>
      <c r="Q679" s="728"/>
    </row>
    <row r="680" spans="1:17" ht="21" x14ac:dyDescent="0.25">
      <c r="A680" s="463">
        <v>6</v>
      </c>
      <c r="B680" s="418"/>
      <c r="C680" s="418" t="s">
        <v>1425</v>
      </c>
      <c r="D680" s="205" t="s">
        <v>104</v>
      </c>
      <c r="E680" s="133">
        <v>2</v>
      </c>
      <c r="F680" s="133" t="s">
        <v>105</v>
      </c>
      <c r="G680" s="133" t="s">
        <v>8</v>
      </c>
      <c r="H680" s="643"/>
      <c r="I680" s="894">
        <v>10.199999999999999</v>
      </c>
      <c r="J680" s="98">
        <v>23.7</v>
      </c>
      <c r="K680" s="644">
        <v>0</v>
      </c>
      <c r="L680" s="645">
        <v>0</v>
      </c>
      <c r="M680" s="121" t="s">
        <v>619</v>
      </c>
      <c r="N680" s="788" t="s">
        <v>1426</v>
      </c>
      <c r="O680" s="137" t="s">
        <v>1427</v>
      </c>
      <c r="P680" s="423">
        <v>1</v>
      </c>
      <c r="Q680" s="728"/>
    </row>
    <row r="681" spans="1:17" ht="21" x14ac:dyDescent="0.25">
      <c r="A681" s="463">
        <v>6</v>
      </c>
      <c r="B681" s="646"/>
      <c r="C681" s="646" t="s">
        <v>1428</v>
      </c>
      <c r="D681" s="647" t="s">
        <v>1429</v>
      </c>
      <c r="E681" s="1057">
        <v>9</v>
      </c>
      <c r="F681" s="1057" t="s">
        <v>107</v>
      </c>
      <c r="G681" s="1057" t="s">
        <v>8</v>
      </c>
      <c r="H681" s="648" t="s">
        <v>1430</v>
      </c>
      <c r="I681" s="894">
        <f>SUM(I682:I690)</f>
        <v>78.5</v>
      </c>
      <c r="J681" s="98">
        <f>SUM(J682:J690)</f>
        <v>77.2</v>
      </c>
      <c r="K681" s="649">
        <v>200</v>
      </c>
      <c r="L681" s="650">
        <v>200</v>
      </c>
      <c r="M681" s="121"/>
      <c r="N681" s="788" t="s">
        <v>840</v>
      </c>
      <c r="O681" s="985"/>
      <c r="P681" s="423"/>
      <c r="Q681" s="728"/>
    </row>
    <row r="682" spans="1:17" ht="21" x14ac:dyDescent="0.25">
      <c r="A682" s="463">
        <v>6</v>
      </c>
      <c r="B682" s="418"/>
      <c r="C682" s="418" t="s">
        <v>1425</v>
      </c>
      <c r="D682" s="201" t="s">
        <v>1431</v>
      </c>
      <c r="E682" s="133">
        <v>9</v>
      </c>
      <c r="F682" s="133" t="s">
        <v>107</v>
      </c>
      <c r="G682" s="133" t="s">
        <v>8</v>
      </c>
      <c r="H682" s="651"/>
      <c r="I682" s="894">
        <v>47</v>
      </c>
      <c r="J682" s="98">
        <v>48</v>
      </c>
      <c r="K682" s="652"/>
      <c r="L682" s="614"/>
      <c r="M682" s="121" t="s">
        <v>619</v>
      </c>
      <c r="N682" s="788" t="s">
        <v>840</v>
      </c>
      <c r="O682" s="137" t="s">
        <v>1432</v>
      </c>
      <c r="P682" s="423">
        <v>1</v>
      </c>
      <c r="Q682" s="115" t="s">
        <v>632</v>
      </c>
    </row>
    <row r="683" spans="1:17" ht="23.25" customHeight="1" x14ac:dyDescent="0.25">
      <c r="A683" s="463">
        <v>6</v>
      </c>
      <c r="B683" s="418"/>
      <c r="C683" s="418" t="s">
        <v>1428</v>
      </c>
      <c r="D683" s="201" t="s">
        <v>1433</v>
      </c>
      <c r="E683" s="133">
        <v>9</v>
      </c>
      <c r="F683" s="133" t="s">
        <v>107</v>
      </c>
      <c r="G683" s="133" t="s">
        <v>8</v>
      </c>
      <c r="H683" s="651"/>
      <c r="I683" s="894">
        <v>4.9000000000000004</v>
      </c>
      <c r="J683" s="98">
        <v>6</v>
      </c>
      <c r="K683" s="652"/>
      <c r="L683" s="614"/>
      <c r="M683" s="121" t="s">
        <v>619</v>
      </c>
      <c r="N683" s="788" t="s">
        <v>840</v>
      </c>
      <c r="O683" s="137" t="s">
        <v>1432</v>
      </c>
      <c r="P683" s="423">
        <v>1</v>
      </c>
      <c r="Q683" s="115" t="s">
        <v>632</v>
      </c>
    </row>
    <row r="684" spans="1:17" ht="25.5" customHeight="1" x14ac:dyDescent="0.25">
      <c r="A684" s="463">
        <v>6</v>
      </c>
      <c r="B684" s="418"/>
      <c r="C684" s="418" t="s">
        <v>1434</v>
      </c>
      <c r="D684" s="201" t="s">
        <v>1435</v>
      </c>
      <c r="E684" s="133">
        <v>9</v>
      </c>
      <c r="F684" s="133" t="s">
        <v>107</v>
      </c>
      <c r="G684" s="133" t="s">
        <v>8</v>
      </c>
      <c r="H684" s="651"/>
      <c r="I684" s="894"/>
      <c r="J684" s="98">
        <v>6</v>
      </c>
      <c r="K684" s="652"/>
      <c r="L684" s="614"/>
      <c r="M684" s="121" t="s">
        <v>619</v>
      </c>
      <c r="N684" s="788" t="s">
        <v>840</v>
      </c>
      <c r="O684" s="137" t="s">
        <v>1432</v>
      </c>
      <c r="P684" s="423">
        <v>1</v>
      </c>
      <c r="Q684" s="115" t="s">
        <v>632</v>
      </c>
    </row>
    <row r="685" spans="1:17" ht="36.75" customHeight="1" x14ac:dyDescent="0.25">
      <c r="A685" s="463">
        <v>6</v>
      </c>
      <c r="B685" s="418"/>
      <c r="C685" s="418" t="s">
        <v>1436</v>
      </c>
      <c r="D685" s="201" t="s">
        <v>1437</v>
      </c>
      <c r="E685" s="133">
        <v>9</v>
      </c>
      <c r="F685" s="133" t="s">
        <v>107</v>
      </c>
      <c r="G685" s="133" t="s">
        <v>8</v>
      </c>
      <c r="H685" s="651"/>
      <c r="I685" s="894">
        <v>2.5</v>
      </c>
      <c r="J685" s="98">
        <v>6</v>
      </c>
      <c r="K685" s="652"/>
      <c r="L685" s="614"/>
      <c r="M685" s="121" t="s">
        <v>619</v>
      </c>
      <c r="N685" s="788" t="s">
        <v>840</v>
      </c>
      <c r="O685" s="137" t="s">
        <v>1432</v>
      </c>
      <c r="P685" s="423">
        <v>1</v>
      </c>
      <c r="Q685" s="115" t="s">
        <v>632</v>
      </c>
    </row>
    <row r="686" spans="1:17" ht="30.75" customHeight="1" x14ac:dyDescent="0.25">
      <c r="A686" s="463">
        <v>6</v>
      </c>
      <c r="B686" s="418"/>
      <c r="C686" s="418" t="s">
        <v>1438</v>
      </c>
      <c r="D686" s="201" t="s">
        <v>1439</v>
      </c>
      <c r="E686" s="133">
        <v>9</v>
      </c>
      <c r="F686" s="133" t="s">
        <v>107</v>
      </c>
      <c r="G686" s="133" t="s">
        <v>8</v>
      </c>
      <c r="H686" s="651"/>
      <c r="I686" s="894">
        <v>24.1</v>
      </c>
      <c r="J686" s="98">
        <f>40-36.8</f>
        <v>3.2000000000000028</v>
      </c>
      <c r="K686" s="652"/>
      <c r="L686" s="614"/>
      <c r="M686" s="121" t="s">
        <v>619</v>
      </c>
      <c r="N686" s="788" t="s">
        <v>840</v>
      </c>
      <c r="O686" s="137" t="s">
        <v>1432</v>
      </c>
      <c r="P686" s="423">
        <v>1</v>
      </c>
      <c r="Q686" s="115" t="s">
        <v>632</v>
      </c>
    </row>
    <row r="687" spans="1:17" ht="23.25" customHeight="1" x14ac:dyDescent="0.25">
      <c r="A687" s="463">
        <v>6</v>
      </c>
      <c r="B687" s="418"/>
      <c r="C687" s="418" t="s">
        <v>1440</v>
      </c>
      <c r="D687" s="653" t="s">
        <v>1441</v>
      </c>
      <c r="E687" s="423">
        <v>9</v>
      </c>
      <c r="F687" s="423" t="s">
        <v>107</v>
      </c>
      <c r="G687" s="423" t="s">
        <v>8</v>
      </c>
      <c r="H687" s="654"/>
      <c r="I687" s="894"/>
      <c r="J687" s="98">
        <f>30-26-2</f>
        <v>2</v>
      </c>
      <c r="K687" s="652">
        <v>20</v>
      </c>
      <c r="L687" s="614"/>
      <c r="M687" s="121" t="s">
        <v>702</v>
      </c>
      <c r="N687" s="788" t="s">
        <v>840</v>
      </c>
      <c r="O687" s="137" t="s">
        <v>1432</v>
      </c>
      <c r="P687" s="423">
        <v>1</v>
      </c>
      <c r="Q687" s="115" t="s">
        <v>692</v>
      </c>
    </row>
    <row r="688" spans="1:17" ht="25.5" customHeight="1" x14ac:dyDescent="0.25">
      <c r="A688" s="463">
        <v>6</v>
      </c>
      <c r="B688" s="418"/>
      <c r="C688" s="418" t="s">
        <v>1442</v>
      </c>
      <c r="D688" s="653" t="s">
        <v>1443</v>
      </c>
      <c r="E688" s="423">
        <v>9</v>
      </c>
      <c r="F688" s="423" t="s">
        <v>107</v>
      </c>
      <c r="G688" s="423" t="s">
        <v>8</v>
      </c>
      <c r="H688" s="654"/>
      <c r="I688" s="894"/>
      <c r="J688" s="98">
        <f>30-26-2</f>
        <v>2</v>
      </c>
      <c r="K688" s="652">
        <v>20</v>
      </c>
      <c r="L688" s="614"/>
      <c r="M688" s="121" t="s">
        <v>702</v>
      </c>
      <c r="N688" s="788" t="s">
        <v>840</v>
      </c>
      <c r="O688" s="137" t="s">
        <v>1432</v>
      </c>
      <c r="P688" s="423">
        <v>1</v>
      </c>
      <c r="Q688" s="115" t="s">
        <v>719</v>
      </c>
    </row>
    <row r="689" spans="1:19" ht="32.25" customHeight="1" x14ac:dyDescent="0.25">
      <c r="A689" s="463">
        <v>6</v>
      </c>
      <c r="B689" s="418"/>
      <c r="C689" s="418" t="s">
        <v>1444</v>
      </c>
      <c r="D689" s="653" t="s">
        <v>1445</v>
      </c>
      <c r="E689" s="423">
        <v>9</v>
      </c>
      <c r="F689" s="423" t="s">
        <v>107</v>
      </c>
      <c r="G689" s="423" t="s">
        <v>8</v>
      </c>
      <c r="H689" s="654"/>
      <c r="I689" s="894"/>
      <c r="J689" s="98">
        <f>55-51-2</f>
        <v>2</v>
      </c>
      <c r="K689" s="652">
        <v>30</v>
      </c>
      <c r="L689" s="614"/>
      <c r="M689" s="121" t="s">
        <v>702</v>
      </c>
      <c r="N689" s="788" t="s">
        <v>840</v>
      </c>
      <c r="O689" s="137" t="s">
        <v>1432</v>
      </c>
      <c r="P689" s="423">
        <v>1</v>
      </c>
      <c r="Q689" s="115" t="s">
        <v>692</v>
      </c>
    </row>
    <row r="690" spans="1:19" ht="40.5" customHeight="1" x14ac:dyDescent="0.25">
      <c r="A690" s="463">
        <v>6</v>
      </c>
      <c r="B690" s="418"/>
      <c r="C690" s="418" t="s">
        <v>1446</v>
      </c>
      <c r="D690" s="653" t="s">
        <v>2053</v>
      </c>
      <c r="E690" s="423">
        <v>9</v>
      </c>
      <c r="F690" s="423" t="s">
        <v>107</v>
      </c>
      <c r="G690" s="423" t="s">
        <v>8</v>
      </c>
      <c r="H690" s="654"/>
      <c r="I690" s="894"/>
      <c r="J690" s="98">
        <f>30-26-2</f>
        <v>2</v>
      </c>
      <c r="K690" s="652">
        <v>20</v>
      </c>
      <c r="L690" s="614"/>
      <c r="M690" s="121" t="s">
        <v>702</v>
      </c>
      <c r="N690" s="788" t="s">
        <v>840</v>
      </c>
      <c r="O690" s="137" t="s">
        <v>1432</v>
      </c>
      <c r="P690" s="423">
        <v>1</v>
      </c>
      <c r="Q690" s="115" t="s">
        <v>724</v>
      </c>
    </row>
    <row r="691" spans="1:19" ht="24" customHeight="1" x14ac:dyDescent="0.25">
      <c r="A691" s="463">
        <v>6</v>
      </c>
      <c r="B691" s="418"/>
      <c r="C691" s="418" t="s">
        <v>1447</v>
      </c>
      <c r="D691" s="205" t="s">
        <v>108</v>
      </c>
      <c r="E691" s="185">
        <v>9</v>
      </c>
      <c r="F691" s="133" t="s">
        <v>109</v>
      </c>
      <c r="G691" s="133" t="s">
        <v>8</v>
      </c>
      <c r="H691" s="121" t="s">
        <v>1448</v>
      </c>
      <c r="I691" s="894">
        <v>115.1</v>
      </c>
      <c r="J691" s="98">
        <f>115.4+25+14</f>
        <v>154.4</v>
      </c>
      <c r="K691" s="652">
        <f t="shared" ref="K691:L691" si="120">115.4+25</f>
        <v>140.4</v>
      </c>
      <c r="L691" s="614">
        <f t="shared" si="120"/>
        <v>140.4</v>
      </c>
      <c r="M691" s="121" t="s">
        <v>616</v>
      </c>
      <c r="N691" s="788" t="s">
        <v>840</v>
      </c>
      <c r="O691" s="995" t="s">
        <v>1449</v>
      </c>
      <c r="P691" s="423" t="s">
        <v>1450</v>
      </c>
      <c r="Q691" s="728"/>
    </row>
    <row r="692" spans="1:19" ht="35.25" customHeight="1" x14ac:dyDescent="0.25">
      <c r="A692" s="463">
        <v>6</v>
      </c>
      <c r="B692" s="646"/>
      <c r="C692" s="646" t="s">
        <v>1451</v>
      </c>
      <c r="D692" s="647" t="s">
        <v>1452</v>
      </c>
      <c r="E692" s="1057">
        <v>9</v>
      </c>
      <c r="F692" s="1057" t="s">
        <v>110</v>
      </c>
      <c r="G692" s="1057" t="s">
        <v>8</v>
      </c>
      <c r="H692" s="648" t="s">
        <v>1453</v>
      </c>
      <c r="I692" s="894">
        <f>SUM(I693:I698)</f>
        <v>241.5</v>
      </c>
      <c r="J692" s="1097">
        <f>SUM(J693:J701)</f>
        <v>469.5</v>
      </c>
      <c r="K692" s="649">
        <f>SUM(K693:K698)</f>
        <v>486.7</v>
      </c>
      <c r="L692" s="650">
        <f>SUM(L693:L698)</f>
        <v>1050</v>
      </c>
      <c r="M692" s="121"/>
      <c r="N692" s="788"/>
      <c r="O692" s="985"/>
      <c r="P692" s="423"/>
      <c r="Q692" s="728"/>
    </row>
    <row r="693" spans="1:19" ht="35.25" customHeight="1" x14ac:dyDescent="0.25">
      <c r="A693" s="463">
        <v>6</v>
      </c>
      <c r="B693" s="418"/>
      <c r="C693" s="417" t="s">
        <v>1454</v>
      </c>
      <c r="D693" s="201" t="s">
        <v>1455</v>
      </c>
      <c r="E693" s="1067">
        <v>9</v>
      </c>
      <c r="F693" s="133" t="s">
        <v>110</v>
      </c>
      <c r="G693" s="133" t="s">
        <v>8</v>
      </c>
      <c r="H693" s="651"/>
      <c r="I693" s="894"/>
      <c r="J693" s="98">
        <v>35</v>
      </c>
      <c r="K693" s="652"/>
      <c r="L693" s="614"/>
      <c r="M693" s="121" t="s">
        <v>619</v>
      </c>
      <c r="N693" s="788" t="s">
        <v>840</v>
      </c>
      <c r="O693" s="996" t="s">
        <v>1867</v>
      </c>
      <c r="P693" s="423"/>
      <c r="Q693" s="115" t="s">
        <v>692</v>
      </c>
    </row>
    <row r="694" spans="1:19" ht="43.5" customHeight="1" x14ac:dyDescent="0.25">
      <c r="A694" s="463">
        <v>6</v>
      </c>
      <c r="B694" s="418"/>
      <c r="C694" s="417" t="s">
        <v>1456</v>
      </c>
      <c r="D694" s="201" t="s">
        <v>1457</v>
      </c>
      <c r="E694" s="1067">
        <v>9</v>
      </c>
      <c r="F694" s="133" t="s">
        <v>110</v>
      </c>
      <c r="G694" s="133" t="s">
        <v>8</v>
      </c>
      <c r="H694" s="651"/>
      <c r="I694" s="894">
        <v>148.69999999999999</v>
      </c>
      <c r="J694" s="98">
        <v>389.5</v>
      </c>
      <c r="K694" s="652">
        <v>6.7</v>
      </c>
      <c r="L694" s="614"/>
      <c r="M694" s="121" t="s">
        <v>619</v>
      </c>
      <c r="N694" s="788" t="s">
        <v>840</v>
      </c>
      <c r="O694" s="995" t="s">
        <v>1458</v>
      </c>
      <c r="P694" s="423">
        <v>100</v>
      </c>
      <c r="Q694" s="115" t="s">
        <v>708</v>
      </c>
    </row>
    <row r="695" spans="1:19" ht="33.75" customHeight="1" x14ac:dyDescent="0.25">
      <c r="A695" s="463">
        <v>6</v>
      </c>
      <c r="B695" s="418"/>
      <c r="C695" s="417" t="s">
        <v>1459</v>
      </c>
      <c r="D695" s="201" t="s">
        <v>1460</v>
      </c>
      <c r="E695" s="133">
        <v>26</v>
      </c>
      <c r="F695" s="133" t="s">
        <v>2084</v>
      </c>
      <c r="G695" s="133" t="s">
        <v>8</v>
      </c>
      <c r="H695" s="651"/>
      <c r="I695" s="374">
        <v>54.9</v>
      </c>
      <c r="J695" s="98">
        <v>2</v>
      </c>
      <c r="K695" s="652"/>
      <c r="L695" s="614"/>
      <c r="M695" s="121" t="s">
        <v>619</v>
      </c>
      <c r="N695" s="788" t="s">
        <v>582</v>
      </c>
      <c r="O695" s="995" t="s">
        <v>1458</v>
      </c>
      <c r="P695" s="423">
        <v>100</v>
      </c>
      <c r="Q695" s="115" t="s">
        <v>712</v>
      </c>
    </row>
    <row r="696" spans="1:19" ht="34.5" customHeight="1" x14ac:dyDescent="0.25">
      <c r="A696" s="463">
        <v>6</v>
      </c>
      <c r="B696" s="418"/>
      <c r="C696" s="417" t="s">
        <v>1461</v>
      </c>
      <c r="D696" s="655" t="s">
        <v>1462</v>
      </c>
      <c r="E696" s="185" t="s">
        <v>530</v>
      </c>
      <c r="F696" s="133" t="s">
        <v>110</v>
      </c>
      <c r="G696" s="133" t="s">
        <v>8</v>
      </c>
      <c r="H696" s="651"/>
      <c r="I696" s="374">
        <v>37.9</v>
      </c>
      <c r="J696" s="98">
        <v>7</v>
      </c>
      <c r="K696" s="652"/>
      <c r="L696" s="614"/>
      <c r="M696" s="121" t="s">
        <v>619</v>
      </c>
      <c r="N696" s="788" t="s">
        <v>1463</v>
      </c>
      <c r="O696" s="995" t="s">
        <v>1458</v>
      </c>
      <c r="P696" s="423">
        <v>100</v>
      </c>
      <c r="Q696" s="115" t="s">
        <v>632</v>
      </c>
    </row>
    <row r="697" spans="1:19" ht="37.950000000000003" customHeight="1" x14ac:dyDescent="0.25">
      <c r="A697" s="463">
        <v>6</v>
      </c>
      <c r="B697" s="418"/>
      <c r="C697" s="417" t="s">
        <v>1464</v>
      </c>
      <c r="D697" s="201" t="s">
        <v>1465</v>
      </c>
      <c r="E697" s="133">
        <v>9</v>
      </c>
      <c r="F697" s="133" t="s">
        <v>110</v>
      </c>
      <c r="G697" s="133" t="s">
        <v>8</v>
      </c>
      <c r="H697" s="651"/>
      <c r="I697" s="374"/>
      <c r="J697" s="98">
        <f>50-50</f>
        <v>0</v>
      </c>
      <c r="K697" s="612">
        <v>430</v>
      </c>
      <c r="L697" s="616">
        <v>1000</v>
      </c>
      <c r="M697" s="121" t="s">
        <v>702</v>
      </c>
      <c r="N697" s="788" t="s">
        <v>840</v>
      </c>
      <c r="O697" s="137" t="s">
        <v>1432</v>
      </c>
      <c r="P697" s="423">
        <v>1</v>
      </c>
      <c r="Q697" s="115" t="s">
        <v>632</v>
      </c>
    </row>
    <row r="698" spans="1:19" ht="35.4" customHeight="1" x14ac:dyDescent="0.25">
      <c r="A698" s="463">
        <v>6</v>
      </c>
      <c r="B698" s="656"/>
      <c r="C698" s="417" t="s">
        <v>1466</v>
      </c>
      <c r="D698" s="201" t="s">
        <v>237</v>
      </c>
      <c r="E698" s="73">
        <v>9</v>
      </c>
      <c r="F698" s="133" t="s">
        <v>110</v>
      </c>
      <c r="G698" s="73" t="s">
        <v>8</v>
      </c>
      <c r="H698" s="657" t="s">
        <v>1467</v>
      </c>
      <c r="I698" s="374"/>
      <c r="J698" s="98">
        <f>50-50</f>
        <v>0</v>
      </c>
      <c r="K698" s="652">
        <v>50</v>
      </c>
      <c r="L698" s="614">
        <v>50</v>
      </c>
      <c r="M698" s="121" t="s">
        <v>629</v>
      </c>
      <c r="N698" s="788" t="s">
        <v>840</v>
      </c>
      <c r="O698" s="137" t="s">
        <v>1173</v>
      </c>
      <c r="P698" s="138">
        <v>100</v>
      </c>
      <c r="Q698" s="734"/>
    </row>
    <row r="699" spans="1:19" ht="28.2" customHeight="1" x14ac:dyDescent="0.25">
      <c r="A699" s="463">
        <v>6</v>
      </c>
      <c r="B699" s="487"/>
      <c r="C699" s="418" t="s">
        <v>1468</v>
      </c>
      <c r="D699" s="1229" t="s">
        <v>1469</v>
      </c>
      <c r="E699" s="73" t="s">
        <v>2039</v>
      </c>
      <c r="F699" s="133" t="s">
        <v>110</v>
      </c>
      <c r="G699" s="481" t="s">
        <v>8</v>
      </c>
      <c r="H699" s="247"/>
      <c r="I699" s="374">
        <v>0</v>
      </c>
      <c r="J699" s="98">
        <f>60-9.8-1.2-4-20</f>
        <v>25</v>
      </c>
      <c r="K699" s="407">
        <v>60</v>
      </c>
      <c r="L699" s="551">
        <v>60</v>
      </c>
      <c r="M699" s="133" t="s">
        <v>629</v>
      </c>
      <c r="N699" s="1022" t="s">
        <v>1470</v>
      </c>
      <c r="O699" s="693" t="s">
        <v>1471</v>
      </c>
      <c r="P699" s="694">
        <v>20</v>
      </c>
      <c r="Q699" s="728"/>
    </row>
    <row r="700" spans="1:19" ht="28.2" customHeight="1" x14ac:dyDescent="0.25">
      <c r="A700" s="463">
        <v>6</v>
      </c>
      <c r="B700" s="487"/>
      <c r="C700" s="418" t="s">
        <v>1468</v>
      </c>
      <c r="D700" s="1230"/>
      <c r="E700" s="1178">
        <v>23</v>
      </c>
      <c r="F700" s="121" t="s">
        <v>2071</v>
      </c>
      <c r="G700" s="1162" t="s">
        <v>8</v>
      </c>
      <c r="H700" s="247"/>
      <c r="I700" s="374"/>
      <c r="J700" s="1164">
        <f>9.1+1.2</f>
        <v>10.299999999999999</v>
      </c>
      <c r="K700" s="407"/>
      <c r="L700" s="551"/>
      <c r="M700" s="133"/>
      <c r="N700" s="1165" t="s">
        <v>579</v>
      </c>
      <c r="O700" s="1166" t="s">
        <v>1905</v>
      </c>
      <c r="P700" s="1167">
        <v>1</v>
      </c>
      <c r="Q700" s="728" t="s">
        <v>632</v>
      </c>
    </row>
    <row r="701" spans="1:19" ht="28.2" customHeight="1" x14ac:dyDescent="0.25">
      <c r="A701" s="463">
        <v>6</v>
      </c>
      <c r="B701" s="487"/>
      <c r="C701" s="418" t="s">
        <v>1468</v>
      </c>
      <c r="D701" s="1231"/>
      <c r="E701" s="1178">
        <v>26</v>
      </c>
      <c r="F701" s="121" t="s">
        <v>2084</v>
      </c>
      <c r="G701" s="1163" t="s">
        <v>8</v>
      </c>
      <c r="H701" s="247"/>
      <c r="I701" s="374"/>
      <c r="J701" s="1164">
        <v>0.7</v>
      </c>
      <c r="K701" s="407"/>
      <c r="L701" s="551"/>
      <c r="M701" s="133"/>
      <c r="N701" s="1165" t="s">
        <v>582</v>
      </c>
      <c r="O701" s="1166" t="s">
        <v>1905</v>
      </c>
      <c r="P701" s="1167">
        <v>1</v>
      </c>
      <c r="Q701" s="728" t="s">
        <v>712</v>
      </c>
    </row>
    <row r="702" spans="1:19" ht="40.950000000000003" customHeight="1" x14ac:dyDescent="0.25">
      <c r="A702" s="463">
        <v>6</v>
      </c>
      <c r="B702" s="112" t="s">
        <v>1472</v>
      </c>
      <c r="C702" s="112" t="s">
        <v>1472</v>
      </c>
      <c r="D702" s="471" t="s">
        <v>1473</v>
      </c>
      <c r="E702" s="472"/>
      <c r="F702" s="472"/>
      <c r="G702" s="472"/>
      <c r="H702" s="472"/>
      <c r="I702" s="473">
        <f>SUM(I703,I704)</f>
        <v>50</v>
      </c>
      <c r="J702" s="473">
        <f>SUM(J703,J704)</f>
        <v>200</v>
      </c>
      <c r="K702" s="473">
        <f>SUM(K703,K704)</f>
        <v>200</v>
      </c>
      <c r="L702" s="474">
        <f>SUM(L703,L704)</f>
        <v>200</v>
      </c>
      <c r="M702" s="133"/>
      <c r="N702" s="705" t="s">
        <v>1463</v>
      </c>
      <c r="O702" s="693"/>
      <c r="P702" s="692"/>
      <c r="Q702" s="693"/>
      <c r="S702" s="58"/>
    </row>
    <row r="703" spans="1:19" ht="12.75" customHeight="1" x14ac:dyDescent="0.25">
      <c r="A703" s="463">
        <v>6</v>
      </c>
      <c r="B703" s="564"/>
      <c r="C703" s="564"/>
      <c r="D703" s="376" t="s">
        <v>1474</v>
      </c>
      <c r="E703" s="133" t="s">
        <v>530</v>
      </c>
      <c r="F703" s="658" t="s">
        <v>1475</v>
      </c>
      <c r="G703" s="481" t="s">
        <v>11</v>
      </c>
      <c r="H703" s="558"/>
      <c r="I703" s="374"/>
      <c r="J703" s="98">
        <v>144.5</v>
      </c>
      <c r="K703" s="659">
        <v>200</v>
      </c>
      <c r="L703" s="660">
        <v>200</v>
      </c>
      <c r="M703" s="133"/>
      <c r="N703" s="705" t="s">
        <v>1463</v>
      </c>
      <c r="O703" s="735" t="s">
        <v>1476</v>
      </c>
      <c r="P703" s="694">
        <v>50</v>
      </c>
      <c r="Q703" s="693"/>
    </row>
    <row r="704" spans="1:19" ht="12.75" customHeight="1" x14ac:dyDescent="0.25">
      <c r="A704" s="463">
        <v>6</v>
      </c>
      <c r="B704" s="564"/>
      <c r="C704" s="564"/>
      <c r="D704" s="376" t="s">
        <v>1477</v>
      </c>
      <c r="E704" s="133" t="s">
        <v>530</v>
      </c>
      <c r="F704" s="658" t="s">
        <v>1475</v>
      </c>
      <c r="G704" s="481" t="s">
        <v>199</v>
      </c>
      <c r="H704" s="558"/>
      <c r="I704" s="374">
        <v>50</v>
      </c>
      <c r="J704" s="98">
        <v>55.5</v>
      </c>
      <c r="K704" s="661"/>
      <c r="L704" s="662"/>
      <c r="M704" s="133"/>
      <c r="N704" s="705" t="s">
        <v>1463</v>
      </c>
      <c r="O704" s="735" t="s">
        <v>1476</v>
      </c>
      <c r="P704" s="694">
        <v>100</v>
      </c>
      <c r="Q704" s="693"/>
    </row>
    <row r="705" spans="1:17" ht="30.6" customHeight="1" x14ac:dyDescent="0.25">
      <c r="A705" s="463">
        <v>6</v>
      </c>
      <c r="B705" s="112" t="s">
        <v>1881</v>
      </c>
      <c r="C705" s="112" t="s">
        <v>1881</v>
      </c>
      <c r="D705" s="471" t="s">
        <v>1882</v>
      </c>
      <c r="E705" s="472">
        <v>9</v>
      </c>
      <c r="F705" s="472" t="s">
        <v>1883</v>
      </c>
      <c r="G705" s="472" t="s">
        <v>8</v>
      </c>
      <c r="H705" s="558"/>
      <c r="I705" s="374"/>
      <c r="J705" s="473">
        <f>23-3.7</f>
        <v>19.3</v>
      </c>
      <c r="K705" s="938"/>
      <c r="L705" s="938"/>
      <c r="M705" s="133"/>
      <c r="N705" s="1031" t="s">
        <v>1884</v>
      </c>
      <c r="O705" s="939" t="s">
        <v>1476</v>
      </c>
      <c r="P705" s="1072">
        <v>100</v>
      </c>
      <c r="Q705" s="693"/>
    </row>
    <row r="706" spans="1:17" ht="12.6" customHeight="1" x14ac:dyDescent="0.25">
      <c r="A706" s="909"/>
      <c r="B706" s="909"/>
      <c r="C706" s="909"/>
      <c r="D706" s="909" t="s">
        <v>1842</v>
      </c>
      <c r="E706" s="912"/>
      <c r="F706" s="909"/>
      <c r="G706" s="909"/>
      <c r="H706" s="909"/>
      <c r="I706" s="909"/>
      <c r="J706" s="909"/>
      <c r="K706" s="909"/>
      <c r="L706" s="911"/>
      <c r="M706" s="922"/>
      <c r="N706" s="1008"/>
      <c r="O706" s="977"/>
      <c r="P706" s="923"/>
      <c r="Q706" s="923"/>
    </row>
    <row r="707" spans="1:17" ht="20.399999999999999" customHeight="1" x14ac:dyDescent="0.25">
      <c r="A707" s="51">
        <v>7</v>
      </c>
      <c r="B707" s="93"/>
      <c r="C707" s="93"/>
      <c r="D707" s="94" t="s">
        <v>1478</v>
      </c>
      <c r="E707" s="900"/>
      <c r="F707" s="93"/>
      <c r="G707" s="96"/>
      <c r="H707" s="95"/>
      <c r="I707" s="95"/>
      <c r="J707" s="95"/>
      <c r="K707" s="267"/>
      <c r="L707" s="848"/>
      <c r="M707" s="133"/>
      <c r="N707" s="743"/>
      <c r="O707" s="81"/>
      <c r="P707" s="73"/>
      <c r="Q707" s="73"/>
    </row>
    <row r="708" spans="1:17" ht="29.4" customHeight="1" x14ac:dyDescent="0.25">
      <c r="A708" s="51">
        <v>7</v>
      </c>
      <c r="B708" s="112" t="s">
        <v>1479</v>
      </c>
      <c r="C708" s="112" t="s">
        <v>1479</v>
      </c>
      <c r="D708" s="132" t="s">
        <v>313</v>
      </c>
      <c r="E708" s="92"/>
      <c r="F708" s="268"/>
      <c r="G708" s="268"/>
      <c r="H708" s="29"/>
      <c r="I708" s="113" t="e">
        <f>SUM(#REF!,#REF!,#REF!,#REF!,#REF!,#REF!,#REF!,#REF!,#REF!,I710)</f>
        <v>#REF!</v>
      </c>
      <c r="J708" s="113"/>
      <c r="K708" s="113"/>
      <c r="L708" s="113"/>
      <c r="M708" s="133"/>
      <c r="N708" s="743"/>
      <c r="O708" s="81"/>
      <c r="P708" s="73"/>
      <c r="Q708" s="73"/>
    </row>
    <row r="709" spans="1:17" ht="21.6" customHeight="1" x14ac:dyDescent="0.25">
      <c r="A709" s="51">
        <v>7</v>
      </c>
      <c r="B709" s="52"/>
      <c r="C709" s="52" t="s">
        <v>1480</v>
      </c>
      <c r="D709" s="269" t="s">
        <v>1481</v>
      </c>
      <c r="E709" s="52" t="s">
        <v>111</v>
      </c>
      <c r="F709" s="51" t="s">
        <v>321</v>
      </c>
      <c r="G709" s="51" t="s">
        <v>8</v>
      </c>
      <c r="H709" s="29">
        <f>150-11</f>
        <v>139</v>
      </c>
      <c r="I709" s="15">
        <v>152.69999999999999</v>
      </c>
      <c r="J709" s="98">
        <f>185+25+110-14</f>
        <v>306</v>
      </c>
      <c r="K709" s="29">
        <v>208.2</v>
      </c>
      <c r="L709" s="741">
        <v>211.8</v>
      </c>
      <c r="M709" s="133" t="s">
        <v>616</v>
      </c>
      <c r="N709" s="849" t="s">
        <v>639</v>
      </c>
      <c r="O709" s="71" t="s">
        <v>804</v>
      </c>
      <c r="P709" s="72">
        <v>100</v>
      </c>
      <c r="Q709" s="270"/>
    </row>
    <row r="710" spans="1:17" ht="12" customHeight="1" x14ac:dyDescent="0.25">
      <c r="A710" s="51">
        <v>7</v>
      </c>
      <c r="B710" s="52"/>
      <c r="C710" s="52"/>
      <c r="D710" s="269"/>
      <c r="E710" s="52"/>
      <c r="F710" s="51" t="s">
        <v>321</v>
      </c>
      <c r="G710" s="103" t="s">
        <v>492</v>
      </c>
      <c r="H710" s="105">
        <f>SUM(H709)</f>
        <v>139</v>
      </c>
      <c r="I710" s="105">
        <f>SUM(I709)</f>
        <v>152.69999999999999</v>
      </c>
      <c r="J710" s="105">
        <f>SUM(J709)</f>
        <v>306</v>
      </c>
      <c r="K710" s="105">
        <f>SUM(K709)</f>
        <v>208.2</v>
      </c>
      <c r="L710" s="750">
        <f>SUM(L709)</f>
        <v>211.8</v>
      </c>
      <c r="M710" s="133"/>
      <c r="N710" s="849"/>
      <c r="O710" s="71"/>
      <c r="P710" s="72"/>
      <c r="Q710" s="270"/>
    </row>
    <row r="711" spans="1:17" ht="20.399999999999999" x14ac:dyDescent="0.25">
      <c r="A711" s="51">
        <v>7</v>
      </c>
      <c r="B711" s="112" t="s">
        <v>1482</v>
      </c>
      <c r="C711" s="112" t="s">
        <v>1482</v>
      </c>
      <c r="D711" s="132" t="s">
        <v>325</v>
      </c>
      <c r="E711" s="52"/>
      <c r="F711" s="51"/>
      <c r="G711" s="73"/>
      <c r="H711" s="37"/>
      <c r="I711" s="188">
        <f>SUM(I713,I717)</f>
        <v>27.6</v>
      </c>
      <c r="J711" s="113"/>
      <c r="K711" s="20"/>
      <c r="L711" s="56"/>
      <c r="M711" s="133"/>
      <c r="N711" s="849"/>
      <c r="O711" s="71"/>
      <c r="P711" s="72"/>
      <c r="Q711" s="270"/>
    </row>
    <row r="712" spans="1:17" ht="49.2" customHeight="1" x14ac:dyDescent="0.25">
      <c r="A712" s="51">
        <v>7</v>
      </c>
      <c r="B712" s="52"/>
      <c r="C712" s="52"/>
      <c r="D712" s="35" t="s">
        <v>326</v>
      </c>
      <c r="E712" s="52" t="s">
        <v>1146</v>
      </c>
      <c r="F712" s="51" t="s">
        <v>327</v>
      </c>
      <c r="G712" s="51" t="s">
        <v>8</v>
      </c>
      <c r="H712" s="271">
        <v>25</v>
      </c>
      <c r="I712" s="15">
        <f>50-22.4</f>
        <v>27.6</v>
      </c>
      <c r="J712" s="98">
        <f>50+20+8.5-1.7-4.7</f>
        <v>72.099999999999994</v>
      </c>
      <c r="K712" s="271">
        <v>50</v>
      </c>
      <c r="L712" s="851">
        <v>50</v>
      </c>
      <c r="M712" s="133" t="s">
        <v>629</v>
      </c>
      <c r="N712" s="849" t="s">
        <v>1483</v>
      </c>
      <c r="O712" s="71" t="s">
        <v>1484</v>
      </c>
      <c r="P712" s="72">
        <v>2</v>
      </c>
      <c r="Q712" s="270"/>
    </row>
    <row r="713" spans="1:17" ht="22.5" customHeight="1" x14ac:dyDescent="0.25">
      <c r="A713" s="51">
        <v>7</v>
      </c>
      <c r="B713" s="52"/>
      <c r="C713" s="52"/>
      <c r="D713" s="269"/>
      <c r="E713" s="52" t="s">
        <v>1146</v>
      </c>
      <c r="F713" s="51" t="s">
        <v>327</v>
      </c>
      <c r="G713" s="103" t="s">
        <v>492</v>
      </c>
      <c r="H713" s="105">
        <f>SUM(H712)</f>
        <v>25</v>
      </c>
      <c r="I713" s="105">
        <f>SUM(I712)</f>
        <v>27.6</v>
      </c>
      <c r="J713" s="105">
        <f>SUM(J712)</f>
        <v>72.099999999999994</v>
      </c>
      <c r="K713" s="105">
        <f>SUM(K712)</f>
        <v>50</v>
      </c>
      <c r="L713" s="750">
        <f>SUM(L712)</f>
        <v>50</v>
      </c>
      <c r="M713" s="133"/>
      <c r="N713" s="849"/>
      <c r="O713" s="71" t="s">
        <v>1485</v>
      </c>
      <c r="P713" s="72">
        <v>5</v>
      </c>
      <c r="Q713" s="270"/>
    </row>
    <row r="714" spans="1:17" ht="27.6" customHeight="1" x14ac:dyDescent="0.25">
      <c r="A714" s="51">
        <v>7</v>
      </c>
      <c r="B714" s="52"/>
      <c r="C714" s="52"/>
      <c r="D714" s="35" t="s">
        <v>328</v>
      </c>
      <c r="E714" s="52" t="s">
        <v>1146</v>
      </c>
      <c r="F714" s="51" t="s">
        <v>329</v>
      </c>
      <c r="G714" s="51" t="s">
        <v>8</v>
      </c>
      <c r="H714" s="272">
        <v>100</v>
      </c>
      <c r="I714" s="15">
        <f>20-20</f>
        <v>0</v>
      </c>
      <c r="J714" s="98">
        <f>50-50</f>
        <v>0</v>
      </c>
      <c r="K714" s="273">
        <v>50</v>
      </c>
      <c r="L714" s="852">
        <v>50</v>
      </c>
      <c r="M714" s="133" t="s">
        <v>629</v>
      </c>
      <c r="N714" s="849" t="s">
        <v>1486</v>
      </c>
      <c r="O714" s="71" t="s">
        <v>1487</v>
      </c>
      <c r="P714" s="72">
        <v>1</v>
      </c>
      <c r="Q714" s="270"/>
    </row>
    <row r="715" spans="1:17" ht="27.6" customHeight="1" x14ac:dyDescent="0.25">
      <c r="A715" s="51">
        <v>7</v>
      </c>
      <c r="B715" s="52"/>
      <c r="C715" s="52"/>
      <c r="D715" s="35"/>
      <c r="E715" s="1177" t="s">
        <v>469</v>
      </c>
      <c r="F715" s="51" t="s">
        <v>329</v>
      </c>
      <c r="G715" s="51" t="s">
        <v>8</v>
      </c>
      <c r="H715" s="272"/>
      <c r="I715" s="15"/>
      <c r="J715" s="98">
        <f>28</f>
        <v>28</v>
      </c>
      <c r="K715" s="273"/>
      <c r="L715" s="852"/>
      <c r="M715" s="133"/>
      <c r="N715" s="71" t="s">
        <v>579</v>
      </c>
      <c r="O715" s="1176" t="s">
        <v>2045</v>
      </c>
      <c r="P715" s="72">
        <v>1</v>
      </c>
      <c r="Q715" s="270"/>
    </row>
    <row r="716" spans="1:17" ht="27.6" customHeight="1" x14ac:dyDescent="0.25">
      <c r="A716" s="51">
        <v>7</v>
      </c>
      <c r="B716" s="52"/>
      <c r="C716" s="52"/>
      <c r="D716" s="35"/>
      <c r="E716" s="52" t="s">
        <v>991</v>
      </c>
      <c r="F716" s="51" t="s">
        <v>329</v>
      </c>
      <c r="G716" s="32" t="s">
        <v>8</v>
      </c>
      <c r="H716" s="272"/>
      <c r="I716" s="15"/>
      <c r="J716" s="98">
        <f>2.7</f>
        <v>2.7</v>
      </c>
      <c r="K716" s="273"/>
      <c r="L716" s="852"/>
      <c r="M716" s="133"/>
      <c r="N716" s="71" t="s">
        <v>1917</v>
      </c>
      <c r="O716" s="71" t="s">
        <v>1916</v>
      </c>
      <c r="P716" s="72">
        <v>1</v>
      </c>
      <c r="Q716" s="270"/>
    </row>
    <row r="717" spans="1:17" ht="18" customHeight="1" x14ac:dyDescent="0.25">
      <c r="A717" s="51">
        <v>7</v>
      </c>
      <c r="B717" s="52"/>
      <c r="C717" s="52"/>
      <c r="D717" s="269"/>
      <c r="E717" s="52"/>
      <c r="F717" s="51" t="s">
        <v>329</v>
      </c>
      <c r="G717" s="103" t="s">
        <v>492</v>
      </c>
      <c r="H717" s="105">
        <f>SUM(H714:H714)</f>
        <v>100</v>
      </c>
      <c r="I717" s="105">
        <f>SUM(I714:I714)</f>
        <v>0</v>
      </c>
      <c r="J717" s="105">
        <f>SUM(J714:J716)</f>
        <v>30.7</v>
      </c>
      <c r="K717" s="105">
        <f>SUM(K714:K714)</f>
        <v>50</v>
      </c>
      <c r="L717" s="750">
        <f>SUM(L714:L714)</f>
        <v>50</v>
      </c>
      <c r="M717" s="133"/>
      <c r="N717" s="849"/>
      <c r="O717" s="71"/>
      <c r="P717" s="72"/>
      <c r="Q717" s="270"/>
    </row>
    <row r="718" spans="1:17" ht="36" customHeight="1" x14ac:dyDescent="0.25">
      <c r="A718" s="51">
        <v>7</v>
      </c>
      <c r="B718" s="93"/>
      <c r="C718" s="93"/>
      <c r="D718" s="94" t="s">
        <v>1488</v>
      </c>
      <c r="E718" s="900"/>
      <c r="F718" s="93"/>
      <c r="G718" s="96"/>
      <c r="H718" s="95"/>
      <c r="I718" s="95"/>
      <c r="J718" s="95"/>
      <c r="K718" s="267"/>
      <c r="L718" s="848"/>
      <c r="M718" s="133"/>
      <c r="N718" s="849"/>
      <c r="O718" s="71"/>
      <c r="P718" s="72"/>
      <c r="Q718" s="270"/>
    </row>
    <row r="719" spans="1:17" ht="27.6" customHeight="1" x14ac:dyDescent="0.25">
      <c r="A719" s="51">
        <v>7</v>
      </c>
      <c r="B719" s="112" t="s">
        <v>1489</v>
      </c>
      <c r="C719" s="112" t="s">
        <v>1489</v>
      </c>
      <c r="D719" s="132" t="s">
        <v>1490</v>
      </c>
      <c r="E719" s="92"/>
      <c r="F719" s="268"/>
      <c r="G719" s="98"/>
      <c r="H719" s="29"/>
      <c r="I719" s="113" t="e">
        <f>I721+#REF!+I723+I726+I729+I731+#REF!+#REF!</f>
        <v>#REF!</v>
      </c>
      <c r="J719" s="113"/>
      <c r="K719" s="113"/>
      <c r="L719" s="806"/>
      <c r="M719" s="133"/>
      <c r="N719" s="853"/>
      <c r="O719" s="71"/>
      <c r="P719" s="72"/>
      <c r="Q719" s="276"/>
    </row>
    <row r="720" spans="1:17" ht="33" customHeight="1" x14ac:dyDescent="0.25">
      <c r="A720" s="51">
        <v>7</v>
      </c>
      <c r="B720" s="52"/>
      <c r="C720" s="353" t="s">
        <v>1491</v>
      </c>
      <c r="D720" s="35" t="s">
        <v>322</v>
      </c>
      <c r="E720" s="363">
        <v>8</v>
      </c>
      <c r="F720" s="51" t="s">
        <v>323</v>
      </c>
      <c r="G720" s="133" t="s">
        <v>8</v>
      </c>
      <c r="H720" s="7">
        <v>402</v>
      </c>
      <c r="I720" s="59">
        <v>6</v>
      </c>
      <c r="J720" s="98"/>
      <c r="K720" s="7">
        <v>300</v>
      </c>
      <c r="L720" s="784">
        <v>300</v>
      </c>
      <c r="M720" s="133"/>
      <c r="N720" s="849" t="s">
        <v>1486</v>
      </c>
      <c r="O720" s="71" t="s">
        <v>1863</v>
      </c>
      <c r="P720" s="72">
        <v>100</v>
      </c>
      <c r="Q720" s="270"/>
    </row>
    <row r="721" spans="1:17" ht="13.2" x14ac:dyDescent="0.25">
      <c r="A721" s="51">
        <v>7</v>
      </c>
      <c r="B721" s="52"/>
      <c r="C721" s="353"/>
      <c r="D721" s="364"/>
      <c r="E721" s="363">
        <v>8</v>
      </c>
      <c r="F721" s="51" t="s">
        <v>323</v>
      </c>
      <c r="G721" s="103" t="s">
        <v>492</v>
      </c>
      <c r="H721" s="105"/>
      <c r="I721" s="105">
        <f>SUM(I720:I720)</f>
        <v>6</v>
      </c>
      <c r="J721" s="105">
        <f>SUM(J720:J720)</f>
        <v>0</v>
      </c>
      <c r="K721" s="105">
        <f>SUM(K720:K720)</f>
        <v>300</v>
      </c>
      <c r="L721" s="750">
        <f>SUM(L720:L720)</f>
        <v>300</v>
      </c>
      <c r="M721" s="133" t="s">
        <v>629</v>
      </c>
      <c r="N721" s="849" t="s">
        <v>1486</v>
      </c>
      <c r="O721" s="71"/>
      <c r="P721" s="72"/>
      <c r="Q721" s="270"/>
    </row>
    <row r="722" spans="1:17" ht="27.6" customHeight="1" x14ac:dyDescent="0.25">
      <c r="A722" s="51">
        <v>7</v>
      </c>
      <c r="B722" s="52"/>
      <c r="C722" s="52" t="s">
        <v>1492</v>
      </c>
      <c r="D722" s="35" t="s">
        <v>330</v>
      </c>
      <c r="E722" s="133">
        <v>9</v>
      </c>
      <c r="F722" s="133" t="s">
        <v>331</v>
      </c>
      <c r="G722" s="133" t="s">
        <v>8</v>
      </c>
      <c r="H722" s="7">
        <v>278.39999999999998</v>
      </c>
      <c r="I722" s="15">
        <f>902.3+160</f>
        <v>1062.3</v>
      </c>
      <c r="J722" s="98">
        <f>2000+320.9+200-40+17.5</f>
        <v>2498.4</v>
      </c>
      <c r="K722" s="7"/>
      <c r="L722" s="784"/>
      <c r="M722" s="133" t="s">
        <v>689</v>
      </c>
      <c r="N722" s="849" t="s">
        <v>699</v>
      </c>
      <c r="O722" s="71" t="s">
        <v>1493</v>
      </c>
      <c r="P722" s="72">
        <v>1</v>
      </c>
      <c r="Q722" s="270" t="s">
        <v>632</v>
      </c>
    </row>
    <row r="723" spans="1:17" ht="13.2" x14ac:dyDescent="0.25">
      <c r="A723" s="51">
        <v>7</v>
      </c>
      <c r="B723" s="52"/>
      <c r="C723" s="52"/>
      <c r="D723" s="74"/>
      <c r="E723" s="133"/>
      <c r="F723" s="133" t="s">
        <v>331</v>
      </c>
      <c r="G723" s="103" t="s">
        <v>492</v>
      </c>
      <c r="H723" s="105"/>
      <c r="I723" s="105">
        <f>SUM(I722:I722)</f>
        <v>1062.3</v>
      </c>
      <c r="J723" s="105">
        <f>SUM(J722:J722)</f>
        <v>2498.4</v>
      </c>
      <c r="K723" s="105">
        <f>SUM(K722:K722)</f>
        <v>0</v>
      </c>
      <c r="L723" s="750">
        <f>SUM(L722:L722)</f>
        <v>0</v>
      </c>
      <c r="M723" s="133" t="s">
        <v>689</v>
      </c>
      <c r="N723" s="849"/>
      <c r="O723" s="71"/>
      <c r="P723" s="72"/>
      <c r="Q723" s="270"/>
    </row>
    <row r="724" spans="1:17" ht="22.2" customHeight="1" x14ac:dyDescent="0.25">
      <c r="A724" s="51">
        <v>7</v>
      </c>
      <c r="B724" s="52"/>
      <c r="C724" s="52" t="s">
        <v>1494</v>
      </c>
      <c r="D724" s="35" t="s">
        <v>332</v>
      </c>
      <c r="E724" s="185">
        <v>9</v>
      </c>
      <c r="F724" s="51" t="s">
        <v>333</v>
      </c>
      <c r="G724" s="133" t="s">
        <v>8</v>
      </c>
      <c r="H724" s="7">
        <v>19.2</v>
      </c>
      <c r="I724" s="59">
        <v>46.8</v>
      </c>
      <c r="J724" s="124">
        <f>1000-500-200-50-150-24.8</f>
        <v>75.2</v>
      </c>
      <c r="K724" s="59">
        <f>1500+600+200-1000</f>
        <v>1300</v>
      </c>
      <c r="L724" s="784"/>
      <c r="M724" s="133" t="s">
        <v>689</v>
      </c>
      <c r="N724" s="849" t="s">
        <v>690</v>
      </c>
      <c r="O724" s="71" t="s">
        <v>1495</v>
      </c>
      <c r="P724" s="72">
        <v>1</v>
      </c>
      <c r="Q724" s="270" t="s">
        <v>704</v>
      </c>
    </row>
    <row r="725" spans="1:17" ht="12.75" customHeight="1" x14ac:dyDescent="0.25">
      <c r="A725" s="51">
        <v>7</v>
      </c>
      <c r="B725" s="52"/>
      <c r="C725" s="52"/>
      <c r="D725" s="35"/>
      <c r="E725" s="185">
        <v>9</v>
      </c>
      <c r="F725" s="51" t="s">
        <v>333</v>
      </c>
      <c r="G725" s="133" t="s">
        <v>40</v>
      </c>
      <c r="H725" s="7"/>
      <c r="I725" s="59"/>
      <c r="J725" s="124"/>
      <c r="K725" s="59">
        <v>1000</v>
      </c>
      <c r="L725" s="784"/>
      <c r="M725" s="133" t="s">
        <v>689</v>
      </c>
      <c r="N725" s="849" t="s">
        <v>690</v>
      </c>
      <c r="O725" s="71"/>
      <c r="P725" s="72"/>
      <c r="Q725" s="270" t="s">
        <v>704</v>
      </c>
    </row>
    <row r="726" spans="1:17" ht="13.2" x14ac:dyDescent="0.25">
      <c r="A726" s="51">
        <v>7</v>
      </c>
      <c r="B726" s="52"/>
      <c r="C726" s="52"/>
      <c r="D726" s="74"/>
      <c r="E726" s="133"/>
      <c r="F726" s="51" t="s">
        <v>333</v>
      </c>
      <c r="G726" s="103" t="s">
        <v>492</v>
      </c>
      <c r="H726" s="105"/>
      <c r="I726" s="105">
        <f>SUM(I724:I725)</f>
        <v>46.8</v>
      </c>
      <c r="J726" s="105">
        <f t="shared" ref="J726:L726" si="121">SUM(J724:J725)</f>
        <v>75.2</v>
      </c>
      <c r="K726" s="105">
        <f t="shared" si="121"/>
        <v>2300</v>
      </c>
      <c r="L726" s="750">
        <f t="shared" si="121"/>
        <v>0</v>
      </c>
      <c r="M726" s="133" t="s">
        <v>689</v>
      </c>
      <c r="N726" s="849"/>
      <c r="O726" s="2"/>
      <c r="P726" s="72">
        <v>1</v>
      </c>
      <c r="Q726" s="270"/>
    </row>
    <row r="727" spans="1:17" ht="28.2" customHeight="1" x14ac:dyDescent="0.25">
      <c r="A727" s="51">
        <v>7</v>
      </c>
      <c r="B727" s="52"/>
      <c r="C727" s="52" t="s">
        <v>1496</v>
      </c>
      <c r="D727" s="35" t="s">
        <v>1497</v>
      </c>
      <c r="E727" s="133">
        <v>9</v>
      </c>
      <c r="F727" s="51" t="s">
        <v>1498</v>
      </c>
      <c r="G727" s="133" t="s">
        <v>8</v>
      </c>
      <c r="H727" s="7"/>
      <c r="I727" s="59">
        <f>18-18</f>
        <v>0</v>
      </c>
      <c r="J727" s="124">
        <f>150-100-40</f>
        <v>10</v>
      </c>
      <c r="K727" s="7">
        <f>300+100</f>
        <v>400</v>
      </c>
      <c r="L727" s="856"/>
      <c r="M727" s="133" t="s">
        <v>702</v>
      </c>
      <c r="N727" s="1176" t="s">
        <v>699</v>
      </c>
      <c r="O727" s="71" t="s">
        <v>1499</v>
      </c>
      <c r="P727" s="72">
        <v>1</v>
      </c>
      <c r="Q727" s="270" t="s">
        <v>632</v>
      </c>
    </row>
    <row r="728" spans="1:17" ht="12.75" customHeight="1" x14ac:dyDescent="0.25">
      <c r="A728" s="51">
        <v>7</v>
      </c>
      <c r="B728" s="52"/>
      <c r="C728" s="52"/>
      <c r="D728" s="35"/>
      <c r="E728" s="133">
        <v>9</v>
      </c>
      <c r="F728" s="51" t="s">
        <v>1498</v>
      </c>
      <c r="G728" s="133" t="s">
        <v>40</v>
      </c>
      <c r="H728" s="7"/>
      <c r="I728" s="59"/>
      <c r="J728" s="124"/>
      <c r="K728" s="7"/>
      <c r="L728" s="856">
        <v>1000</v>
      </c>
      <c r="M728" s="133"/>
      <c r="N728" s="849"/>
      <c r="O728" s="71"/>
      <c r="P728" s="72"/>
      <c r="Q728" s="270" t="s">
        <v>632</v>
      </c>
    </row>
    <row r="729" spans="1:17" ht="13.2" x14ac:dyDescent="0.25">
      <c r="A729" s="51">
        <v>7</v>
      </c>
      <c r="B729" s="52"/>
      <c r="C729" s="52"/>
      <c r="D729" s="233"/>
      <c r="E729" s="277"/>
      <c r="F729" s="51" t="s">
        <v>1498</v>
      </c>
      <c r="G729" s="103" t="s">
        <v>492</v>
      </c>
      <c r="H729" s="105"/>
      <c r="I729" s="105">
        <f>SUM(I727:I728)</f>
        <v>0</v>
      </c>
      <c r="J729" s="105">
        <f t="shared" ref="J729:L729" si="122">SUM(J727:J728)</f>
        <v>10</v>
      </c>
      <c r="K729" s="105">
        <f t="shared" si="122"/>
        <v>400</v>
      </c>
      <c r="L729" s="750">
        <f t="shared" si="122"/>
        <v>1000</v>
      </c>
      <c r="M729" s="133"/>
      <c r="N729" s="849"/>
      <c r="O729" s="71"/>
      <c r="P729" s="72"/>
      <c r="Q729" s="270"/>
    </row>
    <row r="730" spans="1:17" ht="20.399999999999999" customHeight="1" x14ac:dyDescent="0.25">
      <c r="A730" s="51">
        <v>7</v>
      </c>
      <c r="B730" s="52"/>
      <c r="C730" s="52" t="s">
        <v>1500</v>
      </c>
      <c r="D730" s="35" t="s">
        <v>1835</v>
      </c>
      <c r="E730" s="133">
        <v>9</v>
      </c>
      <c r="F730" s="51" t="s">
        <v>1501</v>
      </c>
      <c r="G730" s="133" t="s">
        <v>8</v>
      </c>
      <c r="H730" s="7"/>
      <c r="I730" s="59"/>
      <c r="J730" s="124">
        <f>145-130-15</f>
        <v>0</v>
      </c>
      <c r="K730" s="7"/>
      <c r="L730" s="784"/>
      <c r="M730" s="133" t="s">
        <v>702</v>
      </c>
      <c r="N730" s="855" t="s">
        <v>723</v>
      </c>
      <c r="O730" s="71" t="s">
        <v>1495</v>
      </c>
      <c r="P730" s="72">
        <v>1</v>
      </c>
      <c r="Q730" s="270" t="s">
        <v>720</v>
      </c>
    </row>
    <row r="731" spans="1:17" ht="12.75" customHeight="1" x14ac:dyDescent="0.25">
      <c r="A731" s="51">
        <v>7</v>
      </c>
      <c r="B731" s="52"/>
      <c r="C731" s="52"/>
      <c r="D731" s="233"/>
      <c r="E731" s="274"/>
      <c r="F731" s="51"/>
      <c r="G731" s="103" t="s">
        <v>492</v>
      </c>
      <c r="H731" s="105"/>
      <c r="I731" s="105">
        <f>SUM(I730)</f>
        <v>0</v>
      </c>
      <c r="J731" s="105">
        <f>SUM(J730)</f>
        <v>0</v>
      </c>
      <c r="K731" s="105">
        <f>SUM(K730)</f>
        <v>0</v>
      </c>
      <c r="L731" s="750">
        <f>SUM(L730)</f>
        <v>0</v>
      </c>
      <c r="M731" s="133"/>
      <c r="N731" s="849"/>
      <c r="O731" s="71"/>
      <c r="P731" s="72"/>
      <c r="Q731" s="270"/>
    </row>
    <row r="732" spans="1:17" ht="38.4" customHeight="1" x14ac:dyDescent="0.25">
      <c r="A732" s="51">
        <v>7</v>
      </c>
      <c r="B732" s="93"/>
      <c r="C732" s="93"/>
      <c r="D732" s="94" t="s">
        <v>1502</v>
      </c>
      <c r="E732" s="900"/>
      <c r="F732" s="93"/>
      <c r="G732" s="96"/>
      <c r="H732" s="95"/>
      <c r="I732" s="95"/>
      <c r="J732" s="95"/>
      <c r="K732" s="267"/>
      <c r="L732" s="848"/>
      <c r="M732" s="133"/>
      <c r="N732" s="849"/>
      <c r="O732" s="71"/>
      <c r="P732" s="72"/>
      <c r="Q732" s="270"/>
    </row>
    <row r="733" spans="1:17" ht="26.4" customHeight="1" x14ac:dyDescent="0.25">
      <c r="A733" s="51">
        <v>7</v>
      </c>
      <c r="B733" s="112" t="s">
        <v>1503</v>
      </c>
      <c r="C733" s="112" t="s">
        <v>1503</v>
      </c>
      <c r="D733" s="132" t="s">
        <v>334</v>
      </c>
      <c r="E733" s="51">
        <v>8</v>
      </c>
      <c r="F733" s="51" t="s">
        <v>335</v>
      </c>
      <c r="G733" s="51" t="s">
        <v>8</v>
      </c>
      <c r="H733" s="29">
        <v>42</v>
      </c>
      <c r="I733" s="15">
        <v>56.5</v>
      </c>
      <c r="J733" s="98">
        <f>67+1.7</f>
        <v>68.7</v>
      </c>
      <c r="K733" s="29">
        <v>65</v>
      </c>
      <c r="L733" s="741">
        <v>76</v>
      </c>
      <c r="M733" s="133" t="s">
        <v>629</v>
      </c>
      <c r="N733" s="849" t="s">
        <v>1504</v>
      </c>
      <c r="O733" s="71" t="s">
        <v>1505</v>
      </c>
      <c r="P733" s="72">
        <v>17</v>
      </c>
      <c r="Q733" s="270"/>
    </row>
    <row r="734" spans="1:17" ht="13.2" x14ac:dyDescent="0.25">
      <c r="A734" s="51">
        <v>7</v>
      </c>
      <c r="B734" s="52"/>
      <c r="C734" s="52"/>
      <c r="D734" s="269"/>
      <c r="E734" s="51">
        <v>8</v>
      </c>
      <c r="F734" s="51" t="s">
        <v>335</v>
      </c>
      <c r="G734" s="103" t="s">
        <v>492</v>
      </c>
      <c r="H734" s="105">
        <f>SUM(H733)</f>
        <v>42</v>
      </c>
      <c r="I734" s="105">
        <f>SUM(I733)</f>
        <v>56.5</v>
      </c>
      <c r="J734" s="105">
        <f>SUM(J733)</f>
        <v>68.7</v>
      </c>
      <c r="K734" s="105">
        <f>SUM(K733)</f>
        <v>65</v>
      </c>
      <c r="L734" s="750">
        <f>SUM(L733)</f>
        <v>76</v>
      </c>
      <c r="M734" s="133"/>
      <c r="N734" s="849"/>
      <c r="O734" s="71"/>
      <c r="P734" s="72"/>
      <c r="Q734" s="270"/>
    </row>
    <row r="735" spans="1:17" ht="28.2" customHeight="1" x14ac:dyDescent="0.25">
      <c r="A735" s="51">
        <v>7</v>
      </c>
      <c r="B735" s="112" t="s">
        <v>1506</v>
      </c>
      <c r="C735" s="112" t="s">
        <v>1506</v>
      </c>
      <c r="D735" s="132" t="s">
        <v>336</v>
      </c>
      <c r="E735" s="51">
        <v>8</v>
      </c>
      <c r="F735" s="51" t="s">
        <v>337</v>
      </c>
      <c r="G735" s="51" t="s">
        <v>8</v>
      </c>
      <c r="H735" s="29">
        <v>4.5</v>
      </c>
      <c r="I735" s="15">
        <v>4.5</v>
      </c>
      <c r="J735" s="98">
        <v>4.5</v>
      </c>
      <c r="K735" s="29">
        <v>4.5</v>
      </c>
      <c r="L735" s="741">
        <v>4.5</v>
      </c>
      <c r="M735" s="133" t="s">
        <v>629</v>
      </c>
      <c r="N735" s="849" t="s">
        <v>1507</v>
      </c>
      <c r="O735" s="71" t="s">
        <v>1508</v>
      </c>
      <c r="P735" s="72">
        <v>5</v>
      </c>
      <c r="Q735" s="270"/>
    </row>
    <row r="736" spans="1:17" ht="13.2" x14ac:dyDescent="0.25">
      <c r="A736" s="51">
        <v>7</v>
      </c>
      <c r="B736" s="119"/>
      <c r="C736" s="119"/>
      <c r="D736" s="81"/>
      <c r="E736" s="51">
        <v>8</v>
      </c>
      <c r="F736" s="51" t="s">
        <v>337</v>
      </c>
      <c r="G736" s="103" t="s">
        <v>492</v>
      </c>
      <c r="H736" s="105"/>
      <c r="I736" s="105">
        <f>I735</f>
        <v>4.5</v>
      </c>
      <c r="J736" s="105">
        <f>J735</f>
        <v>4.5</v>
      </c>
      <c r="K736" s="105">
        <f>K735</f>
        <v>4.5</v>
      </c>
      <c r="L736" s="750">
        <f>L735</f>
        <v>4.5</v>
      </c>
      <c r="M736" s="133"/>
      <c r="N736" s="849"/>
      <c r="O736" s="71"/>
      <c r="P736" s="72"/>
      <c r="Q736" s="270"/>
    </row>
    <row r="737" spans="1:17" ht="30" customHeight="1" x14ac:dyDescent="0.25">
      <c r="A737" s="51">
        <v>7</v>
      </c>
      <c r="B737" s="93"/>
      <c r="C737" s="93"/>
      <c r="D737" s="94" t="s">
        <v>1509</v>
      </c>
      <c r="E737" s="900"/>
      <c r="F737" s="93"/>
      <c r="G737" s="96"/>
      <c r="H737" s="95"/>
      <c r="I737" s="95"/>
      <c r="J737" s="95"/>
      <c r="K737" s="267"/>
      <c r="L737" s="848"/>
      <c r="M737" s="133"/>
      <c r="N737" s="849"/>
      <c r="O737" s="71"/>
      <c r="P737" s="72"/>
      <c r="Q737" s="357"/>
    </row>
    <row r="738" spans="1:17" ht="34.950000000000003" customHeight="1" x14ac:dyDescent="0.25">
      <c r="A738" s="51">
        <v>7</v>
      </c>
      <c r="B738" s="112" t="s">
        <v>1510</v>
      </c>
      <c r="C738" s="112" t="s">
        <v>1510</v>
      </c>
      <c r="D738" s="278" t="s">
        <v>338</v>
      </c>
      <c r="E738" s="51"/>
      <c r="F738" s="51"/>
      <c r="G738" s="73"/>
      <c r="H738" s="37"/>
      <c r="I738" s="113" t="e">
        <f>SUM(I742,I749,I751,#REF!,I753,I758,I764)</f>
        <v>#REF!</v>
      </c>
      <c r="J738" s="113"/>
      <c r="K738" s="113"/>
      <c r="L738" s="806"/>
      <c r="M738" s="133"/>
      <c r="N738" s="857"/>
      <c r="O738" s="858"/>
      <c r="P738" s="356"/>
      <c r="Q738" s="354"/>
    </row>
    <row r="739" spans="1:17" ht="21" customHeight="1" x14ac:dyDescent="0.25">
      <c r="A739" s="51">
        <v>7</v>
      </c>
      <c r="B739" s="52"/>
      <c r="C739" s="52" t="s">
        <v>1511</v>
      </c>
      <c r="D739" s="850" t="s">
        <v>339</v>
      </c>
      <c r="E739" s="51">
        <v>2</v>
      </c>
      <c r="F739" s="51" t="s">
        <v>340</v>
      </c>
      <c r="G739" s="32"/>
      <c r="H739" s="30"/>
      <c r="I739" s="15"/>
      <c r="J739" s="98"/>
      <c r="K739" s="30"/>
      <c r="L739" s="859"/>
      <c r="M739" s="860" t="s">
        <v>629</v>
      </c>
      <c r="N739" s="157"/>
      <c r="O739" s="979"/>
      <c r="P739" s="968"/>
      <c r="Q739" s="347"/>
    </row>
    <row r="740" spans="1:17" ht="18.75" customHeight="1" x14ac:dyDescent="0.3">
      <c r="A740" s="51">
        <v>7</v>
      </c>
      <c r="B740" s="52"/>
      <c r="C740" s="280" t="s">
        <v>1512</v>
      </c>
      <c r="D740" s="281" t="s">
        <v>1513</v>
      </c>
      <c r="E740" s="51">
        <v>2</v>
      </c>
      <c r="F740" s="51" t="s">
        <v>340</v>
      </c>
      <c r="G740" s="51" t="s">
        <v>8</v>
      </c>
      <c r="H740" s="29"/>
      <c r="I740" s="15">
        <v>48.3</v>
      </c>
      <c r="J740" s="98">
        <v>50</v>
      </c>
      <c r="K740" s="282">
        <v>57</v>
      </c>
      <c r="L740" s="861">
        <v>57</v>
      </c>
      <c r="M740" s="133"/>
      <c r="N740" s="862" t="s">
        <v>1514</v>
      </c>
      <c r="O740" s="740" t="s">
        <v>1515</v>
      </c>
      <c r="P740" s="356">
        <v>14</v>
      </c>
      <c r="Q740" s="355"/>
    </row>
    <row r="741" spans="1:17" ht="26.25" customHeight="1" x14ac:dyDescent="0.3">
      <c r="A741" s="51">
        <v>7</v>
      </c>
      <c r="B741" s="52"/>
      <c r="C741" s="280" t="s">
        <v>1516</v>
      </c>
      <c r="D741" s="281" t="s">
        <v>1517</v>
      </c>
      <c r="E741" s="51">
        <v>2</v>
      </c>
      <c r="F741" s="51" t="s">
        <v>340</v>
      </c>
      <c r="G741" s="51" t="s">
        <v>493</v>
      </c>
      <c r="H741" s="29"/>
      <c r="I741" s="15">
        <v>18.399999999999999</v>
      </c>
      <c r="J741" s="98">
        <v>17.100000000000001</v>
      </c>
      <c r="K741" s="282">
        <v>5</v>
      </c>
      <c r="L741" s="861">
        <v>5</v>
      </c>
      <c r="M741" s="133"/>
      <c r="N741" s="863" t="s">
        <v>1514</v>
      </c>
      <c r="O741" s="279" t="s">
        <v>1518</v>
      </c>
      <c r="P741" s="356">
        <v>38</v>
      </c>
      <c r="Q741" s="355"/>
    </row>
    <row r="742" spans="1:17" ht="14.4" x14ac:dyDescent="0.3">
      <c r="A742" s="51">
        <v>7</v>
      </c>
      <c r="B742" s="52"/>
      <c r="C742" s="52"/>
      <c r="D742" s="284"/>
      <c r="E742" s="51"/>
      <c r="F742" s="51" t="s">
        <v>340</v>
      </c>
      <c r="G742" s="103" t="s">
        <v>492</v>
      </c>
      <c r="H742" s="105">
        <f>SUM(H739)</f>
        <v>0</v>
      </c>
      <c r="I742" s="105">
        <f>SUM(I740,I741)</f>
        <v>66.699999999999989</v>
      </c>
      <c r="J742" s="105">
        <f t="shared" ref="J742:L742" si="123">SUM(J740,J741)</f>
        <v>67.099999999999994</v>
      </c>
      <c r="K742" s="105">
        <f t="shared" si="123"/>
        <v>62</v>
      </c>
      <c r="L742" s="750">
        <f t="shared" si="123"/>
        <v>62</v>
      </c>
      <c r="M742" s="133"/>
      <c r="N742" s="87"/>
      <c r="O742" s="279"/>
      <c r="P742" s="356"/>
      <c r="Q742" s="355"/>
    </row>
    <row r="743" spans="1:17" ht="27.6" customHeight="1" x14ac:dyDescent="0.3">
      <c r="A743" s="51">
        <v>7</v>
      </c>
      <c r="B743" s="52"/>
      <c r="C743" s="52" t="s">
        <v>1519</v>
      </c>
      <c r="D743" s="850" t="s">
        <v>341</v>
      </c>
      <c r="E743" s="51" t="s">
        <v>1864</v>
      </c>
      <c r="F743" s="51" t="s">
        <v>342</v>
      </c>
      <c r="G743" s="30"/>
      <c r="H743" s="30">
        <v>78.7</v>
      </c>
      <c r="I743" s="275" t="e">
        <f>SUM(#REF!,I745,I744,I746,I747,#REF!,I748)</f>
        <v>#REF!</v>
      </c>
      <c r="J743" s="275"/>
      <c r="K743" s="275" t="e">
        <f>SUM(#REF!,K745,K744,K746,K747,#REF!,K748)</f>
        <v>#REF!</v>
      </c>
      <c r="L743" s="854" t="e">
        <f>SUM(#REF!,L745,L744,L746,L747,#REF!,L748)</f>
        <v>#REF!</v>
      </c>
      <c r="M743" s="133"/>
      <c r="N743" s="863"/>
      <c r="O743" s="279"/>
      <c r="P743" s="285"/>
      <c r="Q743" s="358"/>
    </row>
    <row r="744" spans="1:17" ht="33.6" customHeight="1" x14ac:dyDescent="0.25">
      <c r="A744" s="51">
        <v>7</v>
      </c>
      <c r="B744" s="52"/>
      <c r="C744" s="52" t="s">
        <v>1520</v>
      </c>
      <c r="D744" s="139" t="s">
        <v>1521</v>
      </c>
      <c r="E744" s="51">
        <v>2</v>
      </c>
      <c r="F744" s="51" t="s">
        <v>342</v>
      </c>
      <c r="G744" s="73" t="s">
        <v>8</v>
      </c>
      <c r="H744" s="37"/>
      <c r="I744" s="15">
        <v>140.1</v>
      </c>
      <c r="J744" s="98">
        <f>100-99.5</f>
        <v>0.5</v>
      </c>
      <c r="K744" s="37">
        <v>0</v>
      </c>
      <c r="L744" s="48">
        <v>0</v>
      </c>
      <c r="M744" s="133" t="s">
        <v>619</v>
      </c>
      <c r="N744" s="863" t="s">
        <v>1514</v>
      </c>
      <c r="O744" s="279" t="s">
        <v>1522</v>
      </c>
      <c r="P744" s="285">
        <v>1</v>
      </c>
      <c r="Q744" s="286" t="s">
        <v>719</v>
      </c>
    </row>
    <row r="745" spans="1:17" ht="30" customHeight="1" x14ac:dyDescent="0.25">
      <c r="A745" s="51">
        <v>7</v>
      </c>
      <c r="B745" s="52"/>
      <c r="C745" s="52" t="s">
        <v>1523</v>
      </c>
      <c r="D745" s="205" t="s">
        <v>1524</v>
      </c>
      <c r="E745" s="51">
        <v>29</v>
      </c>
      <c r="F745" s="51" t="s">
        <v>1525</v>
      </c>
      <c r="G745" s="51" t="s">
        <v>8</v>
      </c>
      <c r="H745" s="29"/>
      <c r="I745" s="30"/>
      <c r="J745" s="275">
        <f>12-12</f>
        <v>0</v>
      </c>
      <c r="K745" s="29">
        <v>0</v>
      </c>
      <c r="L745" s="741">
        <v>0</v>
      </c>
      <c r="M745" s="133" t="s">
        <v>619</v>
      </c>
      <c r="N745" s="863" t="s">
        <v>1526</v>
      </c>
      <c r="O745" s="279" t="s">
        <v>1218</v>
      </c>
      <c r="P745" s="285">
        <v>1</v>
      </c>
      <c r="Q745" s="286" t="s">
        <v>719</v>
      </c>
    </row>
    <row r="746" spans="1:17" ht="25.2" customHeight="1" x14ac:dyDescent="0.25">
      <c r="A746" s="51">
        <v>7</v>
      </c>
      <c r="B746" s="52"/>
      <c r="C746" s="52" t="s">
        <v>1527</v>
      </c>
      <c r="D746" s="205" t="s">
        <v>1528</v>
      </c>
      <c r="E746" s="51">
        <v>26</v>
      </c>
      <c r="F746" s="51" t="s">
        <v>343</v>
      </c>
      <c r="G746" s="73" t="s">
        <v>8</v>
      </c>
      <c r="H746" s="37"/>
      <c r="I746" s="15"/>
      <c r="J746" s="98">
        <f>30-30</f>
        <v>0</v>
      </c>
      <c r="K746" s="37"/>
      <c r="L746" s="48"/>
      <c r="M746" s="133" t="s">
        <v>702</v>
      </c>
      <c r="N746" s="863" t="s">
        <v>1249</v>
      </c>
      <c r="O746" s="279" t="s">
        <v>1529</v>
      </c>
      <c r="P746" s="287">
        <v>1</v>
      </c>
      <c r="Q746" s="286" t="s">
        <v>712</v>
      </c>
    </row>
    <row r="747" spans="1:17" ht="27" customHeight="1" x14ac:dyDescent="0.25">
      <c r="A747" s="51">
        <v>7</v>
      </c>
      <c r="B747" s="52"/>
      <c r="C747" s="52" t="s">
        <v>1530</v>
      </c>
      <c r="D747" s="81" t="s">
        <v>1531</v>
      </c>
      <c r="E747" s="51">
        <v>2</v>
      </c>
      <c r="F747" s="51" t="s">
        <v>342</v>
      </c>
      <c r="G747" s="73" t="s">
        <v>8</v>
      </c>
      <c r="H747" s="37"/>
      <c r="I747" s="15"/>
      <c r="J747" s="98">
        <f>5-3.3</f>
        <v>1.7000000000000002</v>
      </c>
      <c r="K747" s="183">
        <v>20</v>
      </c>
      <c r="L747" s="33"/>
      <c r="M747" s="133" t="s">
        <v>702</v>
      </c>
      <c r="N747" s="863" t="s">
        <v>1514</v>
      </c>
      <c r="O747" s="279" t="s">
        <v>1532</v>
      </c>
      <c r="P747" s="285">
        <v>1</v>
      </c>
      <c r="Q747" s="286" t="s">
        <v>632</v>
      </c>
    </row>
    <row r="748" spans="1:17" ht="12.75" customHeight="1" x14ac:dyDescent="0.25">
      <c r="A748" s="51">
        <v>7</v>
      </c>
      <c r="B748" s="280"/>
      <c r="C748" s="138" t="s">
        <v>1533</v>
      </c>
      <c r="D748" s="663" t="s">
        <v>1534</v>
      </c>
      <c r="E748" s="51">
        <v>2</v>
      </c>
      <c r="G748" s="73" t="s">
        <v>8</v>
      </c>
      <c r="H748" s="37"/>
      <c r="I748" s="15"/>
      <c r="J748" s="98">
        <f>5-3.6</f>
        <v>1.4</v>
      </c>
      <c r="K748" s="272">
        <v>10</v>
      </c>
      <c r="L748" s="864">
        <v>10</v>
      </c>
      <c r="M748" s="133"/>
      <c r="N748" s="788" t="s">
        <v>1514</v>
      </c>
      <c r="O748" s="688" t="s">
        <v>1535</v>
      </c>
      <c r="P748" s="285">
        <v>1</v>
      </c>
      <c r="Q748" s="288" t="s">
        <v>708</v>
      </c>
    </row>
    <row r="749" spans="1:17" ht="14.4" x14ac:dyDescent="0.3">
      <c r="A749" s="51">
        <v>7</v>
      </c>
      <c r="B749" s="52"/>
      <c r="C749" s="52"/>
      <c r="D749" s="205"/>
      <c r="E749" s="51"/>
      <c r="F749" s="51" t="s">
        <v>342</v>
      </c>
      <c r="G749" s="103" t="s">
        <v>492</v>
      </c>
      <c r="H749" s="105" t="e">
        <f>SUM(#REF!)</f>
        <v>#REF!</v>
      </c>
      <c r="I749" s="105">
        <f>SUM(I744:I748)</f>
        <v>140.1</v>
      </c>
      <c r="J749" s="105">
        <f>SUM(J744:J748)</f>
        <v>3.6</v>
      </c>
      <c r="K749" s="105">
        <f>SUM(K744:K748)</f>
        <v>30</v>
      </c>
      <c r="L749" s="750">
        <f>SUM(L744:L748)</f>
        <v>10</v>
      </c>
      <c r="M749" s="133"/>
      <c r="N749" s="863"/>
      <c r="O749" s="279"/>
      <c r="P749" s="285"/>
      <c r="Q749" s="283"/>
    </row>
    <row r="750" spans="1:17" ht="28.2" customHeight="1" x14ac:dyDescent="0.25">
      <c r="A750" s="51">
        <v>7</v>
      </c>
      <c r="B750" s="52"/>
      <c r="C750" s="52" t="s">
        <v>1536</v>
      </c>
      <c r="D750" s="850" t="s">
        <v>344</v>
      </c>
      <c r="E750" s="51">
        <v>2</v>
      </c>
      <c r="F750" s="289" t="s">
        <v>345</v>
      </c>
      <c r="G750" s="51" t="s">
        <v>8</v>
      </c>
      <c r="H750" s="29">
        <f>40-40</f>
        <v>0</v>
      </c>
      <c r="I750" s="15">
        <v>0</v>
      </c>
      <c r="J750" s="98">
        <f>45-8.5</f>
        <v>36.5</v>
      </c>
      <c r="K750" s="29">
        <v>0</v>
      </c>
      <c r="L750" s="741">
        <v>0</v>
      </c>
      <c r="M750" s="133" t="s">
        <v>629</v>
      </c>
      <c r="N750" s="863" t="s">
        <v>1514</v>
      </c>
      <c r="O750" s="137" t="s">
        <v>1537</v>
      </c>
      <c r="P750" s="285">
        <v>1</v>
      </c>
      <c r="Q750" s="865" t="s">
        <v>704</v>
      </c>
    </row>
    <row r="751" spans="1:17" ht="14.4" x14ac:dyDescent="0.3">
      <c r="A751" s="51">
        <v>7</v>
      </c>
      <c r="B751" s="52"/>
      <c r="C751" s="52"/>
      <c r="D751" s="233"/>
      <c r="E751" s="289"/>
      <c r="F751" s="289" t="s">
        <v>345</v>
      </c>
      <c r="G751" s="103" t="s">
        <v>492</v>
      </c>
      <c r="H751" s="105">
        <f>SUM(H750)</f>
        <v>0</v>
      </c>
      <c r="I751" s="105">
        <f>SUM(I750)</f>
        <v>0</v>
      </c>
      <c r="J751" s="105">
        <f>SUM(J750)</f>
        <v>36.5</v>
      </c>
      <c r="K751" s="105">
        <f>SUM(K750)</f>
        <v>0</v>
      </c>
      <c r="L751" s="750">
        <f>SUM(L750)</f>
        <v>0</v>
      </c>
      <c r="M751" s="133"/>
      <c r="N751" s="863"/>
      <c r="O751" s="279"/>
      <c r="P751" s="285"/>
      <c r="Q751" s="283"/>
    </row>
    <row r="752" spans="1:17" ht="46.95" customHeight="1" x14ac:dyDescent="0.25">
      <c r="A752" s="51">
        <v>7</v>
      </c>
      <c r="B752" s="52"/>
      <c r="C752" s="52" t="s">
        <v>1538</v>
      </c>
      <c r="D752" s="850" t="s">
        <v>1915</v>
      </c>
      <c r="E752" s="31">
        <v>2</v>
      </c>
      <c r="F752" s="51" t="s">
        <v>346</v>
      </c>
      <c r="G752" s="51" t="s">
        <v>8</v>
      </c>
      <c r="H752" s="29">
        <f>100+19</f>
        <v>119</v>
      </c>
      <c r="I752" s="15">
        <v>106.8</v>
      </c>
      <c r="J752" s="98">
        <f>150-4.5</f>
        <v>145.5</v>
      </c>
      <c r="K752" s="29">
        <v>150</v>
      </c>
      <c r="L752" s="741">
        <v>150</v>
      </c>
      <c r="M752" s="133" t="s">
        <v>629</v>
      </c>
      <c r="N752" s="849" t="s">
        <v>1539</v>
      </c>
      <c r="O752" s="71" t="s">
        <v>1540</v>
      </c>
      <c r="P752" s="72">
        <v>6</v>
      </c>
      <c r="Q752" s="270"/>
    </row>
    <row r="753" spans="1:17" ht="13.2" x14ac:dyDescent="0.25">
      <c r="A753" s="51">
        <v>7</v>
      </c>
      <c r="B753" s="52"/>
      <c r="C753" s="52"/>
      <c r="D753" s="269"/>
      <c r="E753" s="51"/>
      <c r="F753" s="51" t="s">
        <v>346</v>
      </c>
      <c r="G753" s="103" t="s">
        <v>492</v>
      </c>
      <c r="H753" s="105">
        <f>SUM(H752)</f>
        <v>119</v>
      </c>
      <c r="I753" s="105">
        <f>SUM(I752)</f>
        <v>106.8</v>
      </c>
      <c r="J753" s="105">
        <f>SUM(J752)</f>
        <v>145.5</v>
      </c>
      <c r="K753" s="105">
        <f>SUM(K752)</f>
        <v>150</v>
      </c>
      <c r="L753" s="750">
        <f>SUM(L752)</f>
        <v>150</v>
      </c>
      <c r="M753" s="133"/>
      <c r="N753" s="857"/>
      <c r="O753" s="914"/>
      <c r="P753" s="362"/>
      <c r="Q753" s="357"/>
    </row>
    <row r="754" spans="1:17" ht="21" customHeight="1" x14ac:dyDescent="0.25">
      <c r="A754" s="51">
        <v>7</v>
      </c>
      <c r="B754" s="52"/>
      <c r="C754" s="52" t="s">
        <v>1541</v>
      </c>
      <c r="D754" s="850" t="s">
        <v>347</v>
      </c>
      <c r="E754" s="31" t="s">
        <v>98</v>
      </c>
      <c r="F754" s="51" t="s">
        <v>348</v>
      </c>
      <c r="G754" s="32"/>
      <c r="H754" s="30"/>
      <c r="I754" s="15"/>
      <c r="J754" s="313"/>
      <c r="K754" s="282"/>
      <c r="L754" s="861"/>
      <c r="M754" s="133"/>
      <c r="N754" s="432"/>
      <c r="O754" s="997"/>
      <c r="P754" s="72"/>
      <c r="Q754" s="233"/>
    </row>
    <row r="755" spans="1:17" ht="19.2" customHeight="1" x14ac:dyDescent="0.25">
      <c r="A755" s="51">
        <v>7</v>
      </c>
      <c r="B755" s="52"/>
      <c r="C755" s="280" t="s">
        <v>1543</v>
      </c>
      <c r="D755" s="281" t="s">
        <v>1544</v>
      </c>
      <c r="E755" s="290">
        <v>2</v>
      </c>
      <c r="F755" s="291" t="s">
        <v>348</v>
      </c>
      <c r="G755" s="291" t="s">
        <v>8</v>
      </c>
      <c r="H755" s="282"/>
      <c r="I755" s="123"/>
      <c r="J755" s="109">
        <f>63-5.4-20</f>
        <v>37.6</v>
      </c>
      <c r="K755" s="282">
        <v>160</v>
      </c>
      <c r="L755" s="861">
        <v>58</v>
      </c>
      <c r="M755" s="133" t="s">
        <v>702</v>
      </c>
      <c r="N755" s="862" t="s">
        <v>1542</v>
      </c>
      <c r="O755" s="924" t="s">
        <v>1545</v>
      </c>
      <c r="P755" s="969">
        <v>30</v>
      </c>
      <c r="Q755" s="925" t="s">
        <v>704</v>
      </c>
    </row>
    <row r="756" spans="1:17" ht="32.4" customHeight="1" x14ac:dyDescent="0.25">
      <c r="A756" s="51">
        <v>7</v>
      </c>
      <c r="B756" s="52"/>
      <c r="C756" s="280" t="s">
        <v>1543</v>
      </c>
      <c r="D756" s="281" t="s">
        <v>1544</v>
      </c>
      <c r="E756" s="290">
        <v>28</v>
      </c>
      <c r="F756" s="291" t="s">
        <v>2085</v>
      </c>
      <c r="G756" s="291" t="s">
        <v>8</v>
      </c>
      <c r="H756" s="282"/>
      <c r="I756" s="123"/>
      <c r="J756" s="109">
        <f>5.4-5.4</f>
        <v>0</v>
      </c>
      <c r="K756" s="282"/>
      <c r="L756" s="861"/>
      <c r="M756" s="133"/>
      <c r="N756" s="863" t="s">
        <v>1416</v>
      </c>
      <c r="O756" s="903" t="s">
        <v>1847</v>
      </c>
      <c r="P756" s="356">
        <v>1</v>
      </c>
      <c r="Q756" s="865" t="s">
        <v>704</v>
      </c>
    </row>
    <row r="757" spans="1:17" ht="28.2" customHeight="1" x14ac:dyDescent="0.25">
      <c r="A757" s="51">
        <v>7</v>
      </c>
      <c r="B757" s="52"/>
      <c r="C757" s="280" t="s">
        <v>1546</v>
      </c>
      <c r="D757" s="281" t="s">
        <v>1547</v>
      </c>
      <c r="E757" s="290">
        <v>2</v>
      </c>
      <c r="F757" s="291" t="s">
        <v>348</v>
      </c>
      <c r="G757" s="291" t="s">
        <v>8</v>
      </c>
      <c r="H757" s="282"/>
      <c r="I757" s="123"/>
      <c r="J757" s="109">
        <f>15-15</f>
        <v>0</v>
      </c>
      <c r="K757" s="282">
        <v>150</v>
      </c>
      <c r="L757" s="861">
        <v>150</v>
      </c>
      <c r="M757" s="133" t="s">
        <v>702</v>
      </c>
      <c r="N757" s="863" t="s">
        <v>1514</v>
      </c>
      <c r="O757" s="71" t="s">
        <v>1548</v>
      </c>
      <c r="P757" s="356">
        <v>1</v>
      </c>
      <c r="Q757" s="354" t="s">
        <v>692</v>
      </c>
    </row>
    <row r="758" spans="1:17" ht="13.2" x14ac:dyDescent="0.25">
      <c r="A758" s="51">
        <v>7</v>
      </c>
      <c r="B758" s="52"/>
      <c r="C758" s="52"/>
      <c r="D758" s="233"/>
      <c r="E758" s="31"/>
      <c r="F758" s="51" t="s">
        <v>348</v>
      </c>
      <c r="G758" s="103" t="s">
        <v>492</v>
      </c>
      <c r="H758" s="105">
        <f>SUM(H754)</f>
        <v>0</v>
      </c>
      <c r="I758" s="105">
        <f>SUM(I755,I757)</f>
        <v>0</v>
      </c>
      <c r="J758" s="105">
        <f>SUM(J755:J756,J757)</f>
        <v>37.6</v>
      </c>
      <c r="K758" s="105">
        <f t="shared" ref="K758:L758" si="124">SUM(K755:K756,K757)</f>
        <v>310</v>
      </c>
      <c r="L758" s="750">
        <f t="shared" si="124"/>
        <v>208</v>
      </c>
      <c r="M758" s="133"/>
      <c r="N758" s="849"/>
      <c r="O758" s="2"/>
      <c r="P758" s="360"/>
      <c r="Q758" s="866"/>
    </row>
    <row r="759" spans="1:17" ht="34.200000000000003" customHeight="1" x14ac:dyDescent="0.3">
      <c r="A759" s="51">
        <v>7</v>
      </c>
      <c r="B759" s="293"/>
      <c r="C759" s="293" t="s">
        <v>1549</v>
      </c>
      <c r="D759" s="850" t="s">
        <v>349</v>
      </c>
      <c r="E759" s="72">
        <v>2</v>
      </c>
      <c r="F759" s="72" t="s">
        <v>350</v>
      </c>
      <c r="G759" s="72" t="s">
        <v>8</v>
      </c>
      <c r="H759" s="30"/>
      <c r="I759" s="15"/>
      <c r="J759" s="313"/>
      <c r="K759" s="30"/>
      <c r="L759" s="859"/>
      <c r="M759" s="133"/>
      <c r="N759" s="863"/>
      <c r="O759" s="279"/>
      <c r="P759" s="361"/>
      <c r="Q759" s="355"/>
    </row>
    <row r="760" spans="1:17" ht="39.6" customHeight="1" x14ac:dyDescent="0.3">
      <c r="A760" s="51">
        <v>7</v>
      </c>
      <c r="B760" s="293"/>
      <c r="C760" s="293" t="s">
        <v>1550</v>
      </c>
      <c r="D760" s="281" t="s">
        <v>1551</v>
      </c>
      <c r="E760" s="72">
        <v>2</v>
      </c>
      <c r="F760" s="72" t="s">
        <v>350</v>
      </c>
      <c r="G760" s="72" t="s">
        <v>8</v>
      </c>
      <c r="H760" s="29">
        <v>14.299999999999999</v>
      </c>
      <c r="I760" s="15">
        <v>9.8000000000000007</v>
      </c>
      <c r="J760" s="98">
        <v>10</v>
      </c>
      <c r="K760" s="29">
        <v>10</v>
      </c>
      <c r="L760" s="741">
        <v>10</v>
      </c>
      <c r="M760" s="133" t="s">
        <v>616</v>
      </c>
      <c r="N760" s="863" t="s">
        <v>1514</v>
      </c>
      <c r="O760" s="279" t="s">
        <v>1552</v>
      </c>
      <c r="P760" s="361">
        <v>10</v>
      </c>
      <c r="Q760" s="359"/>
    </row>
    <row r="761" spans="1:17" ht="25.95" customHeight="1" x14ac:dyDescent="0.3">
      <c r="A761" s="51">
        <v>7</v>
      </c>
      <c r="B761" s="293"/>
      <c r="C761" s="293" t="s">
        <v>1553</v>
      </c>
      <c r="D761" s="281" t="s">
        <v>1554</v>
      </c>
      <c r="E761" s="72">
        <v>2</v>
      </c>
      <c r="F761" s="72" t="s">
        <v>350</v>
      </c>
      <c r="G761" s="72" t="s">
        <v>8</v>
      </c>
      <c r="H761" s="29"/>
      <c r="I761" s="15">
        <v>2.2000000000000002</v>
      </c>
      <c r="J761" s="98">
        <v>4.7</v>
      </c>
      <c r="K761" s="29">
        <v>4.7</v>
      </c>
      <c r="L761" s="741">
        <v>4.7</v>
      </c>
      <c r="M761" s="133" t="s">
        <v>616</v>
      </c>
      <c r="N761" s="863" t="s">
        <v>1514</v>
      </c>
      <c r="O761" s="279" t="s">
        <v>1555</v>
      </c>
      <c r="P761" s="361">
        <v>6</v>
      </c>
      <c r="Q761" s="359"/>
    </row>
    <row r="762" spans="1:17" ht="39" customHeight="1" x14ac:dyDescent="0.3">
      <c r="A762" s="51">
        <v>7</v>
      </c>
      <c r="B762" s="293"/>
      <c r="C762" s="293" t="s">
        <v>1556</v>
      </c>
      <c r="D762" s="281" t="s">
        <v>1557</v>
      </c>
      <c r="E762" s="72">
        <v>2</v>
      </c>
      <c r="F762" s="72" t="s">
        <v>350</v>
      </c>
      <c r="G762" s="72" t="s">
        <v>8</v>
      </c>
      <c r="H762" s="29"/>
      <c r="I762" s="15">
        <v>3</v>
      </c>
      <c r="J762" s="98">
        <v>3</v>
      </c>
      <c r="K762" s="29">
        <v>3</v>
      </c>
      <c r="L762" s="741">
        <v>3</v>
      </c>
      <c r="M762" s="133" t="s">
        <v>616</v>
      </c>
      <c r="N762" s="863" t="s">
        <v>1514</v>
      </c>
      <c r="O762" s="292" t="s">
        <v>1558</v>
      </c>
      <c r="P762" s="361">
        <v>2</v>
      </c>
      <c r="Q762" s="359"/>
    </row>
    <row r="763" spans="1:17" ht="21.6" customHeight="1" x14ac:dyDescent="0.3">
      <c r="A763" s="51">
        <v>7</v>
      </c>
      <c r="B763" s="293"/>
      <c r="C763" s="293" t="s">
        <v>1559</v>
      </c>
      <c r="D763" s="137" t="s">
        <v>1560</v>
      </c>
      <c r="E763" s="72">
        <v>2</v>
      </c>
      <c r="F763" s="72" t="s">
        <v>350</v>
      </c>
      <c r="G763" s="72" t="s">
        <v>8</v>
      </c>
      <c r="H763" s="29"/>
      <c r="I763" s="15">
        <v>0</v>
      </c>
      <c r="J763" s="98">
        <f>5.3-3.8</f>
        <v>1.5</v>
      </c>
      <c r="K763" s="29">
        <v>5.3</v>
      </c>
      <c r="L763" s="741">
        <v>5.3</v>
      </c>
      <c r="M763" s="133" t="s">
        <v>616</v>
      </c>
      <c r="N763" s="863" t="s">
        <v>1514</v>
      </c>
      <c r="O763" s="279"/>
      <c r="P763" s="361"/>
      <c r="Q763" s="359"/>
    </row>
    <row r="764" spans="1:17" ht="14.4" x14ac:dyDescent="0.3">
      <c r="A764" s="51">
        <v>7</v>
      </c>
      <c r="B764" s="293"/>
      <c r="C764" s="293"/>
      <c r="D764" s="233"/>
      <c r="E764" s="72"/>
      <c r="F764" s="72" t="s">
        <v>350</v>
      </c>
      <c r="G764" s="103" t="s">
        <v>492</v>
      </c>
      <c r="H764" s="105">
        <f>SUM(H759)</f>
        <v>0</v>
      </c>
      <c r="I764" s="105" t="e">
        <f>I760+I761+I762+#REF!+#REF!+#REF!+I763</f>
        <v>#REF!</v>
      </c>
      <c r="J764" s="105">
        <f>J760+J761+J762+J763</f>
        <v>19.2</v>
      </c>
      <c r="K764" s="105" t="e">
        <f>K760+K761+K762+#REF!+#REF!+#REF!+K763</f>
        <v>#REF!</v>
      </c>
      <c r="L764" s="750" t="e">
        <f>L760+L761+L762+#REF!+#REF!+#REF!+L763</f>
        <v>#REF!</v>
      </c>
      <c r="M764" s="133"/>
      <c r="N764" s="863" t="s">
        <v>1514</v>
      </c>
      <c r="O764" s="2"/>
      <c r="P764" s="285"/>
      <c r="Q764" s="358"/>
    </row>
    <row r="765" spans="1:17" ht="20.399999999999999" x14ac:dyDescent="0.3">
      <c r="A765" s="51">
        <v>7</v>
      </c>
      <c r="B765" s="112" t="s">
        <v>1561</v>
      </c>
      <c r="C765" s="112" t="s">
        <v>1561</v>
      </c>
      <c r="D765" s="132" t="s">
        <v>351</v>
      </c>
      <c r="E765" s="72"/>
      <c r="F765" s="51"/>
      <c r="G765" s="73"/>
      <c r="H765" s="37"/>
      <c r="I765" s="188">
        <f>I770</f>
        <v>6.8</v>
      </c>
      <c r="J765" s="113"/>
      <c r="K765" s="20"/>
      <c r="L765" s="56"/>
      <c r="M765" s="133"/>
      <c r="N765" s="863"/>
      <c r="O765" s="279"/>
      <c r="P765" s="285"/>
      <c r="Q765" s="283"/>
    </row>
    <row r="766" spans="1:17" ht="36" customHeight="1" x14ac:dyDescent="0.3">
      <c r="A766" s="51">
        <v>7</v>
      </c>
      <c r="B766" s="52"/>
      <c r="C766" s="52" t="s">
        <v>1562</v>
      </c>
      <c r="D766" s="850" t="s">
        <v>352</v>
      </c>
      <c r="E766" s="32">
        <v>2</v>
      </c>
      <c r="F766" s="51" t="s">
        <v>353</v>
      </c>
      <c r="G766" s="15"/>
      <c r="H766" s="294"/>
      <c r="I766" s="15"/>
      <c r="J766" s="98"/>
      <c r="K766" s="15"/>
      <c r="L766" s="33"/>
      <c r="M766" s="133"/>
      <c r="N766" s="863"/>
      <c r="O766" s="279"/>
      <c r="P766" s="285"/>
      <c r="Q766" s="283"/>
    </row>
    <row r="767" spans="1:17" ht="24.6" customHeight="1" x14ac:dyDescent="0.25">
      <c r="A767" s="51">
        <v>7</v>
      </c>
      <c r="B767" s="52"/>
      <c r="C767" s="52" t="s">
        <v>1563</v>
      </c>
      <c r="D767" s="81" t="s">
        <v>1564</v>
      </c>
      <c r="E767" s="32">
        <v>2</v>
      </c>
      <c r="F767" s="51" t="s">
        <v>353</v>
      </c>
      <c r="G767" s="32" t="s">
        <v>8</v>
      </c>
      <c r="H767" s="30"/>
      <c r="I767" s="15"/>
      <c r="J767" s="98">
        <f>30-30</f>
        <v>0</v>
      </c>
      <c r="K767" s="30"/>
      <c r="L767" s="859"/>
      <c r="M767" s="133" t="s">
        <v>702</v>
      </c>
      <c r="N767" s="863" t="s">
        <v>1514</v>
      </c>
      <c r="O767" s="704" t="s">
        <v>1545</v>
      </c>
      <c r="P767" s="285">
        <v>100</v>
      </c>
      <c r="Q767" s="270" t="s">
        <v>704</v>
      </c>
    </row>
    <row r="768" spans="1:17" ht="12.75" customHeight="1" x14ac:dyDescent="0.25">
      <c r="A768" s="51">
        <v>7</v>
      </c>
      <c r="B768" s="52"/>
      <c r="C768" s="52" t="s">
        <v>1565</v>
      </c>
      <c r="D768" s="81" t="s">
        <v>1566</v>
      </c>
      <c r="E768" s="32">
        <v>2</v>
      </c>
      <c r="F768" s="51" t="s">
        <v>353</v>
      </c>
      <c r="G768" s="32" t="s">
        <v>8</v>
      </c>
      <c r="H768" s="30"/>
      <c r="I768" s="15">
        <v>0.8</v>
      </c>
      <c r="J768" s="98">
        <f>5-2</f>
        <v>3</v>
      </c>
      <c r="K768" s="30">
        <v>5</v>
      </c>
      <c r="L768" s="859">
        <v>5</v>
      </c>
      <c r="M768" s="133" t="s">
        <v>619</v>
      </c>
      <c r="N768" s="863" t="s">
        <v>1514</v>
      </c>
      <c r="O768" s="279" t="s">
        <v>1567</v>
      </c>
      <c r="P768" s="285">
        <v>2</v>
      </c>
      <c r="Q768" s="270"/>
    </row>
    <row r="769" spans="1:17" ht="12.75" customHeight="1" x14ac:dyDescent="0.25">
      <c r="A769" s="51">
        <v>7</v>
      </c>
      <c r="B769" s="52"/>
      <c r="C769" s="52" t="s">
        <v>1568</v>
      </c>
      <c r="D769" s="81" t="s">
        <v>1560</v>
      </c>
      <c r="E769" s="32">
        <v>2</v>
      </c>
      <c r="F769" s="51" t="s">
        <v>353</v>
      </c>
      <c r="G769" s="32" t="s">
        <v>8</v>
      </c>
      <c r="H769" s="30"/>
      <c r="I769" s="15">
        <v>6</v>
      </c>
      <c r="J769" s="98">
        <f>5-5</f>
        <v>0</v>
      </c>
      <c r="K769" s="30">
        <v>5</v>
      </c>
      <c r="L769" s="859">
        <v>5</v>
      </c>
      <c r="M769" s="133" t="s">
        <v>629</v>
      </c>
      <c r="N769" s="863" t="s">
        <v>1514</v>
      </c>
      <c r="O769" s="279"/>
      <c r="P769" s="285"/>
      <c r="Q769" s="270"/>
    </row>
    <row r="770" spans="1:17" ht="12.75" customHeight="1" x14ac:dyDescent="0.25">
      <c r="A770" s="51">
        <v>7</v>
      </c>
      <c r="B770" s="52"/>
      <c r="C770" s="52"/>
      <c r="D770" s="81"/>
      <c r="E770" s="32"/>
      <c r="F770" s="51"/>
      <c r="G770" s="103" t="s">
        <v>492</v>
      </c>
      <c r="H770" s="105">
        <f>SUM(H766:H766)</f>
        <v>0</v>
      </c>
      <c r="I770" s="105">
        <f>SUM(I767:I769)</f>
        <v>6.8</v>
      </c>
      <c r="J770" s="105">
        <f>SUM(J767:J769)</f>
        <v>3</v>
      </c>
      <c r="K770" s="105">
        <f>SUM(K767:K769)</f>
        <v>10</v>
      </c>
      <c r="L770" s="750">
        <f>SUM(L767:L769)</f>
        <v>10</v>
      </c>
      <c r="M770" s="133"/>
      <c r="N770" s="863"/>
      <c r="O770" s="279"/>
      <c r="P770" s="285"/>
      <c r="Q770" s="270"/>
    </row>
    <row r="771" spans="1:17" ht="14.4" customHeight="1" x14ac:dyDescent="0.25">
      <c r="A771" s="909"/>
      <c r="B771" s="909"/>
      <c r="C771" s="909"/>
      <c r="D771" s="909" t="s">
        <v>1843</v>
      </c>
      <c r="E771" s="912"/>
      <c r="F771" s="909"/>
      <c r="G771" s="909"/>
      <c r="H771" s="909"/>
      <c r="I771" s="909"/>
      <c r="J771" s="909"/>
      <c r="K771" s="909"/>
      <c r="L771" s="911"/>
      <c r="M771" s="922"/>
      <c r="N771" s="1008"/>
      <c r="O771" s="977"/>
      <c r="P771" s="923"/>
      <c r="Q771" s="923"/>
    </row>
    <row r="772" spans="1:17" ht="25.2" customHeight="1" x14ac:dyDescent="0.25">
      <c r="A772" s="295">
        <v>8</v>
      </c>
      <c r="B772" s="93"/>
      <c r="C772" s="93"/>
      <c r="D772" s="94" t="s">
        <v>1569</v>
      </c>
      <c r="E772" s="900"/>
      <c r="F772" s="93"/>
      <c r="G772" s="96"/>
      <c r="H772" s="95"/>
      <c r="I772" s="95"/>
      <c r="J772" s="95"/>
      <c r="K772" s="267"/>
      <c r="L772" s="848"/>
      <c r="M772" s="133"/>
      <c r="N772" s="743"/>
      <c r="O772" s="81"/>
      <c r="P772" s="77"/>
      <c r="Q772" s="73"/>
    </row>
    <row r="773" spans="1:17" ht="40.200000000000003" customHeight="1" x14ac:dyDescent="0.25">
      <c r="A773" s="295">
        <v>8</v>
      </c>
      <c r="B773" s="112" t="s">
        <v>1570</v>
      </c>
      <c r="C773" s="112" t="s">
        <v>1570</v>
      </c>
      <c r="D773" s="132" t="s">
        <v>354</v>
      </c>
      <c r="E773" s="97" t="s">
        <v>35</v>
      </c>
      <c r="F773" s="133" t="s">
        <v>355</v>
      </c>
      <c r="G773" s="133" t="s">
        <v>8</v>
      </c>
      <c r="H773" s="7">
        <v>825</v>
      </c>
      <c r="I773" s="37">
        <v>542.9</v>
      </c>
      <c r="J773" s="98">
        <f>700-100+80-5</f>
        <v>675</v>
      </c>
      <c r="K773" s="7">
        <v>700</v>
      </c>
      <c r="L773" s="784">
        <v>700</v>
      </c>
      <c r="M773" s="133" t="s">
        <v>616</v>
      </c>
      <c r="N773" s="754" t="s">
        <v>1571</v>
      </c>
      <c r="O773" s="100" t="s">
        <v>1572</v>
      </c>
      <c r="P773" s="296" t="s">
        <v>1573</v>
      </c>
      <c r="Q773" s="102"/>
    </row>
    <row r="774" spans="1:17" ht="18" customHeight="1" x14ac:dyDescent="0.25">
      <c r="A774" s="73">
        <v>8</v>
      </c>
      <c r="B774" s="297"/>
      <c r="C774" s="297"/>
      <c r="D774" s="74"/>
      <c r="E774" s="97" t="s">
        <v>35</v>
      </c>
      <c r="F774" s="133" t="s">
        <v>355</v>
      </c>
      <c r="G774" s="73" t="s">
        <v>74</v>
      </c>
      <c r="H774" s="4">
        <v>323.39999999999998</v>
      </c>
      <c r="I774" s="37">
        <v>519.70000000000005</v>
      </c>
      <c r="J774" s="98">
        <v>530</v>
      </c>
      <c r="K774" s="4">
        <v>560</v>
      </c>
      <c r="L774" s="815">
        <v>560</v>
      </c>
      <c r="M774" s="133"/>
      <c r="N774" s="754" t="s">
        <v>1571</v>
      </c>
      <c r="O774" s="100"/>
      <c r="P774" s="296"/>
      <c r="Q774" s="102"/>
    </row>
    <row r="775" spans="1:17" ht="13.2" x14ac:dyDescent="0.25">
      <c r="A775" s="75">
        <v>8</v>
      </c>
      <c r="B775" s="297"/>
      <c r="C775" s="297"/>
      <c r="D775" s="74"/>
      <c r="E775" s="97" t="s">
        <v>35</v>
      </c>
      <c r="F775" s="133" t="s">
        <v>355</v>
      </c>
      <c r="G775" s="103" t="s">
        <v>492</v>
      </c>
      <c r="H775" s="105">
        <f>SUM(H773:H774)</f>
        <v>1148.4000000000001</v>
      </c>
      <c r="I775" s="105">
        <f>SUM(I773:I774)</f>
        <v>1062.5999999999999</v>
      </c>
      <c r="J775" s="105">
        <f>SUM(J773:J774)</f>
        <v>1205</v>
      </c>
      <c r="K775" s="105">
        <f>SUM(K773:K774)</f>
        <v>1260</v>
      </c>
      <c r="L775" s="750">
        <f>SUM(L773:L774)</f>
        <v>1260</v>
      </c>
      <c r="M775" s="133"/>
      <c r="N775" s="754" t="s">
        <v>1571</v>
      </c>
      <c r="O775" s="100"/>
      <c r="P775" s="296"/>
      <c r="Q775" s="102"/>
    </row>
    <row r="776" spans="1:17" ht="21.6" customHeight="1" x14ac:dyDescent="0.25">
      <c r="A776" s="295">
        <v>8</v>
      </c>
      <c r="B776" s="112" t="s">
        <v>1574</v>
      </c>
      <c r="C776" s="112" t="s">
        <v>1574</v>
      </c>
      <c r="D776" s="132" t="s">
        <v>1575</v>
      </c>
      <c r="E776" s="298">
        <v>11</v>
      </c>
      <c r="F776" s="73" t="s">
        <v>1576</v>
      </c>
      <c r="G776" s="73" t="s">
        <v>8</v>
      </c>
      <c r="H776" s="4"/>
      <c r="I776" s="37"/>
      <c r="J776" s="98">
        <f>20</f>
        <v>20</v>
      </c>
      <c r="K776" s="4">
        <v>20</v>
      </c>
      <c r="L776" s="815">
        <v>20</v>
      </c>
      <c r="M776" s="133" t="s">
        <v>629</v>
      </c>
      <c r="N776" s="754" t="s">
        <v>1571</v>
      </c>
      <c r="O776" s="100" t="s">
        <v>1895</v>
      </c>
      <c r="P776" s="940" t="s">
        <v>398</v>
      </c>
      <c r="Q776" s="102"/>
    </row>
    <row r="777" spans="1:17" ht="13.2" x14ac:dyDescent="0.25">
      <c r="A777" s="73">
        <v>8</v>
      </c>
      <c r="B777" s="119" t="s">
        <v>1574</v>
      </c>
      <c r="C777" s="119" t="s">
        <v>1574</v>
      </c>
      <c r="D777" s="664"/>
      <c r="E777" s="298">
        <v>11</v>
      </c>
      <c r="F777" s="73" t="s">
        <v>1576</v>
      </c>
      <c r="G777" s="103" t="s">
        <v>492</v>
      </c>
      <c r="H777" s="105">
        <f>SUM(H776)</f>
        <v>0</v>
      </c>
      <c r="I777" s="105">
        <f>SUM(I776)</f>
        <v>0</v>
      </c>
      <c r="J777" s="105">
        <f>SUM(J776)</f>
        <v>20</v>
      </c>
      <c r="K777" s="105">
        <f>SUM(K776)</f>
        <v>20</v>
      </c>
      <c r="L777" s="750">
        <f>SUM(L776)</f>
        <v>20</v>
      </c>
      <c r="M777" s="133"/>
      <c r="N777" s="754" t="s">
        <v>1571</v>
      </c>
      <c r="O777" s="100"/>
      <c r="P777" s="296"/>
      <c r="Q777" s="102"/>
    </row>
    <row r="778" spans="1:17" ht="43.95" customHeight="1" x14ac:dyDescent="0.25">
      <c r="A778" s="295">
        <v>8</v>
      </c>
      <c r="B778" s="112" t="s">
        <v>2065</v>
      </c>
      <c r="C778" s="112" t="s">
        <v>2065</v>
      </c>
      <c r="D778" s="132" t="s">
        <v>2066</v>
      </c>
      <c r="E778" s="298">
        <v>11</v>
      </c>
      <c r="F778" s="73" t="s">
        <v>2067</v>
      </c>
      <c r="G778" s="73" t="s">
        <v>8</v>
      </c>
      <c r="H778" s="4"/>
      <c r="I778" s="37"/>
      <c r="J778" s="98">
        <v>250</v>
      </c>
      <c r="K778" s="105"/>
      <c r="L778" s="750"/>
      <c r="M778" s="133"/>
      <c r="N778" s="100" t="s">
        <v>2068</v>
      </c>
      <c r="O778" s="100" t="s">
        <v>2069</v>
      </c>
      <c r="P778" s="296" t="s">
        <v>241</v>
      </c>
      <c r="Q778" s="102"/>
    </row>
    <row r="779" spans="1:17" ht="22.95" customHeight="1" x14ac:dyDescent="0.25">
      <c r="A779" s="73">
        <v>8</v>
      </c>
      <c r="B779" s="119"/>
      <c r="C779" s="119"/>
      <c r="D779" s="664"/>
      <c r="E779" s="298"/>
      <c r="F779" s="73"/>
      <c r="G779" s="103" t="s">
        <v>492</v>
      </c>
      <c r="H779" s="105"/>
      <c r="I779" s="105"/>
      <c r="J779" s="105">
        <f>SUM(J778)</f>
        <v>250</v>
      </c>
      <c r="K779" s="105"/>
      <c r="L779" s="750"/>
      <c r="M779" s="133"/>
      <c r="N779" s="754"/>
      <c r="O779" s="100"/>
      <c r="P779" s="296"/>
      <c r="Q779" s="102"/>
    </row>
    <row r="780" spans="1:17" ht="28.2" customHeight="1" x14ac:dyDescent="0.25">
      <c r="A780" s="73">
        <v>8</v>
      </c>
      <c r="B780" s="93"/>
      <c r="C780" s="93"/>
      <c r="D780" s="94" t="s">
        <v>1577</v>
      </c>
      <c r="E780" s="900"/>
      <c r="F780" s="93"/>
      <c r="G780" s="96"/>
      <c r="H780" s="95"/>
      <c r="I780" s="95"/>
      <c r="J780" s="95"/>
      <c r="K780" s="267"/>
      <c r="L780" s="848"/>
      <c r="M780" s="133"/>
      <c r="N780" s="754"/>
      <c r="O780" s="100"/>
      <c r="P780" s="296"/>
      <c r="Q780" s="102"/>
    </row>
    <row r="781" spans="1:17" ht="36.75" customHeight="1" x14ac:dyDescent="0.25">
      <c r="A781" s="295">
        <v>8</v>
      </c>
      <c r="B781" s="112" t="s">
        <v>1578</v>
      </c>
      <c r="C781" s="112" t="s">
        <v>1578</v>
      </c>
      <c r="D781" s="132" t="s">
        <v>1579</v>
      </c>
      <c r="E781" s="97"/>
      <c r="F781" s="73"/>
      <c r="G781" s="119"/>
      <c r="H781" s="119"/>
      <c r="I781" s="399" t="e">
        <f>#REF!+I783</f>
        <v>#REF!</v>
      </c>
      <c r="J781" s="113"/>
      <c r="K781" s="399"/>
      <c r="L781" s="867"/>
      <c r="M781" s="133"/>
      <c r="N781" s="754"/>
      <c r="O781" s="997"/>
      <c r="P781" s="970"/>
      <c r="Q781" s="102"/>
    </row>
    <row r="782" spans="1:17" ht="49.2" customHeight="1" x14ac:dyDescent="0.25">
      <c r="A782" s="73">
        <v>8</v>
      </c>
      <c r="B782" s="119" t="s">
        <v>1578</v>
      </c>
      <c r="C782" s="119" t="s">
        <v>1580</v>
      </c>
      <c r="D782" s="442" t="s">
        <v>356</v>
      </c>
      <c r="E782" s="298">
        <v>9</v>
      </c>
      <c r="F782" s="133" t="s">
        <v>357</v>
      </c>
      <c r="G782" s="133" t="s">
        <v>8</v>
      </c>
      <c r="H782" s="7"/>
      <c r="I782" s="15"/>
      <c r="J782" s="98">
        <f>242-70-172</f>
        <v>0</v>
      </c>
      <c r="K782" s="7">
        <f>70</f>
        <v>70</v>
      </c>
      <c r="L782" s="784"/>
      <c r="M782" s="133" t="s">
        <v>702</v>
      </c>
      <c r="N782" s="1017" t="s">
        <v>1252</v>
      </c>
      <c r="O782" s="114" t="s">
        <v>1851</v>
      </c>
      <c r="P782" s="77" t="s">
        <v>241</v>
      </c>
      <c r="Q782" s="102" t="s">
        <v>708</v>
      </c>
    </row>
    <row r="783" spans="1:17" ht="15" customHeight="1" x14ac:dyDescent="0.25">
      <c r="A783" s="75">
        <v>8</v>
      </c>
      <c r="B783" s="119"/>
      <c r="C783" s="119"/>
      <c r="D783" s="300"/>
      <c r="E783" s="868"/>
      <c r="F783" s="133" t="s">
        <v>357</v>
      </c>
      <c r="G783" s="103" t="s">
        <v>492</v>
      </c>
      <c r="H783" s="105"/>
      <c r="I783" s="105">
        <f>SUM(I782)</f>
        <v>0</v>
      </c>
      <c r="J783" s="105">
        <f>SUM(J782:J782)</f>
        <v>0</v>
      </c>
      <c r="K783" s="105">
        <f>SUM(K782:K782)</f>
        <v>70</v>
      </c>
      <c r="L783" s="750">
        <f>SUM(L782:L782)</f>
        <v>0</v>
      </c>
      <c r="M783" s="133"/>
      <c r="N783" s="754"/>
      <c r="O783" s="100"/>
      <c r="P783" s="296"/>
      <c r="Q783" s="102"/>
    </row>
    <row r="784" spans="1:17" ht="24.6" customHeight="1" x14ac:dyDescent="0.25">
      <c r="A784" s="295">
        <v>8</v>
      </c>
      <c r="B784" s="112" t="s">
        <v>1581</v>
      </c>
      <c r="C784" s="112" t="s">
        <v>1581</v>
      </c>
      <c r="D784" s="132" t="s">
        <v>1582</v>
      </c>
      <c r="E784" s="97" t="s">
        <v>39</v>
      </c>
      <c r="F784" s="299" t="s">
        <v>358</v>
      </c>
      <c r="G784" s="133" t="s">
        <v>8</v>
      </c>
      <c r="H784" s="4">
        <v>5076.1000000000004</v>
      </c>
      <c r="I784" s="37">
        <v>4732.8</v>
      </c>
      <c r="J784" s="98">
        <f>1900-569+203.6+840+300+557.4+797.9</f>
        <v>4029.9</v>
      </c>
      <c r="K784" s="187">
        <f>5100-100-400-2000-1500-1000</f>
        <v>100</v>
      </c>
      <c r="L784" s="815"/>
      <c r="M784" s="133" t="s">
        <v>689</v>
      </c>
      <c r="N784" s="754" t="s">
        <v>699</v>
      </c>
      <c r="O784" s="114" t="s">
        <v>1583</v>
      </c>
      <c r="P784" s="77" t="s">
        <v>1584</v>
      </c>
      <c r="Q784" s="133" t="s">
        <v>632</v>
      </c>
    </row>
    <row r="785" spans="1:17" ht="12.75" customHeight="1" x14ac:dyDescent="0.25">
      <c r="A785" s="295">
        <v>8</v>
      </c>
      <c r="B785" s="119"/>
      <c r="C785" s="119"/>
      <c r="D785" s="301"/>
      <c r="E785" s="97" t="s">
        <v>39</v>
      </c>
      <c r="F785" s="299" t="s">
        <v>358</v>
      </c>
      <c r="G785" s="133" t="s">
        <v>9</v>
      </c>
      <c r="H785" s="4">
        <v>53.7</v>
      </c>
      <c r="I785" s="37">
        <f>1500+111</f>
        <v>1611</v>
      </c>
      <c r="J785" s="98">
        <f>2069+80+60.8</f>
        <v>2209.8000000000002</v>
      </c>
      <c r="K785" s="187">
        <f>1500</f>
        <v>1500</v>
      </c>
      <c r="L785" s="815"/>
      <c r="M785" s="133" t="s">
        <v>689</v>
      </c>
      <c r="N785" s="754"/>
      <c r="O785" s="100"/>
      <c r="P785" s="296"/>
      <c r="Q785" s="133" t="s">
        <v>632</v>
      </c>
    </row>
    <row r="786" spans="1:17" ht="12.75" customHeight="1" x14ac:dyDescent="0.25">
      <c r="A786" s="295">
        <v>8</v>
      </c>
      <c r="B786" s="119"/>
      <c r="C786" s="119"/>
      <c r="D786" s="301"/>
      <c r="E786" s="97" t="s">
        <v>39</v>
      </c>
      <c r="F786" s="299" t="s">
        <v>358</v>
      </c>
      <c r="G786" s="133" t="s">
        <v>216</v>
      </c>
      <c r="H786" s="4"/>
      <c r="I786" s="37"/>
      <c r="J786" s="98">
        <v>59.7</v>
      </c>
      <c r="K786" s="187"/>
      <c r="L786" s="815"/>
      <c r="M786" s="133"/>
      <c r="N786" s="754"/>
      <c r="O786" s="100"/>
      <c r="P786" s="296"/>
      <c r="Q786" s="133"/>
    </row>
    <row r="787" spans="1:17" ht="12.75" customHeight="1" x14ac:dyDescent="0.25">
      <c r="A787" s="73">
        <v>8</v>
      </c>
      <c r="B787" s="119"/>
      <c r="C787" s="119"/>
      <c r="D787" s="301"/>
      <c r="E787" s="97" t="s">
        <v>39</v>
      </c>
      <c r="F787" s="299" t="s">
        <v>358</v>
      </c>
      <c r="G787" s="73" t="s">
        <v>40</v>
      </c>
      <c r="H787" s="4">
        <v>1419.3</v>
      </c>
      <c r="I787" s="37">
        <f>3100-159+159</f>
        <v>3100</v>
      </c>
      <c r="J787" s="98">
        <f>2100+1900+300</f>
        <v>4300</v>
      </c>
      <c r="K787" s="187">
        <f>2000+1000</f>
        <v>3000</v>
      </c>
      <c r="L787" s="815"/>
      <c r="M787" s="133" t="s">
        <v>689</v>
      </c>
      <c r="N787" s="754"/>
      <c r="O787" s="100"/>
      <c r="P787" s="296"/>
      <c r="Q787" s="133" t="s">
        <v>632</v>
      </c>
    </row>
    <row r="788" spans="1:17" ht="12.75" customHeight="1" x14ac:dyDescent="0.25">
      <c r="A788" s="73">
        <v>8</v>
      </c>
      <c r="B788" s="119"/>
      <c r="C788" s="119"/>
      <c r="D788" s="301"/>
      <c r="E788" s="97" t="s">
        <v>39</v>
      </c>
      <c r="F788" s="299" t="s">
        <v>358</v>
      </c>
      <c r="G788" s="73" t="s">
        <v>250</v>
      </c>
      <c r="H788" s="4"/>
      <c r="I788" s="37"/>
      <c r="J788" s="98">
        <f>160+132.6+16.4</f>
        <v>309</v>
      </c>
      <c r="K788" s="187"/>
      <c r="L788" s="815"/>
      <c r="M788" s="133"/>
      <c r="N788" s="1211"/>
      <c r="O788" s="100"/>
      <c r="P788" s="296"/>
      <c r="Q788" s="133"/>
    </row>
    <row r="789" spans="1:17" ht="12.75" customHeight="1" x14ac:dyDescent="0.25">
      <c r="A789" s="295">
        <v>8</v>
      </c>
      <c r="B789" s="119"/>
      <c r="C789" s="119"/>
      <c r="D789" s="301"/>
      <c r="E789" s="97" t="s">
        <v>39</v>
      </c>
      <c r="F789" s="299" t="s">
        <v>358</v>
      </c>
      <c r="G789" s="103" t="s">
        <v>492</v>
      </c>
      <c r="H789" s="105">
        <f>SUM(H784:H787)</f>
        <v>6549.1</v>
      </c>
      <c r="I789" s="105">
        <f>SUM(I784:I787)</f>
        <v>9443.7999999999993</v>
      </c>
      <c r="J789" s="105">
        <f>SUM(J784:J788)</f>
        <v>10908.400000000001</v>
      </c>
      <c r="K789" s="105">
        <f>SUM(K784:K787)</f>
        <v>4600</v>
      </c>
      <c r="L789" s="750">
        <f>SUM(L784:L787)</f>
        <v>0</v>
      </c>
      <c r="M789" s="133" t="s">
        <v>689</v>
      </c>
      <c r="N789" s="1032"/>
      <c r="O789" s="302"/>
      <c r="P789" s="296"/>
      <c r="Q789" s="133"/>
    </row>
    <row r="790" spans="1:17" ht="12.75" hidden="1" customHeight="1" x14ac:dyDescent="0.25">
      <c r="A790" s="295">
        <v>8</v>
      </c>
      <c r="B790" s="119"/>
      <c r="C790" s="119"/>
      <c r="D790" s="301"/>
      <c r="E790" s="97"/>
      <c r="F790" s="299"/>
      <c r="G790" s="129" t="s">
        <v>492</v>
      </c>
      <c r="H790" s="120"/>
      <c r="I790" s="129" t="e">
        <f>SUM(#REF!,I775,#REF!,#REF!,#REF!,I777,#REF!,I783,I789)</f>
        <v>#REF!</v>
      </c>
      <c r="J790" s="129">
        <f>SUM(J775,J777,J783,J789,J779)</f>
        <v>12383.400000000001</v>
      </c>
      <c r="K790" s="129" t="e">
        <f>SUM(#REF!,K775,#REF!,#REF!,#REF!,K777,#REF!,K783,K789)</f>
        <v>#REF!</v>
      </c>
      <c r="L790" s="782" t="e">
        <f>SUM(#REF!,L775,#REF!,#REF!,#REF!,L777,#REF!,L783,L789)</f>
        <v>#REF!</v>
      </c>
      <c r="M790" s="133"/>
      <c r="N790" s="754"/>
      <c r="O790" s="998"/>
      <c r="P790" s="296"/>
      <c r="Q790" s="133"/>
    </row>
    <row r="791" spans="1:17" ht="12.75" hidden="1" customHeight="1" x14ac:dyDescent="0.25">
      <c r="A791" s="73">
        <v>8</v>
      </c>
      <c r="B791" s="119"/>
      <c r="C791" s="119"/>
      <c r="D791" s="301"/>
      <c r="E791" s="97"/>
      <c r="F791" s="299"/>
      <c r="G791" s="73" t="s">
        <v>8</v>
      </c>
      <c r="H791" s="37"/>
      <c r="I791" s="37" t="e">
        <f>SUM(#REF!,I773,#REF!,#REF!,#REF!,I776,#REF!,#REF!,I782,I784,#REF!,#REF!,#REF!,#REF!)</f>
        <v>#REF!</v>
      </c>
      <c r="J791" s="37">
        <f>SUM(J773,J776,J782,J784,J778)</f>
        <v>4974.8999999999996</v>
      </c>
      <c r="K791" s="37" t="e">
        <f>SUM(#REF!,K773,#REF!,#REF!,#REF!,K776,#REF!,#REF!,K782,K784,#REF!,#REF!,#REF!,#REF!)</f>
        <v>#REF!</v>
      </c>
      <c r="L791" s="48" t="e">
        <f>SUM(#REF!,L773,#REF!,#REF!,#REF!,L776,#REF!,#REF!,L782,L784,#REF!,#REF!,#REF!,#REF!)</f>
        <v>#REF!</v>
      </c>
      <c r="M791" s="133"/>
      <c r="N791" s="754"/>
      <c r="O791" s="100"/>
      <c r="P791" s="296"/>
      <c r="Q791" s="133"/>
    </row>
    <row r="792" spans="1:17" ht="12.75" hidden="1" customHeight="1" x14ac:dyDescent="0.25">
      <c r="A792" s="73">
        <v>8</v>
      </c>
      <c r="B792" s="119"/>
      <c r="C792" s="119"/>
      <c r="D792" s="301"/>
      <c r="E792" s="97"/>
      <c r="F792" s="299"/>
      <c r="G792" s="73" t="s">
        <v>11</v>
      </c>
      <c r="H792" s="37"/>
      <c r="I792" s="37" t="e">
        <f>SUM(#REF!)</f>
        <v>#REF!</v>
      </c>
      <c r="J792" s="37"/>
      <c r="K792" s="37" t="e">
        <f>SUM(#REF!)</f>
        <v>#REF!</v>
      </c>
      <c r="L792" s="48" t="e">
        <f>SUM(#REF!)</f>
        <v>#REF!</v>
      </c>
      <c r="M792" s="133"/>
      <c r="N792" s="754"/>
      <c r="O792" s="100"/>
      <c r="P792" s="296"/>
      <c r="Q792" s="133"/>
    </row>
    <row r="793" spans="1:17" ht="12.75" hidden="1" customHeight="1" x14ac:dyDescent="0.25">
      <c r="A793" s="295">
        <v>8</v>
      </c>
      <c r="B793" s="119"/>
      <c r="C793" s="119"/>
      <c r="D793" s="301"/>
      <c r="E793" s="97"/>
      <c r="F793" s="299"/>
      <c r="G793" s="73" t="s">
        <v>74</v>
      </c>
      <c r="H793" s="37"/>
      <c r="I793" s="37" t="e">
        <f>SUM(I774,#REF!,#REF!)</f>
        <v>#REF!</v>
      </c>
      <c r="J793" s="37">
        <f>SUM(J774)</f>
        <v>530</v>
      </c>
      <c r="K793" s="37" t="e">
        <f>SUM(K774,#REF!,#REF!)</f>
        <v>#REF!</v>
      </c>
      <c r="L793" s="48" t="e">
        <f>SUM(L774,#REF!,#REF!)</f>
        <v>#REF!</v>
      </c>
      <c r="M793" s="133"/>
      <c r="N793" s="754"/>
      <c r="O793" s="100"/>
      <c r="P793" s="296"/>
      <c r="Q793" s="133"/>
    </row>
    <row r="794" spans="1:17" ht="12.75" hidden="1" customHeight="1" x14ac:dyDescent="0.25">
      <c r="A794" s="73">
        <v>8</v>
      </c>
      <c r="B794" s="119"/>
      <c r="C794" s="119"/>
      <c r="D794" s="301"/>
      <c r="E794" s="97"/>
      <c r="F794" s="299"/>
      <c r="G794" s="6" t="s">
        <v>37</v>
      </c>
      <c r="H794" s="37"/>
      <c r="I794" s="37"/>
      <c r="J794" s="37"/>
      <c r="K794" s="37"/>
      <c r="L794" s="48"/>
      <c r="M794" s="133"/>
      <c r="N794" s="754"/>
      <c r="O794" s="100"/>
      <c r="P794" s="296"/>
      <c r="Q794" s="133"/>
    </row>
    <row r="795" spans="1:17" ht="12.75" hidden="1" customHeight="1" x14ac:dyDescent="0.25">
      <c r="A795" s="75">
        <v>8</v>
      </c>
      <c r="B795" s="119"/>
      <c r="C795" s="119"/>
      <c r="D795" s="301"/>
      <c r="E795" s="97"/>
      <c r="F795" s="299"/>
      <c r="G795" s="6" t="s">
        <v>38</v>
      </c>
      <c r="H795" s="37"/>
      <c r="I795" s="37"/>
      <c r="J795" s="37"/>
      <c r="K795" s="37"/>
      <c r="L795" s="48"/>
      <c r="M795" s="133"/>
      <c r="N795" s="754"/>
      <c r="O795" s="100"/>
      <c r="P795" s="296"/>
      <c r="Q795" s="133"/>
    </row>
    <row r="796" spans="1:17" ht="12.75" hidden="1" customHeight="1" x14ac:dyDescent="0.25">
      <c r="A796" s="295">
        <v>8</v>
      </c>
      <c r="B796" s="119"/>
      <c r="C796" s="119"/>
      <c r="D796" s="301"/>
      <c r="E796" s="97"/>
      <c r="F796" s="299"/>
      <c r="G796" s="6" t="s">
        <v>72</v>
      </c>
      <c r="H796" s="37"/>
      <c r="I796" s="37"/>
      <c r="J796" s="37"/>
      <c r="K796" s="37"/>
      <c r="L796" s="48"/>
      <c r="M796" s="133"/>
      <c r="N796" s="754"/>
      <c r="O796" s="100"/>
      <c r="P796" s="296"/>
      <c r="Q796" s="133"/>
    </row>
    <row r="797" spans="1:17" ht="12.75" hidden="1" customHeight="1" x14ac:dyDescent="0.25">
      <c r="A797" s="295">
        <v>8</v>
      </c>
      <c r="B797" s="119"/>
      <c r="C797" s="119"/>
      <c r="D797" s="301"/>
      <c r="E797" s="97"/>
      <c r="F797" s="299"/>
      <c r="G797" s="73" t="s">
        <v>10</v>
      </c>
      <c r="H797" s="37"/>
      <c r="I797" s="37" t="e">
        <f>SUM(#REF!)</f>
        <v>#REF!</v>
      </c>
      <c r="J797" s="37"/>
      <c r="K797" s="37" t="e">
        <f>SUM(#REF!)</f>
        <v>#REF!</v>
      </c>
      <c r="L797" s="48" t="e">
        <f>SUM(#REF!)</f>
        <v>#REF!</v>
      </c>
      <c r="M797" s="133"/>
      <c r="N797" s="754"/>
      <c r="O797" s="100"/>
      <c r="P797" s="296"/>
      <c r="Q797" s="133"/>
    </row>
    <row r="798" spans="1:17" ht="12.75" hidden="1" customHeight="1" x14ac:dyDescent="0.25">
      <c r="A798" s="73">
        <v>8</v>
      </c>
      <c r="B798" s="119"/>
      <c r="C798" s="119"/>
      <c r="D798" s="301"/>
      <c r="E798" s="97"/>
      <c r="F798" s="299"/>
      <c r="G798" s="73" t="s">
        <v>216</v>
      </c>
      <c r="H798" s="37"/>
      <c r="I798" s="37" t="e">
        <f>SUM(#REF!)</f>
        <v>#REF!</v>
      </c>
      <c r="J798" s="37"/>
      <c r="K798" s="37" t="e">
        <f>SUM(#REF!)</f>
        <v>#REF!</v>
      </c>
      <c r="L798" s="48" t="e">
        <f>SUM(#REF!)</f>
        <v>#REF!</v>
      </c>
      <c r="M798" s="133"/>
      <c r="N798" s="754"/>
      <c r="O798" s="100"/>
      <c r="P798" s="296"/>
      <c r="Q798" s="133"/>
    </row>
    <row r="799" spans="1:17" ht="12.75" hidden="1" customHeight="1" x14ac:dyDescent="0.25">
      <c r="A799" s="73">
        <v>8</v>
      </c>
      <c r="B799" s="119"/>
      <c r="C799" s="119"/>
      <c r="D799" s="301"/>
      <c r="E799" s="97"/>
      <c r="F799" s="299"/>
      <c r="G799" s="73" t="s">
        <v>250</v>
      </c>
      <c r="H799" s="37"/>
      <c r="I799" s="37" t="e">
        <f>#REF!</f>
        <v>#REF!</v>
      </c>
      <c r="J799" s="37">
        <f>J788</f>
        <v>309</v>
      </c>
      <c r="K799" s="37"/>
      <c r="L799" s="48"/>
      <c r="M799" s="133"/>
      <c r="N799" s="754"/>
      <c r="O799" s="100"/>
      <c r="P799" s="296"/>
      <c r="Q799" s="133"/>
    </row>
    <row r="800" spans="1:17" ht="12.75" hidden="1" customHeight="1" x14ac:dyDescent="0.25">
      <c r="A800" s="295">
        <v>8</v>
      </c>
      <c r="B800" s="119"/>
      <c r="C800" s="119"/>
      <c r="D800" s="301"/>
      <c r="E800" s="97"/>
      <c r="F800" s="299"/>
      <c r="G800" s="73" t="s">
        <v>9</v>
      </c>
      <c r="H800" s="37"/>
      <c r="I800" s="37">
        <f>I785</f>
        <v>1611</v>
      </c>
      <c r="J800" s="37">
        <f>J785</f>
        <v>2209.8000000000002</v>
      </c>
      <c r="K800" s="37">
        <f>K785</f>
        <v>1500</v>
      </c>
      <c r="L800" s="48">
        <f>L785</f>
        <v>0</v>
      </c>
      <c r="M800" s="133"/>
      <c r="N800" s="754"/>
      <c r="O800" s="100"/>
      <c r="P800" s="296"/>
      <c r="Q800" s="133"/>
    </row>
    <row r="801" spans="1:17" ht="12.75" hidden="1" customHeight="1" x14ac:dyDescent="0.25">
      <c r="A801" s="73">
        <v>8</v>
      </c>
      <c r="B801" s="119"/>
      <c r="C801" s="119"/>
      <c r="D801" s="301"/>
      <c r="E801" s="97"/>
      <c r="F801" s="299"/>
      <c r="G801" s="73" t="s">
        <v>40</v>
      </c>
      <c r="H801" s="37"/>
      <c r="I801" s="37">
        <f>SUM(I787)</f>
        <v>3100</v>
      </c>
      <c r="J801" s="37">
        <f>SUM(J787)</f>
        <v>4300</v>
      </c>
      <c r="K801" s="37">
        <f>SUM(K787)</f>
        <v>3000</v>
      </c>
      <c r="L801" s="48">
        <f>SUM(L787)</f>
        <v>0</v>
      </c>
      <c r="M801" s="133"/>
      <c r="N801" s="754"/>
      <c r="O801" s="100"/>
      <c r="P801" s="296"/>
      <c r="Q801" s="133"/>
    </row>
    <row r="802" spans="1:17" ht="12.75" hidden="1" customHeight="1" x14ac:dyDescent="0.25">
      <c r="A802" s="75">
        <v>8</v>
      </c>
      <c r="B802" s="119"/>
      <c r="C802" s="119"/>
      <c r="D802" s="301"/>
      <c r="E802" s="97"/>
      <c r="F802" s="299"/>
      <c r="G802" s="129" t="s">
        <v>492</v>
      </c>
      <c r="H802" s="120"/>
      <c r="I802" s="129" t="e">
        <f>SUM(I791:I801)</f>
        <v>#REF!</v>
      </c>
      <c r="J802" s="129">
        <f>SUM(J791:J801)</f>
        <v>12323.7</v>
      </c>
      <c r="K802" s="129" t="e">
        <f>SUM(K791:K801)</f>
        <v>#REF!</v>
      </c>
      <c r="L802" s="782" t="e">
        <f>SUM(L791:L801)</f>
        <v>#REF!</v>
      </c>
      <c r="M802" s="133"/>
      <c r="N802" s="754"/>
      <c r="O802" s="100"/>
      <c r="P802" s="296"/>
      <c r="Q802" s="133"/>
    </row>
    <row r="803" spans="1:17" ht="12.75" hidden="1" customHeight="1" x14ac:dyDescent="0.25">
      <c r="A803" s="295">
        <v>8</v>
      </c>
      <c r="B803" s="119"/>
      <c r="C803" s="119"/>
      <c r="D803" s="301"/>
      <c r="E803" s="97"/>
      <c r="F803" s="299"/>
      <c r="G803" s="73"/>
      <c r="H803" s="37"/>
      <c r="I803" s="37" t="e">
        <f>I790-I802</f>
        <v>#REF!</v>
      </c>
      <c r="J803" s="37">
        <f>J790-J802</f>
        <v>59.700000000000728</v>
      </c>
      <c r="K803" s="37" t="e">
        <f>K790-K802</f>
        <v>#REF!</v>
      </c>
      <c r="L803" s="48" t="e">
        <f>L790-L802</f>
        <v>#REF!</v>
      </c>
      <c r="M803" s="133"/>
      <c r="N803" s="754"/>
      <c r="O803" s="100"/>
      <c r="P803" s="296"/>
      <c r="Q803" s="133"/>
    </row>
    <row r="804" spans="1:17" ht="15" customHeight="1" x14ac:dyDescent="0.25">
      <c r="A804" s="909"/>
      <c r="B804" s="909"/>
      <c r="C804" s="909"/>
      <c r="D804" s="909" t="s">
        <v>1844</v>
      </c>
      <c r="E804" s="912"/>
      <c r="F804" s="909"/>
      <c r="G804" s="909"/>
      <c r="H804" s="909"/>
      <c r="I804" s="909"/>
      <c r="J804" s="909"/>
      <c r="K804" s="909"/>
      <c r="L804" s="911"/>
      <c r="M804" s="922"/>
      <c r="N804" s="1008"/>
      <c r="O804" s="977"/>
      <c r="P804" s="923"/>
      <c r="Q804" s="923"/>
    </row>
    <row r="805" spans="1:17" ht="28.2" customHeight="1" x14ac:dyDescent="0.25">
      <c r="A805" s="665">
        <v>9</v>
      </c>
      <c r="B805" s="93"/>
      <c r="C805" s="93"/>
      <c r="D805" s="94" t="s">
        <v>1585</v>
      </c>
      <c r="E805" s="900"/>
      <c r="F805" s="95"/>
      <c r="G805" s="93"/>
      <c r="H805" s="96"/>
      <c r="I805" s="95"/>
      <c r="J805" s="95"/>
      <c r="K805" s="95"/>
      <c r="L805" s="422"/>
      <c r="M805" s="92"/>
      <c r="N805" s="743"/>
      <c r="O805" s="81"/>
      <c r="P805" s="77"/>
      <c r="Q805" s="73"/>
    </row>
    <row r="806" spans="1:17" ht="20.399999999999999" x14ac:dyDescent="0.25">
      <c r="A806" s="665">
        <v>9</v>
      </c>
      <c r="B806" s="112" t="s">
        <v>1586</v>
      </c>
      <c r="C806" s="112" t="s">
        <v>1586</v>
      </c>
      <c r="D806" s="132" t="s">
        <v>1587</v>
      </c>
      <c r="E806" s="92">
        <v>6</v>
      </c>
      <c r="F806" s="665" t="s">
        <v>359</v>
      </c>
      <c r="G806" s="113" t="s">
        <v>1588</v>
      </c>
      <c r="H806" s="305">
        <f>SUM(H809:H812)</f>
        <v>629.6</v>
      </c>
      <c r="I806" s="113">
        <f>SUM(I809:I812)</f>
        <v>799.59999999999991</v>
      </c>
      <c r="J806" s="113">
        <f>SUM(J809:J812)</f>
        <v>961.7</v>
      </c>
      <c r="K806" s="113">
        <f>SUM(K809:K812)</f>
        <v>937.5</v>
      </c>
      <c r="L806" s="806">
        <f>SUM(L809:L812)</f>
        <v>944.59999999999991</v>
      </c>
      <c r="M806" s="133" t="s">
        <v>612</v>
      </c>
      <c r="N806" s="1033"/>
      <c r="O806" s="999"/>
      <c r="P806" s="665">
        <v>100</v>
      </c>
      <c r="Q806" s="665"/>
    </row>
    <row r="807" spans="1:17" ht="21" customHeight="1" x14ac:dyDescent="0.25">
      <c r="A807" s="665">
        <v>9</v>
      </c>
      <c r="B807" s="904"/>
      <c r="C807" s="907"/>
      <c r="D807" s="906"/>
      <c r="E807" s="665">
        <v>6</v>
      </c>
      <c r="F807" s="665" t="s">
        <v>359</v>
      </c>
      <c r="G807" s="113" t="s">
        <v>1589</v>
      </c>
      <c r="H807" s="305">
        <f>H813</f>
        <v>12.7</v>
      </c>
      <c r="I807" s="113">
        <f>I813</f>
        <v>0</v>
      </c>
      <c r="J807" s="113">
        <f>J813</f>
        <v>0</v>
      </c>
      <c r="K807" s="113">
        <f>K813</f>
        <v>0</v>
      </c>
      <c r="L807" s="806">
        <f>L813</f>
        <v>0</v>
      </c>
      <c r="M807" s="133"/>
      <c r="N807" s="1033"/>
      <c r="O807" s="999"/>
      <c r="P807" s="665"/>
      <c r="Q807" s="665"/>
    </row>
    <row r="808" spans="1:17" ht="12.75" customHeight="1" x14ac:dyDescent="0.25">
      <c r="A808" s="665">
        <v>9</v>
      </c>
      <c r="B808" s="904"/>
      <c r="C808" s="907"/>
      <c r="D808" s="906"/>
      <c r="E808" s="665">
        <v>6</v>
      </c>
      <c r="F808" s="665" t="s">
        <v>359</v>
      </c>
      <c r="G808" s="306" t="s">
        <v>614</v>
      </c>
      <c r="H808" s="307">
        <f>SUM(H806:H807)</f>
        <v>642.30000000000007</v>
      </c>
      <c r="I808" s="307">
        <f>SUM(I806:I807)</f>
        <v>799.59999999999991</v>
      </c>
      <c r="J808" s="307">
        <f>SUM(J806:J807)</f>
        <v>961.7</v>
      </c>
      <c r="K808" s="307">
        <f>SUM(K806:K807)</f>
        <v>937.5</v>
      </c>
      <c r="L808" s="869">
        <f>SUM(L806:L807)</f>
        <v>944.59999999999991</v>
      </c>
      <c r="M808" s="133"/>
      <c r="N808" s="1033"/>
      <c r="O808" s="999"/>
      <c r="P808" s="665"/>
      <c r="Q808" s="665"/>
    </row>
    <row r="809" spans="1:17" ht="12.75" customHeight="1" x14ac:dyDescent="0.25">
      <c r="A809" s="665">
        <v>9</v>
      </c>
      <c r="B809" s="904"/>
      <c r="C809" s="907" t="s">
        <v>1590</v>
      </c>
      <c r="D809" s="906" t="s">
        <v>360</v>
      </c>
      <c r="E809" s="668">
        <v>6</v>
      </c>
      <c r="F809" s="665" t="s">
        <v>359</v>
      </c>
      <c r="G809" s="668" t="s">
        <v>8</v>
      </c>
      <c r="H809" s="669">
        <v>188.8</v>
      </c>
      <c r="I809" s="37">
        <v>218.2</v>
      </c>
      <c r="J809" s="98">
        <f>230.2+45.5</f>
        <v>275.7</v>
      </c>
      <c r="K809" s="669">
        <v>236.6</v>
      </c>
      <c r="L809" s="870">
        <v>239.8</v>
      </c>
      <c r="M809" s="133"/>
      <c r="N809" s="1033" t="s">
        <v>1591</v>
      </c>
      <c r="O809" s="999" t="s">
        <v>1592</v>
      </c>
      <c r="P809" s="665"/>
      <c r="Q809" s="665"/>
    </row>
    <row r="810" spans="1:17" ht="12.75" customHeight="1" x14ac:dyDescent="0.25">
      <c r="A810" s="665">
        <v>9</v>
      </c>
      <c r="B810" s="904"/>
      <c r="C810" s="907"/>
      <c r="D810" s="906" t="s">
        <v>361</v>
      </c>
      <c r="E810" s="668">
        <v>6</v>
      </c>
      <c r="F810" s="665" t="s">
        <v>359</v>
      </c>
      <c r="G810" s="668" t="s">
        <v>8</v>
      </c>
      <c r="H810" s="669">
        <v>179.3</v>
      </c>
      <c r="I810" s="37">
        <v>171.6</v>
      </c>
      <c r="J810" s="98">
        <v>219.8</v>
      </c>
      <c r="K810" s="669">
        <v>225.7</v>
      </c>
      <c r="L810" s="870">
        <v>228.6</v>
      </c>
      <c r="M810" s="133"/>
      <c r="N810" s="1033" t="s">
        <v>1591</v>
      </c>
      <c r="O810" s="999" t="s">
        <v>1592</v>
      </c>
      <c r="P810" s="665"/>
      <c r="Q810" s="665"/>
    </row>
    <row r="811" spans="1:17" ht="12.75" customHeight="1" x14ac:dyDescent="0.25">
      <c r="A811" s="665">
        <v>9</v>
      </c>
      <c r="B811" s="904"/>
      <c r="C811" s="907"/>
      <c r="D811" s="906" t="s">
        <v>362</v>
      </c>
      <c r="E811" s="668">
        <v>6</v>
      </c>
      <c r="F811" s="665" t="s">
        <v>359</v>
      </c>
      <c r="G811" s="668" t="s">
        <v>8</v>
      </c>
      <c r="H811" s="669">
        <v>12.6</v>
      </c>
      <c r="I811" s="37">
        <v>14.4</v>
      </c>
      <c r="J811" s="98">
        <v>53</v>
      </c>
      <c r="K811" s="669">
        <v>54</v>
      </c>
      <c r="L811" s="870">
        <v>55</v>
      </c>
      <c r="M811" s="133"/>
      <c r="N811" s="1033" t="s">
        <v>1593</v>
      </c>
      <c r="O811" s="999" t="s">
        <v>1592</v>
      </c>
      <c r="P811" s="665"/>
      <c r="Q811" s="665"/>
    </row>
    <row r="812" spans="1:17" ht="12.75" customHeight="1" x14ac:dyDescent="0.25">
      <c r="A812" s="665">
        <v>9</v>
      </c>
      <c r="B812" s="904"/>
      <c r="C812" s="907"/>
      <c r="D812" s="906" t="s">
        <v>1594</v>
      </c>
      <c r="E812" s="668">
        <v>6</v>
      </c>
      <c r="F812" s="665" t="s">
        <v>359</v>
      </c>
      <c r="G812" s="668" t="s">
        <v>8</v>
      </c>
      <c r="H812" s="669">
        <v>248.9</v>
      </c>
      <c r="I812" s="37">
        <v>395.4</v>
      </c>
      <c r="J812" s="98">
        <f>421.2-8</f>
        <v>413.2</v>
      </c>
      <c r="K812" s="669">
        <v>421.2</v>
      </c>
      <c r="L812" s="870">
        <v>421.2</v>
      </c>
      <c r="M812" s="133"/>
      <c r="N812" s="1033" t="s">
        <v>1595</v>
      </c>
      <c r="O812" s="999" t="s">
        <v>1592</v>
      </c>
      <c r="P812" s="665"/>
      <c r="Q812" s="665"/>
    </row>
    <row r="813" spans="1:17" ht="14.4" customHeight="1" x14ac:dyDescent="0.25">
      <c r="A813" s="665">
        <v>9</v>
      </c>
      <c r="B813" s="904"/>
      <c r="C813" s="907"/>
      <c r="D813" s="906" t="s">
        <v>360</v>
      </c>
      <c r="E813" s="668">
        <v>6</v>
      </c>
      <c r="F813" s="665" t="s">
        <v>359</v>
      </c>
      <c r="G813" s="668" t="s">
        <v>10</v>
      </c>
      <c r="H813" s="669">
        <v>12.7</v>
      </c>
      <c r="I813" s="37"/>
      <c r="J813" s="98"/>
      <c r="K813" s="669"/>
      <c r="L813" s="870"/>
      <c r="M813" s="133"/>
      <c r="N813" s="1033"/>
      <c r="O813" s="999"/>
      <c r="P813" s="665"/>
      <c r="Q813" s="665"/>
    </row>
    <row r="814" spans="1:17" ht="21.6" customHeight="1" x14ac:dyDescent="0.25">
      <c r="A814" s="665">
        <v>9</v>
      </c>
      <c r="B814" s="112" t="s">
        <v>1596</v>
      </c>
      <c r="C814" s="112" t="s">
        <v>1596</v>
      </c>
      <c r="D814" s="132" t="s">
        <v>1597</v>
      </c>
      <c r="E814" s="1068"/>
      <c r="F814" s="665"/>
      <c r="G814" s="98"/>
      <c r="H814" s="133"/>
      <c r="I814" s="98"/>
      <c r="J814" s="98"/>
      <c r="K814" s="98"/>
      <c r="L814" s="98"/>
      <c r="M814" s="133" t="s">
        <v>612</v>
      </c>
      <c r="N814" s="1033"/>
      <c r="O814" s="999"/>
      <c r="P814" s="665"/>
      <c r="Q814" s="665"/>
    </row>
    <row r="815" spans="1:17" ht="21.6" customHeight="1" x14ac:dyDescent="0.25">
      <c r="A815" s="665"/>
      <c r="B815" s="901"/>
      <c r="C815" s="901"/>
      <c r="D815" s="902"/>
      <c r="E815" s="1068"/>
      <c r="F815" s="665"/>
      <c r="G815" s="113" t="s">
        <v>1588</v>
      </c>
      <c r="H815" s="305" t="e">
        <f>SUM(H819+H820+H821+H822+H824+H825+H826+H827+H828+H829+H830+H831+H834+H835+H836+H837+H838+H839+H840+H842+H844+H845+H847+H849+H850+#REF!)</f>
        <v>#REF!</v>
      </c>
      <c r="I815" s="113" t="e">
        <f>SUM(I824:I831,I834:I840,I842,I844:I845,I847,I849:I850,#REF!,I819:I822,I851)</f>
        <v>#REF!</v>
      </c>
      <c r="J815" s="113">
        <f>SUM(J824:J831,J834:J840,J842,J844:J845,J847,J849:J850,J819:J822,J851)</f>
        <v>11408.800000000003</v>
      </c>
      <c r="K815" s="113" t="e">
        <f>SUM(K824:K831,K834:K840,K842,K844:K845,K847,K849:K850,#REF!,K819:K822,K851)</f>
        <v>#REF!</v>
      </c>
      <c r="L815" s="806" t="e">
        <f>SUM(L824:L831,L834:L840,L842,L844:L845,L847,L849:L850,#REF!,L819:L822,L851)</f>
        <v>#REF!</v>
      </c>
      <c r="M815" s="133"/>
      <c r="N815" s="1035"/>
      <c r="O815" s="999"/>
      <c r="P815" s="665"/>
      <c r="Q815" s="665"/>
    </row>
    <row r="816" spans="1:17" ht="12.75" customHeight="1" x14ac:dyDescent="0.25">
      <c r="A816" s="665">
        <v>9</v>
      </c>
      <c r="B816" s="666"/>
      <c r="C816" s="665"/>
      <c r="D816" s="667"/>
      <c r="E816" s="668"/>
      <c r="F816" s="665"/>
      <c r="G816" s="113" t="s">
        <v>1598</v>
      </c>
      <c r="H816" s="305">
        <f>SUM(H841,H843,H846,H848,H823)</f>
        <v>5.9</v>
      </c>
      <c r="I816" s="113">
        <f>SUM(I841,I843,I846,I848,I823)</f>
        <v>10</v>
      </c>
      <c r="J816" s="113">
        <f>SUM(J841,J843,J846,J848,J823)</f>
        <v>14.399999999999999</v>
      </c>
      <c r="K816" s="113">
        <f>SUM(K841,K843,K846,K848,K823)</f>
        <v>14.399999999999999</v>
      </c>
      <c r="L816" s="806">
        <f>SUM(L841,L843,L846,L848,L823)</f>
        <v>14.399999999999999</v>
      </c>
      <c r="M816" s="133"/>
      <c r="N816" s="1033"/>
      <c r="O816" s="999"/>
      <c r="P816" s="665"/>
      <c r="Q816" s="665"/>
    </row>
    <row r="817" spans="1:17" ht="12.75" customHeight="1" x14ac:dyDescent="0.25">
      <c r="A817" s="665">
        <v>9</v>
      </c>
      <c r="B817" s="666"/>
      <c r="C817" s="665"/>
      <c r="D817" s="667"/>
      <c r="E817" s="668"/>
      <c r="F817" s="665"/>
      <c r="G817" s="113" t="s">
        <v>1650</v>
      </c>
      <c r="H817" s="305"/>
      <c r="I817" s="113"/>
      <c r="J817" s="113">
        <f>J832</f>
        <v>6</v>
      </c>
      <c r="K817" s="113"/>
      <c r="L817" s="806"/>
      <c r="M817" s="133"/>
      <c r="N817" s="1033"/>
      <c r="O817" s="999"/>
      <c r="P817" s="665"/>
      <c r="Q817" s="665"/>
    </row>
    <row r="818" spans="1:17" ht="23.4" customHeight="1" x14ac:dyDescent="0.25">
      <c r="A818" s="665">
        <v>9</v>
      </c>
      <c r="B818" s="666"/>
      <c r="C818" s="665"/>
      <c r="D818" s="667"/>
      <c r="E818" s="668"/>
      <c r="F818" s="665"/>
      <c r="G818" s="306" t="s">
        <v>492</v>
      </c>
      <c r="H818" s="307" t="e">
        <f>SUM(H815:H816)</f>
        <v>#REF!</v>
      </c>
      <c r="I818" s="307" t="e">
        <f>SUM(I815:I816)</f>
        <v>#REF!</v>
      </c>
      <c r="J818" s="307">
        <f>SUM(J815:J817)</f>
        <v>11429.200000000003</v>
      </c>
      <c r="K818" s="307" t="e">
        <f>SUM(K815:K816)</f>
        <v>#REF!</v>
      </c>
      <c r="L818" s="869" t="e">
        <f>SUM(L815:L816)</f>
        <v>#REF!</v>
      </c>
      <c r="M818" s="133"/>
      <c r="N818" s="1033"/>
      <c r="O818" s="999"/>
      <c r="P818" s="665"/>
      <c r="Q818" s="665"/>
    </row>
    <row r="819" spans="1:17" ht="20.399999999999999" customHeight="1" x14ac:dyDescent="0.25">
      <c r="A819" s="665">
        <v>9</v>
      </c>
      <c r="B819" s="666"/>
      <c r="C819" s="665" t="s">
        <v>1599</v>
      </c>
      <c r="D819" s="667" t="s">
        <v>1600</v>
      </c>
      <c r="E819" s="62">
        <v>6</v>
      </c>
      <c r="F819" s="665" t="s">
        <v>364</v>
      </c>
      <c r="G819" s="668" t="s">
        <v>8</v>
      </c>
      <c r="H819" s="669">
        <v>3944.3</v>
      </c>
      <c r="I819" s="37">
        <v>4718.2</v>
      </c>
      <c r="J819" s="98">
        <v>5422</v>
      </c>
      <c r="K819" s="669">
        <v>5480.2</v>
      </c>
      <c r="L819" s="870">
        <v>5543.3</v>
      </c>
      <c r="M819" s="133"/>
      <c r="N819" s="1033" t="s">
        <v>1601</v>
      </c>
      <c r="O819" s="999" t="s">
        <v>1602</v>
      </c>
      <c r="P819" s="665"/>
      <c r="Q819" s="665"/>
    </row>
    <row r="820" spans="1:17" ht="12.75" customHeight="1" x14ac:dyDescent="0.25">
      <c r="A820" s="665">
        <v>9</v>
      </c>
      <c r="B820" s="666"/>
      <c r="C820" s="665"/>
      <c r="D820" s="308" t="s">
        <v>363</v>
      </c>
      <c r="E820" s="62">
        <v>3</v>
      </c>
      <c r="F820" s="665" t="s">
        <v>364</v>
      </c>
      <c r="G820" s="668" t="s">
        <v>8</v>
      </c>
      <c r="H820" s="669">
        <v>108.1</v>
      </c>
      <c r="I820" s="37">
        <v>29.6</v>
      </c>
      <c r="J820" s="98">
        <v>10</v>
      </c>
      <c r="K820" s="669">
        <v>10</v>
      </c>
      <c r="L820" s="870">
        <v>10</v>
      </c>
      <c r="M820" s="133"/>
      <c r="N820" s="1033" t="s">
        <v>1603</v>
      </c>
      <c r="O820" s="999" t="s">
        <v>1604</v>
      </c>
      <c r="P820" s="665"/>
      <c r="Q820" s="665"/>
    </row>
    <row r="821" spans="1:17" ht="12.75" customHeight="1" x14ac:dyDescent="0.25">
      <c r="A821" s="665">
        <v>9</v>
      </c>
      <c r="B821" s="666"/>
      <c r="C821" s="665"/>
      <c r="D821" s="308" t="s">
        <v>363</v>
      </c>
      <c r="E821" s="62">
        <v>34</v>
      </c>
      <c r="F821" s="665" t="s">
        <v>364</v>
      </c>
      <c r="G821" s="668" t="s">
        <v>8</v>
      </c>
      <c r="H821" s="669">
        <v>221.6</v>
      </c>
      <c r="I821" s="37">
        <v>251.8</v>
      </c>
      <c r="J821" s="98">
        <v>315.2</v>
      </c>
      <c r="K821" s="670">
        <v>320</v>
      </c>
      <c r="L821" s="871">
        <v>320</v>
      </c>
      <c r="M821" s="133"/>
      <c r="N821" s="1033" t="s">
        <v>1605</v>
      </c>
      <c r="O821" s="999" t="s">
        <v>1606</v>
      </c>
      <c r="P821" s="665"/>
      <c r="Q821" s="665"/>
    </row>
    <row r="822" spans="1:17" ht="12.75" customHeight="1" x14ac:dyDescent="0.25">
      <c r="A822" s="665">
        <v>9</v>
      </c>
      <c r="B822" s="666"/>
      <c r="C822" s="665"/>
      <c r="D822" s="308" t="s">
        <v>363</v>
      </c>
      <c r="E822" s="62">
        <v>10</v>
      </c>
      <c r="F822" s="665" t="s">
        <v>364</v>
      </c>
      <c r="G822" s="668" t="s">
        <v>8</v>
      </c>
      <c r="H822" s="669"/>
      <c r="I822" s="37"/>
      <c r="J822" s="98">
        <v>20</v>
      </c>
      <c r="K822" s="669">
        <f>80</f>
        <v>80</v>
      </c>
      <c r="L822" s="870">
        <v>100</v>
      </c>
      <c r="M822" s="133"/>
      <c r="N822" s="1033" t="s">
        <v>1607</v>
      </c>
      <c r="O822" s="999" t="s">
        <v>1608</v>
      </c>
      <c r="P822" s="665"/>
      <c r="Q822" s="665"/>
    </row>
    <row r="823" spans="1:17" ht="12.75" customHeight="1" x14ac:dyDescent="0.25">
      <c r="A823" s="665">
        <v>9</v>
      </c>
      <c r="B823" s="666"/>
      <c r="C823" s="665"/>
      <c r="D823" s="308" t="s">
        <v>363</v>
      </c>
      <c r="E823" s="62">
        <v>6</v>
      </c>
      <c r="F823" s="665" t="s">
        <v>364</v>
      </c>
      <c r="G823" s="668" t="s">
        <v>11</v>
      </c>
      <c r="H823" s="669">
        <v>1.9</v>
      </c>
      <c r="I823" s="37">
        <v>5.9</v>
      </c>
      <c r="J823" s="98">
        <v>12.1</v>
      </c>
      <c r="K823" s="669">
        <v>12.1</v>
      </c>
      <c r="L823" s="870">
        <v>12.1</v>
      </c>
      <c r="M823" s="133"/>
      <c r="N823" s="1033" t="s">
        <v>1609</v>
      </c>
      <c r="O823" s="999" t="s">
        <v>1610</v>
      </c>
      <c r="P823" s="665"/>
      <c r="Q823" s="665"/>
    </row>
    <row r="824" spans="1:17" ht="12.75" customHeight="1" x14ac:dyDescent="0.25">
      <c r="A824" s="665">
        <v>9</v>
      </c>
      <c r="B824" s="666"/>
      <c r="C824" s="665"/>
      <c r="D824" s="308" t="s">
        <v>365</v>
      </c>
      <c r="E824" s="62">
        <v>6</v>
      </c>
      <c r="F824" s="665" t="s">
        <v>364</v>
      </c>
      <c r="G824" s="668" t="s">
        <v>8</v>
      </c>
      <c r="H824" s="669">
        <v>1327.5</v>
      </c>
      <c r="I824" s="37">
        <v>1575.1</v>
      </c>
      <c r="J824" s="98">
        <v>1853.9</v>
      </c>
      <c r="K824" s="669">
        <v>1563</v>
      </c>
      <c r="L824" s="870">
        <v>1592.9</v>
      </c>
      <c r="M824" s="133"/>
      <c r="N824" s="1033" t="s">
        <v>1611</v>
      </c>
      <c r="O824" s="999" t="s">
        <v>1612</v>
      </c>
      <c r="P824" s="665"/>
      <c r="Q824" s="665"/>
    </row>
    <row r="825" spans="1:17" ht="12.75" customHeight="1" x14ac:dyDescent="0.25">
      <c r="A825" s="665">
        <v>9</v>
      </c>
      <c r="B825" s="666"/>
      <c r="C825" s="665"/>
      <c r="D825" s="308" t="s">
        <v>366</v>
      </c>
      <c r="E825" s="62">
        <v>6</v>
      </c>
      <c r="F825" s="665" t="s">
        <v>364</v>
      </c>
      <c r="G825" s="668" t="s">
        <v>8</v>
      </c>
      <c r="H825" s="669">
        <v>319.2</v>
      </c>
      <c r="I825" s="37">
        <v>390.8</v>
      </c>
      <c r="J825" s="98">
        <v>482.4</v>
      </c>
      <c r="K825" s="669">
        <v>408</v>
      </c>
      <c r="L825" s="870">
        <v>415.8</v>
      </c>
      <c r="M825" s="133"/>
      <c r="N825" s="1033" t="s">
        <v>1611</v>
      </c>
      <c r="O825" s="999" t="s">
        <v>1612</v>
      </c>
      <c r="P825" s="665"/>
      <c r="Q825" s="665"/>
    </row>
    <row r="826" spans="1:17" ht="12.75" customHeight="1" x14ac:dyDescent="0.25">
      <c r="A826" s="665">
        <v>9</v>
      </c>
      <c r="B826" s="666"/>
      <c r="C826" s="665"/>
      <c r="D826" s="308" t="s">
        <v>367</v>
      </c>
      <c r="E826" s="62">
        <v>6</v>
      </c>
      <c r="F826" s="665" t="s">
        <v>364</v>
      </c>
      <c r="G826" s="668" t="s">
        <v>8</v>
      </c>
      <c r="H826" s="669">
        <v>29</v>
      </c>
      <c r="I826" s="37">
        <v>34.799999999999997</v>
      </c>
      <c r="J826" s="98">
        <v>35.700000000000003</v>
      </c>
      <c r="K826" s="669">
        <v>34.5</v>
      </c>
      <c r="L826" s="870">
        <v>36.299999999999997</v>
      </c>
      <c r="M826" s="133"/>
      <c r="N826" s="1033" t="s">
        <v>1611</v>
      </c>
      <c r="O826" s="999" t="s">
        <v>1612</v>
      </c>
      <c r="P826" s="665"/>
      <c r="Q826" s="665"/>
    </row>
    <row r="827" spans="1:17" ht="12.75" customHeight="1" x14ac:dyDescent="0.25">
      <c r="A827" s="665">
        <v>9</v>
      </c>
      <c r="B827" s="666"/>
      <c r="C827" s="665"/>
      <c r="D827" s="308" t="s">
        <v>368</v>
      </c>
      <c r="E827" s="62">
        <v>6</v>
      </c>
      <c r="F827" s="665" t="s">
        <v>364</v>
      </c>
      <c r="G827" s="668" t="s">
        <v>8</v>
      </c>
      <c r="H827" s="669">
        <v>85.6</v>
      </c>
      <c r="I827" s="37">
        <v>98.4</v>
      </c>
      <c r="J827" s="98">
        <v>123.6</v>
      </c>
      <c r="K827" s="669">
        <v>105.1</v>
      </c>
      <c r="L827" s="870">
        <v>107.4</v>
      </c>
      <c r="M827" s="133"/>
      <c r="N827" s="1033" t="s">
        <v>1611</v>
      </c>
      <c r="O827" s="999" t="s">
        <v>1612</v>
      </c>
      <c r="P827" s="665"/>
      <c r="Q827" s="665"/>
    </row>
    <row r="828" spans="1:17" ht="12.75" customHeight="1" x14ac:dyDescent="0.25">
      <c r="A828" s="665">
        <v>9</v>
      </c>
      <c r="B828" s="666"/>
      <c r="C828" s="665"/>
      <c r="D828" s="308" t="s">
        <v>369</v>
      </c>
      <c r="E828" s="62">
        <v>6</v>
      </c>
      <c r="F828" s="665" t="s">
        <v>364</v>
      </c>
      <c r="G828" s="668" t="s">
        <v>8</v>
      </c>
      <c r="H828" s="669">
        <v>140.4</v>
      </c>
      <c r="I828" s="37">
        <v>178.9</v>
      </c>
      <c r="J828" s="98">
        <v>193.3</v>
      </c>
      <c r="K828" s="669">
        <v>176.3</v>
      </c>
      <c r="L828" s="870">
        <v>178</v>
      </c>
      <c r="M828" s="133"/>
      <c r="N828" s="1033" t="s">
        <v>1611</v>
      </c>
      <c r="O828" s="999" t="s">
        <v>1612</v>
      </c>
      <c r="P828" s="665"/>
      <c r="Q828" s="665"/>
    </row>
    <row r="829" spans="1:17" ht="12.75" customHeight="1" x14ac:dyDescent="0.25">
      <c r="A829" s="665">
        <v>9</v>
      </c>
      <c r="B829" s="666"/>
      <c r="C829" s="665"/>
      <c r="D829" s="308" t="s">
        <v>370</v>
      </c>
      <c r="E829" s="62">
        <v>6</v>
      </c>
      <c r="F829" s="665" t="s">
        <v>364</v>
      </c>
      <c r="G829" s="668" t="s">
        <v>8</v>
      </c>
      <c r="H829" s="669">
        <v>334</v>
      </c>
      <c r="I829" s="37">
        <v>396.2</v>
      </c>
      <c r="J829" s="98">
        <v>481.1</v>
      </c>
      <c r="K829" s="669">
        <v>395.3</v>
      </c>
      <c r="L829" s="870">
        <v>401.6</v>
      </c>
      <c r="M829" s="133"/>
      <c r="N829" s="1033" t="s">
        <v>1611</v>
      </c>
      <c r="O829" s="999" t="s">
        <v>1612</v>
      </c>
      <c r="P829" s="665"/>
      <c r="Q829" s="665"/>
    </row>
    <row r="830" spans="1:17" ht="12.75" customHeight="1" x14ac:dyDescent="0.25">
      <c r="A830" s="665">
        <v>9</v>
      </c>
      <c r="B830" s="666"/>
      <c r="C830" s="665"/>
      <c r="D830" s="667" t="s">
        <v>371</v>
      </c>
      <c r="E830" s="62">
        <v>3</v>
      </c>
      <c r="F830" s="665" t="s">
        <v>364</v>
      </c>
      <c r="G830" s="668" t="s">
        <v>8</v>
      </c>
      <c r="H830" s="669">
        <v>40</v>
      </c>
      <c r="I830" s="37">
        <v>80</v>
      </c>
      <c r="J830" s="98">
        <v>100</v>
      </c>
      <c r="K830" s="669">
        <v>100</v>
      </c>
      <c r="L830" s="870">
        <v>100</v>
      </c>
      <c r="M830" s="133"/>
      <c r="N830" s="1033" t="s">
        <v>1603</v>
      </c>
      <c r="O830" s="999" t="s">
        <v>1613</v>
      </c>
      <c r="P830" s="665"/>
      <c r="Q830" s="665"/>
    </row>
    <row r="831" spans="1:17" ht="12.75" customHeight="1" x14ac:dyDescent="0.25">
      <c r="A831" s="665">
        <v>9</v>
      </c>
      <c r="B831" s="666"/>
      <c r="C831" s="665"/>
      <c r="D831" s="667" t="s">
        <v>1614</v>
      </c>
      <c r="E831" s="62">
        <v>6</v>
      </c>
      <c r="F831" s="665" t="s">
        <v>364</v>
      </c>
      <c r="G831" s="668" t="s">
        <v>8</v>
      </c>
      <c r="H831" s="669">
        <v>8.6999999999999993</v>
      </c>
      <c r="I831" s="37">
        <v>27.6</v>
      </c>
      <c r="J831" s="98">
        <v>270</v>
      </c>
      <c r="K831" s="669">
        <v>285</v>
      </c>
      <c r="L831" s="870">
        <v>300</v>
      </c>
      <c r="M831" s="133"/>
      <c r="N831" s="1033" t="s">
        <v>1615</v>
      </c>
      <c r="O831" s="999" t="s">
        <v>1616</v>
      </c>
      <c r="P831" s="665">
        <v>50</v>
      </c>
      <c r="Q831" s="665"/>
    </row>
    <row r="832" spans="1:17" ht="12.75" customHeight="1" x14ac:dyDescent="0.25">
      <c r="A832" s="665">
        <v>9</v>
      </c>
      <c r="B832" s="666"/>
      <c r="C832" s="665"/>
      <c r="D832" s="1224" t="s">
        <v>2094</v>
      </c>
      <c r="E832" s="1225">
        <v>10</v>
      </c>
      <c r="F832" s="1226" t="s">
        <v>364</v>
      </c>
      <c r="G832" s="1227" t="s">
        <v>74</v>
      </c>
      <c r="H832" s="669"/>
      <c r="I832" s="37"/>
      <c r="J832" s="98">
        <v>6</v>
      </c>
      <c r="K832" s="669"/>
      <c r="L832" s="870"/>
      <c r="M832" s="133"/>
      <c r="N832" s="1033"/>
      <c r="O832" s="999"/>
      <c r="P832" s="665"/>
      <c r="Q832" s="665"/>
    </row>
    <row r="833" spans="1:17" ht="12.75" customHeight="1" x14ac:dyDescent="0.25">
      <c r="A833" s="665">
        <v>9</v>
      </c>
      <c r="B833" s="666"/>
      <c r="C833" s="665"/>
      <c r="D833" s="671"/>
      <c r="E833" s="668"/>
      <c r="F833" s="665" t="s">
        <v>364</v>
      </c>
      <c r="G833" s="309" t="s">
        <v>492</v>
      </c>
      <c r="H833" s="113">
        <f>SUM(H819:H831)</f>
        <v>6560.2999999999993</v>
      </c>
      <c r="I833" s="113">
        <f>SUM(I819:I831)</f>
        <v>7787.3</v>
      </c>
      <c r="J833" s="113">
        <f>SUM(J819:J832)</f>
        <v>9325.2999999999993</v>
      </c>
      <c r="K833" s="113">
        <f>SUM(K819:K831)</f>
        <v>8969.5</v>
      </c>
      <c r="L833" s="806">
        <f>SUM(L819:L831)</f>
        <v>9117.4000000000015</v>
      </c>
      <c r="M833" s="133"/>
      <c r="N833" s="1033"/>
      <c r="O833" s="999"/>
      <c r="P833" s="665"/>
      <c r="Q833" s="665"/>
    </row>
    <row r="834" spans="1:17" ht="12.75" customHeight="1" x14ac:dyDescent="0.25">
      <c r="A834" s="665">
        <v>9</v>
      </c>
      <c r="B834" s="666"/>
      <c r="C834" s="665" t="s">
        <v>1617</v>
      </c>
      <c r="D834" s="667" t="s">
        <v>372</v>
      </c>
      <c r="E834" s="668">
        <v>6</v>
      </c>
      <c r="F834" s="665" t="s">
        <v>373</v>
      </c>
      <c r="G834" s="665" t="s">
        <v>8</v>
      </c>
      <c r="H834" s="672">
        <v>147.1</v>
      </c>
      <c r="I834" s="37">
        <v>161.19999999999999</v>
      </c>
      <c r="J834" s="98">
        <f>215-32.5+12.8-30</f>
        <v>165.3</v>
      </c>
      <c r="K834" s="669">
        <v>222.3</v>
      </c>
      <c r="L834" s="870">
        <v>226.1</v>
      </c>
      <c r="M834" s="133"/>
      <c r="N834" s="820" t="s">
        <v>1618</v>
      </c>
      <c r="O834" s="999" t="s">
        <v>1619</v>
      </c>
      <c r="P834" s="665">
        <v>1</v>
      </c>
      <c r="Q834" s="665"/>
    </row>
    <row r="835" spans="1:17" ht="12.75" customHeight="1" x14ac:dyDescent="0.25">
      <c r="A835" s="665">
        <v>9</v>
      </c>
      <c r="B835" s="666"/>
      <c r="C835" s="665" t="s">
        <v>1620</v>
      </c>
      <c r="D835" s="667" t="s">
        <v>374</v>
      </c>
      <c r="E835" s="668">
        <v>19</v>
      </c>
      <c r="F835" s="665" t="s">
        <v>375</v>
      </c>
      <c r="G835" s="665" t="s">
        <v>8</v>
      </c>
      <c r="H835" s="672">
        <v>118.8</v>
      </c>
      <c r="I835" s="37">
        <v>120.5</v>
      </c>
      <c r="J835" s="98">
        <v>148</v>
      </c>
      <c r="K835" s="669">
        <v>149.80000000000001</v>
      </c>
      <c r="L835" s="870">
        <v>151.19999999999999</v>
      </c>
      <c r="M835" s="133"/>
      <c r="N835" s="1033" t="s">
        <v>1621</v>
      </c>
      <c r="O835" s="999" t="s">
        <v>1622</v>
      </c>
      <c r="P835" s="665">
        <v>1</v>
      </c>
      <c r="Q835" s="665"/>
    </row>
    <row r="836" spans="1:17" ht="27.6" customHeight="1" x14ac:dyDescent="0.25">
      <c r="A836" s="665">
        <v>9</v>
      </c>
      <c r="B836" s="666"/>
      <c r="C836" s="665" t="s">
        <v>1623</v>
      </c>
      <c r="D836" s="667" t="s">
        <v>376</v>
      </c>
      <c r="E836" s="668">
        <v>20</v>
      </c>
      <c r="F836" s="665" t="s">
        <v>377</v>
      </c>
      <c r="G836" s="665" t="s">
        <v>8</v>
      </c>
      <c r="H836" s="672">
        <v>100.9</v>
      </c>
      <c r="I836" s="37">
        <v>159.6</v>
      </c>
      <c r="J836" s="98">
        <v>150.69999999999999</v>
      </c>
      <c r="K836" s="669">
        <v>207.9</v>
      </c>
      <c r="L836" s="870">
        <v>210</v>
      </c>
      <c r="M836" s="133"/>
      <c r="N836" s="1073" t="s">
        <v>1896</v>
      </c>
      <c r="O836" s="999" t="s">
        <v>1622</v>
      </c>
      <c r="P836" s="665">
        <v>1</v>
      </c>
      <c r="Q836" s="665"/>
    </row>
    <row r="837" spans="1:17" ht="12.75" customHeight="1" x14ac:dyDescent="0.25">
      <c r="A837" s="665">
        <v>9</v>
      </c>
      <c r="B837" s="666"/>
      <c r="C837" s="665" t="s">
        <v>1624</v>
      </c>
      <c r="D837" s="667" t="s">
        <v>378</v>
      </c>
      <c r="E837" s="668">
        <v>21</v>
      </c>
      <c r="F837" s="665" t="s">
        <v>379</v>
      </c>
      <c r="G837" s="665" t="s">
        <v>8</v>
      </c>
      <c r="H837" s="672">
        <v>120.4</v>
      </c>
      <c r="I837" s="37">
        <v>140.4</v>
      </c>
      <c r="J837" s="98">
        <v>166.3</v>
      </c>
      <c r="K837" s="669">
        <v>176.6</v>
      </c>
      <c r="L837" s="870">
        <v>178.6</v>
      </c>
      <c r="M837" s="133"/>
      <c r="N837" s="1033" t="s">
        <v>1363</v>
      </c>
      <c r="O837" s="999" t="s">
        <v>1622</v>
      </c>
      <c r="P837" s="665">
        <v>1</v>
      </c>
      <c r="Q837" s="665"/>
    </row>
    <row r="838" spans="1:17" ht="12.75" customHeight="1" x14ac:dyDescent="0.25">
      <c r="A838" s="665">
        <v>9</v>
      </c>
      <c r="B838" s="666"/>
      <c r="C838" s="665" t="s">
        <v>1625</v>
      </c>
      <c r="D838" s="667" t="s">
        <v>380</v>
      </c>
      <c r="E838" s="668">
        <v>22</v>
      </c>
      <c r="F838" s="665" t="s">
        <v>381</v>
      </c>
      <c r="G838" s="665" t="s">
        <v>8</v>
      </c>
      <c r="H838" s="672">
        <v>113.6</v>
      </c>
      <c r="I838" s="37">
        <v>96.2</v>
      </c>
      <c r="J838" s="98">
        <v>131.1</v>
      </c>
      <c r="K838" s="669">
        <v>133.69999999999999</v>
      </c>
      <c r="L838" s="870">
        <v>135.1</v>
      </c>
      <c r="M838" s="133"/>
      <c r="N838" s="1033" t="s">
        <v>1365</v>
      </c>
      <c r="O838" s="999" t="s">
        <v>1622</v>
      </c>
      <c r="P838" s="665">
        <v>1</v>
      </c>
      <c r="Q838" s="665"/>
    </row>
    <row r="839" spans="1:17" ht="12.75" customHeight="1" x14ac:dyDescent="0.25">
      <c r="A839" s="665">
        <v>9</v>
      </c>
      <c r="B839" s="666"/>
      <c r="C839" s="665" t="s">
        <v>1626</v>
      </c>
      <c r="D839" s="667" t="s">
        <v>382</v>
      </c>
      <c r="E839" s="668">
        <v>23</v>
      </c>
      <c r="F839" s="665" t="s">
        <v>383</v>
      </c>
      <c r="G839" s="665" t="s">
        <v>8</v>
      </c>
      <c r="H839" s="672">
        <v>114.9</v>
      </c>
      <c r="I839" s="37">
        <v>118.5</v>
      </c>
      <c r="J839" s="98">
        <v>127</v>
      </c>
      <c r="K839" s="669">
        <v>124.1</v>
      </c>
      <c r="L839" s="870">
        <v>126.3</v>
      </c>
      <c r="M839" s="133"/>
      <c r="N839" s="1033" t="s">
        <v>1627</v>
      </c>
      <c r="O839" s="999" t="s">
        <v>1622</v>
      </c>
      <c r="P839" s="665">
        <v>1</v>
      </c>
      <c r="Q839" s="665"/>
    </row>
    <row r="840" spans="1:17" ht="12.75" customHeight="1" x14ac:dyDescent="0.25">
      <c r="A840" s="665">
        <v>9</v>
      </c>
      <c r="B840" s="666"/>
      <c r="C840" s="665" t="s">
        <v>1628</v>
      </c>
      <c r="D840" s="667" t="s">
        <v>384</v>
      </c>
      <c r="E840" s="668">
        <v>24</v>
      </c>
      <c r="F840" s="665" t="s">
        <v>385</v>
      </c>
      <c r="G840" s="665" t="s">
        <v>8</v>
      </c>
      <c r="H840" s="672">
        <v>97.3</v>
      </c>
      <c r="I840" s="37">
        <v>98.4</v>
      </c>
      <c r="J840" s="98">
        <v>105.6</v>
      </c>
      <c r="K840" s="669">
        <v>122.3</v>
      </c>
      <c r="L840" s="870">
        <v>124</v>
      </c>
      <c r="M840" s="133"/>
      <c r="N840" s="1033" t="s">
        <v>1368</v>
      </c>
      <c r="O840" s="999" t="s">
        <v>1622</v>
      </c>
      <c r="P840" s="665">
        <v>1</v>
      </c>
      <c r="Q840" s="665"/>
    </row>
    <row r="841" spans="1:17" ht="12.75" customHeight="1" x14ac:dyDescent="0.25">
      <c r="A841" s="665">
        <v>9</v>
      </c>
      <c r="B841" s="666"/>
      <c r="C841" s="665"/>
      <c r="D841" s="667" t="s">
        <v>384</v>
      </c>
      <c r="E841" s="668">
        <v>24</v>
      </c>
      <c r="F841" s="665" t="s">
        <v>385</v>
      </c>
      <c r="G841" s="665" t="s">
        <v>11</v>
      </c>
      <c r="H841" s="672">
        <v>0.3</v>
      </c>
      <c r="I841" s="37">
        <v>0.3</v>
      </c>
      <c r="J841" s="98">
        <v>0.3</v>
      </c>
      <c r="K841" s="669">
        <v>0.3</v>
      </c>
      <c r="L841" s="870">
        <v>0.3</v>
      </c>
      <c r="M841" s="133"/>
      <c r="N841" s="1033" t="s">
        <v>1368</v>
      </c>
      <c r="O841" s="999" t="s">
        <v>1622</v>
      </c>
      <c r="P841" s="665">
        <v>1</v>
      </c>
      <c r="Q841" s="665"/>
    </row>
    <row r="842" spans="1:17" ht="12.75" customHeight="1" x14ac:dyDescent="0.25">
      <c r="A842" s="665">
        <v>9</v>
      </c>
      <c r="B842" s="666"/>
      <c r="C842" s="665" t="s">
        <v>1629</v>
      </c>
      <c r="D842" s="667" t="s">
        <v>386</v>
      </c>
      <c r="E842" s="668">
        <v>25</v>
      </c>
      <c r="F842" s="665" t="s">
        <v>387</v>
      </c>
      <c r="G842" s="665" t="s">
        <v>8</v>
      </c>
      <c r="H842" s="672">
        <v>118.7</v>
      </c>
      <c r="I842" s="37">
        <v>104.6</v>
      </c>
      <c r="J842" s="98">
        <v>135.30000000000001</v>
      </c>
      <c r="K842" s="669">
        <v>135.6</v>
      </c>
      <c r="L842" s="870">
        <v>136.80000000000001</v>
      </c>
      <c r="M842" s="133"/>
      <c r="N842" s="1033" t="s">
        <v>1370</v>
      </c>
      <c r="O842" s="999" t="s">
        <v>1622</v>
      </c>
      <c r="P842" s="665">
        <v>1</v>
      </c>
      <c r="Q842" s="665"/>
    </row>
    <row r="843" spans="1:17" ht="12.75" customHeight="1" x14ac:dyDescent="0.25">
      <c r="A843" s="665">
        <v>9</v>
      </c>
      <c r="B843" s="666"/>
      <c r="C843" s="665"/>
      <c r="D843" s="667"/>
      <c r="E843" s="668">
        <v>25</v>
      </c>
      <c r="F843" s="665" t="s">
        <v>387</v>
      </c>
      <c r="G843" s="665" t="s">
        <v>11</v>
      </c>
      <c r="H843" s="672">
        <v>1.3</v>
      </c>
      <c r="I843" s="37">
        <v>1.3</v>
      </c>
      <c r="J843" s="98"/>
      <c r="K843" s="669"/>
      <c r="L843" s="870"/>
      <c r="M843" s="133"/>
      <c r="N843" s="1033" t="s">
        <v>1370</v>
      </c>
      <c r="O843" s="999" t="s">
        <v>1622</v>
      </c>
      <c r="P843" s="665">
        <v>1</v>
      </c>
      <c r="Q843" s="665"/>
    </row>
    <row r="844" spans="1:17" ht="12.75" customHeight="1" x14ac:dyDescent="0.25">
      <c r="A844" s="665">
        <v>9</v>
      </c>
      <c r="B844" s="666"/>
      <c r="C844" s="665" t="s">
        <v>1630</v>
      </c>
      <c r="D844" s="667" t="s">
        <v>388</v>
      </c>
      <c r="E844" s="668">
        <v>26</v>
      </c>
      <c r="F844" s="665" t="s">
        <v>389</v>
      </c>
      <c r="G844" s="665" t="s">
        <v>8</v>
      </c>
      <c r="H844" s="672">
        <v>135.80000000000001</v>
      </c>
      <c r="I844" s="37">
        <v>156.69999999999999</v>
      </c>
      <c r="J844" s="98">
        <v>191.3</v>
      </c>
      <c r="K844" s="669">
        <v>168.7</v>
      </c>
      <c r="L844" s="870">
        <v>170.6</v>
      </c>
      <c r="M844" s="133"/>
      <c r="N844" s="1033" t="s">
        <v>1249</v>
      </c>
      <c r="O844" s="999" t="s">
        <v>1622</v>
      </c>
      <c r="P844" s="665">
        <v>1</v>
      </c>
      <c r="Q844" s="665"/>
    </row>
    <row r="845" spans="1:17" ht="12.75" customHeight="1" x14ac:dyDescent="0.25">
      <c r="A845" s="665">
        <v>9</v>
      </c>
      <c r="B845" s="666"/>
      <c r="C845" s="665" t="s">
        <v>1631</v>
      </c>
      <c r="D845" s="667" t="s">
        <v>390</v>
      </c>
      <c r="E845" s="668">
        <v>27</v>
      </c>
      <c r="F845" s="665" t="s">
        <v>391</v>
      </c>
      <c r="G845" s="665" t="s">
        <v>8</v>
      </c>
      <c r="H845" s="672">
        <v>172.7</v>
      </c>
      <c r="I845" s="37">
        <v>170.6</v>
      </c>
      <c r="J845" s="98">
        <v>192.1</v>
      </c>
      <c r="K845" s="669">
        <v>193</v>
      </c>
      <c r="L845" s="870">
        <v>195.8</v>
      </c>
      <c r="M845" s="133"/>
      <c r="N845" s="1033" t="s">
        <v>1632</v>
      </c>
      <c r="O845" s="999" t="s">
        <v>1622</v>
      </c>
      <c r="P845" s="665">
        <v>1</v>
      </c>
      <c r="Q845" s="665"/>
    </row>
    <row r="846" spans="1:17" ht="12.75" customHeight="1" x14ac:dyDescent="0.25">
      <c r="A846" s="665">
        <v>9</v>
      </c>
      <c r="B846" s="666"/>
      <c r="C846" s="665"/>
      <c r="D846" s="667" t="s">
        <v>390</v>
      </c>
      <c r="E846" s="668">
        <v>27</v>
      </c>
      <c r="F846" s="665" t="s">
        <v>391</v>
      </c>
      <c r="G846" s="665" t="s">
        <v>11</v>
      </c>
      <c r="H846" s="672">
        <v>0.7</v>
      </c>
      <c r="I846" s="37">
        <v>1.3</v>
      </c>
      <c r="J846" s="98">
        <v>1.3</v>
      </c>
      <c r="K846" s="669">
        <v>1.3</v>
      </c>
      <c r="L846" s="870">
        <v>1.3</v>
      </c>
      <c r="M846" s="133"/>
      <c r="N846" s="1033" t="s">
        <v>1632</v>
      </c>
      <c r="O846" s="999" t="s">
        <v>1622</v>
      </c>
      <c r="P846" s="665">
        <v>1</v>
      </c>
      <c r="Q846" s="665"/>
    </row>
    <row r="847" spans="1:17" ht="12.75" customHeight="1" x14ac:dyDescent="0.25">
      <c r="A847" s="665">
        <v>9</v>
      </c>
      <c r="B847" s="666"/>
      <c r="C847" s="665" t="s">
        <v>1633</v>
      </c>
      <c r="D847" s="667" t="s">
        <v>392</v>
      </c>
      <c r="E847" s="668">
        <v>28</v>
      </c>
      <c r="F847" s="665" t="s">
        <v>393</v>
      </c>
      <c r="G847" s="665" t="s">
        <v>8</v>
      </c>
      <c r="H847" s="672">
        <v>132.19999999999999</v>
      </c>
      <c r="I847" s="37">
        <v>132.1</v>
      </c>
      <c r="J847" s="98">
        <v>155.80000000000001</v>
      </c>
      <c r="K847" s="669">
        <v>160.4</v>
      </c>
      <c r="L847" s="870">
        <v>162.4</v>
      </c>
      <c r="M847" s="133"/>
      <c r="N847" s="1033" t="s">
        <v>1375</v>
      </c>
      <c r="O847" s="999" t="s">
        <v>1622</v>
      </c>
      <c r="P847" s="665">
        <v>1</v>
      </c>
      <c r="Q847" s="665"/>
    </row>
    <row r="848" spans="1:17" ht="12.75" customHeight="1" x14ac:dyDescent="0.25">
      <c r="A848" s="665">
        <v>9</v>
      </c>
      <c r="B848" s="666"/>
      <c r="C848" s="665"/>
      <c r="D848" s="667" t="s">
        <v>392</v>
      </c>
      <c r="E848" s="668">
        <v>28</v>
      </c>
      <c r="F848" s="665" t="s">
        <v>393</v>
      </c>
      <c r="G848" s="665" t="s">
        <v>11</v>
      </c>
      <c r="H848" s="672">
        <v>1.7</v>
      </c>
      <c r="I848" s="37">
        <v>1.2</v>
      </c>
      <c r="J848" s="98">
        <v>0.7</v>
      </c>
      <c r="K848" s="669">
        <v>0.7</v>
      </c>
      <c r="L848" s="870">
        <v>0.7</v>
      </c>
      <c r="M848" s="133"/>
      <c r="N848" s="1033" t="s">
        <v>1375</v>
      </c>
      <c r="O848" s="999" t="s">
        <v>1622</v>
      </c>
      <c r="P848" s="665">
        <v>1</v>
      </c>
      <c r="Q848" s="665"/>
    </row>
    <row r="849" spans="1:19" ht="12.75" customHeight="1" x14ac:dyDescent="0.25">
      <c r="A849" s="665">
        <v>9</v>
      </c>
      <c r="B849" s="666"/>
      <c r="C849" s="665" t="s">
        <v>1634</v>
      </c>
      <c r="D849" s="667" t="s">
        <v>394</v>
      </c>
      <c r="E849" s="668">
        <v>29</v>
      </c>
      <c r="F849" s="665" t="s">
        <v>395</v>
      </c>
      <c r="G849" s="665" t="s">
        <v>8</v>
      </c>
      <c r="H849" s="672">
        <v>145.9</v>
      </c>
      <c r="I849" s="37">
        <v>156.4</v>
      </c>
      <c r="J849" s="98">
        <v>166.1</v>
      </c>
      <c r="K849" s="669">
        <v>183.5</v>
      </c>
      <c r="L849" s="870">
        <v>186.5</v>
      </c>
      <c r="M849" s="133"/>
      <c r="N849" s="1034" t="s">
        <v>1377</v>
      </c>
      <c r="O849" s="999" t="s">
        <v>1622</v>
      </c>
      <c r="P849" s="665">
        <v>1</v>
      </c>
      <c r="Q849" s="665"/>
    </row>
    <row r="850" spans="1:19" ht="21" customHeight="1" x14ac:dyDescent="0.25">
      <c r="A850" s="665">
        <v>9</v>
      </c>
      <c r="B850" s="666"/>
      <c r="C850" s="665" t="s">
        <v>1635</v>
      </c>
      <c r="D850" s="667" t="s">
        <v>1636</v>
      </c>
      <c r="E850" s="668">
        <v>15</v>
      </c>
      <c r="F850" s="665" t="s">
        <v>397</v>
      </c>
      <c r="G850" s="665" t="s">
        <v>8</v>
      </c>
      <c r="H850" s="672">
        <v>121.4</v>
      </c>
      <c r="I850" s="37">
        <v>115.6</v>
      </c>
      <c r="J850" s="98">
        <v>200</v>
      </c>
      <c r="K850" s="669">
        <v>200</v>
      </c>
      <c r="L850" s="870">
        <v>200</v>
      </c>
      <c r="M850" s="133"/>
      <c r="N850" s="1033" t="s">
        <v>1637</v>
      </c>
      <c r="O850" s="999" t="s">
        <v>1638</v>
      </c>
      <c r="P850" s="665">
        <v>1</v>
      </c>
      <c r="Q850" s="665"/>
    </row>
    <row r="851" spans="1:19" ht="20.399999999999999" customHeight="1" x14ac:dyDescent="0.25">
      <c r="A851" s="665">
        <v>9</v>
      </c>
      <c r="B851" s="666"/>
      <c r="C851" s="665" t="s">
        <v>1635</v>
      </c>
      <c r="D851" s="667" t="s">
        <v>1639</v>
      </c>
      <c r="E851" s="668">
        <v>3</v>
      </c>
      <c r="F851" s="665" t="s">
        <v>397</v>
      </c>
      <c r="G851" s="665" t="s">
        <v>8</v>
      </c>
      <c r="H851" s="672"/>
      <c r="I851" s="37">
        <v>52</v>
      </c>
      <c r="J851" s="98">
        <f>67</f>
        <v>67</v>
      </c>
      <c r="K851" s="669">
        <v>50</v>
      </c>
      <c r="L851" s="870">
        <v>50</v>
      </c>
      <c r="M851" s="133"/>
      <c r="N851" s="1033" t="s">
        <v>1640</v>
      </c>
      <c r="O851" s="999" t="s">
        <v>1638</v>
      </c>
      <c r="P851" s="665">
        <v>1</v>
      </c>
      <c r="Q851" s="665"/>
    </row>
    <row r="852" spans="1:19" ht="13.2" x14ac:dyDescent="0.25">
      <c r="A852" s="665">
        <v>9</v>
      </c>
      <c r="B852" s="666"/>
      <c r="C852" s="665"/>
      <c r="D852" s="667"/>
      <c r="E852" s="668"/>
      <c r="F852" s="665"/>
      <c r="G852" s="309" t="s">
        <v>492</v>
      </c>
      <c r="H852" s="113">
        <f>SUM(H834:H851)</f>
        <v>1643.7000000000003</v>
      </c>
      <c r="I852" s="113">
        <f>SUM(I834:I851)</f>
        <v>1786.8999999999996</v>
      </c>
      <c r="J852" s="113">
        <f>SUM(J834:J851)</f>
        <v>2103.8999999999996</v>
      </c>
      <c r="K852" s="113">
        <f>SUM(K834:K851)</f>
        <v>2230.1999999999998</v>
      </c>
      <c r="L852" s="806">
        <f>SUM(L834:L851)</f>
        <v>2255.6999999999998</v>
      </c>
      <c r="M852" s="133"/>
      <c r="N852" s="1033"/>
      <c r="O852" s="999"/>
      <c r="P852" s="665"/>
      <c r="Q852" s="665"/>
      <c r="S852" s="10"/>
    </row>
    <row r="853" spans="1:19" ht="20.399999999999999" x14ac:dyDescent="0.25">
      <c r="A853" s="665">
        <v>9</v>
      </c>
      <c r="B853" s="112" t="s">
        <v>1641</v>
      </c>
      <c r="C853" s="112" t="s">
        <v>1641</v>
      </c>
      <c r="D853" s="132" t="s">
        <v>1642</v>
      </c>
      <c r="E853" s="1068"/>
      <c r="F853" s="665"/>
      <c r="G853" s="98"/>
      <c r="H853" s="133"/>
      <c r="I853" s="98"/>
      <c r="J853" s="98"/>
      <c r="K853" s="98"/>
      <c r="L853" s="98"/>
      <c r="M853" s="133" t="s">
        <v>612</v>
      </c>
      <c r="N853" s="1033"/>
      <c r="O853" s="1000"/>
      <c r="P853" s="665"/>
      <c r="Q853" s="665"/>
    </row>
    <row r="854" spans="1:19" ht="13.2" x14ac:dyDescent="0.25">
      <c r="A854" s="665">
        <v>9</v>
      </c>
      <c r="B854" s="901"/>
      <c r="C854" s="901"/>
      <c r="D854" s="902"/>
      <c r="E854" s="668"/>
      <c r="F854" s="665"/>
      <c r="G854" s="113" t="s">
        <v>1588</v>
      </c>
      <c r="H854" s="310" t="e">
        <f>SUM(H870+H873+H876+H880+H888+H891+H897+#REF!+H906+#REF!+H928)</f>
        <v>#REF!</v>
      </c>
      <c r="I854" s="113" t="e">
        <f>SUM(I870,I873,I876,I880,I888,I891,I897,#REF!,I906,I928,I883,I932,I948)</f>
        <v>#REF!</v>
      </c>
      <c r="J854" s="113">
        <f>SUM(J870,J873,J876,J880,J888,J891,J897,J906,J928,J883,J932,J948)</f>
        <v>1233.1999999999998</v>
      </c>
      <c r="K854" s="113" t="e">
        <f>SUM(K870,K873,K876,K880,K888,K891,K897,#REF!,K906,K928,K883,K932,K948)</f>
        <v>#REF!</v>
      </c>
      <c r="L854" s="806" t="e">
        <f>SUM(L870,L873,L876,L880,L888,L891,L897,#REF!,L906,L928,L883,L932,L948)</f>
        <v>#REF!</v>
      </c>
      <c r="M854" s="133"/>
      <c r="N854" s="1033"/>
      <c r="O854" s="1000"/>
      <c r="P854" s="665"/>
      <c r="Q854" s="665"/>
    </row>
    <row r="855" spans="1:19" ht="13.2" x14ac:dyDescent="0.25">
      <c r="A855" s="665">
        <v>9</v>
      </c>
      <c r="B855" s="119"/>
      <c r="C855" s="119"/>
      <c r="D855" s="81"/>
      <c r="E855" s="668"/>
      <c r="F855" s="665"/>
      <c r="G855" s="113" t="s">
        <v>1598</v>
      </c>
      <c r="H855" s="310"/>
      <c r="I855" s="113" t="e">
        <f>#REF!</f>
        <v>#REF!</v>
      </c>
      <c r="J855" s="113"/>
      <c r="K855" s="113" t="e">
        <f>#REF!</f>
        <v>#REF!</v>
      </c>
      <c r="L855" s="806" t="e">
        <f>#REF!</f>
        <v>#REF!</v>
      </c>
      <c r="M855" s="133"/>
      <c r="N855" s="1033"/>
      <c r="O855" s="999"/>
      <c r="P855" s="665"/>
      <c r="Q855" s="665"/>
    </row>
    <row r="856" spans="1:19" ht="13.2" x14ac:dyDescent="0.25">
      <c r="A856" s="665">
        <v>9</v>
      </c>
      <c r="B856" s="666"/>
      <c r="C856" s="665"/>
      <c r="D856" s="667"/>
      <c r="E856" s="668"/>
      <c r="F856" s="665"/>
      <c r="G856" s="113" t="s">
        <v>1589</v>
      </c>
      <c r="H856" s="310" t="e">
        <f>SUM(H867,H869,H872,H875,H879,H882,H885,H887,H890,H896,H898:H904,#REF!,H910:H912,H916,H918:H920,H922:H923,H925:H927,H931,H934,H936,H938,H941,H943)</f>
        <v>#REF!</v>
      </c>
      <c r="I856" s="113" t="e">
        <f>SUM(I867+I869+I872+I875+I879+I882+I885+I887+I890+I896+I898+I899+I900+I901+I902+I903+I904+#REF!+I909+I910+I911+I912+I916+I929+I931+I934+I936+I938+I941+I943+I947+I958)</f>
        <v>#REF!</v>
      </c>
      <c r="J856" s="113">
        <f>SUM(J867+J869+J872+J875+J879+J882+J885+J887+J890+J896+J898+J899+J900+J901+J902+J903+J904+J909+J910+J911+J912+J916+J929+J931+J934+J936+J938+J941+J943+J947+J958)</f>
        <v>809.70000000000016</v>
      </c>
      <c r="K856" s="113" t="e">
        <f>SUM(K867+K869+K872+K875+K879+K882+K885+K887+K890+K896+K898+K899+K900+K901+K902+K903+K904+#REF!+K909+K910+K911+K912+K916+K929+K931+K934+K936+K938+K941+K943+K947+K958)</f>
        <v>#REF!</v>
      </c>
      <c r="L856" s="806" t="e">
        <f>SUM(L867+L869+L872+L875+L879+L882+L885+L887+L890+L896+L898+L899+L900+L901+L902+L903+L904+#REF!+L909+L910+L911+L912+L916+L929+L931+L934+L936+L938+L941+L943+L947+L958)</f>
        <v>#REF!</v>
      </c>
      <c r="M856" s="133"/>
      <c r="N856" s="1033"/>
      <c r="O856" s="999"/>
      <c r="P856" s="665"/>
      <c r="Q856" s="665"/>
    </row>
    <row r="857" spans="1:19" ht="13.2" x14ac:dyDescent="0.25">
      <c r="A857" s="665">
        <v>9</v>
      </c>
      <c r="B857" s="666"/>
      <c r="C857" s="665"/>
      <c r="D857" s="667"/>
      <c r="E857" s="668"/>
      <c r="F857" s="665"/>
      <c r="G857" s="113" t="s">
        <v>1643</v>
      </c>
      <c r="H857" s="310">
        <f t="shared" ref="H857:L858" si="125">SUM(H894)</f>
        <v>6.7</v>
      </c>
      <c r="I857" s="113">
        <f t="shared" si="125"/>
        <v>6.9</v>
      </c>
      <c r="J857" s="113">
        <f t="shared" si="125"/>
        <v>7</v>
      </c>
      <c r="K857" s="113">
        <f t="shared" si="125"/>
        <v>7</v>
      </c>
      <c r="L857" s="806">
        <f t="shared" si="125"/>
        <v>7</v>
      </c>
      <c r="M857" s="133"/>
      <c r="N857" s="1033"/>
      <c r="O857" s="999"/>
      <c r="P857" s="665"/>
      <c r="Q857" s="665"/>
    </row>
    <row r="858" spans="1:19" ht="13.2" x14ac:dyDescent="0.25">
      <c r="A858" s="665">
        <v>9</v>
      </c>
      <c r="B858" s="666"/>
      <c r="C858" s="665"/>
      <c r="D858" s="667"/>
      <c r="E858" s="668"/>
      <c r="F858" s="665"/>
      <c r="G858" s="113" t="s">
        <v>1644</v>
      </c>
      <c r="H858" s="310">
        <f t="shared" si="125"/>
        <v>6.7</v>
      </c>
      <c r="I858" s="113">
        <f t="shared" si="125"/>
        <v>6.9</v>
      </c>
      <c r="J858" s="113">
        <f t="shared" si="125"/>
        <v>7</v>
      </c>
      <c r="K858" s="113">
        <f t="shared" si="125"/>
        <v>7</v>
      </c>
      <c r="L858" s="806">
        <f t="shared" si="125"/>
        <v>7</v>
      </c>
      <c r="M858" s="133"/>
      <c r="N858" s="1033"/>
      <c r="O858" s="999"/>
      <c r="P858" s="665"/>
      <c r="Q858" s="665"/>
    </row>
    <row r="859" spans="1:19" ht="20.399999999999999" x14ac:dyDescent="0.25">
      <c r="A859" s="665">
        <v>9</v>
      </c>
      <c r="B859" s="666"/>
      <c r="C859" s="665"/>
      <c r="D859" s="667"/>
      <c r="E859" s="668"/>
      <c r="F859" s="665"/>
      <c r="G859" s="113" t="s">
        <v>1645</v>
      </c>
      <c r="H859" s="310">
        <f>H945</f>
        <v>4.4000000000000004</v>
      </c>
      <c r="I859" s="113">
        <f>I945+I950+I939+I914</f>
        <v>1.2000000000000002</v>
      </c>
      <c r="J859" s="113">
        <f t="shared" ref="J859:L859" si="126">J945+J950+J939+J914</f>
        <v>0.60000000000000009</v>
      </c>
      <c r="K859" s="113">
        <f t="shared" si="126"/>
        <v>0</v>
      </c>
      <c r="L859" s="806">
        <f t="shared" si="126"/>
        <v>0</v>
      </c>
      <c r="M859" s="133"/>
      <c r="N859" s="1033"/>
      <c r="O859" s="999"/>
      <c r="P859" s="665"/>
      <c r="Q859" s="665"/>
    </row>
    <row r="860" spans="1:19" ht="20.399999999999999" x14ac:dyDescent="0.25">
      <c r="A860" s="665">
        <v>9</v>
      </c>
      <c r="B860" s="666"/>
      <c r="C860" s="665"/>
      <c r="D860" s="667"/>
      <c r="E860" s="668"/>
      <c r="F860" s="665"/>
      <c r="G860" s="113" t="s">
        <v>1646</v>
      </c>
      <c r="H860" s="310">
        <f>SUM(H913)</f>
        <v>1.2</v>
      </c>
      <c r="I860" s="113">
        <f>SUM(I913)</f>
        <v>0</v>
      </c>
      <c r="J860" s="113">
        <f t="shared" ref="J860:L860" si="127">SUM(J913)</f>
        <v>0</v>
      </c>
      <c r="K860" s="113">
        <f t="shared" si="127"/>
        <v>0</v>
      </c>
      <c r="L860" s="806">
        <f t="shared" si="127"/>
        <v>0</v>
      </c>
      <c r="M860" s="133"/>
      <c r="N860" s="1033"/>
      <c r="O860" s="999"/>
      <c r="P860" s="665"/>
      <c r="Q860" s="665"/>
    </row>
    <row r="861" spans="1:19" ht="20.399999999999999" x14ac:dyDescent="0.25">
      <c r="A861" s="665">
        <v>9</v>
      </c>
      <c r="B861" s="666"/>
      <c r="C861" s="665"/>
      <c r="D861" s="667"/>
      <c r="E861" s="668"/>
      <c r="F861" s="665"/>
      <c r="G861" s="113" t="s">
        <v>1647</v>
      </c>
      <c r="H861" s="310" t="e">
        <f>SUM(H907:H908,#REF!)</f>
        <v>#REF!</v>
      </c>
      <c r="I861" s="113">
        <f>SUM(I907:I908)</f>
        <v>158.19999999999999</v>
      </c>
      <c r="J861" s="113">
        <f t="shared" ref="J861:L861" si="128">SUM(J907:J908)</f>
        <v>0</v>
      </c>
      <c r="K861" s="113">
        <f t="shared" si="128"/>
        <v>0</v>
      </c>
      <c r="L861" s="806">
        <f t="shared" si="128"/>
        <v>0</v>
      </c>
      <c r="M861" s="133"/>
      <c r="N861" s="1033"/>
      <c r="O861" s="999"/>
      <c r="P861" s="665"/>
      <c r="Q861" s="665"/>
    </row>
    <row r="862" spans="1:19" ht="13.2" x14ac:dyDescent="0.25">
      <c r="A862" s="665">
        <v>9</v>
      </c>
      <c r="B862" s="666"/>
      <c r="C862" s="665"/>
      <c r="D862" s="667"/>
      <c r="E862" s="668"/>
      <c r="F862" s="665"/>
      <c r="G862" s="113" t="s">
        <v>1648</v>
      </c>
      <c r="H862" s="310"/>
      <c r="I862" s="113">
        <f>SUM(I952+I955+I960)</f>
        <v>12</v>
      </c>
      <c r="J862" s="113">
        <f t="shared" ref="J862:L863" si="129">SUM(J952+J955+J960)</f>
        <v>62.8</v>
      </c>
      <c r="K862" s="113">
        <f t="shared" si="129"/>
        <v>46.5</v>
      </c>
      <c r="L862" s="806">
        <f t="shared" si="129"/>
        <v>42.3</v>
      </c>
      <c r="M862" s="133"/>
      <c r="N862" s="1033"/>
      <c r="O862" s="999"/>
      <c r="P862" s="665"/>
      <c r="Q862" s="665"/>
    </row>
    <row r="863" spans="1:19" ht="20.399999999999999" x14ac:dyDescent="0.25">
      <c r="A863" s="665">
        <v>9</v>
      </c>
      <c r="B863" s="666"/>
      <c r="C863" s="665"/>
      <c r="D863" s="667"/>
      <c r="E863" s="668"/>
      <c r="F863" s="665"/>
      <c r="G863" s="113" t="s">
        <v>1649</v>
      </c>
      <c r="H863" s="310"/>
      <c r="I863" s="113">
        <f>SUM(I953+I956+I961)</f>
        <v>3</v>
      </c>
      <c r="J863" s="113">
        <f t="shared" si="129"/>
        <v>15.9</v>
      </c>
      <c r="K863" s="113">
        <f t="shared" si="129"/>
        <v>11</v>
      </c>
      <c r="L863" s="806">
        <f t="shared" si="129"/>
        <v>9.6000000000000014</v>
      </c>
      <c r="M863" s="133"/>
      <c r="N863" s="1033"/>
      <c r="O863" s="999"/>
      <c r="P863" s="665"/>
      <c r="Q863" s="665"/>
    </row>
    <row r="864" spans="1:19" ht="13.2" x14ac:dyDescent="0.25">
      <c r="A864" s="665">
        <v>9</v>
      </c>
      <c r="B864" s="666"/>
      <c r="C864" s="665"/>
      <c r="D864" s="667"/>
      <c r="E864" s="668"/>
      <c r="F864" s="665"/>
      <c r="G864" s="113" t="s">
        <v>1650</v>
      </c>
      <c r="H864" s="310"/>
      <c r="I864" s="113">
        <f>SUM(I877)</f>
        <v>0.3</v>
      </c>
      <c r="J864" s="113">
        <f t="shared" ref="J864:L864" si="130">SUM(J877)</f>
        <v>0.7</v>
      </c>
      <c r="K864" s="113">
        <f t="shared" si="130"/>
        <v>0</v>
      </c>
      <c r="L864" s="806">
        <f t="shared" si="130"/>
        <v>0</v>
      </c>
      <c r="M864" s="133"/>
      <c r="N864" s="1033"/>
      <c r="O864" s="999"/>
      <c r="P864" s="665"/>
      <c r="Q864" s="665"/>
    </row>
    <row r="865" spans="1:17" ht="13.2" x14ac:dyDescent="0.25">
      <c r="A865" s="665">
        <v>9</v>
      </c>
      <c r="B865" s="666"/>
      <c r="C865" s="665"/>
      <c r="D865" s="667"/>
      <c r="E865" s="668"/>
      <c r="F865" s="665"/>
      <c r="G865" s="113" t="s">
        <v>1926</v>
      </c>
      <c r="H865" s="310"/>
      <c r="I865" s="113"/>
      <c r="J865" s="113">
        <f>J892</f>
        <v>13.599999999999994</v>
      </c>
      <c r="K865" s="113"/>
      <c r="L865" s="806"/>
      <c r="M865" s="133"/>
      <c r="N865" s="1033"/>
      <c r="O865" s="999"/>
      <c r="P865" s="665"/>
      <c r="Q865" s="665"/>
    </row>
    <row r="866" spans="1:17" ht="13.2" x14ac:dyDescent="0.25">
      <c r="A866" s="665">
        <v>9</v>
      </c>
      <c r="B866" s="666"/>
      <c r="C866" s="665"/>
      <c r="D866" s="667"/>
      <c r="E866" s="668"/>
      <c r="F866" s="665"/>
      <c r="G866" s="306" t="s">
        <v>492</v>
      </c>
      <c r="H866" s="307" t="e">
        <f>SUM(H854:H861)</f>
        <v>#REF!</v>
      </c>
      <c r="I866" s="307" t="e">
        <f>SUM(I854:I864)</f>
        <v>#REF!</v>
      </c>
      <c r="J866" s="307">
        <f>SUM(J854:J865)</f>
        <v>2150.5</v>
      </c>
      <c r="K866" s="307" t="e">
        <f>SUM(K854:K864)</f>
        <v>#REF!</v>
      </c>
      <c r="L866" s="869" t="e">
        <f>SUM(L854:L864)</f>
        <v>#REF!</v>
      </c>
      <c r="M866" s="133"/>
      <c r="N866" s="1033"/>
      <c r="O866" s="999"/>
      <c r="P866" s="665"/>
      <c r="Q866" s="665"/>
    </row>
    <row r="867" spans="1:17" ht="27.6" customHeight="1" x14ac:dyDescent="0.25">
      <c r="A867" s="665">
        <v>9</v>
      </c>
      <c r="B867" s="666"/>
      <c r="C867" s="665" t="s">
        <v>1651</v>
      </c>
      <c r="D867" s="34" t="s">
        <v>399</v>
      </c>
      <c r="E867" s="68">
        <v>33</v>
      </c>
      <c r="F867" s="665" t="s">
        <v>400</v>
      </c>
      <c r="G867" s="78" t="s">
        <v>10</v>
      </c>
      <c r="H867" s="36">
        <v>1.1000000000000001</v>
      </c>
      <c r="I867" s="37">
        <v>1.2</v>
      </c>
      <c r="J867" s="98">
        <v>1.2</v>
      </c>
      <c r="K867" s="25">
        <v>1.2</v>
      </c>
      <c r="L867" s="26">
        <v>1.2</v>
      </c>
      <c r="M867" s="133"/>
      <c r="N867" s="1033" t="s">
        <v>1652</v>
      </c>
      <c r="O867" s="999" t="s">
        <v>1653</v>
      </c>
      <c r="P867" s="665">
        <v>1</v>
      </c>
      <c r="Q867" s="665"/>
    </row>
    <row r="868" spans="1:17" ht="12.75" customHeight="1" x14ac:dyDescent="0.25">
      <c r="A868" s="665">
        <v>9</v>
      </c>
      <c r="B868" s="666"/>
      <c r="C868" s="665"/>
      <c r="D868" s="34"/>
      <c r="E868" s="68">
        <v>33</v>
      </c>
      <c r="F868" s="665" t="s">
        <v>400</v>
      </c>
      <c r="G868" s="311" t="s">
        <v>492</v>
      </c>
      <c r="H868" s="104">
        <f>SUM(H867)</f>
        <v>1.1000000000000001</v>
      </c>
      <c r="I868" s="104">
        <f>SUM(I867)</f>
        <v>1.2</v>
      </c>
      <c r="J868" s="104">
        <f>SUM(J867)</f>
        <v>1.2</v>
      </c>
      <c r="K868" s="104">
        <f>SUM(K867)</f>
        <v>1.2</v>
      </c>
      <c r="L868" s="872">
        <f>SUM(L867)</f>
        <v>1.2</v>
      </c>
      <c r="M868" s="133"/>
      <c r="N868" s="1033"/>
      <c r="O868" s="999"/>
      <c r="P868" s="665"/>
      <c r="Q868" s="665"/>
    </row>
    <row r="869" spans="1:17" ht="30" customHeight="1" x14ac:dyDescent="0.25">
      <c r="A869" s="665">
        <v>9</v>
      </c>
      <c r="B869" s="666"/>
      <c r="C869" s="665" t="s">
        <v>1654</v>
      </c>
      <c r="D869" s="34" t="s">
        <v>401</v>
      </c>
      <c r="E869" s="68">
        <v>3</v>
      </c>
      <c r="F869" s="665" t="s">
        <v>402</v>
      </c>
      <c r="G869" s="78" t="s">
        <v>10</v>
      </c>
      <c r="H869" s="36">
        <v>17.8</v>
      </c>
      <c r="I869" s="37">
        <v>17.8</v>
      </c>
      <c r="J869" s="98">
        <v>17.8</v>
      </c>
      <c r="K869" s="25">
        <v>18.100000000000001</v>
      </c>
      <c r="L869" s="26">
        <v>18.2</v>
      </c>
      <c r="M869" s="133"/>
      <c r="N869" s="1033" t="s">
        <v>1655</v>
      </c>
      <c r="O869" s="999" t="s">
        <v>1653</v>
      </c>
      <c r="P869" s="665">
        <v>1</v>
      </c>
      <c r="Q869" s="665"/>
    </row>
    <row r="870" spans="1:17" ht="30" customHeight="1" x14ac:dyDescent="0.25">
      <c r="A870" s="665">
        <v>9</v>
      </c>
      <c r="B870" s="666"/>
      <c r="C870" s="665"/>
      <c r="D870" s="34"/>
      <c r="E870" s="68">
        <v>3</v>
      </c>
      <c r="F870" s="665" t="s">
        <v>402</v>
      </c>
      <c r="G870" s="78" t="s">
        <v>8</v>
      </c>
      <c r="H870" s="36">
        <v>30.8</v>
      </c>
      <c r="I870" s="37">
        <v>34.200000000000003</v>
      </c>
      <c r="J870" s="98">
        <v>43</v>
      </c>
      <c r="K870" s="25">
        <v>44.4</v>
      </c>
      <c r="L870" s="26">
        <v>45</v>
      </c>
      <c r="M870" s="133"/>
      <c r="N870" s="1033" t="s">
        <v>1655</v>
      </c>
      <c r="O870" s="999" t="s">
        <v>1653</v>
      </c>
      <c r="P870" s="665"/>
      <c r="Q870" s="665"/>
    </row>
    <row r="871" spans="1:17" ht="12.75" customHeight="1" x14ac:dyDescent="0.25">
      <c r="A871" s="665">
        <v>9</v>
      </c>
      <c r="B871" s="666"/>
      <c r="C871" s="665"/>
      <c r="D871" s="34"/>
      <c r="E871" s="68">
        <v>3</v>
      </c>
      <c r="F871" s="665" t="s">
        <v>402</v>
      </c>
      <c r="G871" s="311" t="s">
        <v>492</v>
      </c>
      <c r="H871" s="104">
        <f>SUM(H869+H870)</f>
        <v>48.6</v>
      </c>
      <c r="I871" s="104">
        <f>SUM(I869+I870)</f>
        <v>52</v>
      </c>
      <c r="J871" s="104">
        <f>SUM(J869+J870)</f>
        <v>60.8</v>
      </c>
      <c r="K871" s="104">
        <f>SUM(K869+K870)</f>
        <v>62.5</v>
      </c>
      <c r="L871" s="872">
        <f>SUM(L869+L870)</f>
        <v>63.2</v>
      </c>
      <c r="M871" s="133"/>
      <c r="N871" s="1033"/>
      <c r="O871" s="999"/>
      <c r="P871" s="665"/>
      <c r="Q871" s="665"/>
    </row>
    <row r="872" spans="1:17" ht="12.75" customHeight="1" x14ac:dyDescent="0.25">
      <c r="A872" s="665">
        <v>9</v>
      </c>
      <c r="B872" s="666"/>
      <c r="C872" s="665" t="s">
        <v>1656</v>
      </c>
      <c r="D872" s="34" t="s">
        <v>403</v>
      </c>
      <c r="E872" s="68">
        <v>16</v>
      </c>
      <c r="F872" s="665" t="s">
        <v>404</v>
      </c>
      <c r="G872" s="78" t="s">
        <v>10</v>
      </c>
      <c r="H872" s="36">
        <v>35.299999999999997</v>
      </c>
      <c r="I872" s="37">
        <v>20.2</v>
      </c>
      <c r="J872" s="98">
        <f>29.2+2.7</f>
        <v>31.9</v>
      </c>
      <c r="K872" s="25">
        <v>29.2</v>
      </c>
      <c r="L872" s="26">
        <v>29.2</v>
      </c>
      <c r="M872" s="133"/>
      <c r="N872" s="1033" t="s">
        <v>1657</v>
      </c>
      <c r="O872" s="999" t="s">
        <v>1653</v>
      </c>
      <c r="P872" s="665">
        <v>1</v>
      </c>
      <c r="Q872" s="665"/>
    </row>
    <row r="873" spans="1:17" ht="12.75" customHeight="1" x14ac:dyDescent="0.25">
      <c r="A873" s="665">
        <v>9</v>
      </c>
      <c r="B873" s="666"/>
      <c r="C873" s="665"/>
      <c r="D873" s="34"/>
      <c r="E873" s="68">
        <v>16</v>
      </c>
      <c r="F873" s="665" t="s">
        <v>404</v>
      </c>
      <c r="G873" s="78" t="s">
        <v>8</v>
      </c>
      <c r="H873" s="36">
        <v>6.6</v>
      </c>
      <c r="I873" s="37">
        <v>0.8</v>
      </c>
      <c r="J873" s="98">
        <f>6.9-1.7</f>
        <v>5.2</v>
      </c>
      <c r="K873" s="25">
        <v>8</v>
      </c>
      <c r="L873" s="26">
        <v>8.5</v>
      </c>
      <c r="M873" s="133"/>
      <c r="N873" s="1033" t="s">
        <v>1657</v>
      </c>
      <c r="O873" s="999" t="s">
        <v>1653</v>
      </c>
      <c r="P873" s="665"/>
      <c r="Q873" s="665"/>
    </row>
    <row r="874" spans="1:17" ht="13.2" x14ac:dyDescent="0.25">
      <c r="A874" s="665">
        <v>9</v>
      </c>
      <c r="B874" s="666"/>
      <c r="C874" s="665"/>
      <c r="D874" s="34"/>
      <c r="E874" s="68">
        <v>16</v>
      </c>
      <c r="F874" s="665" t="s">
        <v>404</v>
      </c>
      <c r="G874" s="311" t="s">
        <v>492</v>
      </c>
      <c r="H874" s="104">
        <f>SUM(H872+H873)</f>
        <v>41.9</v>
      </c>
      <c r="I874" s="104">
        <f>SUM(I872+I873)</f>
        <v>21</v>
      </c>
      <c r="J874" s="104">
        <f>SUM(J872+J873)</f>
        <v>37.1</v>
      </c>
      <c r="K874" s="104">
        <f>SUM(K872+K873)</f>
        <v>37.200000000000003</v>
      </c>
      <c r="L874" s="872">
        <f>SUM(L872+L873)</f>
        <v>37.700000000000003</v>
      </c>
      <c r="M874" s="133"/>
      <c r="N874" s="1033"/>
      <c r="O874" s="999"/>
      <c r="P874" s="665"/>
      <c r="Q874" s="665"/>
    </row>
    <row r="875" spans="1:17" ht="29.4" customHeight="1" x14ac:dyDescent="0.25">
      <c r="A875" s="665">
        <v>9</v>
      </c>
      <c r="B875" s="666"/>
      <c r="C875" s="665" t="s">
        <v>1658</v>
      </c>
      <c r="D875" s="34" t="s">
        <v>405</v>
      </c>
      <c r="E875" s="68">
        <v>3</v>
      </c>
      <c r="F875" s="665" t="s">
        <v>406</v>
      </c>
      <c r="G875" s="78" t="s">
        <v>10</v>
      </c>
      <c r="H875" s="36">
        <v>9</v>
      </c>
      <c r="I875" s="37">
        <v>9</v>
      </c>
      <c r="J875" s="98">
        <v>9</v>
      </c>
      <c r="K875" s="25">
        <v>9.1999999999999993</v>
      </c>
      <c r="L875" s="26">
        <v>9.3000000000000007</v>
      </c>
      <c r="M875" s="133"/>
      <c r="N875" s="1033" t="s">
        <v>1659</v>
      </c>
      <c r="O875" s="999" t="s">
        <v>1653</v>
      </c>
      <c r="P875" s="665"/>
      <c r="Q875" s="665"/>
    </row>
    <row r="876" spans="1:17" ht="12.75" customHeight="1" x14ac:dyDescent="0.25">
      <c r="A876" s="665">
        <v>9</v>
      </c>
      <c r="B876" s="666"/>
      <c r="C876" s="665"/>
      <c r="D876" s="34"/>
      <c r="E876" s="68">
        <v>3</v>
      </c>
      <c r="F876" s="665" t="s">
        <v>406</v>
      </c>
      <c r="G876" s="78" t="s">
        <v>8</v>
      </c>
      <c r="H876" s="36">
        <v>21.7</v>
      </c>
      <c r="I876" s="37">
        <v>29.4</v>
      </c>
      <c r="J876" s="98">
        <f>34.8-3</f>
        <v>31.799999999999997</v>
      </c>
      <c r="K876" s="25">
        <v>36</v>
      </c>
      <c r="L876" s="26">
        <v>36.5</v>
      </c>
      <c r="M876" s="133"/>
      <c r="N876" s="1033" t="s">
        <v>1659</v>
      </c>
      <c r="O876" s="999" t="s">
        <v>1653</v>
      </c>
      <c r="P876" s="665"/>
      <c r="Q876" s="665"/>
    </row>
    <row r="877" spans="1:17" ht="12.75" customHeight="1" x14ac:dyDescent="0.25">
      <c r="A877" s="665">
        <v>9</v>
      </c>
      <c r="B877" s="666"/>
      <c r="C877" s="665"/>
      <c r="D877" s="34"/>
      <c r="E877" s="68">
        <v>3</v>
      </c>
      <c r="F877" s="665" t="s">
        <v>406</v>
      </c>
      <c r="G877" s="78" t="s">
        <v>74</v>
      </c>
      <c r="H877" s="36"/>
      <c r="I877" s="37">
        <v>0.3</v>
      </c>
      <c r="J877" s="98">
        <v>0.7</v>
      </c>
      <c r="K877" s="25"/>
      <c r="L877" s="26"/>
      <c r="M877" s="133"/>
      <c r="N877" s="1033" t="s">
        <v>1659</v>
      </c>
      <c r="O877" s="999" t="s">
        <v>1653</v>
      </c>
      <c r="P877" s="665"/>
      <c r="Q877" s="665"/>
    </row>
    <row r="878" spans="1:17" ht="12.75" customHeight="1" x14ac:dyDescent="0.25">
      <c r="A878" s="665">
        <v>9</v>
      </c>
      <c r="B878" s="666"/>
      <c r="C878" s="665"/>
      <c r="D878" s="34"/>
      <c r="E878" s="68">
        <v>3</v>
      </c>
      <c r="F878" s="665" t="s">
        <v>406</v>
      </c>
      <c r="G878" s="311" t="s">
        <v>492</v>
      </c>
      <c r="H878" s="104">
        <f>SUM(H875+H876)</f>
        <v>30.7</v>
      </c>
      <c r="I878" s="104">
        <f>SUM(I875+I876+I877)</f>
        <v>38.699999999999996</v>
      </c>
      <c r="J878" s="104">
        <f>SUM(J875+J876)</f>
        <v>40.799999999999997</v>
      </c>
      <c r="K878" s="104">
        <f>SUM(K875+K876)</f>
        <v>45.2</v>
      </c>
      <c r="L878" s="872">
        <f>SUM(L875+L876)</f>
        <v>45.8</v>
      </c>
      <c r="M878" s="133"/>
      <c r="N878" s="1033"/>
      <c r="O878" s="999"/>
      <c r="P878" s="665"/>
      <c r="Q878" s="665"/>
    </row>
    <row r="879" spans="1:17" ht="24.6" customHeight="1" x14ac:dyDescent="0.25">
      <c r="A879" s="665">
        <v>9</v>
      </c>
      <c r="B879" s="666"/>
      <c r="C879" s="665" t="s">
        <v>1660</v>
      </c>
      <c r="D879" s="34" t="s">
        <v>407</v>
      </c>
      <c r="E879" s="68">
        <v>33</v>
      </c>
      <c r="F879" s="665" t="s">
        <v>408</v>
      </c>
      <c r="G879" s="78" t="s">
        <v>10</v>
      </c>
      <c r="H879" s="36">
        <v>35.299999999999997</v>
      </c>
      <c r="I879" s="37">
        <v>34.4</v>
      </c>
      <c r="J879" s="98">
        <v>34.200000000000003</v>
      </c>
      <c r="K879" s="25">
        <v>34.9</v>
      </c>
      <c r="L879" s="26">
        <v>35.200000000000003</v>
      </c>
      <c r="M879" s="133"/>
      <c r="N879" s="1033" t="s">
        <v>1661</v>
      </c>
      <c r="O879" s="999" t="s">
        <v>1653</v>
      </c>
      <c r="P879" s="665">
        <v>1</v>
      </c>
      <c r="Q879" s="665"/>
    </row>
    <row r="880" spans="1:17" ht="42" customHeight="1" x14ac:dyDescent="0.25">
      <c r="A880" s="665">
        <v>9</v>
      </c>
      <c r="B880" s="666"/>
      <c r="C880" s="665"/>
      <c r="D880" s="34"/>
      <c r="E880" s="68">
        <v>33</v>
      </c>
      <c r="F880" s="665" t="s">
        <v>408</v>
      </c>
      <c r="G880" s="78" t="s">
        <v>8</v>
      </c>
      <c r="H880" s="36">
        <v>66.2</v>
      </c>
      <c r="I880" s="37">
        <v>79.8</v>
      </c>
      <c r="J880" s="98">
        <f>96.7-5</f>
        <v>91.7</v>
      </c>
      <c r="K880" s="25">
        <v>100.8</v>
      </c>
      <c r="L880" s="26">
        <v>102.5</v>
      </c>
      <c r="M880" s="133"/>
      <c r="N880" s="1033" t="s">
        <v>1662</v>
      </c>
      <c r="O880" s="999" t="s">
        <v>1653</v>
      </c>
      <c r="P880" s="665"/>
      <c r="Q880" s="665"/>
    </row>
    <row r="881" spans="1:17" ht="13.2" x14ac:dyDescent="0.25">
      <c r="A881" s="665">
        <v>9</v>
      </c>
      <c r="B881" s="666"/>
      <c r="C881" s="665"/>
      <c r="D881" s="34"/>
      <c r="E881" s="68">
        <v>33</v>
      </c>
      <c r="F881" s="665" t="s">
        <v>408</v>
      </c>
      <c r="G881" s="311" t="s">
        <v>492</v>
      </c>
      <c r="H881" s="104">
        <f>SUM(H879+H880)</f>
        <v>101.5</v>
      </c>
      <c r="I881" s="104">
        <f>SUM(I879+I880)</f>
        <v>114.19999999999999</v>
      </c>
      <c r="J881" s="104">
        <f>SUM(J879+J880)</f>
        <v>125.9</v>
      </c>
      <c r="K881" s="104">
        <f>SUM(K879+K880)</f>
        <v>135.69999999999999</v>
      </c>
      <c r="L881" s="872">
        <f>SUM(L879+L880)</f>
        <v>137.69999999999999</v>
      </c>
      <c r="M881" s="133"/>
      <c r="N881" s="1033"/>
      <c r="O881" s="999"/>
      <c r="P881" s="665"/>
      <c r="Q881" s="665"/>
    </row>
    <row r="882" spans="1:17" ht="40.950000000000003" customHeight="1" x14ac:dyDescent="0.25">
      <c r="A882" s="665">
        <v>9</v>
      </c>
      <c r="B882" s="666"/>
      <c r="C882" s="665" t="s">
        <v>1663</v>
      </c>
      <c r="D882" s="34" t="s">
        <v>409</v>
      </c>
      <c r="E882" s="68">
        <v>36</v>
      </c>
      <c r="F882" s="665" t="s">
        <v>410</v>
      </c>
      <c r="G882" s="78" t="s">
        <v>10</v>
      </c>
      <c r="H882" s="36"/>
      <c r="I882" s="6">
        <v>65.900000000000006</v>
      </c>
      <c r="J882" s="98">
        <v>65.8</v>
      </c>
      <c r="K882" s="25">
        <v>65.8</v>
      </c>
      <c r="L882" s="26">
        <v>65.8</v>
      </c>
      <c r="M882" s="133"/>
      <c r="N882" s="1033" t="s">
        <v>1664</v>
      </c>
      <c r="O882" s="999" t="s">
        <v>1653</v>
      </c>
      <c r="P882" s="665">
        <v>1</v>
      </c>
      <c r="Q882" s="665"/>
    </row>
    <row r="883" spans="1:17" ht="20.399999999999999" x14ac:dyDescent="0.25">
      <c r="A883" s="665">
        <v>9</v>
      </c>
      <c r="B883" s="666"/>
      <c r="C883" s="665"/>
      <c r="D883" s="34"/>
      <c r="E883" s="68">
        <v>36</v>
      </c>
      <c r="F883" s="665" t="s">
        <v>410</v>
      </c>
      <c r="G883" s="78" t="s">
        <v>8</v>
      </c>
      <c r="H883" s="36"/>
      <c r="I883" s="6"/>
      <c r="J883" s="98">
        <f>28.8+16+1</f>
        <v>45.8</v>
      </c>
      <c r="K883" s="25">
        <v>31.9</v>
      </c>
      <c r="L883" s="26">
        <v>33.200000000000003</v>
      </c>
      <c r="M883" s="133"/>
      <c r="N883" s="1033" t="s">
        <v>1664</v>
      </c>
      <c r="O883" s="999" t="s">
        <v>1653</v>
      </c>
      <c r="P883" s="665">
        <v>1</v>
      </c>
      <c r="Q883" s="665"/>
    </row>
    <row r="884" spans="1:17" ht="12.75" customHeight="1" x14ac:dyDescent="0.25">
      <c r="A884" s="665">
        <v>9</v>
      </c>
      <c r="B884" s="666"/>
      <c r="C884" s="665"/>
      <c r="D884" s="34"/>
      <c r="E884" s="68">
        <v>36</v>
      </c>
      <c r="F884" s="665" t="s">
        <v>410</v>
      </c>
      <c r="G884" s="311" t="s">
        <v>492</v>
      </c>
      <c r="H884" s="104">
        <f>SUM(H882)</f>
        <v>0</v>
      </c>
      <c r="I884" s="104">
        <f>SUM(I882+I883)</f>
        <v>65.900000000000006</v>
      </c>
      <c r="J884" s="104">
        <f t="shared" ref="J884:L884" si="131">SUM(J882+J883)</f>
        <v>111.6</v>
      </c>
      <c r="K884" s="104">
        <f t="shared" si="131"/>
        <v>97.699999999999989</v>
      </c>
      <c r="L884" s="872">
        <f t="shared" si="131"/>
        <v>99</v>
      </c>
      <c r="M884" s="133"/>
      <c r="N884" s="1033"/>
      <c r="O884" s="999"/>
      <c r="P884" s="665"/>
      <c r="Q884" s="665"/>
    </row>
    <row r="885" spans="1:17" ht="48" customHeight="1" x14ac:dyDescent="0.25">
      <c r="A885" s="665">
        <v>9</v>
      </c>
      <c r="B885" s="666"/>
      <c r="C885" s="665" t="s">
        <v>1665</v>
      </c>
      <c r="D885" s="34" t="s">
        <v>411</v>
      </c>
      <c r="E885" s="68">
        <v>12</v>
      </c>
      <c r="F885" s="665" t="s">
        <v>412</v>
      </c>
      <c r="G885" s="78" t="s">
        <v>10</v>
      </c>
      <c r="H885" s="36">
        <v>9.6</v>
      </c>
      <c r="I885" s="6">
        <v>9.6999999999999993</v>
      </c>
      <c r="J885" s="98">
        <v>10.1</v>
      </c>
      <c r="K885" s="25">
        <v>10.1</v>
      </c>
      <c r="L885" s="26">
        <v>10.1</v>
      </c>
      <c r="M885" s="133"/>
      <c r="N885" s="1033" t="s">
        <v>1666</v>
      </c>
      <c r="O885" s="999" t="s">
        <v>1653</v>
      </c>
      <c r="P885" s="665">
        <v>1</v>
      </c>
      <c r="Q885" s="665"/>
    </row>
    <row r="886" spans="1:17" ht="12.75" customHeight="1" x14ac:dyDescent="0.25">
      <c r="A886" s="665">
        <v>9</v>
      </c>
      <c r="B886" s="666"/>
      <c r="C886" s="665"/>
      <c r="D886" s="34"/>
      <c r="E886" s="68">
        <v>12</v>
      </c>
      <c r="F886" s="665" t="s">
        <v>412</v>
      </c>
      <c r="G886" s="311" t="s">
        <v>492</v>
      </c>
      <c r="H886" s="104">
        <f>SUM(H885)</f>
        <v>9.6</v>
      </c>
      <c r="I886" s="104">
        <f>SUM(I885)</f>
        <v>9.6999999999999993</v>
      </c>
      <c r="J886" s="104">
        <f>SUM(J885)</f>
        <v>10.1</v>
      </c>
      <c r="K886" s="104">
        <f>SUM(K885)</f>
        <v>10.1</v>
      </c>
      <c r="L886" s="872">
        <f>SUM(L885)</f>
        <v>10.1</v>
      </c>
      <c r="M886" s="133"/>
      <c r="N886" s="1033"/>
      <c r="O886" s="999"/>
      <c r="P886" s="665"/>
      <c r="Q886" s="665"/>
    </row>
    <row r="887" spans="1:17" ht="12.75" customHeight="1" x14ac:dyDescent="0.25">
      <c r="A887" s="665">
        <v>9</v>
      </c>
      <c r="B887" s="666"/>
      <c r="C887" s="665" t="s">
        <v>1667</v>
      </c>
      <c r="D887" s="34" t="s">
        <v>413</v>
      </c>
      <c r="E887" s="68">
        <v>13</v>
      </c>
      <c r="F887" s="665" t="s">
        <v>414</v>
      </c>
      <c r="G887" s="78" t="s">
        <v>10</v>
      </c>
      <c r="H887" s="36">
        <v>25</v>
      </c>
      <c r="I887" s="37">
        <f>78.7-48.8</f>
        <v>29.900000000000006</v>
      </c>
      <c r="J887" s="98">
        <f>49.7-17.2+2.9</f>
        <v>35.4</v>
      </c>
      <c r="K887" s="25">
        <v>49.9</v>
      </c>
      <c r="L887" s="26">
        <v>50.1</v>
      </c>
      <c r="M887" s="133"/>
      <c r="N887" s="1033" t="s">
        <v>1668</v>
      </c>
      <c r="O887" s="999" t="s">
        <v>1653</v>
      </c>
      <c r="P887" s="665">
        <v>1</v>
      </c>
      <c r="Q887" s="665"/>
    </row>
    <row r="888" spans="1:17" ht="12.75" customHeight="1" x14ac:dyDescent="0.25">
      <c r="A888" s="665">
        <v>9</v>
      </c>
      <c r="B888" s="666"/>
      <c r="C888" s="665"/>
      <c r="D888" s="34"/>
      <c r="E888" s="68">
        <v>13</v>
      </c>
      <c r="F888" s="665" t="s">
        <v>414</v>
      </c>
      <c r="G888" s="78" t="s">
        <v>8</v>
      </c>
      <c r="H888" s="36">
        <v>1</v>
      </c>
      <c r="I888" s="37">
        <v>19.8</v>
      </c>
      <c r="J888" s="98">
        <f>18.7+10-10.3-1</f>
        <v>17.399999999999999</v>
      </c>
      <c r="K888" s="25">
        <v>19.5</v>
      </c>
      <c r="L888" s="26">
        <v>19.7</v>
      </c>
      <c r="M888" s="133"/>
      <c r="N888" s="1033" t="s">
        <v>1668</v>
      </c>
      <c r="O888" s="999" t="s">
        <v>1653</v>
      </c>
      <c r="P888" s="665"/>
      <c r="Q888" s="665"/>
    </row>
    <row r="889" spans="1:17" ht="13.2" x14ac:dyDescent="0.25">
      <c r="A889" s="665">
        <v>9</v>
      </c>
      <c r="B889" s="666"/>
      <c r="C889" s="665"/>
      <c r="D889" s="34"/>
      <c r="E889" s="68">
        <v>13</v>
      </c>
      <c r="F889" s="665" t="s">
        <v>414</v>
      </c>
      <c r="G889" s="311" t="s">
        <v>492</v>
      </c>
      <c r="H889" s="104">
        <f>SUM(H887+H888)</f>
        <v>26</v>
      </c>
      <c r="I889" s="104">
        <f>SUM(I887+I888)</f>
        <v>49.7</v>
      </c>
      <c r="J889" s="104">
        <f>SUM(J887+J888)</f>
        <v>52.8</v>
      </c>
      <c r="K889" s="104">
        <f>SUM(K887+K888)</f>
        <v>69.400000000000006</v>
      </c>
      <c r="L889" s="872">
        <f>SUM(L887+L888)</f>
        <v>69.8</v>
      </c>
      <c r="M889" s="133"/>
      <c r="N889" s="1033"/>
      <c r="O889" s="999"/>
      <c r="P889" s="665"/>
      <c r="Q889" s="665"/>
    </row>
    <row r="890" spans="1:17" ht="21" customHeight="1" x14ac:dyDescent="0.25">
      <c r="A890" s="665">
        <v>9</v>
      </c>
      <c r="B890" s="666"/>
      <c r="C890" s="665" t="s">
        <v>1669</v>
      </c>
      <c r="D890" s="34" t="s">
        <v>415</v>
      </c>
      <c r="E890" s="68">
        <v>13</v>
      </c>
      <c r="F890" s="665" t="s">
        <v>416</v>
      </c>
      <c r="G890" s="78" t="s">
        <v>10</v>
      </c>
      <c r="H890" s="36">
        <v>64</v>
      </c>
      <c r="I890" s="37">
        <v>71.2</v>
      </c>
      <c r="J890" s="98">
        <f>174.9-100+1.8</f>
        <v>76.7</v>
      </c>
      <c r="K890" s="25">
        <v>74.900000000000006</v>
      </c>
      <c r="L890" s="26">
        <v>74.900000000000006</v>
      </c>
      <c r="M890" s="133"/>
      <c r="N890" s="1035" t="s">
        <v>1670</v>
      </c>
      <c r="O890" s="999" t="s">
        <v>1653</v>
      </c>
      <c r="P890" s="665">
        <v>1</v>
      </c>
      <c r="Q890" s="736"/>
    </row>
    <row r="891" spans="1:17" ht="22.2" customHeight="1" x14ac:dyDescent="0.25">
      <c r="A891" s="665">
        <v>9</v>
      </c>
      <c r="B891" s="666"/>
      <c r="C891" s="665"/>
      <c r="D891" s="34"/>
      <c r="E891" s="68">
        <v>13</v>
      </c>
      <c r="F891" s="665" t="s">
        <v>416</v>
      </c>
      <c r="G891" s="78" t="s">
        <v>8</v>
      </c>
      <c r="H891" s="36">
        <v>22.7</v>
      </c>
      <c r="I891" s="37">
        <v>94.1</v>
      </c>
      <c r="J891" s="98">
        <f>154.7-100+30-30</f>
        <v>54.699999999999989</v>
      </c>
      <c r="K891" s="25">
        <v>26.6</v>
      </c>
      <c r="L891" s="26">
        <v>27</v>
      </c>
      <c r="M891" s="133"/>
      <c r="N891" s="1033" t="s">
        <v>1670</v>
      </c>
      <c r="O891" s="999" t="s">
        <v>1653</v>
      </c>
      <c r="P891" s="665"/>
      <c r="Q891" s="665"/>
    </row>
    <row r="892" spans="1:17" ht="22.2" customHeight="1" x14ac:dyDescent="0.25">
      <c r="A892" s="665">
        <v>9</v>
      </c>
      <c r="B892" s="666"/>
      <c r="C892" s="665"/>
      <c r="D892" s="34"/>
      <c r="E892" s="68">
        <v>13</v>
      </c>
      <c r="F892" s="665" t="s">
        <v>416</v>
      </c>
      <c r="G892" s="68" t="s">
        <v>1926</v>
      </c>
      <c r="H892" s="36"/>
      <c r="I892" s="37"/>
      <c r="J892" s="98">
        <f>100.6-87</f>
        <v>13.599999999999994</v>
      </c>
      <c r="K892" s="25"/>
      <c r="L892" s="26"/>
      <c r="M892" s="133"/>
      <c r="N892" s="1084" t="s">
        <v>1927</v>
      </c>
      <c r="O892" s="1084" t="s">
        <v>1928</v>
      </c>
      <c r="P892" s="1086">
        <v>5</v>
      </c>
      <c r="Q892" s="665"/>
    </row>
    <row r="893" spans="1:17" ht="12.75" customHeight="1" x14ac:dyDescent="0.25">
      <c r="A893" s="665">
        <v>9</v>
      </c>
      <c r="B893" s="666"/>
      <c r="C893" s="665"/>
      <c r="D893" s="34"/>
      <c r="E893" s="68">
        <v>13</v>
      </c>
      <c r="F893" s="665" t="s">
        <v>416</v>
      </c>
      <c r="G893" s="311" t="s">
        <v>492</v>
      </c>
      <c r="H893" s="104">
        <f>SUM(H890+H891)</f>
        <v>86.7</v>
      </c>
      <c r="I893" s="104">
        <f>SUM(I890+I891)</f>
        <v>165.3</v>
      </c>
      <c r="J893" s="104">
        <f>SUM(J890+J891)</f>
        <v>131.39999999999998</v>
      </c>
      <c r="K893" s="104">
        <f>SUM(K890+K891)</f>
        <v>101.5</v>
      </c>
      <c r="L893" s="872">
        <f>SUM(L890+L891)</f>
        <v>101.9</v>
      </c>
      <c r="M893" s="133"/>
      <c r="N893" s="1033"/>
      <c r="O893" s="999"/>
      <c r="P893" s="665"/>
      <c r="Q893" s="665"/>
    </row>
    <row r="894" spans="1:17" ht="12.75" customHeight="1" x14ac:dyDescent="0.25">
      <c r="A894" s="665">
        <v>9</v>
      </c>
      <c r="B894" s="666"/>
      <c r="C894" s="665" t="s">
        <v>1671</v>
      </c>
      <c r="D894" s="34" t="s">
        <v>417</v>
      </c>
      <c r="E894" s="68">
        <v>32</v>
      </c>
      <c r="F894" s="665" t="s">
        <v>418</v>
      </c>
      <c r="G894" s="54" t="s">
        <v>419</v>
      </c>
      <c r="H894" s="36">
        <v>6.7</v>
      </c>
      <c r="I894" s="37">
        <v>6.9</v>
      </c>
      <c r="J894" s="98">
        <v>7</v>
      </c>
      <c r="K894" s="25">
        <v>7</v>
      </c>
      <c r="L894" s="26">
        <v>7</v>
      </c>
      <c r="M894" s="133"/>
      <c r="N894" s="1186" t="s">
        <v>2050</v>
      </c>
      <c r="O894" s="999" t="s">
        <v>1672</v>
      </c>
      <c r="P894" s="665">
        <v>100</v>
      </c>
      <c r="Q894" s="665"/>
    </row>
    <row r="895" spans="1:17" ht="12.75" customHeight="1" x14ac:dyDescent="0.25">
      <c r="A895" s="665">
        <v>9</v>
      </c>
      <c r="B895" s="666"/>
      <c r="C895" s="665" t="s">
        <v>1671</v>
      </c>
      <c r="D895" s="34" t="s">
        <v>417</v>
      </c>
      <c r="E895" s="68">
        <v>32</v>
      </c>
      <c r="F895" s="665" t="s">
        <v>418</v>
      </c>
      <c r="G895" s="54" t="s">
        <v>420</v>
      </c>
      <c r="H895" s="36">
        <v>6.7</v>
      </c>
      <c r="I895" s="37">
        <v>6.9</v>
      </c>
      <c r="J895" s="98">
        <v>7</v>
      </c>
      <c r="K895" s="25">
        <v>7</v>
      </c>
      <c r="L895" s="26">
        <v>7</v>
      </c>
      <c r="M895" s="133"/>
      <c r="N895" s="1186" t="s">
        <v>2050</v>
      </c>
      <c r="O895" s="999" t="s">
        <v>1672</v>
      </c>
      <c r="P895" s="665"/>
      <c r="Q895" s="665"/>
    </row>
    <row r="896" spans="1:17" ht="12.75" customHeight="1" x14ac:dyDescent="0.25">
      <c r="A896" s="665">
        <v>9</v>
      </c>
      <c r="B896" s="666"/>
      <c r="C896" s="665" t="s">
        <v>1671</v>
      </c>
      <c r="D896" s="34" t="s">
        <v>417</v>
      </c>
      <c r="E896" s="68">
        <v>32</v>
      </c>
      <c r="F896" s="665" t="s">
        <v>418</v>
      </c>
      <c r="G896" s="78" t="s">
        <v>10</v>
      </c>
      <c r="H896" s="36">
        <v>104.9</v>
      </c>
      <c r="I896" s="37">
        <f>94.5+1.4</f>
        <v>95.9</v>
      </c>
      <c r="J896" s="98">
        <v>83.4</v>
      </c>
      <c r="K896" s="25">
        <v>87.6</v>
      </c>
      <c r="L896" s="26">
        <v>91.9</v>
      </c>
      <c r="M896" s="133"/>
      <c r="N896" s="1186" t="s">
        <v>2050</v>
      </c>
      <c r="O896" s="999" t="s">
        <v>1672</v>
      </c>
      <c r="P896" s="665"/>
      <c r="Q896" s="665"/>
    </row>
    <row r="897" spans="1:17" ht="12.75" customHeight="1" x14ac:dyDescent="0.25">
      <c r="A897" s="665">
        <v>9</v>
      </c>
      <c r="B897" s="666"/>
      <c r="C897" s="665" t="s">
        <v>1671</v>
      </c>
      <c r="D897" s="34" t="s">
        <v>417</v>
      </c>
      <c r="E897" s="68">
        <v>32</v>
      </c>
      <c r="F897" s="665" t="s">
        <v>418</v>
      </c>
      <c r="G897" s="78" t="s">
        <v>8</v>
      </c>
      <c r="H897" s="36">
        <v>96.1</v>
      </c>
      <c r="I897" s="37">
        <v>127</v>
      </c>
      <c r="J897" s="98">
        <f>189.9-6.3</f>
        <v>183.6</v>
      </c>
      <c r="K897" s="25">
        <v>200.5</v>
      </c>
      <c r="L897" s="26">
        <v>205.7</v>
      </c>
      <c r="M897" s="133"/>
      <c r="N897" s="1186" t="s">
        <v>2050</v>
      </c>
      <c r="O897" s="999" t="s">
        <v>1672</v>
      </c>
      <c r="P897" s="665"/>
      <c r="Q897" s="665"/>
    </row>
    <row r="898" spans="1:17" ht="12.75" customHeight="1" x14ac:dyDescent="0.25">
      <c r="A898" s="665">
        <v>9</v>
      </c>
      <c r="B898" s="666"/>
      <c r="C898" s="665" t="s">
        <v>1671</v>
      </c>
      <c r="D898" s="34" t="s">
        <v>417</v>
      </c>
      <c r="E898" s="1069">
        <v>19</v>
      </c>
      <c r="F898" s="665" t="s">
        <v>421</v>
      </c>
      <c r="G898" s="65" t="s">
        <v>10</v>
      </c>
      <c r="H898" s="36">
        <v>12</v>
      </c>
      <c r="I898" s="37">
        <f>11.6-3</f>
        <v>8.6</v>
      </c>
      <c r="J898" s="98">
        <v>11.8</v>
      </c>
      <c r="K898" s="25">
        <v>11.8</v>
      </c>
      <c r="L898" s="26">
        <v>11.8</v>
      </c>
      <c r="M898" s="133"/>
      <c r="N898" s="1033" t="s">
        <v>1673</v>
      </c>
      <c r="O898" s="999" t="s">
        <v>1674</v>
      </c>
      <c r="P898" s="665">
        <v>165</v>
      </c>
      <c r="Q898" s="665"/>
    </row>
    <row r="899" spans="1:17" ht="12.75" customHeight="1" x14ac:dyDescent="0.25">
      <c r="A899" s="665">
        <v>9</v>
      </c>
      <c r="B899" s="666"/>
      <c r="C899" s="665" t="s">
        <v>1671</v>
      </c>
      <c r="D899" s="34" t="s">
        <v>417</v>
      </c>
      <c r="E899" s="1069">
        <v>21</v>
      </c>
      <c r="F899" s="665" t="s">
        <v>422</v>
      </c>
      <c r="G899" s="78" t="s">
        <v>10</v>
      </c>
      <c r="H899" s="36">
        <v>20.7</v>
      </c>
      <c r="I899" s="37">
        <f>23.5-1.5</f>
        <v>22</v>
      </c>
      <c r="J899" s="98">
        <v>23.6</v>
      </c>
      <c r="K899" s="25">
        <v>23.6</v>
      </c>
      <c r="L899" s="26">
        <v>23.6</v>
      </c>
      <c r="M899" s="133"/>
      <c r="N899" s="1033" t="s">
        <v>1675</v>
      </c>
      <c r="O899" s="999" t="s">
        <v>1674</v>
      </c>
      <c r="P899" s="665">
        <v>500</v>
      </c>
      <c r="Q899" s="665"/>
    </row>
    <row r="900" spans="1:17" ht="12.75" customHeight="1" x14ac:dyDescent="0.25">
      <c r="A900" s="665">
        <v>9</v>
      </c>
      <c r="B900" s="666"/>
      <c r="C900" s="665" t="s">
        <v>1671</v>
      </c>
      <c r="D900" s="34" t="s">
        <v>417</v>
      </c>
      <c r="E900" s="1069">
        <v>24</v>
      </c>
      <c r="F900" s="665" t="s">
        <v>423</v>
      </c>
      <c r="G900" s="78" t="s">
        <v>10</v>
      </c>
      <c r="H900" s="36">
        <v>20.6</v>
      </c>
      <c r="I900" s="37">
        <v>25.5</v>
      </c>
      <c r="J900" s="98">
        <v>25.8</v>
      </c>
      <c r="K900" s="25">
        <v>25.8</v>
      </c>
      <c r="L900" s="26">
        <v>25.8</v>
      </c>
      <c r="M900" s="133"/>
      <c r="N900" s="1033" t="s">
        <v>1676</v>
      </c>
      <c r="O900" s="999" t="s">
        <v>1674</v>
      </c>
      <c r="P900" s="665">
        <v>395</v>
      </c>
      <c r="Q900" s="665"/>
    </row>
    <row r="901" spans="1:17" ht="12.75" customHeight="1" x14ac:dyDescent="0.25">
      <c r="A901" s="665">
        <v>9</v>
      </c>
      <c r="B901" s="666"/>
      <c r="C901" s="665" t="s">
        <v>1671</v>
      </c>
      <c r="D901" s="34" t="s">
        <v>417</v>
      </c>
      <c r="E901" s="1069">
        <v>26</v>
      </c>
      <c r="F901" s="665" t="s">
        <v>424</v>
      </c>
      <c r="G901" s="78" t="s">
        <v>10</v>
      </c>
      <c r="H901" s="36">
        <v>19</v>
      </c>
      <c r="I901" s="37">
        <f>21.4+1</f>
        <v>22.4</v>
      </c>
      <c r="J901" s="98">
        <v>23.6</v>
      </c>
      <c r="K901" s="25">
        <v>23.6</v>
      </c>
      <c r="L901" s="26">
        <v>23.6</v>
      </c>
      <c r="M901" s="133"/>
      <c r="N901" s="1033" t="s">
        <v>1677</v>
      </c>
      <c r="O901" s="999" t="s">
        <v>1678</v>
      </c>
      <c r="P901" s="665">
        <v>297</v>
      </c>
      <c r="Q901" s="665"/>
    </row>
    <row r="902" spans="1:17" ht="12.75" customHeight="1" x14ac:dyDescent="0.25">
      <c r="A902" s="665">
        <v>9</v>
      </c>
      <c r="B902" s="666"/>
      <c r="C902" s="665" t="s">
        <v>1671</v>
      </c>
      <c r="D902" s="34" t="s">
        <v>417</v>
      </c>
      <c r="E902" s="1069">
        <v>27</v>
      </c>
      <c r="F902" s="665" t="s">
        <v>425</v>
      </c>
      <c r="G902" s="78" t="s">
        <v>10</v>
      </c>
      <c r="H902" s="36">
        <v>16.5</v>
      </c>
      <c r="I902" s="37">
        <f>17.8+4.1</f>
        <v>21.9</v>
      </c>
      <c r="J902" s="98">
        <v>23.9</v>
      </c>
      <c r="K902" s="25">
        <v>23.9</v>
      </c>
      <c r="L902" s="26">
        <v>23.9</v>
      </c>
      <c r="M902" s="133"/>
      <c r="N902" s="1033" t="s">
        <v>1679</v>
      </c>
      <c r="O902" s="999" t="s">
        <v>1680</v>
      </c>
      <c r="P902" s="665">
        <v>400</v>
      </c>
      <c r="Q902" s="665"/>
    </row>
    <row r="903" spans="1:17" ht="12.75" customHeight="1" x14ac:dyDescent="0.25">
      <c r="A903" s="665">
        <v>9</v>
      </c>
      <c r="B903" s="666"/>
      <c r="C903" s="665" t="s">
        <v>1671</v>
      </c>
      <c r="D903" s="34" t="s">
        <v>417</v>
      </c>
      <c r="E903" s="1069">
        <v>28</v>
      </c>
      <c r="F903" s="665" t="s">
        <v>426</v>
      </c>
      <c r="G903" s="78" t="s">
        <v>10</v>
      </c>
      <c r="H903" s="36">
        <v>20.6</v>
      </c>
      <c r="I903" s="37">
        <f>22.1-1</f>
        <v>21.1</v>
      </c>
      <c r="J903" s="98">
        <v>23.6</v>
      </c>
      <c r="K903" s="25">
        <v>23.6</v>
      </c>
      <c r="L903" s="26">
        <v>23.6</v>
      </c>
      <c r="M903" s="133"/>
      <c r="N903" s="1033" t="s">
        <v>1681</v>
      </c>
      <c r="O903" s="999" t="s">
        <v>1682</v>
      </c>
      <c r="P903" s="665">
        <v>560</v>
      </c>
      <c r="Q903" s="665"/>
    </row>
    <row r="904" spans="1:17" ht="12.75" customHeight="1" x14ac:dyDescent="0.25">
      <c r="A904" s="665">
        <v>9</v>
      </c>
      <c r="B904" s="666"/>
      <c r="C904" s="665" t="s">
        <v>1671</v>
      </c>
      <c r="D904" s="34" t="s">
        <v>417</v>
      </c>
      <c r="E904" s="1069">
        <v>29</v>
      </c>
      <c r="F904" s="665" t="s">
        <v>427</v>
      </c>
      <c r="G904" s="78" t="s">
        <v>10</v>
      </c>
      <c r="H904" s="36">
        <v>21</v>
      </c>
      <c r="I904" s="37">
        <f>23.1-1</f>
        <v>22.1</v>
      </c>
      <c r="J904" s="98">
        <v>23.6</v>
      </c>
      <c r="K904" s="25">
        <v>23.6</v>
      </c>
      <c r="L904" s="26">
        <v>23.6</v>
      </c>
      <c r="M904" s="133"/>
      <c r="N904" s="1033" t="s">
        <v>1683</v>
      </c>
      <c r="O904" s="999" t="s">
        <v>1674</v>
      </c>
      <c r="P904" s="665">
        <v>594</v>
      </c>
      <c r="Q904" s="665"/>
    </row>
    <row r="905" spans="1:17" ht="13.2" x14ac:dyDescent="0.25">
      <c r="A905" s="665">
        <v>9</v>
      </c>
      <c r="B905" s="666"/>
      <c r="C905" s="665"/>
      <c r="D905" s="34"/>
      <c r="E905" s="62"/>
      <c r="F905" s="665"/>
      <c r="G905" s="311" t="s">
        <v>492</v>
      </c>
      <c r="H905" s="104">
        <f>SUM(H894:H904)</f>
        <v>344.8</v>
      </c>
      <c r="I905" s="104">
        <f>SUM(I894:I904)</f>
        <v>380.29999999999995</v>
      </c>
      <c r="J905" s="104">
        <f>SUM(J894:J904)</f>
        <v>436.90000000000009</v>
      </c>
      <c r="K905" s="104">
        <f>SUM(K894:K904)</f>
        <v>458.00000000000011</v>
      </c>
      <c r="L905" s="872">
        <f>SUM(L894:L904)</f>
        <v>467.50000000000011</v>
      </c>
      <c r="M905" s="133"/>
      <c r="N905" s="1033"/>
      <c r="O905" s="999"/>
      <c r="P905" s="665"/>
      <c r="Q905" s="665"/>
    </row>
    <row r="906" spans="1:17" ht="12.75" customHeight="1" x14ac:dyDescent="0.25">
      <c r="A906" s="665">
        <v>9</v>
      </c>
      <c r="B906" s="666"/>
      <c r="C906" s="665" t="s">
        <v>1684</v>
      </c>
      <c r="D906" s="34" t="s">
        <v>428</v>
      </c>
      <c r="E906" s="62">
        <v>7</v>
      </c>
      <c r="F906" s="665" t="s">
        <v>429</v>
      </c>
      <c r="G906" s="54" t="s">
        <v>8</v>
      </c>
      <c r="H906" s="36">
        <v>389.5</v>
      </c>
      <c r="I906" s="37">
        <v>709.6</v>
      </c>
      <c r="J906" s="98">
        <f>842-150</f>
        <v>692</v>
      </c>
      <c r="K906" s="15">
        <v>873.2</v>
      </c>
      <c r="L906" s="33">
        <v>863.9</v>
      </c>
      <c r="M906" s="133"/>
      <c r="N906" s="1033" t="s">
        <v>1685</v>
      </c>
      <c r="O906" s="999" t="s">
        <v>1074</v>
      </c>
      <c r="P906" s="665">
        <v>100</v>
      </c>
      <c r="Q906" s="665"/>
    </row>
    <row r="907" spans="1:17" ht="12.75" customHeight="1" x14ac:dyDescent="0.25">
      <c r="A907" s="665">
        <v>9</v>
      </c>
      <c r="B907" s="666"/>
      <c r="C907" s="665"/>
      <c r="D907" s="34"/>
      <c r="E907" s="62">
        <v>7</v>
      </c>
      <c r="F907" s="665" t="s">
        <v>429</v>
      </c>
      <c r="G907" s="78" t="s">
        <v>166</v>
      </c>
      <c r="H907" s="36">
        <v>126.7</v>
      </c>
      <c r="I907" s="37">
        <v>134</v>
      </c>
      <c r="J907" s="343"/>
      <c r="K907" s="6"/>
      <c r="L907" s="24"/>
      <c r="M907" s="133"/>
      <c r="N907" s="1033" t="s">
        <v>1685</v>
      </c>
      <c r="O907" s="999" t="s">
        <v>1074</v>
      </c>
      <c r="P907" s="665"/>
      <c r="Q907" s="665"/>
    </row>
    <row r="908" spans="1:17" ht="12.75" customHeight="1" x14ac:dyDescent="0.25">
      <c r="A908" s="665">
        <v>9</v>
      </c>
      <c r="B908" s="666"/>
      <c r="C908" s="665"/>
      <c r="D908" s="34"/>
      <c r="E908" s="62">
        <v>7</v>
      </c>
      <c r="F908" s="665" t="s">
        <v>429</v>
      </c>
      <c r="G908" s="78" t="s">
        <v>166</v>
      </c>
      <c r="H908" s="36">
        <v>16.5</v>
      </c>
      <c r="I908" s="37">
        <f>16.5+7.7</f>
        <v>24.2</v>
      </c>
      <c r="J908" s="343"/>
      <c r="K908" s="6"/>
      <c r="L908" s="24"/>
      <c r="M908" s="133"/>
      <c r="N908" s="1033" t="s">
        <v>1685</v>
      </c>
      <c r="O908" s="999" t="s">
        <v>1074</v>
      </c>
      <c r="P908" s="665"/>
      <c r="Q908" s="665"/>
    </row>
    <row r="909" spans="1:17" ht="12.75" customHeight="1" x14ac:dyDescent="0.25">
      <c r="A909" s="665">
        <v>9</v>
      </c>
      <c r="B909" s="666"/>
      <c r="C909" s="665"/>
      <c r="D909" s="34"/>
      <c r="E909" s="62">
        <v>7</v>
      </c>
      <c r="F909" s="665" t="s">
        <v>429</v>
      </c>
      <c r="G909" s="78" t="s">
        <v>10</v>
      </c>
      <c r="H909" s="36"/>
      <c r="I909" s="37"/>
      <c r="J909" s="313"/>
      <c r="K909" s="6"/>
      <c r="L909" s="24"/>
      <c r="M909" s="133"/>
      <c r="N909" s="1033" t="s">
        <v>1685</v>
      </c>
      <c r="O909" s="999" t="s">
        <v>1074</v>
      </c>
      <c r="P909" s="665"/>
      <c r="Q909" s="665"/>
    </row>
    <row r="910" spans="1:17" ht="12.75" customHeight="1" x14ac:dyDescent="0.25">
      <c r="A910" s="665">
        <v>9</v>
      </c>
      <c r="B910" s="666"/>
      <c r="C910" s="665"/>
      <c r="D910" s="674" t="s">
        <v>1686</v>
      </c>
      <c r="E910" s="62">
        <v>7</v>
      </c>
      <c r="F910" s="665" t="s">
        <v>429</v>
      </c>
      <c r="G910" s="54" t="s">
        <v>10</v>
      </c>
      <c r="H910" s="36">
        <v>8</v>
      </c>
      <c r="I910" s="37">
        <v>9.4</v>
      </c>
      <c r="J910" s="313">
        <f>11.1-0.6</f>
        <v>10.5</v>
      </c>
      <c r="K910" s="6">
        <v>11.1</v>
      </c>
      <c r="L910" s="24">
        <v>11.1</v>
      </c>
      <c r="M910" s="133"/>
      <c r="N910" s="1033" t="s">
        <v>1685</v>
      </c>
      <c r="O910" s="999" t="s">
        <v>1074</v>
      </c>
      <c r="P910" s="665"/>
      <c r="Q910" s="665"/>
    </row>
    <row r="911" spans="1:17" ht="12.75" customHeight="1" x14ac:dyDescent="0.25">
      <c r="A911" s="665">
        <v>9</v>
      </c>
      <c r="B911" s="666"/>
      <c r="C911" s="665"/>
      <c r="D911" s="674" t="s">
        <v>1687</v>
      </c>
      <c r="E911" s="62">
        <v>7</v>
      </c>
      <c r="F911" s="665" t="s">
        <v>429</v>
      </c>
      <c r="G911" s="54" t="s">
        <v>10</v>
      </c>
      <c r="H911" s="36">
        <v>47.7</v>
      </c>
      <c r="I911" s="37">
        <v>61.8</v>
      </c>
      <c r="J911" s="313">
        <v>63.7</v>
      </c>
      <c r="K911" s="6">
        <v>63.7</v>
      </c>
      <c r="L911" s="24">
        <v>63.7</v>
      </c>
      <c r="M911" s="133"/>
      <c r="N911" s="1033" t="s">
        <v>1685</v>
      </c>
      <c r="O911" s="999" t="s">
        <v>1074</v>
      </c>
      <c r="P911" s="665"/>
      <c r="Q911" s="665"/>
    </row>
    <row r="912" spans="1:17" ht="12.75" customHeight="1" x14ac:dyDescent="0.25">
      <c r="A912" s="665">
        <v>9</v>
      </c>
      <c r="B912" s="666"/>
      <c r="C912" s="665"/>
      <c r="D912" s="674" t="s">
        <v>1688</v>
      </c>
      <c r="E912" s="62">
        <v>7</v>
      </c>
      <c r="F912" s="665" t="s">
        <v>429</v>
      </c>
      <c r="G912" s="54" t="s">
        <v>10</v>
      </c>
      <c r="H912" s="36">
        <v>37.6</v>
      </c>
      <c r="I912" s="37">
        <v>41.5</v>
      </c>
      <c r="J912" s="313">
        <f>47-3.3</f>
        <v>43.7</v>
      </c>
      <c r="K912" s="6">
        <v>47</v>
      </c>
      <c r="L912" s="24">
        <v>47</v>
      </c>
      <c r="M912" s="133"/>
      <c r="N912" s="1033" t="s">
        <v>1685</v>
      </c>
      <c r="O912" s="999" t="s">
        <v>1074</v>
      </c>
      <c r="P912" s="665"/>
      <c r="Q912" s="665"/>
    </row>
    <row r="913" spans="1:17" ht="12.75" customHeight="1" x14ac:dyDescent="0.25">
      <c r="A913" s="665">
        <v>9</v>
      </c>
      <c r="B913" s="666"/>
      <c r="C913" s="665"/>
      <c r="D913" s="34"/>
      <c r="E913" s="62">
        <v>7</v>
      </c>
      <c r="F913" s="665" t="s">
        <v>429</v>
      </c>
      <c r="G913" s="62" t="s">
        <v>596</v>
      </c>
      <c r="H913" s="36">
        <v>1.2</v>
      </c>
      <c r="I913" s="37"/>
      <c r="J913" s="343">
        <f>0.4+0.4-0.8</f>
        <v>0</v>
      </c>
      <c r="K913" s="6"/>
      <c r="L913" s="24"/>
      <c r="M913" s="133"/>
      <c r="N913" s="1033" t="s">
        <v>1685</v>
      </c>
      <c r="O913" s="999" t="s">
        <v>1074</v>
      </c>
      <c r="P913" s="665"/>
      <c r="Q913" s="665"/>
    </row>
    <row r="914" spans="1:17" ht="12.75" customHeight="1" x14ac:dyDescent="0.25">
      <c r="A914" s="665">
        <v>9</v>
      </c>
      <c r="B914" s="666"/>
      <c r="C914" s="665"/>
      <c r="D914" s="34"/>
      <c r="E914" s="62">
        <v>7</v>
      </c>
      <c r="F914" s="665" t="s">
        <v>429</v>
      </c>
      <c r="G914" s="62" t="s">
        <v>613</v>
      </c>
      <c r="H914" s="36"/>
      <c r="I914" s="37">
        <v>0.3</v>
      </c>
      <c r="J914" s="98">
        <f>0.1+0.1+0.1</f>
        <v>0.30000000000000004</v>
      </c>
      <c r="K914" s="6"/>
      <c r="L914" s="24"/>
      <c r="M914" s="133"/>
      <c r="N914" s="1033" t="s">
        <v>1685</v>
      </c>
      <c r="O914" s="999" t="s">
        <v>1074</v>
      </c>
      <c r="P914" s="665"/>
      <c r="Q914" s="665"/>
    </row>
    <row r="915" spans="1:17" ht="13.2" x14ac:dyDescent="0.25">
      <c r="A915" s="665">
        <v>9</v>
      </c>
      <c r="B915" s="666"/>
      <c r="C915" s="665"/>
      <c r="D915" s="34"/>
      <c r="E915" s="62">
        <v>7</v>
      </c>
      <c r="F915" s="665" t="s">
        <v>429</v>
      </c>
      <c r="G915" s="311" t="s">
        <v>492</v>
      </c>
      <c r="H915" s="104">
        <f>SUM(H906:H913)</f>
        <v>627.20000000000016</v>
      </c>
      <c r="I915" s="104">
        <f>SUM(I906:I914)</f>
        <v>980.8</v>
      </c>
      <c r="J915" s="104">
        <f t="shared" ref="J915:L915" si="132">SUM(J906:J914)</f>
        <v>810.2</v>
      </c>
      <c r="K915" s="104">
        <f t="shared" si="132"/>
        <v>995.00000000000011</v>
      </c>
      <c r="L915" s="872">
        <f t="shared" si="132"/>
        <v>985.7</v>
      </c>
      <c r="M915" s="133"/>
      <c r="N915" s="1033"/>
      <c r="O915" s="999"/>
      <c r="P915" s="665"/>
      <c r="Q915" s="665"/>
    </row>
    <row r="916" spans="1:17" ht="20.399999999999999" x14ac:dyDescent="0.25">
      <c r="A916" s="665">
        <v>9</v>
      </c>
      <c r="B916" s="666"/>
      <c r="C916" s="665" t="s">
        <v>1689</v>
      </c>
      <c r="D916" s="34" t="s">
        <v>434</v>
      </c>
      <c r="E916" s="62">
        <v>6</v>
      </c>
      <c r="F916" s="665" t="s">
        <v>435</v>
      </c>
      <c r="G916" s="54" t="s">
        <v>10</v>
      </c>
      <c r="H916" s="36">
        <v>0.6</v>
      </c>
      <c r="I916" s="6">
        <v>0.7</v>
      </c>
      <c r="J916" s="98">
        <v>0.7</v>
      </c>
      <c r="K916" s="25">
        <v>0.7</v>
      </c>
      <c r="L916" s="26">
        <v>0.7</v>
      </c>
      <c r="M916" s="133"/>
      <c r="N916" s="1033" t="s">
        <v>1690</v>
      </c>
      <c r="O916" s="999" t="s">
        <v>1653</v>
      </c>
      <c r="P916" s="665">
        <v>1</v>
      </c>
      <c r="Q916" s="665"/>
    </row>
    <row r="917" spans="1:17" ht="12.75" customHeight="1" x14ac:dyDescent="0.25">
      <c r="A917" s="665">
        <v>9</v>
      </c>
      <c r="B917" s="666"/>
      <c r="C917" s="665"/>
      <c r="D917" s="34"/>
      <c r="E917" s="62">
        <v>6</v>
      </c>
      <c r="F917" s="665" t="s">
        <v>435</v>
      </c>
      <c r="G917" s="311" t="s">
        <v>492</v>
      </c>
      <c r="H917" s="104">
        <f>SUM(H916)</f>
        <v>0.6</v>
      </c>
      <c r="I917" s="104">
        <f>SUM(I916)</f>
        <v>0.7</v>
      </c>
      <c r="J917" s="104">
        <f>SUM(J916)</f>
        <v>0.7</v>
      </c>
      <c r="K917" s="104">
        <f>SUM(K916)</f>
        <v>0.7</v>
      </c>
      <c r="L917" s="872">
        <f>SUM(L916)</f>
        <v>0.7</v>
      </c>
      <c r="M917" s="133"/>
      <c r="N917" s="1033"/>
      <c r="O917" s="999"/>
      <c r="P917" s="665"/>
      <c r="Q917" s="665"/>
    </row>
    <row r="918" spans="1:17" ht="12.75" customHeight="1" x14ac:dyDescent="0.25">
      <c r="A918" s="665">
        <v>9</v>
      </c>
      <c r="B918" s="666"/>
      <c r="C918" s="665" t="s">
        <v>1691</v>
      </c>
      <c r="D918" s="34" t="s">
        <v>1692</v>
      </c>
      <c r="E918" s="1069" t="s">
        <v>301</v>
      </c>
      <c r="F918" s="665" t="s">
        <v>436</v>
      </c>
      <c r="G918" s="42" t="s">
        <v>10</v>
      </c>
      <c r="H918" s="36">
        <v>0.2</v>
      </c>
      <c r="I918" s="37">
        <v>0.2</v>
      </c>
      <c r="J918" s="98">
        <v>0.2</v>
      </c>
      <c r="K918" s="25">
        <v>0.2</v>
      </c>
      <c r="L918" s="26">
        <v>0.2</v>
      </c>
      <c r="M918" s="133"/>
      <c r="N918" s="1033" t="s">
        <v>1693</v>
      </c>
      <c r="O918" s="999" t="s">
        <v>1653</v>
      </c>
      <c r="P918" s="665">
        <v>1</v>
      </c>
      <c r="Q918" s="665"/>
    </row>
    <row r="919" spans="1:17" ht="12.75" customHeight="1" x14ac:dyDescent="0.25">
      <c r="A919" s="665">
        <v>9</v>
      </c>
      <c r="B919" s="666"/>
      <c r="C919" s="665" t="s">
        <v>1691</v>
      </c>
      <c r="D919" s="34" t="s">
        <v>1692</v>
      </c>
      <c r="E919" s="1069" t="s">
        <v>430</v>
      </c>
      <c r="F919" s="665" t="s">
        <v>437</v>
      </c>
      <c r="G919" s="42" t="s">
        <v>10</v>
      </c>
      <c r="H919" s="36">
        <v>1</v>
      </c>
      <c r="I919" s="37">
        <v>1.1000000000000001</v>
      </c>
      <c r="J919" s="98">
        <v>2</v>
      </c>
      <c r="K919" s="25">
        <v>2</v>
      </c>
      <c r="L919" s="26">
        <v>2</v>
      </c>
      <c r="M919" s="133"/>
      <c r="N919" s="1036" t="s">
        <v>1694</v>
      </c>
      <c r="O919" s="999" t="s">
        <v>1653</v>
      </c>
      <c r="P919" s="665">
        <v>1</v>
      </c>
      <c r="Q919" s="665"/>
    </row>
    <row r="920" spans="1:17" ht="12.75" customHeight="1" x14ac:dyDescent="0.25">
      <c r="A920" s="665">
        <v>9</v>
      </c>
      <c r="B920" s="666"/>
      <c r="C920" s="665" t="s">
        <v>1691</v>
      </c>
      <c r="D920" s="34" t="s">
        <v>1692</v>
      </c>
      <c r="E920" s="1069" t="s">
        <v>302</v>
      </c>
      <c r="F920" s="665" t="s">
        <v>438</v>
      </c>
      <c r="G920" s="42" t="s">
        <v>10</v>
      </c>
      <c r="H920" s="36">
        <v>0.2</v>
      </c>
      <c r="I920" s="37">
        <v>0.3</v>
      </c>
      <c r="J920" s="98">
        <v>0.1</v>
      </c>
      <c r="K920" s="25">
        <v>0.1</v>
      </c>
      <c r="L920" s="26">
        <v>0.1</v>
      </c>
      <c r="M920" s="133"/>
      <c r="N920" s="1037" t="s">
        <v>1852</v>
      </c>
      <c r="O920" s="999" t="s">
        <v>1653</v>
      </c>
      <c r="P920" s="665">
        <v>1</v>
      </c>
      <c r="Q920" s="665"/>
    </row>
    <row r="921" spans="1:17" ht="12.75" customHeight="1" x14ac:dyDescent="0.25">
      <c r="A921" s="665">
        <v>9</v>
      </c>
      <c r="B921" s="666"/>
      <c r="C921" s="665" t="s">
        <v>1691</v>
      </c>
      <c r="D921" s="34" t="s">
        <v>1692</v>
      </c>
      <c r="E921" s="1069" t="s">
        <v>304</v>
      </c>
      <c r="F921" s="665" t="s">
        <v>439</v>
      </c>
      <c r="G921" s="42" t="s">
        <v>8</v>
      </c>
      <c r="H921" s="36">
        <v>21.4</v>
      </c>
      <c r="I921" s="37">
        <v>22.2</v>
      </c>
      <c r="J921" s="98">
        <f>24.3+1</f>
        <v>25.3</v>
      </c>
      <c r="K921" s="25">
        <v>25.5</v>
      </c>
      <c r="L921" s="26">
        <v>26</v>
      </c>
      <c r="M921" s="133"/>
      <c r="N921" s="1036" t="s">
        <v>1695</v>
      </c>
      <c r="O921" s="999" t="s">
        <v>1653</v>
      </c>
      <c r="P921" s="665">
        <v>1</v>
      </c>
      <c r="Q921" s="665"/>
    </row>
    <row r="922" spans="1:17" ht="12.75" customHeight="1" x14ac:dyDescent="0.25">
      <c r="A922" s="665">
        <v>9</v>
      </c>
      <c r="B922" s="666"/>
      <c r="C922" s="665" t="s">
        <v>1691</v>
      </c>
      <c r="D922" s="34" t="s">
        <v>1692</v>
      </c>
      <c r="E922" s="1069" t="s">
        <v>431</v>
      </c>
      <c r="F922" s="665" t="s">
        <v>440</v>
      </c>
      <c r="G922" s="42" t="s">
        <v>10</v>
      </c>
      <c r="H922" s="36">
        <v>0.2</v>
      </c>
      <c r="I922" s="37">
        <v>0.2</v>
      </c>
      <c r="J922" s="98">
        <v>0.1</v>
      </c>
      <c r="K922" s="25">
        <v>0.1</v>
      </c>
      <c r="L922" s="26">
        <v>0.1</v>
      </c>
      <c r="M922" s="133"/>
      <c r="N922" s="1038" t="s">
        <v>1696</v>
      </c>
      <c r="O922" s="999" t="s">
        <v>1653</v>
      </c>
      <c r="P922" s="665">
        <v>1</v>
      </c>
      <c r="Q922" s="665"/>
    </row>
    <row r="923" spans="1:17" ht="21.75" customHeight="1" x14ac:dyDescent="0.25">
      <c r="A923" s="665">
        <v>9</v>
      </c>
      <c r="B923" s="666"/>
      <c r="C923" s="665" t="s">
        <v>1691</v>
      </c>
      <c r="D923" s="34" t="s">
        <v>1692</v>
      </c>
      <c r="E923" s="1069" t="s">
        <v>432</v>
      </c>
      <c r="F923" s="665" t="s">
        <v>441</v>
      </c>
      <c r="G923" s="42" t="s">
        <v>10</v>
      </c>
      <c r="H923" s="36">
        <v>1.1000000000000001</v>
      </c>
      <c r="I923" s="37">
        <v>1.1000000000000001</v>
      </c>
      <c r="J923" s="98">
        <v>2</v>
      </c>
      <c r="K923" s="25">
        <v>2</v>
      </c>
      <c r="L923" s="26">
        <v>2</v>
      </c>
      <c r="M923" s="133"/>
      <c r="N923" s="1039" t="s">
        <v>1697</v>
      </c>
      <c r="O923" s="999" t="s">
        <v>1653</v>
      </c>
      <c r="P923" s="665">
        <v>1</v>
      </c>
      <c r="Q923" s="665"/>
    </row>
    <row r="924" spans="1:17" ht="12.75" customHeight="1" x14ac:dyDescent="0.25">
      <c r="A924" s="665">
        <v>9</v>
      </c>
      <c r="B924" s="666"/>
      <c r="C924" s="665" t="s">
        <v>1691</v>
      </c>
      <c r="D924" s="34" t="s">
        <v>1692</v>
      </c>
      <c r="E924" s="1069" t="s">
        <v>307</v>
      </c>
      <c r="F924" s="665" t="s">
        <v>442</v>
      </c>
      <c r="G924" s="42" t="s">
        <v>8</v>
      </c>
      <c r="H924" s="36">
        <v>10</v>
      </c>
      <c r="I924" s="37">
        <v>11.8</v>
      </c>
      <c r="J924" s="98">
        <f>11.8+1</f>
        <v>12.8</v>
      </c>
      <c r="K924" s="25">
        <v>12.4</v>
      </c>
      <c r="L924" s="26">
        <v>12.6</v>
      </c>
      <c r="M924" s="133"/>
      <c r="N924" s="1033" t="s">
        <v>1698</v>
      </c>
      <c r="O924" s="999" t="s">
        <v>1653</v>
      </c>
      <c r="P924" s="665">
        <v>1</v>
      </c>
      <c r="Q924" s="665"/>
    </row>
    <row r="925" spans="1:17" ht="12.75" customHeight="1" x14ac:dyDescent="0.25">
      <c r="A925" s="665">
        <v>9</v>
      </c>
      <c r="B925" s="666"/>
      <c r="C925" s="665" t="s">
        <v>1691</v>
      </c>
      <c r="D925" s="34" t="s">
        <v>1692</v>
      </c>
      <c r="E925" s="1069" t="s">
        <v>433</v>
      </c>
      <c r="F925" s="665" t="s">
        <v>443</v>
      </c>
      <c r="G925" s="42" t="s">
        <v>10</v>
      </c>
      <c r="H925" s="36">
        <v>2.7</v>
      </c>
      <c r="I925" s="37">
        <v>2.8</v>
      </c>
      <c r="J925" s="98">
        <v>2</v>
      </c>
      <c r="K925" s="25">
        <v>2</v>
      </c>
      <c r="L925" s="26">
        <v>2</v>
      </c>
      <c r="M925" s="133"/>
      <c r="N925" s="1040" t="s">
        <v>1699</v>
      </c>
      <c r="O925" s="999" t="s">
        <v>1653</v>
      </c>
      <c r="P925" s="665">
        <v>1</v>
      </c>
      <c r="Q925" s="665"/>
    </row>
    <row r="926" spans="1:17" ht="12.75" customHeight="1" x14ac:dyDescent="0.25">
      <c r="A926" s="665">
        <v>9</v>
      </c>
      <c r="B926" s="666"/>
      <c r="C926" s="665" t="s">
        <v>1691</v>
      </c>
      <c r="D926" s="34" t="s">
        <v>1692</v>
      </c>
      <c r="E926" s="1069" t="s">
        <v>309</v>
      </c>
      <c r="F926" s="665" t="s">
        <v>444</v>
      </c>
      <c r="G926" s="42" t="s">
        <v>10</v>
      </c>
      <c r="H926" s="36">
        <v>0.3</v>
      </c>
      <c r="I926" s="37">
        <v>0.4</v>
      </c>
      <c r="J926" s="98">
        <v>0.3</v>
      </c>
      <c r="K926" s="25">
        <v>0.3</v>
      </c>
      <c r="L926" s="26">
        <v>0.3</v>
      </c>
      <c r="M926" s="133"/>
      <c r="N926" s="820" t="s">
        <v>1700</v>
      </c>
      <c r="O926" s="999" t="s">
        <v>1653</v>
      </c>
      <c r="P926" s="665">
        <v>1</v>
      </c>
      <c r="Q926" s="665"/>
    </row>
    <row r="927" spans="1:17" ht="13.2" x14ac:dyDescent="0.25">
      <c r="A927" s="665">
        <v>9</v>
      </c>
      <c r="B927" s="666"/>
      <c r="C927" s="665" t="s">
        <v>1691</v>
      </c>
      <c r="D927" s="34" t="s">
        <v>1692</v>
      </c>
      <c r="E927" s="1069" t="s">
        <v>311</v>
      </c>
      <c r="F927" s="665" t="s">
        <v>445</v>
      </c>
      <c r="G927" s="42" t="s">
        <v>10</v>
      </c>
      <c r="H927" s="36">
        <v>1.1000000000000001</v>
      </c>
      <c r="I927" s="37">
        <v>1.1000000000000001</v>
      </c>
      <c r="J927" s="98">
        <v>0.8</v>
      </c>
      <c r="K927" s="25">
        <v>0.8</v>
      </c>
      <c r="L927" s="26">
        <v>0.8</v>
      </c>
      <c r="M927" s="133"/>
      <c r="N927" s="1041" t="s">
        <v>1701</v>
      </c>
      <c r="O927" s="999" t="s">
        <v>1653</v>
      </c>
      <c r="P927" s="665">
        <v>1</v>
      </c>
      <c r="Q927" s="665"/>
    </row>
    <row r="928" spans="1:17" ht="13.2" x14ac:dyDescent="0.25">
      <c r="A928" s="665">
        <v>9</v>
      </c>
      <c r="B928" s="666"/>
      <c r="C928" s="665"/>
      <c r="D928" s="34"/>
      <c r="E928" s="62"/>
      <c r="F928" s="665"/>
      <c r="G928" s="312" t="s">
        <v>1588</v>
      </c>
      <c r="H928" s="213">
        <f>SUM(H921+H924)</f>
        <v>31.4</v>
      </c>
      <c r="I928" s="113">
        <f>SUM(I921+I924)</f>
        <v>34</v>
      </c>
      <c r="J928" s="213">
        <f>SUM(J921+J924)</f>
        <v>38.1</v>
      </c>
      <c r="K928" s="213">
        <f>SUM(K921+K924)</f>
        <v>37.9</v>
      </c>
      <c r="L928" s="824">
        <f>SUM(L921+L924)</f>
        <v>38.6</v>
      </c>
      <c r="M928" s="133"/>
      <c r="N928" s="1033"/>
      <c r="O928" s="999"/>
      <c r="P928" s="665"/>
      <c r="Q928" s="665"/>
    </row>
    <row r="929" spans="1:17" ht="12.75" customHeight="1" x14ac:dyDescent="0.25">
      <c r="A929" s="665">
        <v>9</v>
      </c>
      <c r="B929" s="666"/>
      <c r="C929" s="665"/>
      <c r="D929" s="34"/>
      <c r="E929" s="62"/>
      <c r="F929" s="665"/>
      <c r="G929" s="312" t="s">
        <v>1589</v>
      </c>
      <c r="H929" s="213">
        <f>SUM(H918+H919+H920+H922+H923+H925+H926+H927)</f>
        <v>6.8000000000000007</v>
      </c>
      <c r="I929" s="113">
        <f>SUM(I918+I919+I920+I922+I923+I925+I926+I927)</f>
        <v>7.2000000000000011</v>
      </c>
      <c r="J929" s="213">
        <f>SUM(J918+J919+J920+J922+J923+J925+J926+J927)</f>
        <v>7.5</v>
      </c>
      <c r="K929" s="213">
        <f>SUM(K918+K919+K920+K922+K923+K925+K926+K927)</f>
        <v>7.5</v>
      </c>
      <c r="L929" s="824">
        <f>SUM(L918+L919+L920+L922+L923+L925+L926+L927)</f>
        <v>7.5</v>
      </c>
      <c r="M929" s="133"/>
      <c r="N929" s="1033"/>
      <c r="O929" s="999"/>
      <c r="P929" s="665"/>
      <c r="Q929" s="665"/>
    </row>
    <row r="930" spans="1:17" ht="12.75" customHeight="1" x14ac:dyDescent="0.25">
      <c r="A930" s="665">
        <v>9</v>
      </c>
      <c r="B930" s="666"/>
      <c r="C930" s="665"/>
      <c r="D930" s="34"/>
      <c r="E930" s="62"/>
      <c r="F930" s="665"/>
      <c r="G930" s="306" t="s">
        <v>492</v>
      </c>
      <c r="H930" s="307">
        <f>SUM(H928+H929)</f>
        <v>38.200000000000003</v>
      </c>
      <c r="I930" s="307">
        <f>SUM(I928+I929)</f>
        <v>41.2</v>
      </c>
      <c r="J930" s="307">
        <f>SUM(J928+J929)</f>
        <v>45.6</v>
      </c>
      <c r="K930" s="307">
        <f>SUM(K928+K929)</f>
        <v>45.4</v>
      </c>
      <c r="L930" s="869">
        <f>SUM(L928+L929)</f>
        <v>46.1</v>
      </c>
      <c r="M930" s="133"/>
      <c r="N930" s="1033"/>
      <c r="O930" s="999"/>
      <c r="P930" s="665"/>
      <c r="Q930" s="665"/>
    </row>
    <row r="931" spans="1:17" ht="12.75" customHeight="1" x14ac:dyDescent="0.25">
      <c r="A931" s="665">
        <v>9</v>
      </c>
      <c r="B931" s="666"/>
      <c r="C931" s="665" t="s">
        <v>1702</v>
      </c>
      <c r="D931" s="34" t="s">
        <v>447</v>
      </c>
      <c r="E931" s="62">
        <v>38</v>
      </c>
      <c r="F931" s="665" t="s">
        <v>448</v>
      </c>
      <c r="G931" s="42" t="s">
        <v>10</v>
      </c>
      <c r="H931" s="36">
        <v>84.2</v>
      </c>
      <c r="I931" s="6">
        <v>99.7</v>
      </c>
      <c r="J931" s="98">
        <f>84.1+12.8</f>
        <v>96.899999999999991</v>
      </c>
      <c r="K931" s="25">
        <v>84.1</v>
      </c>
      <c r="L931" s="26">
        <v>84.1</v>
      </c>
      <c r="M931" s="133"/>
      <c r="N931" s="1042" t="s">
        <v>1907</v>
      </c>
      <c r="O931" s="999"/>
      <c r="P931" s="665"/>
      <c r="Q931" s="665"/>
    </row>
    <row r="932" spans="1:17" ht="12.75" customHeight="1" x14ac:dyDescent="0.25">
      <c r="A932" s="665">
        <v>9</v>
      </c>
      <c r="B932" s="666"/>
      <c r="C932" s="665"/>
      <c r="D932" s="34"/>
      <c r="E932" s="62">
        <v>38</v>
      </c>
      <c r="F932" s="665" t="s">
        <v>448</v>
      </c>
      <c r="G932" s="42" t="s">
        <v>8</v>
      </c>
      <c r="H932" s="36"/>
      <c r="I932" s="6"/>
      <c r="J932" s="98">
        <v>12.8</v>
      </c>
      <c r="K932" s="25">
        <v>15.6</v>
      </c>
      <c r="L932" s="26">
        <v>16.8</v>
      </c>
      <c r="M932" s="133"/>
      <c r="N932" s="1042" t="s">
        <v>1907</v>
      </c>
      <c r="O932" s="999" t="s">
        <v>1653</v>
      </c>
      <c r="P932" s="665">
        <v>1</v>
      </c>
      <c r="Q932" s="665"/>
    </row>
    <row r="933" spans="1:17" ht="12.75" customHeight="1" x14ac:dyDescent="0.25">
      <c r="A933" s="665">
        <v>9</v>
      </c>
      <c r="B933" s="666"/>
      <c r="C933" s="665"/>
      <c r="D933" s="34"/>
      <c r="E933" s="62">
        <v>38</v>
      </c>
      <c r="F933" s="665" t="s">
        <v>448</v>
      </c>
      <c r="G933" s="311" t="s">
        <v>492</v>
      </c>
      <c r="H933" s="104">
        <f>SUM(H931)</f>
        <v>84.2</v>
      </c>
      <c r="I933" s="104">
        <f>SUM(I931+I932)</f>
        <v>99.7</v>
      </c>
      <c r="J933" s="104">
        <f>SUM(J931+J932)</f>
        <v>109.69999999999999</v>
      </c>
      <c r="K933" s="104">
        <f t="shared" ref="K933:L933" si="133">SUM(K931+K932)</f>
        <v>99.699999999999989</v>
      </c>
      <c r="L933" s="872">
        <f t="shared" si="133"/>
        <v>100.89999999999999</v>
      </c>
      <c r="M933" s="133"/>
      <c r="N933" s="1033"/>
      <c r="O933" s="999"/>
      <c r="P933" s="665"/>
      <c r="Q933" s="665"/>
    </row>
    <row r="934" spans="1:17" ht="12.75" customHeight="1" x14ac:dyDescent="0.25">
      <c r="A934" s="665">
        <v>9</v>
      </c>
      <c r="B934" s="666"/>
      <c r="C934" s="665" t="s">
        <v>1703</v>
      </c>
      <c r="D934" s="34" t="s">
        <v>449</v>
      </c>
      <c r="E934" s="62">
        <v>17</v>
      </c>
      <c r="F934" s="665" t="s">
        <v>450</v>
      </c>
      <c r="G934" s="42" t="s">
        <v>10</v>
      </c>
      <c r="H934" s="36">
        <v>22.9</v>
      </c>
      <c r="I934" s="6">
        <v>25.5</v>
      </c>
      <c r="J934" s="98">
        <f>33.7-6.8</f>
        <v>26.900000000000002</v>
      </c>
      <c r="K934" s="25">
        <v>34.799999999999997</v>
      </c>
      <c r="L934" s="26">
        <v>36.200000000000003</v>
      </c>
      <c r="M934" s="133"/>
      <c r="N934" s="1033" t="s">
        <v>652</v>
      </c>
      <c r="O934" s="999" t="s">
        <v>1704</v>
      </c>
      <c r="P934" s="665">
        <v>7</v>
      </c>
      <c r="Q934" s="665"/>
    </row>
    <row r="935" spans="1:17" ht="13.2" x14ac:dyDescent="0.25">
      <c r="A935" s="665">
        <v>9</v>
      </c>
      <c r="B935" s="666"/>
      <c r="C935" s="665"/>
      <c r="D935" s="34"/>
      <c r="E935" s="62">
        <v>17</v>
      </c>
      <c r="F935" s="665" t="s">
        <v>450</v>
      </c>
      <c r="G935" s="311" t="s">
        <v>492</v>
      </c>
      <c r="H935" s="104">
        <f>SUM(H934)</f>
        <v>22.9</v>
      </c>
      <c r="I935" s="104">
        <f>SUM(I934)</f>
        <v>25.5</v>
      </c>
      <c r="J935" s="104">
        <f>SUM(J934)</f>
        <v>26.900000000000002</v>
      </c>
      <c r="K935" s="104">
        <f>SUM(K934)</f>
        <v>34.799999999999997</v>
      </c>
      <c r="L935" s="872">
        <f>SUM(L934)</f>
        <v>36.200000000000003</v>
      </c>
      <c r="M935" s="133"/>
      <c r="N935" s="1033"/>
      <c r="O935" s="999"/>
      <c r="P935" s="665"/>
      <c r="Q935" s="665"/>
    </row>
    <row r="936" spans="1:17" ht="20.399999999999999" x14ac:dyDescent="0.25">
      <c r="A936" s="665">
        <v>9</v>
      </c>
      <c r="B936" s="666"/>
      <c r="C936" s="665" t="s">
        <v>1705</v>
      </c>
      <c r="D936" s="49" t="s">
        <v>192</v>
      </c>
      <c r="E936" s="62">
        <v>7</v>
      </c>
      <c r="F936" s="665" t="s">
        <v>451</v>
      </c>
      <c r="G936" s="42" t="s">
        <v>10</v>
      </c>
      <c r="H936" s="36">
        <v>1.5</v>
      </c>
      <c r="I936" s="6">
        <f>1.8+0.1</f>
        <v>1.9000000000000001</v>
      </c>
      <c r="J936" s="98">
        <v>2.7</v>
      </c>
      <c r="K936" s="25">
        <v>2.7</v>
      </c>
      <c r="L936" s="26">
        <v>2.7</v>
      </c>
      <c r="M936" s="133"/>
      <c r="N936" s="1033" t="s">
        <v>1685</v>
      </c>
      <c r="O936" s="999" t="s">
        <v>1653</v>
      </c>
      <c r="P936" s="665">
        <v>1</v>
      </c>
      <c r="Q936" s="665"/>
    </row>
    <row r="937" spans="1:17" ht="13.2" x14ac:dyDescent="0.25">
      <c r="A937" s="665">
        <v>9</v>
      </c>
      <c r="B937" s="666"/>
      <c r="C937" s="665"/>
      <c r="D937" s="49"/>
      <c r="E937" s="62">
        <v>7</v>
      </c>
      <c r="F937" s="665" t="s">
        <v>451</v>
      </c>
      <c r="G937" s="311" t="s">
        <v>492</v>
      </c>
      <c r="H937" s="104">
        <f>SUM(H936)</f>
        <v>1.5</v>
      </c>
      <c r="I937" s="104">
        <f>SUM(I936)</f>
        <v>1.9000000000000001</v>
      </c>
      <c r="J937" s="104">
        <f>SUM(J936)</f>
        <v>2.7</v>
      </c>
      <c r="K937" s="104">
        <f>SUM(K936)</f>
        <v>2.7</v>
      </c>
      <c r="L937" s="872">
        <f>SUM(L936)</f>
        <v>2.7</v>
      </c>
      <c r="M937" s="133"/>
      <c r="N937" s="1033"/>
      <c r="O937" s="999"/>
      <c r="P937" s="665"/>
      <c r="Q937" s="665"/>
    </row>
    <row r="938" spans="1:17" ht="20.399999999999999" x14ac:dyDescent="0.25">
      <c r="A938" s="665">
        <v>9</v>
      </c>
      <c r="B938" s="666"/>
      <c r="C938" s="665" t="s">
        <v>1706</v>
      </c>
      <c r="D938" s="49" t="s">
        <v>452</v>
      </c>
      <c r="E938" s="62">
        <v>7</v>
      </c>
      <c r="F938" s="665" t="s">
        <v>453</v>
      </c>
      <c r="G938" s="42" t="s">
        <v>10</v>
      </c>
      <c r="H938" s="36">
        <v>5.4</v>
      </c>
      <c r="I938" s="6">
        <v>5</v>
      </c>
      <c r="J938" s="98">
        <f>6.3+0.3-1</f>
        <v>5.6</v>
      </c>
      <c r="K938" s="25">
        <v>6.3</v>
      </c>
      <c r="L938" s="26">
        <v>6.3</v>
      </c>
      <c r="M938" s="133"/>
      <c r="N938" s="1043" t="s">
        <v>1707</v>
      </c>
      <c r="O938" s="999" t="s">
        <v>1653</v>
      </c>
      <c r="P938" s="665">
        <v>1</v>
      </c>
      <c r="Q938" s="665"/>
    </row>
    <row r="939" spans="1:17" ht="12.75" customHeight="1" x14ac:dyDescent="0.25">
      <c r="A939" s="665">
        <v>9</v>
      </c>
      <c r="B939" s="666"/>
      <c r="C939" s="665"/>
      <c r="D939" s="49"/>
      <c r="E939" s="62">
        <v>7</v>
      </c>
      <c r="F939" s="665" t="s">
        <v>453</v>
      </c>
      <c r="G939" s="42" t="s">
        <v>613</v>
      </c>
      <c r="H939" s="36"/>
      <c r="I939" s="6">
        <v>0.3</v>
      </c>
      <c r="J939" s="98">
        <f>0.1+0.1+0.1</f>
        <v>0.30000000000000004</v>
      </c>
      <c r="K939" s="25"/>
      <c r="L939" s="26"/>
      <c r="M939" s="133"/>
      <c r="N939" s="1043" t="s">
        <v>1707</v>
      </c>
      <c r="O939" s="999" t="s">
        <v>1653</v>
      </c>
      <c r="P939" s="665"/>
      <c r="Q939" s="665"/>
    </row>
    <row r="940" spans="1:17" ht="13.2" x14ac:dyDescent="0.25">
      <c r="A940" s="665">
        <v>9</v>
      </c>
      <c r="B940" s="666"/>
      <c r="C940" s="665"/>
      <c r="D940" s="49"/>
      <c r="E940" s="62">
        <v>7</v>
      </c>
      <c r="F940" s="665" t="s">
        <v>453</v>
      </c>
      <c r="G940" s="311" t="s">
        <v>492</v>
      </c>
      <c r="H940" s="104">
        <f>SUM(H938)</f>
        <v>5.4</v>
      </c>
      <c r="I940" s="104">
        <f>SUM(I938:I939)</f>
        <v>5.3</v>
      </c>
      <c r="J940" s="104">
        <f t="shared" ref="J940:L940" si="134">SUM(J938:J939)</f>
        <v>5.8999999999999995</v>
      </c>
      <c r="K940" s="104">
        <f t="shared" si="134"/>
        <v>6.3</v>
      </c>
      <c r="L940" s="872">
        <f t="shared" si="134"/>
        <v>6.3</v>
      </c>
      <c r="M940" s="133"/>
      <c r="N940" s="1033"/>
      <c r="O940" s="999"/>
      <c r="P940" s="665"/>
      <c r="Q940" s="665"/>
    </row>
    <row r="941" spans="1:17" ht="20.399999999999999" x14ac:dyDescent="0.25">
      <c r="A941" s="665">
        <v>9</v>
      </c>
      <c r="B941" s="666"/>
      <c r="C941" s="665" t="s">
        <v>1708</v>
      </c>
      <c r="D941" s="49" t="s">
        <v>1709</v>
      </c>
      <c r="E941" s="62">
        <v>7</v>
      </c>
      <c r="F941" s="665" t="s">
        <v>1710</v>
      </c>
      <c r="G941" s="42" t="s">
        <v>10</v>
      </c>
      <c r="H941" s="36">
        <v>1.2</v>
      </c>
      <c r="I941" s="6">
        <v>1.3</v>
      </c>
      <c r="J941" s="98">
        <f>1.4-0.1</f>
        <v>1.2999999999999998</v>
      </c>
      <c r="K941" s="25">
        <v>1.4</v>
      </c>
      <c r="L941" s="26">
        <v>1.4</v>
      </c>
      <c r="M941" s="133"/>
      <c r="N941" s="1044" t="s">
        <v>1711</v>
      </c>
      <c r="O941" s="999" t="s">
        <v>1653</v>
      </c>
      <c r="P941" s="665">
        <v>1</v>
      </c>
      <c r="Q941" s="665"/>
    </row>
    <row r="942" spans="1:17" ht="12.75" customHeight="1" x14ac:dyDescent="0.25">
      <c r="A942" s="665">
        <v>9</v>
      </c>
      <c r="B942" s="666"/>
      <c r="C942" s="665"/>
      <c r="D942" s="49"/>
      <c r="E942" s="62">
        <v>7</v>
      </c>
      <c r="F942" s="665" t="s">
        <v>1710</v>
      </c>
      <c r="G942" s="311" t="s">
        <v>492</v>
      </c>
      <c r="H942" s="104">
        <f>SUM(H941)</f>
        <v>1.2</v>
      </c>
      <c r="I942" s="104">
        <f>SUM(I941)</f>
        <v>1.3</v>
      </c>
      <c r="J942" s="104">
        <f>SUM(J941)</f>
        <v>1.2999999999999998</v>
      </c>
      <c r="K942" s="104">
        <f>SUM(K941)</f>
        <v>1.4</v>
      </c>
      <c r="L942" s="872">
        <f>SUM(L941)</f>
        <v>1.4</v>
      </c>
      <c r="M942" s="133"/>
      <c r="N942" s="1033"/>
      <c r="O942" s="999"/>
      <c r="P942" s="665"/>
      <c r="Q942" s="665"/>
    </row>
    <row r="943" spans="1:17" ht="12.75" customHeight="1" x14ac:dyDescent="0.25">
      <c r="A943" s="665">
        <v>9</v>
      </c>
      <c r="B943" s="666"/>
      <c r="C943" s="665" t="s">
        <v>1712</v>
      </c>
      <c r="D943" s="49" t="s">
        <v>1713</v>
      </c>
      <c r="E943" s="62">
        <v>7</v>
      </c>
      <c r="F943" s="665" t="s">
        <v>1714</v>
      </c>
      <c r="G943" s="42" t="s">
        <v>10</v>
      </c>
      <c r="H943" s="36">
        <v>1.4</v>
      </c>
      <c r="I943" s="6">
        <v>1.7</v>
      </c>
      <c r="J943" s="98">
        <f>1.6+3.2-0.8</f>
        <v>4.0000000000000009</v>
      </c>
      <c r="K943" s="25">
        <v>1.6</v>
      </c>
      <c r="L943" s="26">
        <v>1.6</v>
      </c>
      <c r="M943" s="133"/>
      <c r="N943" s="1044" t="s">
        <v>1715</v>
      </c>
      <c r="O943" s="999" t="s">
        <v>1653</v>
      </c>
      <c r="P943" s="665">
        <v>1</v>
      </c>
      <c r="Q943" s="665"/>
    </row>
    <row r="944" spans="1:17" ht="13.2" x14ac:dyDescent="0.25">
      <c r="A944" s="665">
        <v>9</v>
      </c>
      <c r="B944" s="666"/>
      <c r="C944" s="665"/>
      <c r="D944" s="49"/>
      <c r="E944" s="62">
        <v>7</v>
      </c>
      <c r="F944" s="665" t="s">
        <v>1714</v>
      </c>
      <c r="G944" s="311" t="s">
        <v>492</v>
      </c>
      <c r="H944" s="104">
        <f>SUM(H943)</f>
        <v>1.4</v>
      </c>
      <c r="I944" s="104">
        <f>SUM(I943)</f>
        <v>1.7</v>
      </c>
      <c r="J944" s="104">
        <f>SUM(J943)</f>
        <v>4.0000000000000009</v>
      </c>
      <c r="K944" s="104">
        <f>SUM(K943)</f>
        <v>1.6</v>
      </c>
      <c r="L944" s="872">
        <f>SUM(L943)</f>
        <v>1.6</v>
      </c>
      <c r="M944" s="133"/>
      <c r="N944" s="1033"/>
      <c r="O944" s="999"/>
      <c r="P944" s="665"/>
      <c r="Q944" s="665"/>
    </row>
    <row r="945" spans="1:17" ht="20.399999999999999" x14ac:dyDescent="0.25">
      <c r="A945" s="665">
        <v>9</v>
      </c>
      <c r="B945" s="666"/>
      <c r="C945" s="665" t="s">
        <v>1716</v>
      </c>
      <c r="D945" s="49" t="s">
        <v>1717</v>
      </c>
      <c r="E945" s="62">
        <v>7</v>
      </c>
      <c r="F945" s="665" t="s">
        <v>1718</v>
      </c>
      <c r="G945" s="42" t="s">
        <v>613</v>
      </c>
      <c r="H945" s="36">
        <v>4.4000000000000004</v>
      </c>
      <c r="I945" s="6">
        <v>0.3</v>
      </c>
      <c r="J945" s="98"/>
      <c r="K945" s="25"/>
      <c r="L945" s="26"/>
      <c r="M945" s="133"/>
      <c r="N945" s="1045" t="s">
        <v>1719</v>
      </c>
      <c r="O945" s="999" t="s">
        <v>1653</v>
      </c>
      <c r="P945" s="665">
        <v>1</v>
      </c>
      <c r="Q945" s="665"/>
    </row>
    <row r="946" spans="1:17" ht="13.2" x14ac:dyDescent="0.25">
      <c r="A946" s="665">
        <v>9</v>
      </c>
      <c r="B946" s="666"/>
      <c r="C946" s="665"/>
      <c r="D946" s="49"/>
      <c r="E946" s="62">
        <v>7</v>
      </c>
      <c r="F946" s="665" t="s">
        <v>1718</v>
      </c>
      <c r="G946" s="311" t="s">
        <v>492</v>
      </c>
      <c r="H946" s="104">
        <f>SUM(H945)</f>
        <v>4.4000000000000004</v>
      </c>
      <c r="I946" s="104">
        <f>SUM(I945)</f>
        <v>0.3</v>
      </c>
      <c r="J946" s="104">
        <f>SUM(J945)</f>
        <v>0</v>
      </c>
      <c r="K946" s="104">
        <f>SUM(K945)</f>
        <v>0</v>
      </c>
      <c r="L946" s="872">
        <f>SUM(L945)</f>
        <v>0</v>
      </c>
      <c r="M946" s="133"/>
      <c r="N946" s="1033"/>
      <c r="O946" s="999"/>
      <c r="P946" s="665"/>
      <c r="Q946" s="665"/>
    </row>
    <row r="947" spans="1:17" ht="20.399999999999999" x14ac:dyDescent="0.25">
      <c r="A947" s="665">
        <v>9</v>
      </c>
      <c r="B947" s="666"/>
      <c r="C947" s="665" t="s">
        <v>1720</v>
      </c>
      <c r="D947" s="49" t="s">
        <v>1721</v>
      </c>
      <c r="E947" s="62">
        <v>7</v>
      </c>
      <c r="F947" s="665" t="s">
        <v>1722</v>
      </c>
      <c r="G947" s="73" t="s">
        <v>10</v>
      </c>
      <c r="H947" s="105"/>
      <c r="I947" s="6">
        <f>24.4-1.9</f>
        <v>22.5</v>
      </c>
      <c r="J947" s="98">
        <v>24.4</v>
      </c>
      <c r="K947" s="37">
        <v>24.4</v>
      </c>
      <c r="L947" s="48">
        <v>24.4</v>
      </c>
      <c r="M947" s="133"/>
      <c r="N947" s="1033" t="s">
        <v>1711</v>
      </c>
      <c r="O947" s="999" t="s">
        <v>1653</v>
      </c>
      <c r="P947" s="665">
        <v>1</v>
      </c>
      <c r="Q947" s="665"/>
    </row>
    <row r="948" spans="1:17" ht="12.75" customHeight="1" x14ac:dyDescent="0.25">
      <c r="A948" s="665">
        <v>9</v>
      </c>
      <c r="B948" s="666"/>
      <c r="C948" s="665"/>
      <c r="D948" s="49"/>
      <c r="E948" s="62">
        <v>7</v>
      </c>
      <c r="F948" s="665" t="s">
        <v>1722</v>
      </c>
      <c r="G948" s="73" t="s">
        <v>8</v>
      </c>
      <c r="H948" s="105"/>
      <c r="I948" s="6"/>
      <c r="J948" s="98">
        <v>17.100000000000001</v>
      </c>
      <c r="K948" s="37">
        <v>18.3</v>
      </c>
      <c r="L948" s="48">
        <v>18.899999999999999</v>
      </c>
      <c r="M948" s="133"/>
      <c r="N948" s="1033" t="s">
        <v>1711</v>
      </c>
      <c r="O948" s="999" t="s">
        <v>1653</v>
      </c>
      <c r="P948" s="665"/>
      <c r="Q948" s="665"/>
    </row>
    <row r="949" spans="1:17" ht="13.2" x14ac:dyDescent="0.25">
      <c r="A949" s="665">
        <v>9</v>
      </c>
      <c r="B949" s="666"/>
      <c r="C949" s="665"/>
      <c r="D949" s="49"/>
      <c r="E949" s="62">
        <v>7</v>
      </c>
      <c r="F949" s="665" t="s">
        <v>1722</v>
      </c>
      <c r="G949" s="311" t="s">
        <v>492</v>
      </c>
      <c r="H949" s="104"/>
      <c r="I949" s="104">
        <f>SUM(I947+I948)</f>
        <v>22.5</v>
      </c>
      <c r="J949" s="104">
        <f t="shared" ref="J949:L949" si="135">SUM(J947+J948)</f>
        <v>41.5</v>
      </c>
      <c r="K949" s="104">
        <f t="shared" si="135"/>
        <v>42.7</v>
      </c>
      <c r="L949" s="872">
        <f t="shared" si="135"/>
        <v>43.3</v>
      </c>
      <c r="M949" s="133"/>
      <c r="N949" s="1033"/>
      <c r="O949" s="999"/>
      <c r="P949" s="665"/>
      <c r="Q949" s="665"/>
    </row>
    <row r="950" spans="1:17" ht="48.6" customHeight="1" x14ac:dyDescent="0.25">
      <c r="A950" s="665">
        <v>9</v>
      </c>
      <c r="B950" s="666"/>
      <c r="C950" s="665" t="s">
        <v>1723</v>
      </c>
      <c r="D950" s="49" t="s">
        <v>1724</v>
      </c>
      <c r="E950" s="62">
        <v>7</v>
      </c>
      <c r="F950" s="665" t="s">
        <v>1725</v>
      </c>
      <c r="G950" s="73" t="s">
        <v>613</v>
      </c>
      <c r="H950" s="105"/>
      <c r="I950" s="6">
        <f>0.2+0.1</f>
        <v>0.30000000000000004</v>
      </c>
      <c r="J950" s="98"/>
      <c r="K950" s="37"/>
      <c r="L950" s="48"/>
      <c r="M950" s="133"/>
      <c r="N950" s="1033" t="s">
        <v>1719</v>
      </c>
      <c r="O950" s="999" t="s">
        <v>1653</v>
      </c>
      <c r="P950" s="665">
        <v>1</v>
      </c>
      <c r="Q950" s="665"/>
    </row>
    <row r="951" spans="1:17" ht="13.2" x14ac:dyDescent="0.25">
      <c r="A951" s="665">
        <v>9</v>
      </c>
      <c r="B951" s="666"/>
      <c r="C951" s="665"/>
      <c r="D951" s="49"/>
      <c r="E951" s="62">
        <v>7</v>
      </c>
      <c r="F951" s="665" t="s">
        <v>1725</v>
      </c>
      <c r="G951" s="311" t="s">
        <v>492</v>
      </c>
      <c r="H951" s="104"/>
      <c r="I951" s="104">
        <f>SUM(I950)</f>
        <v>0.30000000000000004</v>
      </c>
      <c r="J951" s="104">
        <f t="shared" ref="J951:L951" si="136">SUM(J950)</f>
        <v>0</v>
      </c>
      <c r="K951" s="104">
        <f t="shared" si="136"/>
        <v>0</v>
      </c>
      <c r="L951" s="872">
        <f t="shared" si="136"/>
        <v>0</v>
      </c>
      <c r="M951" s="133"/>
      <c r="N951" s="1033"/>
      <c r="O951" s="999"/>
      <c r="P951" s="665"/>
      <c r="Q951" s="665"/>
    </row>
    <row r="952" spans="1:17" ht="20.399999999999999" x14ac:dyDescent="0.25">
      <c r="A952" s="665">
        <v>9</v>
      </c>
      <c r="B952" s="666"/>
      <c r="C952" s="665" t="s">
        <v>1726</v>
      </c>
      <c r="D952" s="49" t="s">
        <v>1727</v>
      </c>
      <c r="E952" s="62">
        <v>7</v>
      </c>
      <c r="F952" s="665" t="s">
        <v>1728</v>
      </c>
      <c r="G952" s="73" t="s">
        <v>37</v>
      </c>
      <c r="H952" s="105"/>
      <c r="I952" s="6">
        <v>7.8</v>
      </c>
      <c r="J952" s="98">
        <f>21.1-4.8</f>
        <v>16.3</v>
      </c>
      <c r="K952" s="37"/>
      <c r="L952" s="48"/>
      <c r="M952" s="133"/>
      <c r="N952" s="1033" t="s">
        <v>1729</v>
      </c>
      <c r="O952" s="999" t="s">
        <v>1653</v>
      </c>
      <c r="P952" s="665">
        <v>1</v>
      </c>
      <c r="Q952" s="665"/>
    </row>
    <row r="953" spans="1:17" ht="12.75" customHeight="1" x14ac:dyDescent="0.25">
      <c r="A953" s="665">
        <v>9</v>
      </c>
      <c r="B953" s="666"/>
      <c r="C953" s="665"/>
      <c r="D953" s="49"/>
      <c r="E953" s="62">
        <v>7</v>
      </c>
      <c r="F953" s="665" t="s">
        <v>1728</v>
      </c>
      <c r="G953" s="73" t="s">
        <v>38</v>
      </c>
      <c r="H953" s="105"/>
      <c r="I953" s="6">
        <v>2.2999999999999998</v>
      </c>
      <c r="J953" s="98">
        <f>3.4+1.5</f>
        <v>4.9000000000000004</v>
      </c>
      <c r="K953" s="37"/>
      <c r="L953" s="48"/>
      <c r="M953" s="133"/>
      <c r="N953" s="1033" t="s">
        <v>1729</v>
      </c>
      <c r="O953" s="999" t="s">
        <v>1653</v>
      </c>
      <c r="P953" s="665"/>
      <c r="Q953" s="665"/>
    </row>
    <row r="954" spans="1:17" ht="13.2" x14ac:dyDescent="0.25">
      <c r="A954" s="665">
        <v>9</v>
      </c>
      <c r="B954" s="666"/>
      <c r="C954" s="665"/>
      <c r="D954" s="49"/>
      <c r="E954" s="62">
        <v>7</v>
      </c>
      <c r="F954" s="665" t="s">
        <v>1728</v>
      </c>
      <c r="G954" s="311" t="s">
        <v>492</v>
      </c>
      <c r="H954" s="104"/>
      <c r="I954" s="104">
        <f>I952+I953</f>
        <v>10.1</v>
      </c>
      <c r="J954" s="104">
        <f t="shared" ref="J954:L954" si="137">J952+J953</f>
        <v>21.200000000000003</v>
      </c>
      <c r="K954" s="104">
        <f t="shared" si="137"/>
        <v>0</v>
      </c>
      <c r="L954" s="872">
        <f t="shared" si="137"/>
        <v>0</v>
      </c>
      <c r="M954" s="133"/>
      <c r="N954" s="1033"/>
      <c r="O954" s="999"/>
      <c r="P954" s="665"/>
      <c r="Q954" s="665"/>
    </row>
    <row r="955" spans="1:17" ht="30.6" x14ac:dyDescent="0.25">
      <c r="A955" s="665">
        <v>9</v>
      </c>
      <c r="B955" s="666"/>
      <c r="C955" s="665" t="s">
        <v>1730</v>
      </c>
      <c r="D955" s="49" t="s">
        <v>1731</v>
      </c>
      <c r="E955" s="62">
        <v>7</v>
      </c>
      <c r="F955" s="665" t="s">
        <v>1732</v>
      </c>
      <c r="G955" s="73" t="s">
        <v>37</v>
      </c>
      <c r="H955" s="105"/>
      <c r="I955" s="6">
        <v>4.2</v>
      </c>
      <c r="J955" s="98">
        <v>26.7</v>
      </c>
      <c r="K955" s="37">
        <v>26.7</v>
      </c>
      <c r="L955" s="48">
        <v>26.7</v>
      </c>
      <c r="M955" s="133"/>
      <c r="N955" s="1033" t="s">
        <v>1733</v>
      </c>
      <c r="O955" s="999" t="s">
        <v>1653</v>
      </c>
      <c r="P955" s="665">
        <v>1</v>
      </c>
      <c r="Q955" s="665"/>
    </row>
    <row r="956" spans="1:17" ht="12.75" customHeight="1" x14ac:dyDescent="0.25">
      <c r="A956" s="665">
        <v>9</v>
      </c>
      <c r="B956" s="666"/>
      <c r="C956" s="665"/>
      <c r="D956" s="49"/>
      <c r="E956" s="62">
        <v>7</v>
      </c>
      <c r="F956" s="665" t="s">
        <v>1732</v>
      </c>
      <c r="G956" s="73" t="s">
        <v>38</v>
      </c>
      <c r="H956" s="105"/>
      <c r="I956" s="6">
        <v>0.7</v>
      </c>
      <c r="J956" s="98">
        <v>4.4000000000000004</v>
      </c>
      <c r="K956" s="37">
        <v>4.4000000000000004</v>
      </c>
      <c r="L956" s="48">
        <v>4.4000000000000004</v>
      </c>
      <c r="M956" s="133"/>
      <c r="N956" s="1033" t="s">
        <v>1733</v>
      </c>
      <c r="O956" s="999" t="s">
        <v>1653</v>
      </c>
      <c r="P956" s="665"/>
      <c r="Q956" s="665"/>
    </row>
    <row r="957" spans="1:17" ht="13.2" x14ac:dyDescent="0.25">
      <c r="A957" s="665">
        <v>9</v>
      </c>
      <c r="B957" s="666"/>
      <c r="C957" s="665"/>
      <c r="D957" s="49"/>
      <c r="E957" s="62">
        <v>7</v>
      </c>
      <c r="F957" s="665" t="s">
        <v>1732</v>
      </c>
      <c r="G957" s="311" t="s">
        <v>492</v>
      </c>
      <c r="H957" s="104"/>
      <c r="I957" s="104">
        <f>I955+I956</f>
        <v>4.9000000000000004</v>
      </c>
      <c r="J957" s="104">
        <f t="shared" ref="J957:L957" si="138">J955+J956</f>
        <v>31.1</v>
      </c>
      <c r="K957" s="104">
        <f t="shared" si="138"/>
        <v>31.1</v>
      </c>
      <c r="L957" s="872">
        <f t="shared" si="138"/>
        <v>31.1</v>
      </c>
      <c r="M957" s="133"/>
      <c r="N957" s="743"/>
      <c r="O957" s="999"/>
      <c r="P957" s="665"/>
      <c r="Q957" s="665"/>
    </row>
    <row r="958" spans="1:17" ht="20.399999999999999" x14ac:dyDescent="0.25">
      <c r="A958" s="665">
        <v>9</v>
      </c>
      <c r="B958" s="666"/>
      <c r="C958" s="665" t="s">
        <v>1734</v>
      </c>
      <c r="D958" s="49" t="s">
        <v>1735</v>
      </c>
      <c r="E958" s="62">
        <v>7</v>
      </c>
      <c r="F958" s="665" t="s">
        <v>1736</v>
      </c>
      <c r="G958" s="73" t="s">
        <v>10</v>
      </c>
      <c r="H958" s="105"/>
      <c r="I958" s="6">
        <v>3.4</v>
      </c>
      <c r="J958" s="98">
        <f>1.1-0.7</f>
        <v>0.40000000000000013</v>
      </c>
      <c r="K958" s="37">
        <v>1.1000000000000001</v>
      </c>
      <c r="L958" s="48">
        <v>1.1000000000000001</v>
      </c>
      <c r="M958" s="133"/>
      <c r="N958" s="1033" t="s">
        <v>1685</v>
      </c>
      <c r="O958" s="999" t="s">
        <v>1653</v>
      </c>
      <c r="P958" s="665">
        <v>1</v>
      </c>
      <c r="Q958" s="665"/>
    </row>
    <row r="959" spans="1:17" ht="13.2" x14ac:dyDescent="0.25">
      <c r="A959" s="665">
        <v>9</v>
      </c>
      <c r="B959" s="666"/>
      <c r="C959" s="665"/>
      <c r="D959" s="49"/>
      <c r="E959" s="62">
        <v>7</v>
      </c>
      <c r="F959" s="665" t="s">
        <v>1736</v>
      </c>
      <c r="G959" s="311" t="s">
        <v>492</v>
      </c>
      <c r="H959" s="104"/>
      <c r="I959" s="104">
        <f>I958</f>
        <v>3.4</v>
      </c>
      <c r="J959" s="104">
        <f t="shared" ref="J959:L959" si="139">J958</f>
        <v>0.40000000000000013</v>
      </c>
      <c r="K959" s="104">
        <f t="shared" si="139"/>
        <v>1.1000000000000001</v>
      </c>
      <c r="L959" s="872">
        <f t="shared" si="139"/>
        <v>1.1000000000000001</v>
      </c>
      <c r="M959" s="133"/>
      <c r="N959" s="743"/>
      <c r="O959" s="999"/>
      <c r="P959" s="665"/>
      <c r="Q959" s="665"/>
    </row>
    <row r="960" spans="1:17" ht="20.399999999999999" x14ac:dyDescent="0.25">
      <c r="A960" s="665">
        <v>9</v>
      </c>
      <c r="B960" s="666"/>
      <c r="C960" s="665" t="s">
        <v>1737</v>
      </c>
      <c r="D960" s="49" t="s">
        <v>1738</v>
      </c>
      <c r="E960" s="62">
        <v>7</v>
      </c>
      <c r="F960" s="665" t="s">
        <v>1739</v>
      </c>
      <c r="G960" s="80" t="s">
        <v>37</v>
      </c>
      <c r="H960" s="188"/>
      <c r="I960" s="15"/>
      <c r="J960" s="98">
        <v>19.8</v>
      </c>
      <c r="K960" s="15">
        <v>19.8</v>
      </c>
      <c r="L960" s="33">
        <v>15.6</v>
      </c>
      <c r="M960" s="133"/>
      <c r="N960" s="1033" t="s">
        <v>1685</v>
      </c>
      <c r="O960" s="999" t="s">
        <v>1653</v>
      </c>
      <c r="P960" s="665">
        <v>1</v>
      </c>
      <c r="Q960" s="665"/>
    </row>
    <row r="961" spans="1:17" ht="12.75" customHeight="1" x14ac:dyDescent="0.25">
      <c r="A961" s="665">
        <v>9</v>
      </c>
      <c r="B961" s="666"/>
      <c r="C961" s="665"/>
      <c r="D961" s="49"/>
      <c r="E961" s="62">
        <v>7</v>
      </c>
      <c r="F961" s="665" t="s">
        <v>1739</v>
      </c>
      <c r="G961" s="80" t="s">
        <v>38</v>
      </c>
      <c r="H961" s="188"/>
      <c r="I961" s="15"/>
      <c r="J961" s="98">
        <v>6.6</v>
      </c>
      <c r="K961" s="15">
        <v>6.6</v>
      </c>
      <c r="L961" s="33">
        <v>5.2</v>
      </c>
      <c r="M961" s="133"/>
      <c r="N961" s="1033" t="s">
        <v>1685</v>
      </c>
      <c r="O961" s="999"/>
      <c r="P961" s="665"/>
      <c r="Q961" s="665"/>
    </row>
    <row r="962" spans="1:17" ht="13.2" x14ac:dyDescent="0.25">
      <c r="A962" s="665">
        <v>9</v>
      </c>
      <c r="B962" s="666"/>
      <c r="C962" s="665"/>
      <c r="D962" s="49"/>
      <c r="E962" s="62">
        <v>7</v>
      </c>
      <c r="F962" s="665" t="s">
        <v>1739</v>
      </c>
      <c r="G962" s="311" t="s">
        <v>492</v>
      </c>
      <c r="H962" s="104"/>
      <c r="I962" s="104">
        <f>SUM(I960+I961)</f>
        <v>0</v>
      </c>
      <c r="J962" s="104">
        <f t="shared" ref="J962:L962" si="140">SUM(J960+J961)</f>
        <v>26.4</v>
      </c>
      <c r="K962" s="104">
        <f t="shared" si="140"/>
        <v>26.4</v>
      </c>
      <c r="L962" s="872">
        <f t="shared" si="140"/>
        <v>20.8</v>
      </c>
      <c r="M962" s="133"/>
      <c r="N962" s="743"/>
      <c r="O962" s="999"/>
      <c r="P962" s="665"/>
      <c r="Q962" s="665"/>
    </row>
    <row r="963" spans="1:17" ht="30" customHeight="1" x14ac:dyDescent="0.25">
      <c r="A963" s="665">
        <v>9</v>
      </c>
      <c r="B963" s="303" t="s">
        <v>1740</v>
      </c>
      <c r="C963" s="303" t="s">
        <v>1740</v>
      </c>
      <c r="D963" s="304" t="s">
        <v>1741</v>
      </c>
      <c r="E963" s="668"/>
      <c r="F963" s="665"/>
      <c r="G963" s="113" t="s">
        <v>1742</v>
      </c>
      <c r="H963" s="310">
        <f>SUM(H965,H967)</f>
        <v>358.1</v>
      </c>
      <c r="I963" s="113">
        <f>SUM(I965,I967)</f>
        <v>2288</v>
      </c>
      <c r="J963" s="113">
        <f>SUM(J965,J967)</f>
        <v>2412.6999999999998</v>
      </c>
      <c r="K963" s="113">
        <f>SUM(K965,K967)</f>
        <v>2642.5</v>
      </c>
      <c r="L963" s="806">
        <f>SUM(L965,L967)</f>
        <v>2796.8</v>
      </c>
      <c r="M963" s="133"/>
      <c r="N963" s="1033"/>
      <c r="O963" s="999"/>
      <c r="P963" s="665"/>
      <c r="Q963" s="665"/>
    </row>
    <row r="964" spans="1:17" ht="12.75" customHeight="1" x14ac:dyDescent="0.25">
      <c r="A964" s="665">
        <v>9</v>
      </c>
      <c r="B964" s="666"/>
      <c r="C964" s="675"/>
      <c r="D964" s="667"/>
      <c r="E964" s="668"/>
      <c r="F964" s="665"/>
      <c r="G964" s="306" t="s">
        <v>492</v>
      </c>
      <c r="H964" s="307">
        <f>SUM(H963:H963)</f>
        <v>358.1</v>
      </c>
      <c r="I964" s="307">
        <f>SUM(I963:I963)</f>
        <v>2288</v>
      </c>
      <c r="J964" s="307">
        <f>SUM(J963:J963)</f>
        <v>2412.6999999999998</v>
      </c>
      <c r="K964" s="307">
        <f>SUM(K963:K963)</f>
        <v>2642.5</v>
      </c>
      <c r="L964" s="869">
        <f>SUM(L963:L963)</f>
        <v>2796.8</v>
      </c>
      <c r="M964" s="133"/>
      <c r="N964" s="1033"/>
      <c r="O964" s="999"/>
      <c r="P964" s="665"/>
      <c r="Q964" s="665"/>
    </row>
    <row r="965" spans="1:17" ht="12.75" customHeight="1" x14ac:dyDescent="0.25">
      <c r="A965" s="665">
        <v>9</v>
      </c>
      <c r="B965" s="666"/>
      <c r="C965" s="675" t="s">
        <v>1743</v>
      </c>
      <c r="D965" s="49" t="s">
        <v>456</v>
      </c>
      <c r="E965" s="68">
        <v>4</v>
      </c>
      <c r="F965" s="665" t="s">
        <v>457</v>
      </c>
      <c r="G965" s="665" t="s">
        <v>8</v>
      </c>
      <c r="H965" s="36">
        <v>358.1</v>
      </c>
      <c r="I965" s="37">
        <v>546.6</v>
      </c>
      <c r="J965" s="98">
        <f>500-30</f>
        <v>470</v>
      </c>
      <c r="K965" s="25">
        <v>500</v>
      </c>
      <c r="L965" s="26">
        <v>500</v>
      </c>
      <c r="M965" s="133" t="s">
        <v>616</v>
      </c>
      <c r="N965" s="1033" t="s">
        <v>1744</v>
      </c>
      <c r="O965" s="999" t="s">
        <v>1074</v>
      </c>
      <c r="P965" s="665">
        <v>100</v>
      </c>
      <c r="Q965" s="665"/>
    </row>
    <row r="966" spans="1:17" ht="12.75" customHeight="1" x14ac:dyDescent="0.25">
      <c r="A966" s="665">
        <v>9</v>
      </c>
      <c r="B966" s="666"/>
      <c r="C966" s="675"/>
      <c r="D966" s="49"/>
      <c r="E966" s="68">
        <v>4</v>
      </c>
      <c r="F966" s="665" t="s">
        <v>457</v>
      </c>
      <c r="G966" s="311" t="s">
        <v>492</v>
      </c>
      <c r="H966" s="104" t="e">
        <f>SUM(H965+#REF!)</f>
        <v>#REF!</v>
      </c>
      <c r="I966" s="104">
        <f>SUM(I965)</f>
        <v>546.6</v>
      </c>
      <c r="J966" s="104">
        <f>SUM(J965)</f>
        <v>470</v>
      </c>
      <c r="K966" s="104">
        <f>SUM(K965)</f>
        <v>500</v>
      </c>
      <c r="L966" s="872">
        <f>SUM(L965)</f>
        <v>500</v>
      </c>
      <c r="M966" s="133"/>
      <c r="N966" s="1033"/>
      <c r="O966" s="999"/>
      <c r="P966" s="665"/>
      <c r="Q966" s="665"/>
    </row>
    <row r="967" spans="1:17" ht="12.75" customHeight="1" x14ac:dyDescent="0.25">
      <c r="A967" s="665">
        <v>9</v>
      </c>
      <c r="B967" s="666"/>
      <c r="C967" s="665" t="s">
        <v>1745</v>
      </c>
      <c r="D967" s="49" t="s">
        <v>458</v>
      </c>
      <c r="E967" s="68">
        <v>4</v>
      </c>
      <c r="F967" s="665" t="s">
        <v>459</v>
      </c>
      <c r="G967" s="665" t="s">
        <v>8</v>
      </c>
      <c r="H967" s="36"/>
      <c r="I967" s="37">
        <v>1741.4</v>
      </c>
      <c r="J967" s="98">
        <v>1942.7</v>
      </c>
      <c r="K967" s="25">
        <v>2142.5</v>
      </c>
      <c r="L967" s="26">
        <v>2296.8000000000002</v>
      </c>
      <c r="M967" s="133" t="s">
        <v>616</v>
      </c>
      <c r="N967" s="1033" t="s">
        <v>1744</v>
      </c>
      <c r="O967" s="999" t="s">
        <v>1074</v>
      </c>
      <c r="P967" s="665">
        <v>100</v>
      </c>
      <c r="Q967" s="665"/>
    </row>
    <row r="968" spans="1:17" ht="13.2" x14ac:dyDescent="0.25">
      <c r="A968" s="665">
        <v>9</v>
      </c>
      <c r="B968" s="666"/>
      <c r="C968" s="665"/>
      <c r="D968" s="49"/>
      <c r="E968" s="68">
        <v>4</v>
      </c>
      <c r="F968" s="665" t="s">
        <v>459</v>
      </c>
      <c r="G968" s="311" t="s">
        <v>492</v>
      </c>
      <c r="H968" s="104">
        <f>SUM(H967:H967)</f>
        <v>0</v>
      </c>
      <c r="I968" s="104">
        <f>SUM(I967:I967)</f>
        <v>1741.4</v>
      </c>
      <c r="J968" s="104">
        <f>SUM(J967:J967)</f>
        <v>1942.7</v>
      </c>
      <c r="K968" s="104">
        <f>SUM(K967:K967)</f>
        <v>2142.5</v>
      </c>
      <c r="L968" s="872">
        <f>SUM(L967:L967)</f>
        <v>2296.8000000000002</v>
      </c>
      <c r="M968" s="133"/>
      <c r="N968" s="1033"/>
      <c r="O968" s="999"/>
      <c r="P968" s="665"/>
      <c r="Q968" s="665"/>
    </row>
    <row r="969" spans="1:17" ht="40.799999999999997" x14ac:dyDescent="0.25">
      <c r="A969" s="665">
        <v>9</v>
      </c>
      <c r="B969" s="93"/>
      <c r="C969" s="93"/>
      <c r="D969" s="94" t="s">
        <v>1746</v>
      </c>
      <c r="E969" s="900"/>
      <c r="F969" s="95"/>
      <c r="G969" s="93"/>
      <c r="H969" s="96"/>
      <c r="I969" s="95"/>
      <c r="J969" s="95"/>
      <c r="K969" s="95"/>
      <c r="L969" s="422"/>
      <c r="M969" s="133"/>
      <c r="N969" s="1046"/>
      <c r="O969" s="999"/>
      <c r="P969" s="665"/>
      <c r="Q969" s="665"/>
    </row>
    <row r="970" spans="1:17" ht="21" customHeight="1" x14ac:dyDescent="0.25">
      <c r="A970" s="665">
        <v>9</v>
      </c>
      <c r="B970" s="112" t="s">
        <v>1747</v>
      </c>
      <c r="C970" s="112" t="s">
        <v>1747</v>
      </c>
      <c r="D970" s="132" t="s">
        <v>1748</v>
      </c>
      <c r="E970" s="1070"/>
      <c r="F970" s="907"/>
      <c r="G970" s="98" t="s">
        <v>1588</v>
      </c>
      <c r="H970" s="98" t="e">
        <f>SUM(H976:H980,H983:H987,#REF!,#REF!,H990:H992)</f>
        <v>#REF!</v>
      </c>
      <c r="I970" s="98" t="e">
        <f>SUM(I976+I978+I980+I983+I985+I987+I990+I992+#REF!+#REF!+#REF!+I996+#REF!+I994)</f>
        <v>#REF!</v>
      </c>
      <c r="J970" s="98">
        <f>SUM(J976+J978+J980+J983+J985+J987+J990+J992+J996+J994+J1000)</f>
        <v>449.09999999999997</v>
      </c>
      <c r="K970" s="98" t="e">
        <f>SUM(K976+K978+K980+K983+K985+K987+K990+K992+#REF!+#REF!+#REF!+K996+#REF!+K994)</f>
        <v>#REF!</v>
      </c>
      <c r="L970" s="125" t="e">
        <f>SUM(L976+L978+L980+L983+L985+L987+L990+L992+#REF!+#REF!+#REF!+L996+#REF!+L994)</f>
        <v>#REF!</v>
      </c>
      <c r="M970" s="133"/>
      <c r="N970" s="1046"/>
      <c r="O970" s="999"/>
      <c r="P970" s="665"/>
      <c r="Q970" s="665"/>
    </row>
    <row r="971" spans="1:17" ht="22.2" customHeight="1" x14ac:dyDescent="0.25">
      <c r="A971" s="665">
        <v>9</v>
      </c>
      <c r="B971" s="904"/>
      <c r="C971" s="905"/>
      <c r="D971" s="906"/>
      <c r="E971" s="1070"/>
      <c r="F971" s="907"/>
      <c r="G971" s="98" t="s">
        <v>1749</v>
      </c>
      <c r="H971" s="98">
        <f>H981</f>
        <v>10</v>
      </c>
      <c r="I971" s="98">
        <f>I981</f>
        <v>10</v>
      </c>
      <c r="J971" s="98">
        <f>J981</f>
        <v>10</v>
      </c>
      <c r="K971" s="98">
        <f>K981</f>
        <v>10</v>
      </c>
      <c r="L971" s="125">
        <f>L981</f>
        <v>10</v>
      </c>
      <c r="M971" s="133"/>
      <c r="N971" s="1046"/>
      <c r="O971" s="999"/>
      <c r="P971" s="665"/>
      <c r="Q971" s="665"/>
    </row>
    <row r="972" spans="1:17" ht="20.399999999999999" customHeight="1" x14ac:dyDescent="0.25">
      <c r="A972" s="665">
        <v>9</v>
      </c>
      <c r="B972" s="904"/>
      <c r="C972" s="905"/>
      <c r="D972" s="906"/>
      <c r="E972" s="1070"/>
      <c r="F972" s="907"/>
      <c r="G972" s="98" t="s">
        <v>1750</v>
      </c>
      <c r="H972" s="98" t="e">
        <f>SUM(H988+#REF!)</f>
        <v>#REF!</v>
      </c>
      <c r="I972" s="98" t="e">
        <f>SUM(I988+#REF!)</f>
        <v>#REF!</v>
      </c>
      <c r="J972" s="98">
        <f>SUM(J988)</f>
        <v>69.000000000000014</v>
      </c>
      <c r="K972" s="98" t="e">
        <f>SUM(K988+#REF!)</f>
        <v>#REF!</v>
      </c>
      <c r="L972" s="125" t="e">
        <f>SUM(L988+#REF!)</f>
        <v>#REF!</v>
      </c>
      <c r="M972" s="133"/>
      <c r="N972" s="1046"/>
      <c r="O972" s="999"/>
      <c r="P972" s="665"/>
      <c r="Q972" s="665"/>
    </row>
    <row r="973" spans="1:17" ht="23.4" customHeight="1" x14ac:dyDescent="0.25">
      <c r="A973" s="665">
        <v>9</v>
      </c>
      <c r="B973" s="904"/>
      <c r="C973" s="905"/>
      <c r="D973" s="906"/>
      <c r="E973" s="1070"/>
      <c r="F973" s="907"/>
      <c r="G973" s="98" t="s">
        <v>1589</v>
      </c>
      <c r="H973" s="98"/>
      <c r="I973" s="98">
        <f>SUM(I997)</f>
        <v>0</v>
      </c>
      <c r="J973" s="98">
        <f t="shared" ref="J973:L974" si="141">SUM(J997)</f>
        <v>8.4</v>
      </c>
      <c r="K973" s="98">
        <f t="shared" si="141"/>
        <v>0</v>
      </c>
      <c r="L973" s="125">
        <f t="shared" si="141"/>
        <v>0</v>
      </c>
      <c r="M973" s="133"/>
      <c r="N973" s="1046"/>
      <c r="O973" s="999"/>
      <c r="P973" s="665"/>
      <c r="Q973" s="665"/>
    </row>
    <row r="974" spans="1:17" ht="12.75" customHeight="1" x14ac:dyDescent="0.25">
      <c r="A974" s="665">
        <v>9</v>
      </c>
      <c r="B974" s="904"/>
      <c r="C974" s="905"/>
      <c r="D974" s="906"/>
      <c r="E974" s="1070"/>
      <c r="F974" s="907"/>
      <c r="G974" s="98" t="s">
        <v>1751</v>
      </c>
      <c r="H974" s="98"/>
      <c r="I974" s="98">
        <f>SUM(I998)</f>
        <v>0</v>
      </c>
      <c r="J974" s="98">
        <f t="shared" si="141"/>
        <v>31.4</v>
      </c>
      <c r="K974" s="98">
        <f t="shared" si="141"/>
        <v>0</v>
      </c>
      <c r="L974" s="125">
        <f t="shared" si="141"/>
        <v>0</v>
      </c>
      <c r="M974" s="133"/>
      <c r="N974" s="1046"/>
      <c r="O974" s="999"/>
      <c r="P974" s="665"/>
      <c r="Q974" s="665"/>
    </row>
    <row r="975" spans="1:17" ht="12.75" customHeight="1" x14ac:dyDescent="0.25">
      <c r="A975" s="665">
        <v>9</v>
      </c>
      <c r="B975" s="666"/>
      <c r="C975" s="675"/>
      <c r="D975" s="667"/>
      <c r="E975" s="668"/>
      <c r="F975" s="665"/>
      <c r="G975" s="306" t="s">
        <v>492</v>
      </c>
      <c r="H975" s="307" t="e">
        <f>SUM(H970:H972)</f>
        <v>#REF!</v>
      </c>
      <c r="I975" s="307" t="e">
        <f>SUM(I970:I974)</f>
        <v>#REF!</v>
      </c>
      <c r="J975" s="307">
        <f t="shared" ref="J975:L975" si="142">SUM(J970:J974)</f>
        <v>567.9</v>
      </c>
      <c r="K975" s="307" t="e">
        <f t="shared" si="142"/>
        <v>#REF!</v>
      </c>
      <c r="L975" s="869" t="e">
        <f t="shared" si="142"/>
        <v>#REF!</v>
      </c>
      <c r="M975" s="133"/>
      <c r="N975" s="1033"/>
      <c r="O975" s="999"/>
      <c r="P975" s="665"/>
      <c r="Q975" s="665"/>
    </row>
    <row r="976" spans="1:17" ht="12.75" customHeight="1" x14ac:dyDescent="0.25">
      <c r="A976" s="665">
        <v>9</v>
      </c>
      <c r="B976" s="666"/>
      <c r="C976" s="675" t="s">
        <v>1752</v>
      </c>
      <c r="D976" s="667" t="s">
        <v>1753</v>
      </c>
      <c r="E976" s="668">
        <v>13</v>
      </c>
      <c r="F976" s="665" t="s">
        <v>396</v>
      </c>
      <c r="G976" s="665" t="s">
        <v>8</v>
      </c>
      <c r="H976" s="672">
        <v>41.800000000000004</v>
      </c>
      <c r="I976" s="37">
        <v>174.5</v>
      </c>
      <c r="J976" s="98">
        <f>272-120</f>
        <v>152</v>
      </c>
      <c r="K976" s="669">
        <f>161+120</f>
        <v>281</v>
      </c>
      <c r="L976" s="870">
        <v>161</v>
      </c>
      <c r="M976" s="133" t="s">
        <v>629</v>
      </c>
      <c r="N976" s="1047" t="s">
        <v>1754</v>
      </c>
      <c r="O976" s="999" t="s">
        <v>1755</v>
      </c>
      <c r="P976" s="665">
        <v>100</v>
      </c>
      <c r="Q976" s="665"/>
    </row>
    <row r="977" spans="1:17" ht="12.75" customHeight="1" x14ac:dyDescent="0.25">
      <c r="A977" s="665">
        <v>9</v>
      </c>
      <c r="B977" s="666"/>
      <c r="C977" s="675"/>
      <c r="D977" s="667"/>
      <c r="E977" s="668"/>
      <c r="F977" s="665" t="s">
        <v>396</v>
      </c>
      <c r="G977" s="311" t="s">
        <v>492</v>
      </c>
      <c r="H977" s="104"/>
      <c r="I977" s="104">
        <f>SUM(I976)</f>
        <v>174.5</v>
      </c>
      <c r="J977" s="104">
        <f t="shared" ref="J977:L977" si="143">SUM(J976)</f>
        <v>152</v>
      </c>
      <c r="K977" s="104">
        <f t="shared" si="143"/>
        <v>281</v>
      </c>
      <c r="L977" s="872">
        <f t="shared" si="143"/>
        <v>161</v>
      </c>
      <c r="M977" s="133"/>
      <c r="N977" s="1033"/>
      <c r="O977" s="999"/>
      <c r="P977" s="665"/>
      <c r="Q977" s="665"/>
    </row>
    <row r="978" spans="1:17" ht="12.75" customHeight="1" x14ac:dyDescent="0.25">
      <c r="A978" s="665">
        <v>9</v>
      </c>
      <c r="B978" s="666"/>
      <c r="C978" s="675" t="s">
        <v>1756</v>
      </c>
      <c r="D978" s="667" t="s">
        <v>1757</v>
      </c>
      <c r="E978" s="668">
        <v>3</v>
      </c>
      <c r="F978" s="665" t="s">
        <v>1758</v>
      </c>
      <c r="G978" s="665" t="s">
        <v>8</v>
      </c>
      <c r="H978" s="672">
        <v>109.8</v>
      </c>
      <c r="I978" s="37">
        <v>41.1</v>
      </c>
      <c r="J978" s="98">
        <f>200-40-90</f>
        <v>70</v>
      </c>
      <c r="K978" s="669">
        <v>200</v>
      </c>
      <c r="L978" s="870">
        <v>200</v>
      </c>
      <c r="M978" s="133" t="s">
        <v>629</v>
      </c>
      <c r="N978" s="820" t="s">
        <v>1759</v>
      </c>
      <c r="O978" s="999" t="s">
        <v>1760</v>
      </c>
      <c r="P978" s="665">
        <v>100</v>
      </c>
      <c r="Q978" s="665"/>
    </row>
    <row r="979" spans="1:17" ht="13.2" x14ac:dyDescent="0.25">
      <c r="A979" s="665">
        <v>9</v>
      </c>
      <c r="B979" s="666"/>
      <c r="C979" s="675"/>
      <c r="D979" s="667"/>
      <c r="E979" s="668"/>
      <c r="F979" s="665" t="s">
        <v>1758</v>
      </c>
      <c r="G979" s="311" t="s">
        <v>492</v>
      </c>
      <c r="H979" s="104"/>
      <c r="I979" s="104" t="e">
        <f>SUM(I978,#REF!)</f>
        <v>#REF!</v>
      </c>
      <c r="J979" s="104">
        <f>SUM(J978)</f>
        <v>70</v>
      </c>
      <c r="K979" s="104" t="e">
        <f>SUM(K978,#REF!)</f>
        <v>#REF!</v>
      </c>
      <c r="L979" s="872" t="e">
        <f>SUM(L978,#REF!)</f>
        <v>#REF!</v>
      </c>
      <c r="M979" s="133"/>
      <c r="N979" s="1033"/>
      <c r="O979" s="999"/>
      <c r="P979" s="665"/>
      <c r="Q979" s="665"/>
    </row>
    <row r="980" spans="1:17" ht="99.6" customHeight="1" x14ac:dyDescent="0.25">
      <c r="A980" s="665">
        <v>9</v>
      </c>
      <c r="B980" s="666"/>
      <c r="C980" s="675" t="s">
        <v>1761</v>
      </c>
      <c r="D980" s="667" t="s">
        <v>1762</v>
      </c>
      <c r="E980" s="668">
        <v>10</v>
      </c>
      <c r="F980" s="665" t="s">
        <v>460</v>
      </c>
      <c r="G980" s="65" t="s">
        <v>8</v>
      </c>
      <c r="H980" s="36">
        <v>36.799999999999997</v>
      </c>
      <c r="I980" s="37">
        <v>37.1</v>
      </c>
      <c r="J980" s="98">
        <v>50</v>
      </c>
      <c r="K980" s="25">
        <v>50</v>
      </c>
      <c r="L980" s="26">
        <v>50</v>
      </c>
      <c r="M980" s="133" t="s">
        <v>616</v>
      </c>
      <c r="N980" s="1033" t="s">
        <v>1607</v>
      </c>
      <c r="O980" s="999" t="s">
        <v>1763</v>
      </c>
      <c r="P980" s="736" t="s">
        <v>1764</v>
      </c>
      <c r="Q980" s="665"/>
    </row>
    <row r="981" spans="1:17" ht="27" customHeight="1" x14ac:dyDescent="0.25">
      <c r="A981" s="665">
        <v>9</v>
      </c>
      <c r="B981" s="666"/>
      <c r="C981" s="675"/>
      <c r="D981" s="667"/>
      <c r="E981" s="668">
        <v>10</v>
      </c>
      <c r="F981" s="665" t="s">
        <v>460</v>
      </c>
      <c r="G981" s="65" t="s">
        <v>74</v>
      </c>
      <c r="H981" s="36">
        <v>10</v>
      </c>
      <c r="I981" s="37">
        <v>10</v>
      </c>
      <c r="J981" s="98">
        <v>10</v>
      </c>
      <c r="K981" s="25">
        <v>10</v>
      </c>
      <c r="L981" s="26">
        <v>10</v>
      </c>
      <c r="M981" s="133"/>
      <c r="N981" s="1033" t="s">
        <v>1607</v>
      </c>
      <c r="O981" s="999"/>
      <c r="P981" s="665"/>
      <c r="Q981" s="665"/>
    </row>
    <row r="982" spans="1:17" ht="12.75" customHeight="1" x14ac:dyDescent="0.25">
      <c r="A982" s="665">
        <v>9</v>
      </c>
      <c r="B982" s="666"/>
      <c r="C982" s="675"/>
      <c r="D982" s="667"/>
      <c r="E982" s="668"/>
      <c r="F982" s="665" t="s">
        <v>460</v>
      </c>
      <c r="G982" s="311" t="s">
        <v>492</v>
      </c>
      <c r="H982" s="104"/>
      <c r="I982" s="104">
        <f>SUM(I980:I981)</f>
        <v>47.1</v>
      </c>
      <c r="J982" s="104">
        <f>SUM(J980:J981)</f>
        <v>60</v>
      </c>
      <c r="K982" s="104">
        <f>SUM(K980:K981)</f>
        <v>60</v>
      </c>
      <c r="L982" s="872">
        <f>SUM(L980:L981)</f>
        <v>60</v>
      </c>
      <c r="M982" s="133"/>
      <c r="N982" s="1033"/>
      <c r="O982" s="999"/>
      <c r="P982" s="665"/>
      <c r="Q982" s="665"/>
    </row>
    <row r="983" spans="1:17" ht="12.75" customHeight="1" x14ac:dyDescent="0.25">
      <c r="A983" s="665">
        <v>9</v>
      </c>
      <c r="B983" s="666"/>
      <c r="C983" s="675" t="s">
        <v>1765</v>
      </c>
      <c r="D983" s="667" t="s">
        <v>461</v>
      </c>
      <c r="E983" s="668">
        <v>10</v>
      </c>
      <c r="F983" s="665" t="s">
        <v>462</v>
      </c>
      <c r="G983" s="65" t="s">
        <v>8</v>
      </c>
      <c r="H983" s="36">
        <v>24.8</v>
      </c>
      <c r="I983" s="37">
        <v>32.200000000000003</v>
      </c>
      <c r="J983" s="98">
        <v>34.9</v>
      </c>
      <c r="K983" s="6">
        <v>34.9</v>
      </c>
      <c r="L983" s="24">
        <v>34.9</v>
      </c>
      <c r="M983" s="133" t="s">
        <v>616</v>
      </c>
      <c r="N983" s="1042" t="s">
        <v>1766</v>
      </c>
      <c r="O983" s="999" t="s">
        <v>1767</v>
      </c>
      <c r="P983" s="665">
        <v>100</v>
      </c>
      <c r="Q983" s="665"/>
    </row>
    <row r="984" spans="1:17" ht="12.75" customHeight="1" x14ac:dyDescent="0.25">
      <c r="A984" s="665">
        <v>9</v>
      </c>
      <c r="B984" s="666"/>
      <c r="C984" s="675"/>
      <c r="D984" s="667"/>
      <c r="E984" s="668"/>
      <c r="F984" s="665" t="s">
        <v>462</v>
      </c>
      <c r="G984" s="311" t="s">
        <v>492</v>
      </c>
      <c r="H984" s="104"/>
      <c r="I984" s="104">
        <f>SUM(I983)</f>
        <v>32.200000000000003</v>
      </c>
      <c r="J984" s="104">
        <f>SUM(J983)</f>
        <v>34.9</v>
      </c>
      <c r="K984" s="104">
        <f>SUM(K983)</f>
        <v>34.9</v>
      </c>
      <c r="L984" s="872">
        <f>SUM(L983)</f>
        <v>34.9</v>
      </c>
      <c r="M984" s="133"/>
      <c r="N984" s="1033"/>
      <c r="O984" s="999"/>
      <c r="P984" s="665"/>
      <c r="Q984" s="665"/>
    </row>
    <row r="985" spans="1:17" ht="12.75" customHeight="1" x14ac:dyDescent="0.25">
      <c r="A985" s="665">
        <v>9</v>
      </c>
      <c r="B985" s="666"/>
      <c r="C985" s="675" t="s">
        <v>1768</v>
      </c>
      <c r="D985" s="676" t="s">
        <v>463</v>
      </c>
      <c r="E985" s="668" t="s">
        <v>398</v>
      </c>
      <c r="F985" s="665" t="s">
        <v>464</v>
      </c>
      <c r="G985" s="665" t="s">
        <v>8</v>
      </c>
      <c r="H985" s="672">
        <v>30.4</v>
      </c>
      <c r="I985" s="37">
        <v>40.4</v>
      </c>
      <c r="J985" s="98">
        <v>46.8</v>
      </c>
      <c r="K985" s="669">
        <v>46.8</v>
      </c>
      <c r="L985" s="870">
        <v>46.8</v>
      </c>
      <c r="M985" s="133" t="s">
        <v>616</v>
      </c>
      <c r="N985" s="1038" t="s">
        <v>1769</v>
      </c>
      <c r="O985" s="999" t="s">
        <v>1074</v>
      </c>
      <c r="P985" s="665">
        <v>100</v>
      </c>
      <c r="Q985" s="665"/>
    </row>
    <row r="986" spans="1:17" ht="13.2" x14ac:dyDescent="0.25">
      <c r="A986" s="665">
        <v>9</v>
      </c>
      <c r="B986" s="666"/>
      <c r="C986" s="675"/>
      <c r="D986" s="676"/>
      <c r="E986" s="668"/>
      <c r="F986" s="665" t="s">
        <v>464</v>
      </c>
      <c r="G986" s="311" t="s">
        <v>492</v>
      </c>
      <c r="H986" s="104"/>
      <c r="I986" s="104">
        <f>SUM(I985)</f>
        <v>40.4</v>
      </c>
      <c r="J986" s="104">
        <f>SUM(J985)</f>
        <v>46.8</v>
      </c>
      <c r="K986" s="104">
        <f>SUM(K985)</f>
        <v>46.8</v>
      </c>
      <c r="L986" s="872">
        <f>SUM(L985)</f>
        <v>46.8</v>
      </c>
      <c r="M986" s="133"/>
      <c r="N986" s="1033"/>
      <c r="O986" s="999"/>
      <c r="P986" s="665"/>
      <c r="Q986" s="665"/>
    </row>
    <row r="987" spans="1:17" ht="20.399999999999999" x14ac:dyDescent="0.25">
      <c r="A987" s="665">
        <v>9</v>
      </c>
      <c r="B987" s="666"/>
      <c r="C987" s="675" t="s">
        <v>1770</v>
      </c>
      <c r="D987" s="49" t="s">
        <v>465</v>
      </c>
      <c r="E987" s="739" t="s">
        <v>466</v>
      </c>
      <c r="F987" s="42" t="s">
        <v>467</v>
      </c>
      <c r="G987" s="665" t="s">
        <v>8</v>
      </c>
      <c r="H987" s="672">
        <v>50</v>
      </c>
      <c r="I987" s="37">
        <v>73.900000000000006</v>
      </c>
      <c r="J987" s="98">
        <f>400-200-30-75-55</f>
        <v>40</v>
      </c>
      <c r="K987" s="669">
        <f>500+200-200</f>
        <v>500</v>
      </c>
      <c r="L987" s="870">
        <f>600+200</f>
        <v>800</v>
      </c>
      <c r="M987" s="133" t="s">
        <v>616</v>
      </c>
      <c r="N987" s="1033" t="s">
        <v>1771</v>
      </c>
      <c r="O987" s="999" t="s">
        <v>1772</v>
      </c>
      <c r="P987" s="665">
        <v>5</v>
      </c>
      <c r="Q987" s="665"/>
    </row>
    <row r="988" spans="1:17" ht="20.399999999999999" x14ac:dyDescent="0.25">
      <c r="A988" s="665">
        <v>9</v>
      </c>
      <c r="B988" s="666"/>
      <c r="C988" s="675"/>
      <c r="D988" s="49"/>
      <c r="E988" s="739" t="s">
        <v>466</v>
      </c>
      <c r="F988" s="42" t="s">
        <v>467</v>
      </c>
      <c r="G988" s="665" t="s">
        <v>9</v>
      </c>
      <c r="H988" s="672">
        <v>56.3</v>
      </c>
      <c r="I988" s="37">
        <v>127.7</v>
      </c>
      <c r="J988" s="98">
        <f>209.8-80-60.8</f>
        <v>69.000000000000014</v>
      </c>
      <c r="K988" s="669"/>
      <c r="L988" s="870"/>
      <c r="M988" s="133" t="s">
        <v>616</v>
      </c>
      <c r="N988" s="1033" t="s">
        <v>1771</v>
      </c>
      <c r="O988" s="999"/>
      <c r="P988" s="665"/>
      <c r="Q988" s="665"/>
    </row>
    <row r="989" spans="1:17" ht="13.2" x14ac:dyDescent="0.25">
      <c r="A989" s="665">
        <v>9</v>
      </c>
      <c r="B989" s="666"/>
      <c r="C989" s="675"/>
      <c r="D989" s="49"/>
      <c r="E989" s="218"/>
      <c r="F989" s="42" t="s">
        <v>467</v>
      </c>
      <c r="G989" s="311" t="s">
        <v>492</v>
      </c>
      <c r="H989" s="104">
        <f>SUM(H987:H988)</f>
        <v>106.3</v>
      </c>
      <c r="I989" s="104">
        <f>SUM(I987:I988)</f>
        <v>201.60000000000002</v>
      </c>
      <c r="J989" s="104">
        <f>SUM(J987:J988)</f>
        <v>109.00000000000001</v>
      </c>
      <c r="K989" s="104">
        <f>SUM(K987:K988)</f>
        <v>500</v>
      </c>
      <c r="L989" s="872">
        <f>SUM(L987:L988)</f>
        <v>800</v>
      </c>
      <c r="M989" s="133"/>
      <c r="N989" s="1033"/>
      <c r="O989" s="999"/>
      <c r="P989" s="665"/>
      <c r="Q989" s="665"/>
    </row>
    <row r="990" spans="1:17" ht="36" customHeight="1" x14ac:dyDescent="0.25">
      <c r="A990" s="665">
        <v>9</v>
      </c>
      <c r="B990" s="666"/>
      <c r="C990" s="675" t="s">
        <v>1773</v>
      </c>
      <c r="D990" s="667" t="s">
        <v>488</v>
      </c>
      <c r="E990" s="668">
        <v>36</v>
      </c>
      <c r="F990" s="665" t="s">
        <v>489</v>
      </c>
      <c r="G990" s="665" t="s">
        <v>8</v>
      </c>
      <c r="H990" s="672">
        <v>16.600000000000001</v>
      </c>
      <c r="I990" s="15">
        <v>36.6</v>
      </c>
      <c r="J990" s="98">
        <f>50-20</f>
        <v>30</v>
      </c>
      <c r="K990" s="669">
        <v>50</v>
      </c>
      <c r="L990" s="870">
        <v>50</v>
      </c>
      <c r="M990" s="133" t="s">
        <v>616</v>
      </c>
      <c r="N990" s="1033" t="s">
        <v>1774</v>
      </c>
      <c r="O990" s="999" t="s">
        <v>1775</v>
      </c>
      <c r="P990" s="665">
        <v>5</v>
      </c>
      <c r="Q990" s="665"/>
    </row>
    <row r="991" spans="1:17" ht="13.2" x14ac:dyDescent="0.25">
      <c r="A991" s="665">
        <v>9</v>
      </c>
      <c r="B991" s="666"/>
      <c r="C991" s="675"/>
      <c r="D991" s="667"/>
      <c r="E991" s="668">
        <v>36</v>
      </c>
      <c r="F991" s="665" t="s">
        <v>489</v>
      </c>
      <c r="G991" s="311" t="s">
        <v>492</v>
      </c>
      <c r="H991" s="104"/>
      <c r="I991" s="104">
        <f>SUM(I990)</f>
        <v>36.6</v>
      </c>
      <c r="J991" s="104">
        <f>SUM(J990)</f>
        <v>30</v>
      </c>
      <c r="K991" s="104">
        <f>SUM(K990)</f>
        <v>50</v>
      </c>
      <c r="L991" s="872">
        <f>SUM(L990)</f>
        <v>50</v>
      </c>
      <c r="M991" s="133"/>
      <c r="N991" s="1033"/>
      <c r="O991" s="999"/>
      <c r="P991" s="665"/>
      <c r="Q991" s="665"/>
    </row>
    <row r="992" spans="1:17" ht="28.2" customHeight="1" x14ac:dyDescent="0.25">
      <c r="A992" s="665">
        <v>9</v>
      </c>
      <c r="B992" s="666"/>
      <c r="C992" s="675" t="s">
        <v>1776</v>
      </c>
      <c r="D992" s="667" t="s">
        <v>490</v>
      </c>
      <c r="E992" s="668">
        <v>36</v>
      </c>
      <c r="F992" s="665" t="s">
        <v>491</v>
      </c>
      <c r="G992" s="665" t="s">
        <v>8</v>
      </c>
      <c r="H992" s="672">
        <v>8.4</v>
      </c>
      <c r="I992" s="37">
        <v>5.8</v>
      </c>
      <c r="J992" s="98">
        <f>10-7.6</f>
        <v>2.4000000000000004</v>
      </c>
      <c r="K992" s="669">
        <v>10</v>
      </c>
      <c r="L992" s="870">
        <v>10</v>
      </c>
      <c r="M992" s="133" t="s">
        <v>616</v>
      </c>
      <c r="N992" s="1033" t="s">
        <v>1777</v>
      </c>
      <c r="O992" s="999" t="s">
        <v>1778</v>
      </c>
      <c r="P992" s="665">
        <v>7</v>
      </c>
      <c r="Q992" s="665"/>
    </row>
    <row r="993" spans="1:17" ht="13.2" x14ac:dyDescent="0.25">
      <c r="A993" s="665">
        <v>9</v>
      </c>
      <c r="B993" s="666"/>
      <c r="C993" s="675"/>
      <c r="D993" s="667"/>
      <c r="E993" s="668">
        <v>36</v>
      </c>
      <c r="F993" s="665" t="s">
        <v>491</v>
      </c>
      <c r="G993" s="311" t="s">
        <v>492</v>
      </c>
      <c r="H993" s="104"/>
      <c r="I993" s="104">
        <f>SUM(I992)</f>
        <v>5.8</v>
      </c>
      <c r="J993" s="104">
        <f>SUM(J992)</f>
        <v>2.4000000000000004</v>
      </c>
      <c r="K993" s="104">
        <f>SUM(K992)</f>
        <v>10</v>
      </c>
      <c r="L993" s="872">
        <f>SUM(L992)</f>
        <v>10</v>
      </c>
      <c r="M993" s="133"/>
      <c r="N993" s="1033"/>
      <c r="O993" s="999"/>
      <c r="P993" s="665"/>
      <c r="Q993" s="665"/>
    </row>
    <row r="994" spans="1:17" ht="21" customHeight="1" x14ac:dyDescent="0.25">
      <c r="A994" s="665">
        <v>9</v>
      </c>
      <c r="B994" s="666"/>
      <c r="C994" s="675" t="s">
        <v>1779</v>
      </c>
      <c r="D994" s="667" t="s">
        <v>1780</v>
      </c>
      <c r="E994" s="668">
        <v>13</v>
      </c>
      <c r="F994" s="665" t="s">
        <v>1781</v>
      </c>
      <c r="G994" s="665" t="s">
        <v>8</v>
      </c>
      <c r="H994" s="672"/>
      <c r="I994" s="37">
        <v>8.6</v>
      </c>
      <c r="J994" s="98">
        <v>10</v>
      </c>
      <c r="K994" s="669">
        <v>10</v>
      </c>
      <c r="L994" s="870">
        <v>10</v>
      </c>
      <c r="M994" s="133" t="s">
        <v>629</v>
      </c>
      <c r="N994" s="1033" t="s">
        <v>1782</v>
      </c>
      <c r="O994" s="999" t="s">
        <v>1783</v>
      </c>
      <c r="P994" s="665">
        <v>3</v>
      </c>
      <c r="Q994" s="665"/>
    </row>
    <row r="995" spans="1:17" ht="13.2" x14ac:dyDescent="0.25">
      <c r="A995" s="665">
        <v>9</v>
      </c>
      <c r="B995" s="666"/>
      <c r="C995" s="675"/>
      <c r="D995" s="667"/>
      <c r="E995" s="665">
        <v>13</v>
      </c>
      <c r="F995" s="665" t="s">
        <v>1781</v>
      </c>
      <c r="G995" s="311" t="s">
        <v>492</v>
      </c>
      <c r="H995" s="104"/>
      <c r="I995" s="104">
        <f>SUM(I994)</f>
        <v>8.6</v>
      </c>
      <c r="J995" s="104">
        <f t="shared" ref="J995:L995" si="144">SUM(J994)</f>
        <v>10</v>
      </c>
      <c r="K995" s="104">
        <f t="shared" si="144"/>
        <v>10</v>
      </c>
      <c r="L995" s="872">
        <f t="shared" si="144"/>
        <v>10</v>
      </c>
      <c r="M995" s="133"/>
      <c r="N995" s="1033"/>
      <c r="O995" s="999"/>
      <c r="P995" s="665"/>
      <c r="Q995" s="665"/>
    </row>
    <row r="996" spans="1:17" ht="29.4" customHeight="1" x14ac:dyDescent="0.25">
      <c r="A996" s="665">
        <v>9</v>
      </c>
      <c r="B996" s="666"/>
      <c r="C996" s="675" t="s">
        <v>1784</v>
      </c>
      <c r="D996" s="667" t="s">
        <v>1785</v>
      </c>
      <c r="E996" s="665">
        <v>10</v>
      </c>
      <c r="F996" s="665" t="s">
        <v>1786</v>
      </c>
      <c r="G996" s="665" t="s">
        <v>8</v>
      </c>
      <c r="H996" s="672"/>
      <c r="I996" s="37"/>
      <c r="J996" s="98">
        <v>10</v>
      </c>
      <c r="K996" s="669"/>
      <c r="L996" s="870"/>
      <c r="M996" s="133" t="s">
        <v>689</v>
      </c>
      <c r="N996" s="1033" t="s">
        <v>1787</v>
      </c>
      <c r="O996" s="1074" t="s">
        <v>1897</v>
      </c>
      <c r="P996" s="1075">
        <v>1</v>
      </c>
      <c r="Q996" s="665"/>
    </row>
    <row r="997" spans="1:17" ht="12.75" customHeight="1" x14ac:dyDescent="0.25">
      <c r="A997" s="665">
        <v>9</v>
      </c>
      <c r="B997" s="666"/>
      <c r="C997" s="675"/>
      <c r="D997" s="667"/>
      <c r="E997" s="665">
        <v>10</v>
      </c>
      <c r="F997" s="665" t="s">
        <v>1786</v>
      </c>
      <c r="G997" s="665" t="s">
        <v>10</v>
      </c>
      <c r="H997" s="672"/>
      <c r="I997" s="37"/>
      <c r="J997" s="98">
        <v>8.4</v>
      </c>
      <c r="K997" s="669"/>
      <c r="L997" s="870"/>
      <c r="M997" s="133" t="s">
        <v>689</v>
      </c>
      <c r="N997" s="1033" t="s">
        <v>1787</v>
      </c>
      <c r="O997" s="999"/>
      <c r="P997" s="665"/>
      <c r="Q997" s="665"/>
    </row>
    <row r="998" spans="1:17" ht="12.75" customHeight="1" x14ac:dyDescent="0.25">
      <c r="A998" s="665">
        <v>9</v>
      </c>
      <c r="B998" s="666"/>
      <c r="C998" s="675"/>
      <c r="D998" s="667"/>
      <c r="E998" s="665">
        <v>10</v>
      </c>
      <c r="F998" s="665" t="s">
        <v>1786</v>
      </c>
      <c r="G998" s="665" t="s">
        <v>37</v>
      </c>
      <c r="H998" s="672"/>
      <c r="I998" s="37"/>
      <c r="J998" s="98">
        <v>31.4</v>
      </c>
      <c r="K998" s="670"/>
      <c r="L998" s="870"/>
      <c r="M998" s="133" t="s">
        <v>689</v>
      </c>
      <c r="N998" s="1033" t="s">
        <v>1787</v>
      </c>
      <c r="O998" s="999"/>
      <c r="P998" s="665"/>
      <c r="Q998" s="665"/>
    </row>
    <row r="999" spans="1:17" ht="13.2" x14ac:dyDescent="0.25">
      <c r="A999" s="665">
        <v>9</v>
      </c>
      <c r="B999" s="666"/>
      <c r="C999" s="675"/>
      <c r="D999" s="667"/>
      <c r="E999" s="665">
        <v>10</v>
      </c>
      <c r="F999" s="665" t="s">
        <v>1786</v>
      </c>
      <c r="G999" s="311" t="s">
        <v>492</v>
      </c>
      <c r="H999" s="104"/>
      <c r="I999" s="104">
        <f>SUM(I996:I998)</f>
        <v>0</v>
      </c>
      <c r="J999" s="104">
        <f t="shared" ref="J999:L999" si="145">SUM(J996:J998)</f>
        <v>49.8</v>
      </c>
      <c r="K999" s="104">
        <f t="shared" si="145"/>
        <v>0</v>
      </c>
      <c r="L999" s="872">
        <f t="shared" si="145"/>
        <v>0</v>
      </c>
      <c r="M999" s="133" t="s">
        <v>689</v>
      </c>
      <c r="N999" s="1033"/>
      <c r="O999" s="999"/>
      <c r="P999" s="665"/>
      <c r="Q999" s="665"/>
    </row>
    <row r="1000" spans="1:17" ht="20.399999999999999" x14ac:dyDescent="0.25">
      <c r="A1000" s="665">
        <v>9</v>
      </c>
      <c r="B1000" s="666"/>
      <c r="C1000" s="1081" t="s">
        <v>1918</v>
      </c>
      <c r="D1000" s="1082" t="s">
        <v>1919</v>
      </c>
      <c r="E1000" s="1083">
        <v>10</v>
      </c>
      <c r="F1000" s="1083" t="s">
        <v>1920</v>
      </c>
      <c r="G1000" s="1088" t="s">
        <v>8</v>
      </c>
      <c r="H1000" s="672"/>
      <c r="I1000" s="37"/>
      <c r="J1000" s="98">
        <v>3</v>
      </c>
      <c r="K1000" s="670"/>
      <c r="L1000" s="870"/>
      <c r="M1000" s="133"/>
      <c r="N1000" s="1084" t="s">
        <v>1903</v>
      </c>
      <c r="O1000" s="1084" t="s">
        <v>1767</v>
      </c>
      <c r="P1000" s="1083">
        <v>100</v>
      </c>
      <c r="Q1000" s="665"/>
    </row>
    <row r="1001" spans="1:17" ht="13.2" x14ac:dyDescent="0.25">
      <c r="A1001" s="665">
        <v>9</v>
      </c>
      <c r="B1001" s="666"/>
      <c r="C1001" s="675"/>
      <c r="D1001" s="667"/>
      <c r="E1001" s="1083">
        <v>10</v>
      </c>
      <c r="F1001" s="1083" t="s">
        <v>1920</v>
      </c>
      <c r="G1001" s="311" t="s">
        <v>492</v>
      </c>
      <c r="H1001" s="104"/>
      <c r="I1001" s="104">
        <f>SUM(I998:I1000)</f>
        <v>0</v>
      </c>
      <c r="J1001" s="104">
        <f>SUM(J1000:M1000)</f>
        <v>3</v>
      </c>
      <c r="K1001" s="104"/>
      <c r="L1001" s="872"/>
      <c r="M1001" s="133"/>
      <c r="N1001" s="1033"/>
      <c r="O1001" s="999"/>
      <c r="P1001" s="665"/>
      <c r="Q1001" s="665"/>
    </row>
    <row r="1002" spans="1:17" ht="20.399999999999999" x14ac:dyDescent="0.25">
      <c r="A1002" s="665">
        <v>9</v>
      </c>
      <c r="B1002" s="93"/>
      <c r="C1002" s="93"/>
      <c r="D1002" s="94" t="s">
        <v>1788</v>
      </c>
      <c r="E1002" s="900"/>
      <c r="F1002" s="95"/>
      <c r="G1002" s="93"/>
      <c r="H1002" s="96"/>
      <c r="I1002" s="95"/>
      <c r="J1002" s="95"/>
      <c r="K1002" s="95"/>
      <c r="L1002" s="422"/>
      <c r="M1002" s="133"/>
      <c r="N1002" s="1033"/>
      <c r="O1002" s="999"/>
      <c r="P1002" s="665"/>
      <c r="Q1002" s="665"/>
    </row>
    <row r="1003" spans="1:17" ht="24.6" customHeight="1" x14ac:dyDescent="0.25">
      <c r="A1003" s="665">
        <v>9</v>
      </c>
      <c r="B1003" s="112" t="s">
        <v>1789</v>
      </c>
      <c r="C1003" s="112" t="s">
        <v>1789</v>
      </c>
      <c r="D1003" s="132" t="s">
        <v>1790</v>
      </c>
      <c r="E1003" s="668"/>
      <c r="F1003" s="665"/>
      <c r="G1003" s="113" t="s">
        <v>1742</v>
      </c>
      <c r="H1003" s="310" t="e">
        <f>SUM(H1012+H1015+H1019+H1021+H1023+H1029+H1031+H1035+H1036+#REF!+H1038+H1040+H1044+#REF!)</f>
        <v>#REF!</v>
      </c>
      <c r="I1003" s="113" t="e">
        <f>SUM(I1012+I1015+I1019+I1021+I1023+I1027+I1029+I1031+I1035+I1036+I1038+I1044+I1040+#REF!+#REF!+I1046)</f>
        <v>#REF!</v>
      </c>
      <c r="J1003" s="113">
        <f>SUM(J1012+J1015+J1019+J1021+J1023+J1027+J1029+J1031+J1035+J1036+J1038+J1044+J1040+J1046+J1013+J1048)</f>
        <v>857.69999999999993</v>
      </c>
      <c r="K1003" s="113" t="e">
        <f>SUM(K1012+K1015+K1019+K1021+K1023+K1027+K1029+K1031+K1035+K1036+K1038+K1044+K1040+#REF!+#REF!+K1046)</f>
        <v>#REF!</v>
      </c>
      <c r="L1003" s="806" t="e">
        <f>SUM(L1012+L1015+L1019+L1021+L1023+L1027+L1029+L1031+L1035+L1036+L1038+L1044+L1040+#REF!+#REF!+L1046)</f>
        <v>#REF!</v>
      </c>
      <c r="M1003" s="133"/>
      <c r="N1003" s="1033"/>
      <c r="O1003" s="999"/>
      <c r="P1003" s="665"/>
      <c r="Q1003" s="665"/>
    </row>
    <row r="1004" spans="1:17" ht="12.75" customHeight="1" x14ac:dyDescent="0.25">
      <c r="A1004" s="665">
        <v>9</v>
      </c>
      <c r="B1004" s="666"/>
      <c r="C1004" s="665"/>
      <c r="D1004" s="667"/>
      <c r="E1004" s="668"/>
      <c r="F1004" s="665"/>
      <c r="G1004" s="113" t="s">
        <v>1791</v>
      </c>
      <c r="H1004" s="310">
        <f>H1016</f>
        <v>14.3</v>
      </c>
      <c r="I1004" s="113">
        <f>I1016+I1025</f>
        <v>50</v>
      </c>
      <c r="J1004" s="113">
        <f t="shared" ref="J1004:L1004" si="146">J1016+J1025</f>
        <v>0</v>
      </c>
      <c r="K1004" s="113">
        <f t="shared" si="146"/>
        <v>200</v>
      </c>
      <c r="L1004" s="806">
        <f t="shared" si="146"/>
        <v>0</v>
      </c>
      <c r="M1004" s="133"/>
      <c r="N1004" s="1033"/>
      <c r="O1004" s="999"/>
      <c r="P1004" s="665"/>
      <c r="Q1004" s="665"/>
    </row>
    <row r="1005" spans="1:17" ht="12.75" customHeight="1" x14ac:dyDescent="0.25">
      <c r="A1005" s="665">
        <v>9</v>
      </c>
      <c r="B1005" s="666"/>
      <c r="C1005" s="665"/>
      <c r="D1005" s="667"/>
      <c r="E1005" s="668"/>
      <c r="F1005" s="665"/>
      <c r="G1005" s="113" t="s">
        <v>1792</v>
      </c>
      <c r="H1005" s="310"/>
      <c r="I1005" s="113">
        <f>I1017</f>
        <v>0</v>
      </c>
      <c r="J1005" s="113">
        <f t="shared" ref="J1005:L1005" si="147">J1017</f>
        <v>24</v>
      </c>
      <c r="K1005" s="113">
        <f t="shared" si="147"/>
        <v>20</v>
      </c>
      <c r="L1005" s="806">
        <f t="shared" si="147"/>
        <v>20</v>
      </c>
      <c r="M1005" s="133"/>
      <c r="N1005" s="1033"/>
      <c r="O1005" s="999"/>
      <c r="P1005" s="665"/>
      <c r="Q1005" s="665"/>
    </row>
    <row r="1006" spans="1:17" ht="12.75" customHeight="1" x14ac:dyDescent="0.25">
      <c r="A1006" s="665">
        <v>9</v>
      </c>
      <c r="B1006" s="666"/>
      <c r="C1006" s="665"/>
      <c r="D1006" s="667"/>
      <c r="E1006" s="668"/>
      <c r="F1006" s="665"/>
      <c r="G1006" s="113" t="s">
        <v>1793</v>
      </c>
      <c r="H1006" s="310">
        <f>H1032</f>
        <v>42.6</v>
      </c>
      <c r="I1006" s="113">
        <f t="shared" ref="I1006:L1007" si="148">I1032</f>
        <v>81.5</v>
      </c>
      <c r="J1006" s="113">
        <f t="shared" si="148"/>
        <v>88.1</v>
      </c>
      <c r="K1006" s="113">
        <f t="shared" si="148"/>
        <v>83</v>
      </c>
      <c r="L1006" s="806">
        <f t="shared" si="148"/>
        <v>83</v>
      </c>
      <c r="M1006" s="133"/>
      <c r="N1006" s="1033"/>
      <c r="O1006" s="999"/>
      <c r="P1006" s="665"/>
      <c r="Q1006" s="665"/>
    </row>
    <row r="1007" spans="1:17" ht="12.75" customHeight="1" x14ac:dyDescent="0.25">
      <c r="A1007" s="665">
        <v>9</v>
      </c>
      <c r="B1007" s="666"/>
      <c r="C1007" s="665"/>
      <c r="D1007" s="667"/>
      <c r="E1007" s="668"/>
      <c r="F1007" s="665"/>
      <c r="G1007" s="113" t="s">
        <v>1794</v>
      </c>
      <c r="H1007" s="310">
        <f>H1033</f>
        <v>0.1</v>
      </c>
      <c r="I1007" s="113">
        <f t="shared" si="148"/>
        <v>8.4</v>
      </c>
      <c r="J1007" s="113">
        <f t="shared" si="148"/>
        <v>0</v>
      </c>
      <c r="K1007" s="113">
        <f t="shared" si="148"/>
        <v>0</v>
      </c>
      <c r="L1007" s="806">
        <f t="shared" si="148"/>
        <v>0</v>
      </c>
      <c r="M1007" s="133"/>
      <c r="N1007" s="1033"/>
      <c r="O1007" s="999"/>
      <c r="P1007" s="665"/>
      <c r="Q1007" s="665"/>
    </row>
    <row r="1008" spans="1:17" ht="12.75" customHeight="1" x14ac:dyDescent="0.25">
      <c r="A1008" s="665">
        <v>9</v>
      </c>
      <c r="B1008" s="666"/>
      <c r="C1008" s="665"/>
      <c r="D1008" s="667"/>
      <c r="E1008" s="668"/>
      <c r="F1008" s="665"/>
      <c r="G1008" s="113" t="s">
        <v>1795</v>
      </c>
      <c r="H1008" s="310">
        <f>H1041</f>
        <v>0</v>
      </c>
      <c r="I1008" s="113">
        <f>I1041</f>
        <v>0</v>
      </c>
      <c r="J1008" s="113">
        <f>J1041+J1024</f>
        <v>1618</v>
      </c>
      <c r="K1008" s="113">
        <f>K1041</f>
        <v>195.8</v>
      </c>
      <c r="L1008" s="806">
        <f t="shared" ref="L1008" si="149">L1041</f>
        <v>0</v>
      </c>
      <c r="M1008" s="133"/>
      <c r="N1008" s="1033"/>
      <c r="O1008" s="999"/>
      <c r="P1008" s="665"/>
      <c r="Q1008" s="665"/>
    </row>
    <row r="1009" spans="1:17" ht="12.75" customHeight="1" x14ac:dyDescent="0.25">
      <c r="A1009" s="665">
        <v>9</v>
      </c>
      <c r="B1009" s="666"/>
      <c r="C1009" s="665"/>
      <c r="D1009" s="667"/>
      <c r="E1009" s="668"/>
      <c r="F1009" s="665"/>
      <c r="G1009" s="113" t="s">
        <v>446</v>
      </c>
      <c r="H1009" s="310"/>
      <c r="I1009" s="113"/>
      <c r="J1009" s="113">
        <f>J1026</f>
        <v>0</v>
      </c>
      <c r="K1009" s="113">
        <f t="shared" ref="K1009:L1009" si="150">SUM(L1026)</f>
        <v>0</v>
      </c>
      <c r="L1009" s="806">
        <f t="shared" si="150"/>
        <v>0</v>
      </c>
      <c r="M1009" s="133"/>
      <c r="N1009" s="1033"/>
      <c r="O1009" s="999"/>
      <c r="P1009" s="665"/>
      <c r="Q1009" s="665"/>
    </row>
    <row r="1010" spans="1:17" ht="12.75" customHeight="1" x14ac:dyDescent="0.25">
      <c r="A1010" s="665">
        <v>9</v>
      </c>
      <c r="B1010" s="666"/>
      <c r="C1010" s="665"/>
      <c r="D1010" s="667"/>
      <c r="E1010" s="668"/>
      <c r="F1010" s="665"/>
      <c r="G1010" s="113" t="s">
        <v>1796</v>
      </c>
      <c r="H1010" s="310">
        <f>H1042</f>
        <v>181.1</v>
      </c>
      <c r="I1010" s="113">
        <f t="shared" ref="I1010:L1010" si="151">I1042</f>
        <v>0</v>
      </c>
      <c r="J1010" s="113">
        <f t="shared" si="151"/>
        <v>0</v>
      </c>
      <c r="K1010" s="113">
        <f t="shared" si="151"/>
        <v>0</v>
      </c>
      <c r="L1010" s="806">
        <f t="shared" si="151"/>
        <v>0</v>
      </c>
      <c r="M1010" s="133"/>
      <c r="N1010" s="1033"/>
      <c r="O1010" s="999"/>
      <c r="P1010" s="665"/>
      <c r="Q1010" s="665"/>
    </row>
    <row r="1011" spans="1:17" ht="13.2" x14ac:dyDescent="0.25">
      <c r="A1011" s="665">
        <v>9</v>
      </c>
      <c r="B1011" s="666"/>
      <c r="C1011" s="665"/>
      <c r="D1011" s="667"/>
      <c r="E1011" s="668"/>
      <c r="F1011" s="665"/>
      <c r="G1011" s="306" t="s">
        <v>492</v>
      </c>
      <c r="H1011" s="307" t="e">
        <f>SUM(H1003:H1010)</f>
        <v>#REF!</v>
      </c>
      <c r="I1011" s="307" t="e">
        <f>SUM(I1003:I1010)</f>
        <v>#REF!</v>
      </c>
      <c r="J1011" s="307">
        <f>SUM(J1003:J1010)</f>
        <v>2587.8000000000002</v>
      </c>
      <c r="K1011" s="307" t="e">
        <f>SUM(K1003:K1010)</f>
        <v>#REF!</v>
      </c>
      <c r="L1011" s="869" t="e">
        <f>SUM(L1003:L1010)</f>
        <v>#REF!</v>
      </c>
      <c r="M1011" s="133"/>
      <c r="N1011" s="1033"/>
      <c r="O1011" s="999"/>
      <c r="P1011" s="665"/>
      <c r="Q1011" s="665"/>
    </row>
    <row r="1012" spans="1:17" ht="37.950000000000003" customHeight="1" x14ac:dyDescent="0.25">
      <c r="A1012" s="665">
        <v>9</v>
      </c>
      <c r="B1012" s="666"/>
      <c r="C1012" s="665" t="s">
        <v>1797</v>
      </c>
      <c r="D1012" s="667" t="s">
        <v>454</v>
      </c>
      <c r="E1012" s="668">
        <v>10</v>
      </c>
      <c r="F1012" s="665" t="s">
        <v>455</v>
      </c>
      <c r="G1012" s="665" t="s">
        <v>8</v>
      </c>
      <c r="H1012" s="672">
        <v>8.3000000000000007</v>
      </c>
      <c r="I1012" s="37">
        <v>52.9</v>
      </c>
      <c r="J1012" s="673">
        <f>126-2.3-50-19</f>
        <v>54.7</v>
      </c>
      <c r="K1012" s="669">
        <v>42</v>
      </c>
      <c r="L1012" s="870">
        <v>42</v>
      </c>
      <c r="M1012" s="133" t="s">
        <v>629</v>
      </c>
      <c r="N1012" s="1033" t="s">
        <v>1798</v>
      </c>
      <c r="O1012" s="999" t="s">
        <v>1799</v>
      </c>
      <c r="P1012" s="665">
        <v>25</v>
      </c>
      <c r="Q1012" s="665"/>
    </row>
    <row r="1013" spans="1:17" ht="12.75" customHeight="1" x14ac:dyDescent="0.25">
      <c r="A1013" s="665">
        <v>9</v>
      </c>
      <c r="B1013" s="666"/>
      <c r="C1013" s="665"/>
      <c r="D1013" s="667"/>
      <c r="E1013" s="668">
        <v>27</v>
      </c>
      <c r="F1013" s="665" t="s">
        <v>455</v>
      </c>
      <c r="G1013" s="665" t="s">
        <v>8</v>
      </c>
      <c r="H1013" s="672"/>
      <c r="I1013" s="37"/>
      <c r="J1013" s="673">
        <v>74</v>
      </c>
      <c r="K1013" s="669"/>
      <c r="L1013" s="870"/>
      <c r="M1013" s="133" t="s">
        <v>629</v>
      </c>
      <c r="N1013" s="1048" t="s">
        <v>1848</v>
      </c>
      <c r="O1013" s="1001" t="s">
        <v>1849</v>
      </c>
      <c r="P1013" s="971">
        <v>1</v>
      </c>
      <c r="Q1013" s="665"/>
    </row>
    <row r="1014" spans="1:17" ht="13.2" x14ac:dyDescent="0.25">
      <c r="A1014" s="665">
        <v>9</v>
      </c>
      <c r="B1014" s="666"/>
      <c r="C1014" s="665"/>
      <c r="D1014" s="667"/>
      <c r="E1014" s="668">
        <v>10</v>
      </c>
      <c r="F1014" s="665" t="s">
        <v>455</v>
      </c>
      <c r="G1014" s="311" t="s">
        <v>492</v>
      </c>
      <c r="H1014" s="104"/>
      <c r="I1014" s="104">
        <f>SUM(I1012)</f>
        <v>52.9</v>
      </c>
      <c r="J1014" s="104">
        <f>SUM(J1012+J1013)</f>
        <v>128.69999999999999</v>
      </c>
      <c r="K1014" s="104">
        <f t="shared" ref="K1014:L1014" si="152">SUM(K1012+K1013)</f>
        <v>42</v>
      </c>
      <c r="L1014" s="872">
        <f t="shared" si="152"/>
        <v>42</v>
      </c>
      <c r="M1014" s="133"/>
      <c r="N1014" s="1033"/>
      <c r="O1014" s="999"/>
      <c r="P1014" s="665"/>
      <c r="Q1014" s="665"/>
    </row>
    <row r="1015" spans="1:17" ht="32.4" customHeight="1" x14ac:dyDescent="0.25">
      <c r="A1015" s="665">
        <v>9</v>
      </c>
      <c r="B1015" s="666"/>
      <c r="C1015" s="665" t="s">
        <v>1800</v>
      </c>
      <c r="D1015" s="667" t="s">
        <v>1801</v>
      </c>
      <c r="E1015" s="668">
        <v>38</v>
      </c>
      <c r="F1015" s="665" t="s">
        <v>471</v>
      </c>
      <c r="G1015" s="665" t="s">
        <v>8</v>
      </c>
      <c r="H1015" s="672"/>
      <c r="I1015" s="37">
        <v>4.9000000000000004</v>
      </c>
      <c r="J1015" s="98">
        <v>50</v>
      </c>
      <c r="K1015" s="669">
        <v>50</v>
      </c>
      <c r="L1015" s="870">
        <v>50</v>
      </c>
      <c r="M1015" s="133" t="s">
        <v>616</v>
      </c>
      <c r="N1015" s="1079" t="s">
        <v>1912</v>
      </c>
      <c r="O1015" s="999" t="s">
        <v>804</v>
      </c>
      <c r="P1015" s="665">
        <v>100</v>
      </c>
      <c r="Q1015" s="665"/>
    </row>
    <row r="1016" spans="1:17" ht="12.75" customHeight="1" x14ac:dyDescent="0.25">
      <c r="A1016" s="665">
        <v>9</v>
      </c>
      <c r="B1016" s="666"/>
      <c r="C1016" s="665"/>
      <c r="D1016" s="667"/>
      <c r="E1016" s="668">
        <v>38</v>
      </c>
      <c r="F1016" s="665" t="s">
        <v>471</v>
      </c>
      <c r="G1016" s="665" t="s">
        <v>250</v>
      </c>
      <c r="H1016" s="672">
        <v>14.3</v>
      </c>
      <c r="I1016" s="37">
        <v>50</v>
      </c>
      <c r="J1016" s="98"/>
      <c r="K1016" s="669"/>
      <c r="L1016" s="870"/>
      <c r="M1016" s="133"/>
      <c r="N1016" s="1033"/>
      <c r="O1016" s="999"/>
      <c r="P1016" s="665"/>
      <c r="Q1016" s="665"/>
    </row>
    <row r="1017" spans="1:17" ht="12.75" customHeight="1" x14ac:dyDescent="0.25">
      <c r="A1017" s="665">
        <v>9</v>
      </c>
      <c r="B1017" s="666"/>
      <c r="C1017" s="665"/>
      <c r="D1017" s="667"/>
      <c r="E1017" s="668">
        <v>38</v>
      </c>
      <c r="F1017" s="665" t="s">
        <v>471</v>
      </c>
      <c r="G1017" s="668" t="s">
        <v>145</v>
      </c>
      <c r="H1017" s="672"/>
      <c r="I1017" s="37"/>
      <c r="J1017" s="98">
        <v>24</v>
      </c>
      <c r="K1017" s="669">
        <v>20</v>
      </c>
      <c r="L1017" s="870">
        <v>20</v>
      </c>
      <c r="M1017" s="133"/>
      <c r="N1017" s="1033"/>
      <c r="O1017" s="999"/>
      <c r="P1017" s="665"/>
      <c r="Q1017" s="665"/>
    </row>
    <row r="1018" spans="1:17" ht="12.75" customHeight="1" x14ac:dyDescent="0.25">
      <c r="A1018" s="665">
        <v>9</v>
      </c>
      <c r="B1018" s="666"/>
      <c r="C1018" s="665"/>
      <c r="D1018" s="667"/>
      <c r="E1018" s="668">
        <v>38</v>
      </c>
      <c r="F1018" s="665" t="s">
        <v>471</v>
      </c>
      <c r="G1018" s="311" t="s">
        <v>492</v>
      </c>
      <c r="H1018" s="104">
        <v>51</v>
      </c>
      <c r="I1018" s="104">
        <f>SUM(I1015:I1017)</f>
        <v>54.9</v>
      </c>
      <c r="J1018" s="104">
        <f t="shared" ref="J1018:L1018" si="153">SUM(J1015:J1017)</f>
        <v>74</v>
      </c>
      <c r="K1018" s="104">
        <f t="shared" si="153"/>
        <v>70</v>
      </c>
      <c r="L1018" s="872">
        <f t="shared" si="153"/>
        <v>70</v>
      </c>
      <c r="M1018" s="133"/>
      <c r="N1018" s="1033"/>
      <c r="O1018" s="999"/>
      <c r="P1018" s="665"/>
      <c r="Q1018" s="665"/>
    </row>
    <row r="1019" spans="1:17" ht="12.75" customHeight="1" x14ac:dyDescent="0.25">
      <c r="A1019" s="665">
        <v>9</v>
      </c>
      <c r="B1019" s="666"/>
      <c r="C1019" s="665" t="s">
        <v>1802</v>
      </c>
      <c r="D1019" s="667" t="s">
        <v>472</v>
      </c>
      <c r="E1019" s="1071">
        <v>36</v>
      </c>
      <c r="F1019" s="665" t="s">
        <v>473</v>
      </c>
      <c r="G1019" s="665" t="s">
        <v>8</v>
      </c>
      <c r="H1019" s="672">
        <v>8.4</v>
      </c>
      <c r="I1019" s="37">
        <v>12.8</v>
      </c>
      <c r="J1019" s="98">
        <f>16+20-26</f>
        <v>10</v>
      </c>
      <c r="K1019" s="669">
        <v>16</v>
      </c>
      <c r="L1019" s="870">
        <v>16</v>
      </c>
      <c r="M1019" s="133" t="s">
        <v>616</v>
      </c>
      <c r="N1019" s="1033" t="s">
        <v>1774</v>
      </c>
      <c r="O1019" s="999" t="s">
        <v>1803</v>
      </c>
      <c r="P1019" s="665">
        <v>15</v>
      </c>
      <c r="Q1019" s="665"/>
    </row>
    <row r="1020" spans="1:17" ht="14.4" x14ac:dyDescent="0.25">
      <c r="A1020" s="665">
        <v>9</v>
      </c>
      <c r="B1020" s="666"/>
      <c r="C1020" s="665"/>
      <c r="D1020" s="667"/>
      <c r="E1020" s="1071">
        <v>36</v>
      </c>
      <c r="F1020" s="665" t="s">
        <v>473</v>
      </c>
      <c r="G1020" s="311" t="s">
        <v>492</v>
      </c>
      <c r="H1020" s="104"/>
      <c r="I1020" s="104">
        <f>SUM(I1019)</f>
        <v>12.8</v>
      </c>
      <c r="J1020" s="104">
        <f>SUM(J1019)</f>
        <v>10</v>
      </c>
      <c r="K1020" s="104">
        <f>SUM(K1019)</f>
        <v>16</v>
      </c>
      <c r="L1020" s="872">
        <f>SUM(L1019)</f>
        <v>16</v>
      </c>
      <c r="M1020" s="133"/>
      <c r="N1020" s="1033"/>
      <c r="O1020" s="1002"/>
      <c r="P1020" s="972"/>
      <c r="Q1020" s="665"/>
    </row>
    <row r="1021" spans="1:17" ht="20.399999999999999" customHeight="1" x14ac:dyDescent="0.25">
      <c r="A1021" s="665">
        <v>9</v>
      </c>
      <c r="B1021" s="666"/>
      <c r="C1021" s="665" t="s">
        <v>1804</v>
      </c>
      <c r="D1021" s="667" t="s">
        <v>474</v>
      </c>
      <c r="E1021" s="1071">
        <v>36</v>
      </c>
      <c r="F1021" s="665" t="s">
        <v>475</v>
      </c>
      <c r="G1021" s="665" t="s">
        <v>8</v>
      </c>
      <c r="H1021" s="672" t="e">
        <f>#REF!+#REF!+#REF!+#REF!</f>
        <v>#REF!</v>
      </c>
      <c r="I1021" s="37">
        <v>128.1</v>
      </c>
      <c r="J1021" s="98">
        <f>350-180-45.3</f>
        <v>124.7</v>
      </c>
      <c r="K1021" s="669">
        <v>100</v>
      </c>
      <c r="L1021" s="870">
        <v>100</v>
      </c>
      <c r="M1021" s="133" t="s">
        <v>629</v>
      </c>
      <c r="N1021" s="1033" t="s">
        <v>1805</v>
      </c>
      <c r="O1021" s="999" t="s">
        <v>1806</v>
      </c>
      <c r="P1021" s="665">
        <v>4</v>
      </c>
      <c r="Q1021" s="665"/>
    </row>
    <row r="1022" spans="1:17" ht="13.2" x14ac:dyDescent="0.25">
      <c r="A1022" s="665">
        <v>9</v>
      </c>
      <c r="B1022" s="666"/>
      <c r="C1022" s="665"/>
      <c r="D1022" s="667"/>
      <c r="E1022" s="1071">
        <v>36</v>
      </c>
      <c r="F1022" s="665" t="s">
        <v>475</v>
      </c>
      <c r="G1022" s="311" t="s">
        <v>492</v>
      </c>
      <c r="H1022" s="104"/>
      <c r="I1022" s="104">
        <f>SUM(I1021)</f>
        <v>128.1</v>
      </c>
      <c r="J1022" s="104">
        <f>SUM(J1021)</f>
        <v>124.7</v>
      </c>
      <c r="K1022" s="104">
        <f>SUM(K1021)</f>
        <v>100</v>
      </c>
      <c r="L1022" s="872">
        <f>SUM(L1021)</f>
        <v>100</v>
      </c>
      <c r="M1022" s="133"/>
      <c r="N1022" s="1033"/>
      <c r="O1022" s="999"/>
      <c r="P1022" s="665"/>
      <c r="Q1022" s="665"/>
    </row>
    <row r="1023" spans="1:17" ht="36.6" customHeight="1" x14ac:dyDescent="0.25">
      <c r="A1023" s="665">
        <v>9</v>
      </c>
      <c r="B1023" s="666"/>
      <c r="C1023" s="665" t="s">
        <v>1807</v>
      </c>
      <c r="D1023" s="49" t="s">
        <v>476</v>
      </c>
      <c r="E1023" s="68">
        <v>9</v>
      </c>
      <c r="F1023" s="665" t="s">
        <v>477</v>
      </c>
      <c r="G1023" s="665" t="s">
        <v>8</v>
      </c>
      <c r="H1023" s="36">
        <v>310</v>
      </c>
      <c r="I1023" s="37">
        <v>24.5</v>
      </c>
      <c r="J1023" s="313">
        <f>1000-200-109.1-320-150-60.1</f>
        <v>160.79999999999998</v>
      </c>
      <c r="K1023" s="25">
        <f>1500+109.1-200</f>
        <v>1409.1</v>
      </c>
      <c r="L1023" s="26"/>
      <c r="M1023" s="133" t="s">
        <v>689</v>
      </c>
      <c r="N1023" s="1033" t="s">
        <v>1808</v>
      </c>
      <c r="O1023" s="999" t="s">
        <v>1210</v>
      </c>
      <c r="P1023" s="665">
        <v>50</v>
      </c>
      <c r="Q1023" s="737" t="s">
        <v>632</v>
      </c>
    </row>
    <row r="1024" spans="1:17" ht="36.6" customHeight="1" x14ac:dyDescent="0.25">
      <c r="A1024" s="665">
        <v>9</v>
      </c>
      <c r="B1024" s="666"/>
      <c r="C1024" s="665"/>
      <c r="D1024" s="49"/>
      <c r="E1024" s="68">
        <v>9</v>
      </c>
      <c r="F1024" s="665" t="s">
        <v>477</v>
      </c>
      <c r="G1024" s="1212" t="s">
        <v>37</v>
      </c>
      <c r="H1024" s="36"/>
      <c r="I1024" s="37"/>
      <c r="J1024" s="313">
        <f>1052-364.7</f>
        <v>687.3</v>
      </c>
      <c r="K1024" s="25"/>
      <c r="L1024" s="26"/>
      <c r="M1024" s="133"/>
      <c r="N1024" s="1033"/>
      <c r="O1024" s="999"/>
      <c r="P1024" s="665"/>
      <c r="Q1024" s="737"/>
    </row>
    <row r="1025" spans="1:17" ht="12.75" customHeight="1" x14ac:dyDescent="0.25">
      <c r="A1025" s="665">
        <v>9</v>
      </c>
      <c r="B1025" s="666"/>
      <c r="C1025" s="665"/>
      <c r="D1025" s="49"/>
      <c r="E1025" s="68">
        <v>9</v>
      </c>
      <c r="F1025" s="665" t="s">
        <v>477</v>
      </c>
      <c r="G1025" s="665" t="s">
        <v>250</v>
      </c>
      <c r="H1025" s="36"/>
      <c r="I1025" s="37"/>
      <c r="J1025" s="313"/>
      <c r="K1025" s="25">
        <v>200</v>
      </c>
      <c r="L1025" s="26"/>
      <c r="M1025" s="133" t="s">
        <v>689</v>
      </c>
      <c r="N1025" s="1033"/>
      <c r="O1025" s="999"/>
      <c r="P1025" s="665"/>
      <c r="Q1025" s="737" t="s">
        <v>632</v>
      </c>
    </row>
    <row r="1026" spans="1:17" ht="12.75" customHeight="1" x14ac:dyDescent="0.25">
      <c r="A1026" s="665">
        <v>9</v>
      </c>
      <c r="B1026" s="666"/>
      <c r="C1026" s="665"/>
      <c r="D1026" s="49"/>
      <c r="E1026" s="68">
        <v>9</v>
      </c>
      <c r="F1026" s="665" t="s">
        <v>477</v>
      </c>
      <c r="G1026" s="665" t="s">
        <v>10</v>
      </c>
      <c r="H1026" s="36"/>
      <c r="I1026" s="37"/>
      <c r="J1026" s="313">
        <f>1000+200-1200</f>
        <v>0</v>
      </c>
      <c r="K1026" s="25"/>
      <c r="L1026" s="26"/>
      <c r="M1026" s="133" t="s">
        <v>689</v>
      </c>
      <c r="N1026" s="1033"/>
      <c r="O1026" s="999"/>
      <c r="P1026" s="665"/>
      <c r="Q1026" s="737" t="s">
        <v>632</v>
      </c>
    </row>
    <row r="1027" spans="1:17" ht="12.75" customHeight="1" x14ac:dyDescent="0.25">
      <c r="A1027" s="665">
        <v>9</v>
      </c>
      <c r="B1027" s="666"/>
      <c r="C1027" s="665"/>
      <c r="D1027" s="49"/>
      <c r="E1027" s="68">
        <v>23</v>
      </c>
      <c r="F1027" s="665" t="s">
        <v>477</v>
      </c>
      <c r="G1027" s="665" t="s">
        <v>8</v>
      </c>
      <c r="H1027" s="36"/>
      <c r="I1027" s="37"/>
      <c r="J1027" s="98">
        <v>0.5</v>
      </c>
      <c r="K1027" s="25"/>
      <c r="L1027" s="26"/>
      <c r="M1027" s="133" t="s">
        <v>689</v>
      </c>
      <c r="N1027" s="1186" t="s">
        <v>579</v>
      </c>
      <c r="O1027" s="1003" t="s">
        <v>1476</v>
      </c>
      <c r="P1027" s="665">
        <v>100</v>
      </c>
      <c r="Q1027" s="737" t="s">
        <v>632</v>
      </c>
    </row>
    <row r="1028" spans="1:17" ht="13.2" x14ac:dyDescent="0.25">
      <c r="A1028" s="665">
        <v>9</v>
      </c>
      <c r="B1028" s="666"/>
      <c r="C1028" s="665"/>
      <c r="D1028" s="49"/>
      <c r="E1028" s="68"/>
      <c r="F1028" s="665" t="s">
        <v>477</v>
      </c>
      <c r="G1028" s="311" t="s">
        <v>492</v>
      </c>
      <c r="H1028" s="104">
        <f>SUM(H1023:H1027)</f>
        <v>310</v>
      </c>
      <c r="I1028" s="104">
        <f>SUM(I1023:I1027)</f>
        <v>24.5</v>
      </c>
      <c r="J1028" s="104">
        <f>SUM(J1023:J1027)</f>
        <v>848.59999999999991</v>
      </c>
      <c r="K1028" s="104">
        <f>SUM(K1023:K1027)</f>
        <v>1609.1</v>
      </c>
      <c r="L1028" s="872">
        <f>SUM(L1023:L1027)</f>
        <v>0</v>
      </c>
      <c r="M1028" s="133" t="s">
        <v>689</v>
      </c>
      <c r="N1028" s="1033"/>
      <c r="O1028" s="999"/>
      <c r="P1028" s="665"/>
      <c r="Q1028" s="665"/>
    </row>
    <row r="1029" spans="1:17" ht="49.95" customHeight="1" x14ac:dyDescent="0.25">
      <c r="A1029" s="665">
        <v>9</v>
      </c>
      <c r="B1029" s="666"/>
      <c r="C1029" s="665" t="s">
        <v>1809</v>
      </c>
      <c r="D1029" s="67" t="s">
        <v>1810</v>
      </c>
      <c r="E1029" s="68">
        <v>9</v>
      </c>
      <c r="F1029" s="665" t="s">
        <v>478</v>
      </c>
      <c r="G1029" s="665" t="s">
        <v>8</v>
      </c>
      <c r="H1029" s="36">
        <v>46.9</v>
      </c>
      <c r="I1029" s="37">
        <v>49</v>
      </c>
      <c r="J1029" s="98">
        <f>50-8.5</f>
        <v>41.5</v>
      </c>
      <c r="K1029" s="25">
        <v>50</v>
      </c>
      <c r="L1029" s="26">
        <v>50</v>
      </c>
      <c r="M1029" s="133" t="s">
        <v>616</v>
      </c>
      <c r="N1029" s="1033" t="s">
        <v>1811</v>
      </c>
      <c r="O1029" s="999" t="s">
        <v>1812</v>
      </c>
      <c r="P1029" s="665">
        <v>100</v>
      </c>
      <c r="Q1029" s="665"/>
    </row>
    <row r="1030" spans="1:17" ht="13.2" x14ac:dyDescent="0.25">
      <c r="A1030" s="665">
        <v>9</v>
      </c>
      <c r="B1030" s="666"/>
      <c r="C1030" s="665"/>
      <c r="D1030" s="67"/>
      <c r="E1030" s="68">
        <v>9</v>
      </c>
      <c r="F1030" s="665" t="s">
        <v>478</v>
      </c>
      <c r="G1030" s="311" t="s">
        <v>492</v>
      </c>
      <c r="H1030" s="104"/>
      <c r="I1030" s="104">
        <f>SUM(I1029)</f>
        <v>49</v>
      </c>
      <c r="J1030" s="104">
        <f>SUM(J1029)</f>
        <v>41.5</v>
      </c>
      <c r="K1030" s="104">
        <f>SUM(K1029)</f>
        <v>50</v>
      </c>
      <c r="L1030" s="872">
        <f>SUM(L1029)</f>
        <v>50</v>
      </c>
      <c r="M1030" s="133"/>
      <c r="N1030" s="1033"/>
      <c r="O1030" s="999"/>
      <c r="P1030" s="665"/>
      <c r="Q1030" s="665"/>
    </row>
    <row r="1031" spans="1:17" ht="28.2" customHeight="1" x14ac:dyDescent="0.25">
      <c r="A1031" s="665">
        <v>9</v>
      </c>
      <c r="B1031" s="666"/>
      <c r="C1031" s="665" t="s">
        <v>1813</v>
      </c>
      <c r="D1031" s="34" t="s">
        <v>479</v>
      </c>
      <c r="E1031" s="62">
        <v>36</v>
      </c>
      <c r="F1031" s="665" t="s">
        <v>480</v>
      </c>
      <c r="G1031" s="665" t="s">
        <v>8</v>
      </c>
      <c r="H1031" s="36">
        <v>86.2</v>
      </c>
      <c r="I1031" s="37">
        <v>59.1</v>
      </c>
      <c r="J1031" s="98">
        <f>100-25</f>
        <v>75</v>
      </c>
      <c r="K1031" s="15">
        <v>100</v>
      </c>
      <c r="L1031" s="33">
        <v>100</v>
      </c>
      <c r="M1031" s="133" t="s">
        <v>629</v>
      </c>
      <c r="N1031" s="1033" t="s">
        <v>1814</v>
      </c>
      <c r="O1031" s="999" t="s">
        <v>1815</v>
      </c>
      <c r="P1031" s="665">
        <v>15</v>
      </c>
      <c r="Q1031" s="665"/>
    </row>
    <row r="1032" spans="1:17" ht="12.75" customHeight="1" x14ac:dyDescent="0.25">
      <c r="A1032" s="665">
        <v>9</v>
      </c>
      <c r="B1032" s="666"/>
      <c r="C1032" s="665"/>
      <c r="D1032" s="34"/>
      <c r="E1032" s="62">
        <v>36</v>
      </c>
      <c r="F1032" s="665" t="s">
        <v>480</v>
      </c>
      <c r="G1032" s="665" t="s">
        <v>11</v>
      </c>
      <c r="H1032" s="36">
        <v>42.6</v>
      </c>
      <c r="I1032" s="37">
        <v>81.5</v>
      </c>
      <c r="J1032" s="98">
        <f>83+5.1</f>
        <v>88.1</v>
      </c>
      <c r="K1032" s="15">
        <v>83</v>
      </c>
      <c r="L1032" s="33">
        <v>83</v>
      </c>
      <c r="M1032" s="133"/>
      <c r="N1032" s="1033"/>
      <c r="O1032" s="999"/>
      <c r="P1032" s="665"/>
      <c r="Q1032" s="665"/>
    </row>
    <row r="1033" spans="1:17" ht="12.75" customHeight="1" x14ac:dyDescent="0.25">
      <c r="A1033" s="665">
        <v>9</v>
      </c>
      <c r="B1033" s="666"/>
      <c r="C1033" s="665"/>
      <c r="D1033" s="34"/>
      <c r="E1033" s="62">
        <v>36</v>
      </c>
      <c r="F1033" s="665" t="s">
        <v>480</v>
      </c>
      <c r="G1033" s="665" t="s">
        <v>199</v>
      </c>
      <c r="H1033" s="36">
        <v>0.1</v>
      </c>
      <c r="I1033" s="37">
        <v>8.4</v>
      </c>
      <c r="J1033" s="98"/>
      <c r="K1033" s="15"/>
      <c r="L1033" s="33"/>
      <c r="M1033" s="133"/>
      <c r="N1033" s="1033"/>
      <c r="O1033" s="999"/>
      <c r="P1033" s="665"/>
      <c r="Q1033" s="665"/>
    </row>
    <row r="1034" spans="1:17" ht="12.75" customHeight="1" x14ac:dyDescent="0.25">
      <c r="A1034" s="665">
        <v>9</v>
      </c>
      <c r="B1034" s="666"/>
      <c r="C1034" s="665"/>
      <c r="D1034" s="34"/>
      <c r="E1034" s="62">
        <v>36</v>
      </c>
      <c r="F1034" s="665" t="s">
        <v>480</v>
      </c>
      <c r="G1034" s="311" t="s">
        <v>492</v>
      </c>
      <c r="H1034" s="104">
        <f>SUM(H1031:H1033)</f>
        <v>128.9</v>
      </c>
      <c r="I1034" s="104">
        <f>SUM(I1031:I1033)</f>
        <v>149</v>
      </c>
      <c r="J1034" s="104">
        <f>SUM(J1031:J1033)</f>
        <v>163.1</v>
      </c>
      <c r="K1034" s="104">
        <f>SUM(K1031:K1033)</f>
        <v>183</v>
      </c>
      <c r="L1034" s="872">
        <f>SUM(L1031:L1033)</f>
        <v>183</v>
      </c>
      <c r="M1034" s="133"/>
      <c r="N1034" s="1033"/>
      <c r="O1034" s="999"/>
      <c r="P1034" s="665"/>
      <c r="Q1034" s="665"/>
    </row>
    <row r="1035" spans="1:17" ht="25.5" customHeight="1" x14ac:dyDescent="0.25">
      <c r="A1035" s="665">
        <v>9</v>
      </c>
      <c r="B1035" s="666"/>
      <c r="C1035" s="665" t="s">
        <v>1816</v>
      </c>
      <c r="D1035" s="35" t="s">
        <v>481</v>
      </c>
      <c r="E1035" s="62" t="s">
        <v>106</v>
      </c>
      <c r="F1035" s="665" t="s">
        <v>482</v>
      </c>
      <c r="G1035" s="668" t="s">
        <v>8</v>
      </c>
      <c r="H1035" s="36">
        <v>72</v>
      </c>
      <c r="I1035" s="37">
        <v>88.1</v>
      </c>
      <c r="J1035" s="98">
        <f>75.3-50</f>
        <v>25.299999999999997</v>
      </c>
      <c r="K1035" s="15">
        <v>75.3</v>
      </c>
      <c r="L1035" s="33">
        <v>75.3</v>
      </c>
      <c r="M1035" s="133" t="s">
        <v>616</v>
      </c>
      <c r="N1035" s="1049"/>
      <c r="O1035" s="1002"/>
      <c r="P1035" s="972"/>
      <c r="Q1035" s="665"/>
    </row>
    <row r="1036" spans="1:17" ht="36" customHeight="1" x14ac:dyDescent="0.25">
      <c r="A1036" s="665">
        <v>9</v>
      </c>
      <c r="B1036" s="666"/>
      <c r="C1036" s="665"/>
      <c r="D1036" s="35"/>
      <c r="E1036" s="62">
        <v>18</v>
      </c>
      <c r="F1036" s="665" t="s">
        <v>482</v>
      </c>
      <c r="G1036" s="668" t="s">
        <v>8</v>
      </c>
      <c r="H1036" s="36">
        <v>53.4</v>
      </c>
      <c r="I1036" s="37">
        <v>410.2</v>
      </c>
      <c r="J1036" s="98">
        <f>235-35</f>
        <v>200</v>
      </c>
      <c r="K1036" s="15">
        <v>50</v>
      </c>
      <c r="L1036" s="33">
        <v>50</v>
      </c>
      <c r="M1036" s="133" t="s">
        <v>629</v>
      </c>
      <c r="N1036" s="1033" t="s">
        <v>1817</v>
      </c>
      <c r="O1036" s="999" t="s">
        <v>1818</v>
      </c>
      <c r="P1036" s="736" t="s">
        <v>1819</v>
      </c>
      <c r="Q1036" s="665"/>
    </row>
    <row r="1037" spans="1:17" ht="13.2" x14ac:dyDescent="0.25">
      <c r="A1037" s="665">
        <v>9</v>
      </c>
      <c r="B1037" s="666"/>
      <c r="C1037" s="665"/>
      <c r="D1037" s="35"/>
      <c r="E1037" s="62"/>
      <c r="F1037" s="665" t="s">
        <v>482</v>
      </c>
      <c r="G1037" s="311" t="s">
        <v>492</v>
      </c>
      <c r="H1037" s="104">
        <f>SUM(H1035+H1036)</f>
        <v>125.4</v>
      </c>
      <c r="I1037" s="104" t="e">
        <f>SUM(I1035+I1036+#REF!+#REF!)</f>
        <v>#REF!</v>
      </c>
      <c r="J1037" s="104">
        <f>SUM(J1035+J1036)</f>
        <v>225.3</v>
      </c>
      <c r="K1037" s="104">
        <f>SUM(K1035+K1036)</f>
        <v>125.3</v>
      </c>
      <c r="L1037" s="872">
        <f>SUM(L1035+L1036)</f>
        <v>125.3</v>
      </c>
      <c r="M1037" s="133"/>
      <c r="N1037" s="1033"/>
      <c r="O1037" s="999"/>
      <c r="P1037" s="665"/>
      <c r="Q1037" s="665"/>
    </row>
    <row r="1038" spans="1:17" ht="31.2" customHeight="1" x14ac:dyDescent="0.25">
      <c r="A1038" s="665">
        <v>9</v>
      </c>
      <c r="B1038" s="666"/>
      <c r="C1038" s="665" t="s">
        <v>1820</v>
      </c>
      <c r="D1038" s="53" t="s">
        <v>483</v>
      </c>
      <c r="E1038" s="62">
        <v>18</v>
      </c>
      <c r="F1038" s="665" t="s">
        <v>484</v>
      </c>
      <c r="G1038" s="665" t="s">
        <v>8</v>
      </c>
      <c r="H1038" s="36">
        <f>27.6-10</f>
        <v>17.600000000000001</v>
      </c>
      <c r="I1038" s="37">
        <v>16</v>
      </c>
      <c r="J1038" s="98">
        <f>27.6-5-7</f>
        <v>15.600000000000001</v>
      </c>
      <c r="K1038" s="15">
        <v>27.6</v>
      </c>
      <c r="L1038" s="33">
        <v>27.6</v>
      </c>
      <c r="M1038" s="133" t="s">
        <v>616</v>
      </c>
      <c r="N1038" s="1033" t="s">
        <v>1821</v>
      </c>
      <c r="O1038" s="999" t="s">
        <v>1812</v>
      </c>
      <c r="P1038" s="665">
        <v>100</v>
      </c>
      <c r="Q1038" s="665"/>
    </row>
    <row r="1039" spans="1:17" ht="13.2" x14ac:dyDescent="0.25">
      <c r="A1039" s="665">
        <v>9</v>
      </c>
      <c r="B1039" s="666"/>
      <c r="C1039" s="665"/>
      <c r="D1039" s="53"/>
      <c r="E1039" s="62">
        <v>18</v>
      </c>
      <c r="F1039" s="665" t="s">
        <v>484</v>
      </c>
      <c r="G1039" s="311" t="s">
        <v>492</v>
      </c>
      <c r="H1039" s="104"/>
      <c r="I1039" s="104">
        <f>SUM(I1038)</f>
        <v>16</v>
      </c>
      <c r="J1039" s="104">
        <f>SUM(J1038)</f>
        <v>15.600000000000001</v>
      </c>
      <c r="K1039" s="104">
        <f>SUM(K1038)</f>
        <v>27.6</v>
      </c>
      <c r="L1039" s="872">
        <f>SUM(L1038)</f>
        <v>27.6</v>
      </c>
      <c r="M1039" s="133"/>
      <c r="N1039" s="1033"/>
      <c r="O1039" s="999"/>
      <c r="P1039" s="665"/>
      <c r="Q1039" s="665"/>
    </row>
    <row r="1040" spans="1:17" ht="25.95" customHeight="1" x14ac:dyDescent="0.25">
      <c r="A1040" s="665">
        <v>9</v>
      </c>
      <c r="B1040" s="666"/>
      <c r="C1040" s="665" t="s">
        <v>1822</v>
      </c>
      <c r="D1040" s="49" t="s">
        <v>1823</v>
      </c>
      <c r="E1040" s="62">
        <v>9</v>
      </c>
      <c r="F1040" s="665" t="s">
        <v>485</v>
      </c>
      <c r="G1040" s="668" t="s">
        <v>8</v>
      </c>
      <c r="H1040" s="36">
        <v>483.2</v>
      </c>
      <c r="I1040" s="37">
        <v>31.7</v>
      </c>
      <c r="J1040" s="98">
        <f>2.3</f>
        <v>2.2999999999999998</v>
      </c>
      <c r="K1040" s="25">
        <f>200-200</f>
        <v>0</v>
      </c>
      <c r="L1040" s="26">
        <f>200</f>
        <v>200</v>
      </c>
      <c r="M1040" s="133" t="s">
        <v>619</v>
      </c>
      <c r="N1040" s="1033"/>
      <c r="O1040" s="999"/>
      <c r="P1040" s="665"/>
      <c r="Q1040" s="665"/>
    </row>
    <row r="1041" spans="1:17" ht="27.6" customHeight="1" x14ac:dyDescent="0.25">
      <c r="A1041" s="665">
        <v>9</v>
      </c>
      <c r="B1041" s="666"/>
      <c r="C1041" s="665"/>
      <c r="D1041" s="49"/>
      <c r="E1041" s="62">
        <v>9</v>
      </c>
      <c r="F1041" s="665" t="s">
        <v>485</v>
      </c>
      <c r="G1041" s="665" t="s">
        <v>37</v>
      </c>
      <c r="H1041" s="36"/>
      <c r="I1041" s="37"/>
      <c r="J1041" s="98">
        <v>930.7</v>
      </c>
      <c r="K1041" s="25">
        <v>195.8</v>
      </c>
      <c r="L1041" s="26"/>
      <c r="M1041" s="133"/>
      <c r="N1041" s="1033" t="s">
        <v>1824</v>
      </c>
      <c r="O1041" s="1004" t="s">
        <v>1825</v>
      </c>
      <c r="P1041" s="665">
        <v>1</v>
      </c>
      <c r="Q1041" s="665"/>
    </row>
    <row r="1042" spans="1:17" ht="12.75" customHeight="1" x14ac:dyDescent="0.25">
      <c r="A1042" s="665">
        <v>9</v>
      </c>
      <c r="B1042" s="666"/>
      <c r="C1042" s="665"/>
      <c r="D1042" s="49"/>
      <c r="E1042" s="62">
        <v>9</v>
      </c>
      <c r="F1042" s="665" t="s">
        <v>485</v>
      </c>
      <c r="G1042" s="665" t="s">
        <v>9</v>
      </c>
      <c r="H1042" s="36">
        <v>181.1</v>
      </c>
      <c r="I1042" s="37"/>
      <c r="J1042" s="98"/>
      <c r="K1042" s="25"/>
      <c r="L1042" s="26"/>
      <c r="M1042" s="133"/>
      <c r="N1042" s="1033"/>
      <c r="O1042" s="999"/>
      <c r="P1042" s="665"/>
      <c r="Q1042" s="665"/>
    </row>
    <row r="1043" spans="1:17" ht="13.2" x14ac:dyDescent="0.25">
      <c r="A1043" s="665">
        <v>9</v>
      </c>
      <c r="B1043" s="666"/>
      <c r="C1043" s="665"/>
      <c r="D1043" s="49"/>
      <c r="E1043" s="62">
        <v>9</v>
      </c>
      <c r="F1043" s="665" t="s">
        <v>485</v>
      </c>
      <c r="G1043" s="311" t="s">
        <v>492</v>
      </c>
      <c r="H1043" s="104">
        <f>SUM(H1040:H1042)</f>
        <v>664.3</v>
      </c>
      <c r="I1043" s="104">
        <f>SUM(I1040:I1042)</f>
        <v>31.7</v>
      </c>
      <c r="J1043" s="104">
        <f>SUM(J1040:J1042)</f>
        <v>933</v>
      </c>
      <c r="K1043" s="104">
        <f>SUM(K1040:K1042)</f>
        <v>195.8</v>
      </c>
      <c r="L1043" s="872">
        <f>SUM(L1040:L1042)</f>
        <v>200</v>
      </c>
      <c r="M1043" s="133"/>
      <c r="N1043" s="1033"/>
      <c r="O1043" s="999"/>
      <c r="P1043" s="665"/>
      <c r="Q1043" s="665"/>
    </row>
    <row r="1044" spans="1:17" ht="31.95" customHeight="1" x14ac:dyDescent="0.25">
      <c r="A1044" s="665">
        <v>9</v>
      </c>
      <c r="B1044" s="666"/>
      <c r="C1044" s="665" t="s">
        <v>1826</v>
      </c>
      <c r="D1044" s="53" t="s">
        <v>486</v>
      </c>
      <c r="E1044" s="62">
        <v>18</v>
      </c>
      <c r="F1044" s="665" t="s">
        <v>487</v>
      </c>
      <c r="G1044" s="665" t="s">
        <v>8</v>
      </c>
      <c r="H1044" s="36">
        <v>24.9</v>
      </c>
      <c r="I1044" s="37"/>
      <c r="J1044" s="98">
        <f>5-5</f>
        <v>0</v>
      </c>
      <c r="K1044" s="15">
        <v>5</v>
      </c>
      <c r="L1044" s="33">
        <v>5</v>
      </c>
      <c r="M1044" s="133" t="s">
        <v>629</v>
      </c>
      <c r="N1044" s="1033" t="s">
        <v>1821</v>
      </c>
      <c r="O1044" s="999" t="s">
        <v>1827</v>
      </c>
      <c r="P1044" s="665">
        <v>100</v>
      </c>
      <c r="Q1044" s="665"/>
    </row>
    <row r="1045" spans="1:17" ht="13.2" x14ac:dyDescent="0.25">
      <c r="A1045" s="665">
        <v>9</v>
      </c>
      <c r="B1045" s="666"/>
      <c r="C1045" s="665"/>
      <c r="D1045" s="53"/>
      <c r="E1045" s="62">
        <v>18</v>
      </c>
      <c r="F1045" s="665" t="s">
        <v>487</v>
      </c>
      <c r="G1045" s="311" t="s">
        <v>492</v>
      </c>
      <c r="H1045" s="104"/>
      <c r="I1045" s="104">
        <f>SUM(I1044)</f>
        <v>0</v>
      </c>
      <c r="J1045" s="104">
        <f>SUM(J1044)</f>
        <v>0</v>
      </c>
      <c r="K1045" s="104">
        <f>SUM(K1044)</f>
        <v>5</v>
      </c>
      <c r="L1045" s="872">
        <f>SUM(L1044)</f>
        <v>5</v>
      </c>
      <c r="M1045" s="133"/>
      <c r="N1045" s="1033"/>
      <c r="O1045" s="999"/>
      <c r="P1045" s="665"/>
      <c r="Q1045" s="665"/>
    </row>
    <row r="1046" spans="1:17" ht="34.5" customHeight="1" x14ac:dyDescent="0.25">
      <c r="A1046" s="665">
        <v>9</v>
      </c>
      <c r="B1046" s="666"/>
      <c r="C1046" s="665" t="s">
        <v>1828</v>
      </c>
      <c r="D1046" s="53" t="s">
        <v>1829</v>
      </c>
      <c r="E1046" s="62">
        <v>9</v>
      </c>
      <c r="F1046" s="665" t="s">
        <v>1830</v>
      </c>
      <c r="G1046" s="665" t="s">
        <v>8</v>
      </c>
      <c r="H1046" s="36">
        <v>24.9</v>
      </c>
      <c r="I1046" s="37"/>
      <c r="J1046" s="98">
        <f>40-22</f>
        <v>18</v>
      </c>
      <c r="K1046" s="15">
        <v>200</v>
      </c>
      <c r="L1046" s="33">
        <v>200</v>
      </c>
      <c r="M1046" s="133" t="s">
        <v>629</v>
      </c>
      <c r="N1046" s="1087" t="s">
        <v>1925</v>
      </c>
      <c r="O1046" s="1076" t="s">
        <v>1898</v>
      </c>
      <c r="P1046" s="1077" t="s">
        <v>741</v>
      </c>
      <c r="Q1046" s="665"/>
    </row>
    <row r="1047" spans="1:17" ht="12.75" customHeight="1" x14ac:dyDescent="0.25">
      <c r="A1047" s="665">
        <v>9</v>
      </c>
      <c r="B1047" s="666"/>
      <c r="C1047" s="665"/>
      <c r="D1047" s="53"/>
      <c r="E1047" s="62"/>
      <c r="F1047" s="665"/>
      <c r="G1047" s="311" t="s">
        <v>492</v>
      </c>
      <c r="H1047" s="104"/>
      <c r="I1047" s="104">
        <f>SUM(I1046)</f>
        <v>0</v>
      </c>
      <c r="J1047" s="104">
        <f>SUM(J1046)</f>
        <v>18</v>
      </c>
      <c r="K1047" s="104">
        <f>SUM(K1046)</f>
        <v>200</v>
      </c>
      <c r="L1047" s="104">
        <f>SUM(L1046)</f>
        <v>200</v>
      </c>
      <c r="M1047" s="133"/>
      <c r="N1047" s="999"/>
      <c r="O1047" s="999"/>
      <c r="P1047" s="665"/>
      <c r="Q1047" s="665"/>
    </row>
    <row r="1048" spans="1:17" ht="21" customHeight="1" x14ac:dyDescent="0.25">
      <c r="A1048" s="665">
        <v>9</v>
      </c>
      <c r="B1048" s="666"/>
      <c r="C1048" s="1083" t="s">
        <v>1921</v>
      </c>
      <c r="D1048" s="411" t="s">
        <v>1922</v>
      </c>
      <c r="E1048" s="738" t="s">
        <v>919</v>
      </c>
      <c r="F1048" s="1085" t="s">
        <v>1923</v>
      </c>
      <c r="G1048" s="668" t="s">
        <v>8</v>
      </c>
      <c r="H1048" s="36">
        <v>24.9</v>
      </c>
      <c r="I1048" s="37"/>
      <c r="J1048" s="98">
        <f>50-44.7</f>
        <v>5.2999999999999972</v>
      </c>
      <c r="K1048" s="15">
        <v>200</v>
      </c>
      <c r="L1048" s="33">
        <v>200</v>
      </c>
      <c r="M1048" s="133" t="s">
        <v>629</v>
      </c>
      <c r="N1048" s="1082" t="s">
        <v>882</v>
      </c>
      <c r="O1048" s="1082" t="s">
        <v>1924</v>
      </c>
      <c r="P1048" s="1086">
        <v>1</v>
      </c>
      <c r="Q1048" s="665"/>
    </row>
    <row r="1049" spans="1:17" ht="12.75" customHeight="1" x14ac:dyDescent="0.25">
      <c r="A1049" s="665">
        <v>9</v>
      </c>
      <c r="B1049" s="666"/>
      <c r="C1049" s="665"/>
      <c r="D1049" s="53"/>
      <c r="E1049" s="62"/>
      <c r="F1049" s="665"/>
      <c r="G1049" s="311" t="s">
        <v>492</v>
      </c>
      <c r="H1049" s="104"/>
      <c r="I1049" s="104">
        <f>SUM(I1048)</f>
        <v>0</v>
      </c>
      <c r="J1049" s="104">
        <f>SUM(J1048)</f>
        <v>5.2999999999999972</v>
      </c>
      <c r="K1049" s="104">
        <f>SUM(K1048)</f>
        <v>200</v>
      </c>
      <c r="L1049" s="104">
        <f>SUM(L1048)</f>
        <v>200</v>
      </c>
      <c r="M1049" s="133"/>
      <c r="N1049" s="999"/>
      <c r="O1049" s="999"/>
      <c r="P1049" s="665"/>
      <c r="Q1049" s="665"/>
    </row>
    <row r="1051" spans="1:17" ht="12.75" customHeight="1" x14ac:dyDescent="0.25">
      <c r="J1051" s="419"/>
      <c r="K1051" s="420"/>
    </row>
  </sheetData>
  <sheetProtection formatCells="0" formatColumns="0" formatRows="0" insertColumns="0" insertRows="0" sort="0" autoFilter="0"/>
  <protectedRanges>
    <protectedRange sqref="N87:N96" name="Diapazonas1"/>
    <protectedRange sqref="N103:N105 N108 N111:N120" name="Diapazonas1_1"/>
    <protectedRange sqref="N110" name="Diapazonas1_1_1"/>
    <protectedRange sqref="N106:N107" name="Diapazonas1_1_2"/>
    <protectedRange sqref="N109" name="Diapazonas1_1_3"/>
  </protectedRanges>
  <autoFilter ref="A3:Q1049" xr:uid="{00000000-0001-0000-0E00-000000000000}"/>
  <mergeCells count="49">
    <mergeCell ref="D572:D573"/>
    <mergeCell ref="D574:D577"/>
    <mergeCell ref="D578:D579"/>
    <mergeCell ref="D580:D581"/>
    <mergeCell ref="D565:D566"/>
    <mergeCell ref="D567:D568"/>
    <mergeCell ref="D582:D586"/>
    <mergeCell ref="D645:D646"/>
    <mergeCell ref="D670:D671"/>
    <mergeCell ref="D675:D676"/>
    <mergeCell ref="D587:D588"/>
    <mergeCell ref="D660:D661"/>
    <mergeCell ref="D662:D665"/>
    <mergeCell ref="D666:D667"/>
    <mergeCell ref="D668:D669"/>
    <mergeCell ref="D101:D103"/>
    <mergeCell ref="D219:D220"/>
    <mergeCell ref="D217:D218"/>
    <mergeCell ref="D569:D571"/>
    <mergeCell ref="D558:D559"/>
    <mergeCell ref="D560:D561"/>
    <mergeCell ref="D562:D563"/>
    <mergeCell ref="D524:D525"/>
    <mergeCell ref="D547:D549"/>
    <mergeCell ref="D550:D553"/>
    <mergeCell ref="D554:D555"/>
    <mergeCell ref="D556:D557"/>
    <mergeCell ref="D522:D523"/>
    <mergeCell ref="E72:E73"/>
    <mergeCell ref="D79:D82"/>
    <mergeCell ref="D87:D89"/>
    <mergeCell ref="D93:D96"/>
    <mergeCell ref="D97:D100"/>
    <mergeCell ref="D699:D701"/>
    <mergeCell ref="D1:G1"/>
    <mergeCell ref="P1:Q1"/>
    <mergeCell ref="P2:Q2"/>
    <mergeCell ref="D2:G2"/>
    <mergeCell ref="D505:D506"/>
    <mergeCell ref="D16:D18"/>
    <mergeCell ref="D27:D30"/>
    <mergeCell ref="D61:D63"/>
    <mergeCell ref="D9:D11"/>
    <mergeCell ref="D33:D36"/>
    <mergeCell ref="D145:D146"/>
    <mergeCell ref="D133:D134"/>
    <mergeCell ref="D514:D515"/>
    <mergeCell ref="D516:D519"/>
    <mergeCell ref="D112:D115"/>
  </mergeCells>
  <phoneticPr fontId="52" type="noConversion"/>
  <pageMargins left="0.23622047244094491" right="0.23622047244094491" top="0.74803149606299213" bottom="0.74803149606299213" header="0.31496062992125984" footer="0.31496062992125984"/>
  <pageSetup paperSize="9" scale="77" fitToHeight="0" orientation="landscape" horizontalDpi="4294967293" verticalDpi="4294967293" r:id="rId1"/>
  <headerFooter alignWithMargins="0">
    <oddHeader>&amp;C&amp;P</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119a47f-a1ee-4a22-aed0-d526b74a3a21" xsi:nil="true"/>
    <lcf76f155ced4ddcb4097134ff3c332f xmlns="c1735d09-ccc3-416e-be48-3def7266d96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C58D5FAAB477BF468E1B678AF7DA70DA" ma:contentTypeVersion="14" ma:contentTypeDescription="Kurkite naują dokumentą." ma:contentTypeScope="" ma:versionID="1c8272f572a0f97cb7137c888e1ae857">
  <xsd:schema xmlns:xsd="http://www.w3.org/2001/XMLSchema" xmlns:xs="http://www.w3.org/2001/XMLSchema" xmlns:p="http://schemas.microsoft.com/office/2006/metadata/properties" xmlns:ns2="c1735d09-ccc3-416e-be48-3def7266d969" xmlns:ns3="3119a47f-a1ee-4a22-aed0-d526b74a3a21" targetNamespace="http://schemas.microsoft.com/office/2006/metadata/properties" ma:root="true" ma:fieldsID="17913cf198aef17791c9d21155667511" ns2:_="" ns3:_="">
    <xsd:import namespace="c1735d09-ccc3-416e-be48-3def7266d969"/>
    <xsd:import namespace="3119a47f-a1ee-4a22-aed0-d526b74a3a21"/>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735d09-ccc3-416e-be48-3def7266d9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Vaizdų žymės" ma:readOnly="false" ma:fieldId="{5cf76f15-5ced-4ddc-b409-7134ff3c332f}" ma:taxonomyMulti="true" ma:sspId="38eb848d-185e-46c3-aee5-c3b30c080446"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119a47f-a1ee-4a22-aed0-d526b74a3a21" elementFormDefault="qualified">
    <xsd:import namespace="http://schemas.microsoft.com/office/2006/documentManagement/types"/>
    <xsd:import namespace="http://schemas.microsoft.com/office/infopath/2007/PartnerControls"/>
    <xsd:element name="SharedWithUsers" ma:index="11"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Bendrinta su išsamia informacija" ma:internalName="SharedWithDetails" ma:readOnly="true">
      <xsd:simpleType>
        <xsd:restriction base="dms:Note">
          <xsd:maxLength value="255"/>
        </xsd:restriction>
      </xsd:simpleType>
    </xsd:element>
    <xsd:element name="TaxCatchAll" ma:index="15" nillable="true" ma:displayName="Taxonomy Catch All Column" ma:hidden="true" ma:list="{79cb7a69-fa63-470d-8f45-0783ac6fe180}" ma:internalName="TaxCatchAll" ma:showField="CatchAllData" ma:web="3119a47f-a1ee-4a22-aed0-d526b74a3a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CB0FD57-4CD5-4BFC-BEBD-5E6F1360E192}">
  <ds:schemaRefs>
    <ds:schemaRef ds:uri="http://schemas.microsoft.com/office/2006/metadata/properties"/>
    <ds:schemaRef ds:uri="http://schemas.microsoft.com/office/infopath/2007/PartnerControls"/>
    <ds:schemaRef ds:uri="3119a47f-a1ee-4a22-aed0-d526b74a3a21"/>
    <ds:schemaRef ds:uri="c1735d09-ccc3-416e-be48-3def7266d969"/>
  </ds:schemaRefs>
</ds:datastoreItem>
</file>

<file path=customXml/itemProps2.xml><?xml version="1.0" encoding="utf-8"?>
<ds:datastoreItem xmlns:ds="http://schemas.openxmlformats.org/officeDocument/2006/customXml" ds:itemID="{A9196849-BDDB-45D7-B69E-7994614F92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735d09-ccc3-416e-be48-3def7266d969"/>
    <ds:schemaRef ds:uri="3119a47f-a1ee-4a22-aed0-d526b74a3a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D775275-1F2D-434D-9AD4-B753319303A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1</vt:i4>
      </vt:variant>
    </vt:vector>
  </HeadingPairs>
  <TitlesOfParts>
    <vt:vector size="3" baseType="lpstr">
      <vt:lpstr>Vykd </vt:lpstr>
      <vt:lpstr>MVP 2025</vt:lpstr>
      <vt:lpstr>'MVP 2025'!Print_Area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Mindaugas Šatkus</dc:creator>
  <cp:keywords/>
  <dc:description/>
  <cp:lastModifiedBy>Vaida Čedavičienė</cp:lastModifiedBy>
  <cp:revision/>
  <cp:lastPrinted>2025-05-29T07:11:19Z</cp:lastPrinted>
  <dcterms:created xsi:type="dcterms:W3CDTF">2015-02-01T20:48:48Z</dcterms:created>
  <dcterms:modified xsi:type="dcterms:W3CDTF">2025-12-31T09:08:01Z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0x010100C58D5FAAB477BF468E1B678AF7DA70DA</vt:lpwstr>
  </property>
  <property fmtid="{D5CDD505-2E9C-101B-9397-08002B2CF9AE}" pid="3" name="MediaServiceImageTags">
    <vt:lpwstr/>
  </property>
</Properties>
</file>