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aipedosr-my.sharepoint.com/personal/irena_gailiuviene_klaipedos-r_lt/Documents/Darbalaukis/2026-2028 m pajamų prognozė FM/Sprendimo projektas/"/>
    </mc:Choice>
  </mc:AlternateContent>
  <xr:revisionPtr revIDLastSave="695" documentId="13_ncr:1_{16711C11-C39A-4430-8637-CE1CAEDCA883}" xr6:coauthVersionLast="47" xr6:coauthVersionMax="47" xr10:uidLastSave="{D45A8252-EAE0-4121-B3A3-A0797095F85C}"/>
  <bookViews>
    <workbookView xWindow="-120" yWindow="-120" windowWidth="29040" windowHeight="15720" xr2:uid="{DF0FEBCE-05B4-4644-A1B7-A42B154624A1}"/>
  </bookViews>
  <sheets>
    <sheet name="1 priedas" sheetId="2" r:id="rId1"/>
    <sheet name="2 priedas" sheetId="8" r:id="rId2"/>
    <sheet name="3 priedas" sheetId="7" r:id="rId3"/>
    <sheet name="4 priedas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7" i="9" l="1"/>
  <c r="F487" i="9"/>
  <c r="D487" i="9"/>
  <c r="E411" i="9"/>
  <c r="F411" i="9"/>
  <c r="D411" i="9"/>
  <c r="F476" i="9"/>
  <c r="E476" i="9"/>
  <c r="D476" i="9"/>
  <c r="F471" i="9"/>
  <c r="E471" i="9"/>
  <c r="D471" i="9"/>
  <c r="F456" i="9"/>
  <c r="E456" i="9"/>
  <c r="D456" i="9"/>
  <c r="F418" i="9"/>
  <c r="E418" i="9"/>
  <c r="D418" i="9"/>
  <c r="E504" i="9" l="1"/>
  <c r="F504" i="9"/>
  <c r="D504" i="9"/>
  <c r="F505" i="9" l="1"/>
  <c r="E503" i="9"/>
  <c r="F503" i="9"/>
  <c r="D503" i="9"/>
  <c r="F502" i="9" l="1"/>
  <c r="E502" i="9"/>
  <c r="D502" i="9"/>
  <c r="F501" i="9"/>
  <c r="E501" i="9"/>
  <c r="D501" i="9"/>
  <c r="D500" i="9"/>
  <c r="F498" i="9"/>
  <c r="E498" i="9"/>
  <c r="D498" i="9"/>
  <c r="F496" i="9"/>
  <c r="E496" i="9"/>
  <c r="D496" i="9"/>
  <c r="F495" i="9"/>
  <c r="E495" i="9"/>
  <c r="D495" i="9"/>
  <c r="F493" i="9"/>
  <c r="E493" i="9"/>
  <c r="D493" i="9"/>
  <c r="F491" i="9"/>
  <c r="E491" i="9"/>
  <c r="D491" i="9"/>
  <c r="F490" i="9"/>
  <c r="E490" i="9"/>
  <c r="D490" i="9"/>
  <c r="E482" i="9"/>
  <c r="D482" i="9"/>
  <c r="F480" i="9"/>
  <c r="F478" i="9" s="1"/>
  <c r="E480" i="9"/>
  <c r="D480" i="9"/>
  <c r="F475" i="9"/>
  <c r="E475" i="9"/>
  <c r="D475" i="9"/>
  <c r="F470" i="9"/>
  <c r="E470" i="9"/>
  <c r="F468" i="9"/>
  <c r="E468" i="9"/>
  <c r="D468" i="9"/>
  <c r="F457" i="9"/>
  <c r="E457" i="9"/>
  <c r="D457" i="9"/>
  <c r="F452" i="9"/>
  <c r="E452" i="9"/>
  <c r="D452" i="9"/>
  <c r="F451" i="9"/>
  <c r="E451" i="9"/>
  <c r="D451" i="9"/>
  <c r="E446" i="9"/>
  <c r="D446" i="9"/>
  <c r="F441" i="9"/>
  <c r="F416" i="9" s="1"/>
  <c r="E441" i="9"/>
  <c r="D441" i="9"/>
  <c r="F431" i="9"/>
  <c r="E431" i="9"/>
  <c r="D431" i="9"/>
  <c r="F427" i="9"/>
  <c r="E427" i="9"/>
  <c r="D427" i="9"/>
  <c r="E425" i="9"/>
  <c r="F424" i="9"/>
  <c r="E424" i="9"/>
  <c r="D424" i="9"/>
  <c r="D422" i="9"/>
  <c r="D415" i="9"/>
  <c r="F410" i="9"/>
  <c r="E410" i="9"/>
  <c r="D410" i="9"/>
  <c r="F409" i="9"/>
  <c r="E409" i="9"/>
  <c r="D409" i="9"/>
  <c r="D402" i="9"/>
  <c r="F398" i="9"/>
  <c r="F396" i="9" s="1"/>
  <c r="E398" i="9"/>
  <c r="E396" i="9" s="1"/>
  <c r="D398" i="9"/>
  <c r="D395" i="9"/>
  <c r="D505" i="9" s="1"/>
  <c r="D392" i="9"/>
  <c r="D387" i="9"/>
  <c r="F386" i="9"/>
  <c r="E386" i="9"/>
  <c r="D386" i="9"/>
  <c r="D385" i="9"/>
  <c r="F382" i="9"/>
  <c r="E382" i="9"/>
  <c r="D382" i="9"/>
  <c r="F368" i="9"/>
  <c r="E368" i="9"/>
  <c r="D368" i="9"/>
  <c r="D365" i="9"/>
  <c r="E364" i="9"/>
  <c r="D364" i="9"/>
  <c r="F355" i="9"/>
  <c r="E355" i="9"/>
  <c r="D355" i="9"/>
  <c r="F351" i="9"/>
  <c r="F499" i="9" s="1"/>
  <c r="E351" i="9"/>
  <c r="E499" i="9" s="1"/>
  <c r="D351" i="9"/>
  <c r="F349" i="9"/>
  <c r="E349" i="9"/>
  <c r="D349" i="9"/>
  <c r="F348" i="9"/>
  <c r="E348" i="9"/>
  <c r="D348" i="9"/>
  <c r="F344" i="9"/>
  <c r="E344" i="9"/>
  <c r="D344" i="9"/>
  <c r="F343" i="9"/>
  <c r="E343" i="9"/>
  <c r="D343" i="9"/>
  <c r="F342" i="9"/>
  <c r="E342" i="9"/>
  <c r="D342" i="9"/>
  <c r="E337" i="9"/>
  <c r="D337" i="9"/>
  <c r="F335" i="9"/>
  <c r="E335" i="9"/>
  <c r="D335" i="9"/>
  <c r="D324" i="9"/>
  <c r="D320" i="9"/>
  <c r="F316" i="9"/>
  <c r="E316" i="9"/>
  <c r="D316" i="9"/>
  <c r="F303" i="9"/>
  <c r="F300" i="9" s="1"/>
  <c r="E303" i="9"/>
  <c r="D303" i="9"/>
  <c r="D300" i="9" s="1"/>
  <c r="F298" i="9"/>
  <c r="F500" i="9" s="1"/>
  <c r="E298" i="9"/>
  <c r="E500" i="9" s="1"/>
  <c r="E296" i="9"/>
  <c r="D296" i="9"/>
  <c r="E293" i="9"/>
  <c r="D293" i="9"/>
  <c r="F292" i="9"/>
  <c r="E292" i="9"/>
  <c r="D292" i="9"/>
  <c r="F285" i="9"/>
  <c r="E285" i="9"/>
  <c r="D285" i="9"/>
  <c r="E282" i="9"/>
  <c r="E505" i="9" s="1"/>
  <c r="F280" i="9"/>
  <c r="E280" i="9"/>
  <c r="D280" i="9"/>
  <c r="F279" i="9"/>
  <c r="F492" i="9" s="1"/>
  <c r="E279" i="9"/>
  <c r="E492" i="9" s="1"/>
  <c r="D279" i="9"/>
  <c r="F278" i="9"/>
  <c r="F488" i="9" s="1"/>
  <c r="E278" i="9"/>
  <c r="D278" i="9"/>
  <c r="F277" i="9"/>
  <c r="E277" i="9"/>
  <c r="D277" i="9"/>
  <c r="F272" i="9"/>
  <c r="F270" i="9" s="1"/>
  <c r="E272" i="9"/>
  <c r="E270" i="9" s="1"/>
  <c r="D272" i="9"/>
  <c r="D270" i="9" s="1"/>
  <c r="F268" i="9"/>
  <c r="E268" i="9"/>
  <c r="D268" i="9"/>
  <c r="F264" i="9"/>
  <c r="E264" i="9"/>
  <c r="D264" i="9"/>
  <c r="F256" i="9"/>
  <c r="E256" i="9"/>
  <c r="E254" i="9" s="1"/>
  <c r="D256" i="9"/>
  <c r="F251" i="9"/>
  <c r="F249" i="9" s="1"/>
  <c r="E251" i="9"/>
  <c r="E249" i="9" s="1"/>
  <c r="D251" i="9"/>
  <c r="D249" i="9" s="1"/>
  <c r="F246" i="9"/>
  <c r="F244" i="9" s="1"/>
  <c r="E246" i="9"/>
  <c r="E244" i="9" s="1"/>
  <c r="D246" i="9"/>
  <c r="D244" i="9" s="1"/>
  <c r="F241" i="9"/>
  <c r="F239" i="9" s="1"/>
  <c r="E241" i="9"/>
  <c r="E239" i="9" s="1"/>
  <c r="D241" i="9"/>
  <c r="F236" i="9"/>
  <c r="F234" i="9" s="1"/>
  <c r="E236" i="9"/>
  <c r="E234" i="9" s="1"/>
  <c r="D236" i="9"/>
  <c r="F231" i="9"/>
  <c r="F229" i="9" s="1"/>
  <c r="E231" i="9"/>
  <c r="E229" i="9" s="1"/>
  <c r="D231" i="9"/>
  <c r="D229" i="9" s="1"/>
  <c r="F226" i="9"/>
  <c r="F224" i="9" s="1"/>
  <c r="E226" i="9"/>
  <c r="E224" i="9" s="1"/>
  <c r="D226" i="9"/>
  <c r="D224" i="9" s="1"/>
  <c r="F221" i="9"/>
  <c r="F219" i="9" s="1"/>
  <c r="E221" i="9"/>
  <c r="E219" i="9" s="1"/>
  <c r="D221" i="9"/>
  <c r="D219" i="9" s="1"/>
  <c r="F217" i="9"/>
  <c r="E217" i="9"/>
  <c r="D217" i="9"/>
  <c r="F213" i="9"/>
  <c r="E213" i="9"/>
  <c r="D213" i="9"/>
  <c r="F206" i="9"/>
  <c r="F204" i="9" s="1"/>
  <c r="E206" i="9"/>
  <c r="E204" i="9" s="1"/>
  <c r="D206" i="9"/>
  <c r="D204" i="9" s="1"/>
  <c r="D203" i="9"/>
  <c r="D200" i="9" s="1"/>
  <c r="F200" i="9"/>
  <c r="F198" i="9" s="1"/>
  <c r="E200" i="9"/>
  <c r="E198" i="9" s="1"/>
  <c r="D197" i="9"/>
  <c r="F193" i="9"/>
  <c r="F191" i="9" s="1"/>
  <c r="E193" i="9"/>
  <c r="E191" i="9" s="1"/>
  <c r="D190" i="9"/>
  <c r="F187" i="9"/>
  <c r="F185" i="9" s="1"/>
  <c r="E187" i="9"/>
  <c r="E185" i="9" s="1"/>
  <c r="F183" i="9"/>
  <c r="E183" i="9"/>
  <c r="D183" i="9"/>
  <c r="F177" i="9"/>
  <c r="E177" i="9"/>
  <c r="D177" i="9"/>
  <c r="F171" i="9"/>
  <c r="E171" i="9"/>
  <c r="D171" i="9"/>
  <c r="D169" i="9" s="1"/>
  <c r="F166" i="9"/>
  <c r="F164" i="9" s="1"/>
  <c r="E166" i="9"/>
  <c r="E164" i="9" s="1"/>
  <c r="D166" i="9"/>
  <c r="D164" i="9" s="1"/>
  <c r="D162" i="9"/>
  <c r="D161" i="9" s="1"/>
  <c r="F161" i="9"/>
  <c r="F159" i="9" s="1"/>
  <c r="E161" i="9"/>
  <c r="E159" i="9" s="1"/>
  <c r="F157" i="9"/>
  <c r="E157" i="9"/>
  <c r="D157" i="9"/>
  <c r="F155" i="9"/>
  <c r="E155" i="9"/>
  <c r="D155" i="9"/>
  <c r="D152" i="9"/>
  <c r="D151" i="9" s="1"/>
  <c r="F151" i="9"/>
  <c r="E151" i="9"/>
  <c r="F147" i="9"/>
  <c r="E147" i="9"/>
  <c r="D147" i="9"/>
  <c r="D144" i="9"/>
  <c r="D143" i="9" s="1"/>
  <c r="F143" i="9"/>
  <c r="E143" i="9"/>
  <c r="D138" i="9"/>
  <c r="D137" i="9" s="1"/>
  <c r="F137" i="9"/>
  <c r="F135" i="9" s="1"/>
  <c r="E137" i="9"/>
  <c r="E135" i="9" s="1"/>
  <c r="D132" i="9"/>
  <c r="F131" i="9"/>
  <c r="F129" i="9" s="1"/>
  <c r="E131" i="9"/>
  <c r="E129" i="9" s="1"/>
  <c r="D126" i="9"/>
  <c r="D125" i="9" s="1"/>
  <c r="D123" i="9" s="1"/>
  <c r="F125" i="9"/>
  <c r="F123" i="9" s="1"/>
  <c r="E125" i="9"/>
  <c r="E123" i="9" s="1"/>
  <c r="E120" i="9"/>
  <c r="E119" i="9" s="1"/>
  <c r="E117" i="9" s="1"/>
  <c r="D120" i="9"/>
  <c r="D119" i="9" s="1"/>
  <c r="F119" i="9"/>
  <c r="F117" i="9" s="1"/>
  <c r="D114" i="9"/>
  <c r="D113" i="9" s="1"/>
  <c r="F113" i="9"/>
  <c r="F111" i="9" s="1"/>
  <c r="E113" i="9"/>
  <c r="E111" i="9" s="1"/>
  <c r="D108" i="9"/>
  <c r="F107" i="9"/>
  <c r="F105" i="9" s="1"/>
  <c r="E107" i="9"/>
  <c r="E105" i="9" s="1"/>
  <c r="D101" i="9"/>
  <c r="D100" i="9" s="1"/>
  <c r="F100" i="9"/>
  <c r="F98" i="9" s="1"/>
  <c r="E100" i="9"/>
  <c r="E98" i="9" s="1"/>
  <c r="D95" i="9"/>
  <c r="F94" i="9"/>
  <c r="F92" i="9" s="1"/>
  <c r="E94" i="9"/>
  <c r="E92" i="9" s="1"/>
  <c r="D89" i="9"/>
  <c r="D88" i="9" s="1"/>
  <c r="D86" i="9" s="1"/>
  <c r="F88" i="9"/>
  <c r="F86" i="9" s="1"/>
  <c r="E88" i="9"/>
  <c r="E86" i="9" s="1"/>
  <c r="D83" i="9"/>
  <c r="F82" i="9"/>
  <c r="F80" i="9" s="1"/>
  <c r="E82" i="9"/>
  <c r="E80" i="9" s="1"/>
  <c r="D77" i="9"/>
  <c r="F76" i="9"/>
  <c r="F74" i="9" s="1"/>
  <c r="E76" i="9"/>
  <c r="E74" i="9" s="1"/>
  <c r="D71" i="9"/>
  <c r="F70" i="9"/>
  <c r="F68" i="9" s="1"/>
  <c r="E70" i="9"/>
  <c r="E68" i="9" s="1"/>
  <c r="D65" i="9"/>
  <c r="F64" i="9"/>
  <c r="F62" i="9" s="1"/>
  <c r="E64" i="9"/>
  <c r="E62" i="9" s="1"/>
  <c r="D59" i="9"/>
  <c r="F58" i="9"/>
  <c r="F56" i="9" s="1"/>
  <c r="E58" i="9"/>
  <c r="E56" i="9" s="1"/>
  <c r="D53" i="9"/>
  <c r="D52" i="9" s="1"/>
  <c r="F52" i="9"/>
  <c r="F50" i="9" s="1"/>
  <c r="E52" i="9"/>
  <c r="E50" i="9" s="1"/>
  <c r="D46" i="9"/>
  <c r="D45" i="9" s="1"/>
  <c r="D43" i="9" s="1"/>
  <c r="F45" i="9"/>
  <c r="F43" i="9" s="1"/>
  <c r="E45" i="9"/>
  <c r="E43" i="9" s="1"/>
  <c r="D39" i="9"/>
  <c r="D38" i="9" s="1"/>
  <c r="F38" i="9"/>
  <c r="F36" i="9" s="1"/>
  <c r="E38" i="9"/>
  <c r="E36" i="9" s="1"/>
  <c r="D33" i="9"/>
  <c r="D32" i="9" s="1"/>
  <c r="D30" i="9" s="1"/>
  <c r="F32" i="9"/>
  <c r="F30" i="9" s="1"/>
  <c r="E32" i="9"/>
  <c r="E30" i="9" s="1"/>
  <c r="D26" i="9"/>
  <c r="D25" i="9" s="1"/>
  <c r="F25" i="9"/>
  <c r="F23" i="9" s="1"/>
  <c r="E25" i="9"/>
  <c r="E23" i="9" s="1"/>
  <c r="D18" i="9"/>
  <c r="F17" i="9"/>
  <c r="F15" i="9" s="1"/>
  <c r="E17" i="9"/>
  <c r="E15" i="9" s="1"/>
  <c r="D11" i="9"/>
  <c r="D10" i="9" s="1"/>
  <c r="D8" i="9" s="1"/>
  <c r="F10" i="9"/>
  <c r="F8" i="9" s="1"/>
  <c r="E10" i="9"/>
  <c r="E8" i="9" s="1"/>
  <c r="E29" i="2"/>
  <c r="D29" i="2"/>
  <c r="C29" i="2"/>
  <c r="D492" i="9" l="1"/>
  <c r="D489" i="9"/>
  <c r="E489" i="9"/>
  <c r="F489" i="9"/>
  <c r="D187" i="9"/>
  <c r="D185" i="9" s="1"/>
  <c r="E300" i="9"/>
  <c r="E509" i="9" s="1"/>
  <c r="E416" i="9"/>
  <c r="E413" i="9" s="1"/>
  <c r="D449" i="9"/>
  <c r="E449" i="9"/>
  <c r="F449" i="9"/>
  <c r="D353" i="9"/>
  <c r="E353" i="9"/>
  <c r="E512" i="9" s="1"/>
  <c r="F353" i="9"/>
  <c r="F512" i="9" s="1"/>
  <c r="D416" i="9"/>
  <c r="D413" i="9" s="1"/>
  <c r="D454" i="9"/>
  <c r="D340" i="9"/>
  <c r="E262" i="9"/>
  <c r="E334" i="9"/>
  <c r="E510" i="9" s="1"/>
  <c r="F284" i="9"/>
  <c r="F508" i="9" s="1"/>
  <c r="F262" i="9"/>
  <c r="F497" i="9"/>
  <c r="F509" i="9"/>
  <c r="D175" i="9"/>
  <c r="E149" i="9"/>
  <c r="D407" i="9"/>
  <c r="D514" i="9" s="1"/>
  <c r="E407" i="9"/>
  <c r="E514" i="9" s="1"/>
  <c r="D499" i="9"/>
  <c r="F340" i="9"/>
  <c r="F511" i="9" s="1"/>
  <c r="D284" i="9"/>
  <c r="D508" i="9" s="1"/>
  <c r="D509" i="9"/>
  <c r="E494" i="9"/>
  <c r="F494" i="9"/>
  <c r="E497" i="9"/>
  <c r="F454" i="9"/>
  <c r="D276" i="9"/>
  <c r="D334" i="9"/>
  <c r="D510" i="9" s="1"/>
  <c r="E141" i="9"/>
  <c r="D211" i="9"/>
  <c r="E478" i="9"/>
  <c r="D117" i="9"/>
  <c r="D494" i="9"/>
  <c r="F175" i="9"/>
  <c r="D193" i="9"/>
  <c r="F334" i="9"/>
  <c r="F510" i="9" s="1"/>
  <c r="D396" i="9"/>
  <c r="D513" i="9" s="1"/>
  <c r="D82" i="9"/>
  <c r="D80" i="9" s="1"/>
  <c r="D149" i="9"/>
  <c r="D239" i="9"/>
  <c r="F407" i="9"/>
  <c r="F514" i="9" s="1"/>
  <c r="E454" i="9"/>
  <c r="D98" i="9"/>
  <c r="F276" i="9"/>
  <c r="D58" i="9"/>
  <c r="E284" i="9"/>
  <c r="E508" i="9" s="1"/>
  <c r="E340" i="9"/>
  <c r="E511" i="9" s="1"/>
  <c r="D262" i="9"/>
  <c r="F169" i="9"/>
  <c r="D141" i="9"/>
  <c r="D159" i="9"/>
  <c r="F413" i="9"/>
  <c r="F141" i="9"/>
  <c r="D478" i="9"/>
  <c r="D36" i="9"/>
  <c r="D64" i="9"/>
  <c r="F149" i="9"/>
  <c r="D23" i="9"/>
  <c r="D131" i="9"/>
  <c r="D135" i="9"/>
  <c r="E169" i="9"/>
  <c r="E513" i="9"/>
  <c r="E211" i="9"/>
  <c r="E175" i="9"/>
  <c r="F513" i="9"/>
  <c r="F211" i="9"/>
  <c r="E276" i="9"/>
  <c r="D76" i="9"/>
  <c r="D111" i="9"/>
  <c r="D198" i="9"/>
  <c r="D254" i="9"/>
  <c r="D17" i="9"/>
  <c r="D234" i="9"/>
  <c r="D50" i="9"/>
  <c r="D70" i="9"/>
  <c r="D94" i="9"/>
  <c r="D107" i="9"/>
  <c r="F254" i="9"/>
  <c r="D470" i="9"/>
  <c r="D497" i="9"/>
  <c r="E488" i="9"/>
  <c r="D488" i="9"/>
  <c r="C8" i="2"/>
  <c r="F515" i="9" l="1"/>
  <c r="E515" i="9"/>
  <c r="D274" i="9"/>
  <c r="D191" i="9"/>
  <c r="D56" i="9"/>
  <c r="D105" i="9"/>
  <c r="D74" i="9"/>
  <c r="E507" i="9"/>
  <c r="D511" i="9"/>
  <c r="D68" i="9"/>
  <c r="F507" i="9"/>
  <c r="D512" i="9"/>
  <c r="D92" i="9"/>
  <c r="D507" i="9"/>
  <c r="D62" i="9"/>
  <c r="D15" i="9"/>
  <c r="D129" i="9"/>
  <c r="F274" i="9" l="1"/>
  <c r="F485" i="9" s="1"/>
  <c r="E274" i="9"/>
  <c r="E485" i="9" s="1"/>
  <c r="D485" i="9"/>
  <c r="D515" i="9"/>
  <c r="E16" i="8" l="1"/>
  <c r="D16" i="8"/>
  <c r="E11" i="8"/>
  <c r="D11" i="8"/>
  <c r="C11" i="8"/>
  <c r="C8" i="8" l="1"/>
  <c r="C16" i="8"/>
  <c r="D8" i="8"/>
  <c r="D19" i="8" s="1"/>
  <c r="E8" i="8"/>
  <c r="E19" i="8" s="1"/>
  <c r="C19" i="8" l="1"/>
  <c r="D43" i="7" l="1"/>
  <c r="D32" i="7"/>
  <c r="D30" i="7"/>
  <c r="C42" i="2"/>
  <c r="C41" i="7" l="1"/>
  <c r="H49" i="7"/>
  <c r="G49" i="7"/>
  <c r="F49" i="7"/>
  <c r="E49" i="7"/>
  <c r="C48" i="7"/>
  <c r="C47" i="7"/>
  <c r="C46" i="7"/>
  <c r="C45" i="7"/>
  <c r="C44" i="7"/>
  <c r="C43" i="7"/>
  <c r="C42" i="7"/>
  <c r="C40" i="7"/>
  <c r="C39" i="7"/>
  <c r="C38" i="7"/>
  <c r="C37" i="7"/>
  <c r="C36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D49" i="7" l="1"/>
  <c r="C34" i="7"/>
  <c r="C49" i="7" s="1"/>
  <c r="D22" i="2" l="1"/>
  <c r="D18" i="2" s="1"/>
  <c r="E22" i="2"/>
  <c r="E18" i="2" s="1"/>
  <c r="D42" i="2"/>
  <c r="D41" i="2" s="1"/>
  <c r="E42" i="2"/>
  <c r="E41" i="2" s="1"/>
  <c r="D28" i="2"/>
  <c r="D27" i="2" s="1"/>
  <c r="E28" i="2"/>
  <c r="E27" i="2" s="1"/>
  <c r="D15" i="2"/>
  <c r="E15" i="2"/>
  <c r="D11" i="2"/>
  <c r="E11" i="2"/>
  <c r="D8" i="2"/>
  <c r="E8" i="2"/>
  <c r="D7" i="2" l="1"/>
  <c r="E17" i="2"/>
  <c r="D17" i="2"/>
  <c r="E7" i="2"/>
  <c r="D40" i="2" l="1"/>
  <c r="D49" i="2" s="1"/>
  <c r="E40" i="2"/>
  <c r="E49" i="2" s="1"/>
  <c r="C41" i="2" l="1"/>
  <c r="C28" i="2" l="1"/>
  <c r="C27" i="2" s="1"/>
  <c r="C22" i="2"/>
  <c r="C18" i="2" s="1"/>
  <c r="C15" i="2"/>
  <c r="C11" i="2"/>
  <c r="C7" i="2" l="1"/>
  <c r="C17" i="2"/>
  <c r="C40" i="2" l="1"/>
  <c r="C49" i="2" s="1"/>
</calcChain>
</file>

<file path=xl/sharedStrings.xml><?xml version="1.0" encoding="utf-8"?>
<sst xmlns="http://schemas.openxmlformats.org/spreadsheetml/2006/main" count="1282" uniqueCount="667">
  <si>
    <t>Eil. Nr.</t>
  </si>
  <si>
    <t>1.</t>
  </si>
  <si>
    <t>1.1.</t>
  </si>
  <si>
    <t>Žemės mokestis</t>
  </si>
  <si>
    <t>Nekilnojamojo turto mokestis</t>
  </si>
  <si>
    <t>3.</t>
  </si>
  <si>
    <t>Dividendai</t>
  </si>
  <si>
    <t>4.</t>
  </si>
  <si>
    <t>Pajamos už prekes ir paslaugas</t>
  </si>
  <si>
    <t>Pajamos už ilgalaikio ir trumpalaikio materialiojo turto nuomą</t>
  </si>
  <si>
    <t>Įmokos už išlaikymą švietimo, socialinės apsaugos įstaigose</t>
  </si>
  <si>
    <t>Valstybės rinkliava</t>
  </si>
  <si>
    <t>Komunalinių atliekų surinkimą iš atliekų turėtojų ir atliekų tvarkymą</t>
  </si>
  <si>
    <t>5.</t>
  </si>
  <si>
    <t>6.</t>
  </si>
  <si>
    <t>7.</t>
  </si>
  <si>
    <t>Pajamos už parduotą žemę</t>
  </si>
  <si>
    <t>9.</t>
  </si>
  <si>
    <t>8.</t>
  </si>
  <si>
    <t>Infrastruktūros plėtros įmokų lėšos</t>
  </si>
  <si>
    <t>Palūkanos</t>
  </si>
  <si>
    <t>Klaipėdos rajono savivaldybės tarybos</t>
  </si>
  <si>
    <t>tūkst. eurų</t>
  </si>
  <si>
    <t>Pajamos</t>
  </si>
  <si>
    <t>2.</t>
  </si>
  <si>
    <t>MOKESČIAI (2+3+7)</t>
  </si>
  <si>
    <t>Gyventojų pajamų mokestis, iš jo:</t>
  </si>
  <si>
    <t>2.1.</t>
  </si>
  <si>
    <t>2.2.</t>
  </si>
  <si>
    <t>gyventojų pajamų mokestis iš veiklos, kuria verčiamasi turint verslo liudijimą</t>
  </si>
  <si>
    <t>Turto mokesčiai (4+5+6)</t>
  </si>
  <si>
    <t>Paveldimo turto mokestis</t>
  </si>
  <si>
    <t>Prekių ir paslaugų mokesčiai (8)</t>
  </si>
  <si>
    <t>Mokesčiai už aplinkos teršimą</t>
  </si>
  <si>
    <t>11.</t>
  </si>
  <si>
    <t xml:space="preserve">12. </t>
  </si>
  <si>
    <t>13.</t>
  </si>
  <si>
    <t>Nuomos mokestis už valstybinę žemę</t>
  </si>
  <si>
    <t>14.</t>
  </si>
  <si>
    <t>Mokesčiai už valstybinius gamtos išteklius, iš jų:</t>
  </si>
  <si>
    <t>14.1.</t>
  </si>
  <si>
    <t>14.2.</t>
  </si>
  <si>
    <t>14.3.</t>
  </si>
  <si>
    <t>14.4.</t>
  </si>
  <si>
    <t>mokestis už medžiojamų gyvūnų išteklius</t>
  </si>
  <si>
    <t>kiti mokesčiai už valstybinius gamtos išteklius</t>
  </si>
  <si>
    <t>želdinių atkuriamosios vertės lėšos</t>
  </si>
  <si>
    <t>angliavandenilių išteklių mokestis</t>
  </si>
  <si>
    <t>10.</t>
  </si>
  <si>
    <t>Turto pajamos (11+12+13+14)</t>
  </si>
  <si>
    <t>15.</t>
  </si>
  <si>
    <t>16.</t>
  </si>
  <si>
    <t>Biudžetinių įstaigų pajamos už prekes ir paslaugas, iš jų:</t>
  </si>
  <si>
    <t>16.1.</t>
  </si>
  <si>
    <t>16.2.</t>
  </si>
  <si>
    <t>16.3.</t>
  </si>
  <si>
    <t>16.4.</t>
  </si>
  <si>
    <t>17.</t>
  </si>
  <si>
    <t>18.</t>
  </si>
  <si>
    <t>Vietinės rinkliavos, iš jų:</t>
  </si>
  <si>
    <t>18.1.</t>
  </si>
  <si>
    <t>Pajamos už prekes ir paslaugas (16+17+18)</t>
  </si>
  <si>
    <t>19.</t>
  </si>
  <si>
    <t>Pajamos iš baudų, konfiskuoto turto ir kitų netesybų</t>
  </si>
  <si>
    <t>20.</t>
  </si>
  <si>
    <t>Kitos neišvardytos pajamos</t>
  </si>
  <si>
    <t xml:space="preserve">21. </t>
  </si>
  <si>
    <t>KITOS PAJAMOS (10+15+19+20)</t>
  </si>
  <si>
    <t>MATERIALIOJO IR NEMATERIALIOJO TURTO REALIZAVIMO PAJAMOS, IŠ JŲ:</t>
  </si>
  <si>
    <t>21.1.</t>
  </si>
  <si>
    <t xml:space="preserve">22. </t>
  </si>
  <si>
    <t>IŠ VISO PAJAMŲ SAVARANKIŠKOSIOMS FUNKCIJOMS VYKDYTI (1+9+21)</t>
  </si>
  <si>
    <t>23.</t>
  </si>
  <si>
    <t>24.</t>
  </si>
  <si>
    <t>25.</t>
  </si>
  <si>
    <t>Valstybinėms (valstybės perduotoms savivaldybėms) funkcijoms vykdyti</t>
  </si>
  <si>
    <t>26.</t>
  </si>
  <si>
    <t>Ugdymo reikmėms finansuoti</t>
  </si>
  <si>
    <t>27.</t>
  </si>
  <si>
    <t>28.</t>
  </si>
  <si>
    <t>Klasių, skirtų mokiniams, turintiems specialiųjų ugdymosi poreikių, ūkio lėšoms finansuoti</t>
  </si>
  <si>
    <t>Iš apskrities perduotai įstaigai finansuoti</t>
  </si>
  <si>
    <t>29.</t>
  </si>
  <si>
    <t>Kitos dotacijos</t>
  </si>
  <si>
    <t>VALSTYBĖS BIUDŽETO DOTACIJOS (25+26+27+28+29)</t>
  </si>
  <si>
    <t>30.</t>
  </si>
  <si>
    <t xml:space="preserve">DOTACIJA SAVIVALDYBĖMS IŠ EUROPOS SĄJUNGOS, KITOS TARPTAUTINĖS FINANSINĖS PARAMOS IR BENDROJO FINANSAVIMO LĖŠŲ </t>
  </si>
  <si>
    <t xml:space="preserve">31. </t>
  </si>
  <si>
    <t>IŠ VISO (22+23)</t>
  </si>
  <si>
    <t>DOTACIJOS (24+30)</t>
  </si>
  <si>
    <t>1 priedas</t>
  </si>
  <si>
    <t>Veiviržėnų Jurgio Šaulio gimnazija</t>
  </si>
  <si>
    <t>Endriejavo pagrindinė mokykla</t>
  </si>
  <si>
    <t>12.</t>
  </si>
  <si>
    <t>Vėžaičių pagrindinė mokykla</t>
  </si>
  <si>
    <t>Gargždų lopšelis-darželis ,,Ąžuoliukas"</t>
  </si>
  <si>
    <t>Gargždų lopšelis-darželis ,,Gintarėlis"</t>
  </si>
  <si>
    <t>Gargždų lopšelis-darželis ,,Saulutė"</t>
  </si>
  <si>
    <t>Gargždų lopšelis-darželis ,,Naminukas"</t>
  </si>
  <si>
    <t>21.</t>
  </si>
  <si>
    <t>Gargždų vaikų ir jaunimo laisvalaikio centras</t>
  </si>
  <si>
    <t>22.</t>
  </si>
  <si>
    <t>Klaipėdos rajono švietimo centras</t>
  </si>
  <si>
    <t>Gargždų atviras jaunimo centras</t>
  </si>
  <si>
    <t>Jono Lankučio viešoji biblioteka</t>
  </si>
  <si>
    <t>Gargždų kultūros centras</t>
  </si>
  <si>
    <t>Klaipėdos rajono turizmo informacijos centras</t>
  </si>
  <si>
    <t>Gargždų krašto muziejus</t>
  </si>
  <si>
    <t>31.</t>
  </si>
  <si>
    <t>32.</t>
  </si>
  <si>
    <t>33.</t>
  </si>
  <si>
    <t>Sporto centras</t>
  </si>
  <si>
    <t>34.</t>
  </si>
  <si>
    <t>Kretingalės kultūros centras</t>
  </si>
  <si>
    <t>35.</t>
  </si>
  <si>
    <t>36.</t>
  </si>
  <si>
    <t>Veiviržėnų kultūros centras</t>
  </si>
  <si>
    <t>37.</t>
  </si>
  <si>
    <t>Vėžaičių kultūros centras</t>
  </si>
  <si>
    <t>39.</t>
  </si>
  <si>
    <t>Viliaus Gaigalaičio globos namai</t>
  </si>
  <si>
    <t>Klaipėdos rajono savivaldybės administracija</t>
  </si>
  <si>
    <t>Dituvos Aleksandro Teodoro Kuršaičio pagrindinė mokykla</t>
  </si>
  <si>
    <t>38.</t>
  </si>
  <si>
    <t>1.1.1.</t>
  </si>
  <si>
    <t>1.1.2.</t>
  </si>
  <si>
    <t xml:space="preserve">Asignavimų valdytojo pavadinimas, programos numeris ir pavadinimas </t>
  </si>
  <si>
    <t>Funkcinės klasifikacijos kodas</t>
  </si>
  <si>
    <t>Gargždų ,,Vaivorykštės" gimnazija</t>
  </si>
  <si>
    <t>Iš jų:</t>
  </si>
  <si>
    <t>1. Žinių visuomenės plėtros programa</t>
  </si>
  <si>
    <t>09.</t>
  </si>
  <si>
    <t>Iš jos: savivaldybės lėšos (SB)</t>
  </si>
  <si>
    <t>speciali tikslinė dotacija mokymo reikmėms finansuoti (ML)</t>
  </si>
  <si>
    <t>1.1.3.</t>
  </si>
  <si>
    <t>lėšos už paslaugas ir nuomą (S)</t>
  </si>
  <si>
    <t xml:space="preserve">Priekulės Ievos Simonaitytės gimnazija </t>
  </si>
  <si>
    <t>2.1.1.</t>
  </si>
  <si>
    <t>2.1.2.</t>
  </si>
  <si>
    <t>2.1.3.</t>
  </si>
  <si>
    <t>klasių, skirtų mokiniams, turintiems specialiųjų ugdymosi poreikių, ūkio lėšos (VBD)</t>
  </si>
  <si>
    <t>2.1.4.</t>
  </si>
  <si>
    <t>3.1.</t>
  </si>
  <si>
    <t>3.1.1.</t>
  </si>
  <si>
    <t>3.1.2.</t>
  </si>
  <si>
    <t>3.1.3.</t>
  </si>
  <si>
    <t>6. Susisiekimo ir inžinerinės infrastruktūros plėtros programa</t>
  </si>
  <si>
    <t>06.</t>
  </si>
  <si>
    <t>4.1.</t>
  </si>
  <si>
    <t>4.1.1.</t>
  </si>
  <si>
    <t>4.1.2.</t>
  </si>
  <si>
    <t>4.1.3.</t>
  </si>
  <si>
    <t>Gargždų ,,Kranto" progimnazija</t>
  </si>
  <si>
    <t>5.1.</t>
  </si>
  <si>
    <t>5.1.1.</t>
  </si>
  <si>
    <t>5.1.2.</t>
  </si>
  <si>
    <t>5.1.3.</t>
  </si>
  <si>
    <t>5.1.4.</t>
  </si>
  <si>
    <t>Gargždų ,,Minijos" progimnazija</t>
  </si>
  <si>
    <t>6.1.</t>
  </si>
  <si>
    <t>6.1.1.</t>
  </si>
  <si>
    <t>6.1.2.</t>
  </si>
  <si>
    <t>6.1.3.</t>
  </si>
  <si>
    <t>Agluonėnų mokykla-darželis</t>
  </si>
  <si>
    <t>7.1.</t>
  </si>
  <si>
    <t>7.1.1.</t>
  </si>
  <si>
    <t>7.1.2.</t>
  </si>
  <si>
    <t>7.1.3.</t>
  </si>
  <si>
    <t>8.1.</t>
  </si>
  <si>
    <t>8.1.1.</t>
  </si>
  <si>
    <t>8.1.2.</t>
  </si>
  <si>
    <t>8.1.3.</t>
  </si>
  <si>
    <t>Dovilų pagrindinė mokykla</t>
  </si>
  <si>
    <t>9.1.</t>
  </si>
  <si>
    <t>9.1.1.</t>
  </si>
  <si>
    <t>9.1.2.</t>
  </si>
  <si>
    <t>9.1.3.</t>
  </si>
  <si>
    <t>Ketvergių pagrindinė mokykla</t>
  </si>
  <si>
    <t>10.1</t>
  </si>
  <si>
    <t>10.1.1.</t>
  </si>
  <si>
    <t>10.1.2.</t>
  </si>
  <si>
    <t>10.1.3.</t>
  </si>
  <si>
    <t>Kretingalės pagrindinė mokykla</t>
  </si>
  <si>
    <t>11.1.</t>
  </si>
  <si>
    <t>11.1.1.</t>
  </si>
  <si>
    <t>11.1.2.</t>
  </si>
  <si>
    <t>11.1.3.</t>
  </si>
  <si>
    <t>Plikių Ievos Labutytės pagrindinė mokykla</t>
  </si>
  <si>
    <t>12.1.</t>
  </si>
  <si>
    <t>12.1.1.</t>
  </si>
  <si>
    <t>12.1.2.</t>
  </si>
  <si>
    <t>12.1.3.</t>
  </si>
  <si>
    <t>13.1.</t>
  </si>
  <si>
    <t>13.1.1.</t>
  </si>
  <si>
    <t>13.1.2.</t>
  </si>
  <si>
    <t>13.1.3.</t>
  </si>
  <si>
    <t>Slengių mokykla-daugiafunkcis centras</t>
  </si>
  <si>
    <t>14.1.1.</t>
  </si>
  <si>
    <t>14.1.2.</t>
  </si>
  <si>
    <t>14.1.3.</t>
  </si>
  <si>
    <t>15.1.</t>
  </si>
  <si>
    <t>15.1.1.</t>
  </si>
  <si>
    <t>15.1.2.</t>
  </si>
  <si>
    <t>16.1.1.</t>
  </si>
  <si>
    <t>16.1.2.</t>
  </si>
  <si>
    <t>16.1.3.</t>
  </si>
  <si>
    <t>17.1.</t>
  </si>
  <si>
    <t>17.1.1.</t>
  </si>
  <si>
    <t>17.1.2.</t>
  </si>
  <si>
    <t>17.1.3.</t>
  </si>
  <si>
    <t>18.1.1.</t>
  </si>
  <si>
    <t>18.1.2.</t>
  </si>
  <si>
    <t>18.1.3.</t>
  </si>
  <si>
    <t>Priekulės vaikų lopšelis-darželis</t>
  </si>
  <si>
    <t>19.1.</t>
  </si>
  <si>
    <t>19.1.1.</t>
  </si>
  <si>
    <t>19.1.2.</t>
  </si>
  <si>
    <t>19.1.3.</t>
  </si>
  <si>
    <t>Gargždų muzikos mokykla</t>
  </si>
  <si>
    <t>20.1.</t>
  </si>
  <si>
    <t>20.1.1.</t>
  </si>
  <si>
    <t>20.1.2.</t>
  </si>
  <si>
    <t>20.1.3.</t>
  </si>
  <si>
    <t>21.1.1.</t>
  </si>
  <si>
    <t>21.1.2.</t>
  </si>
  <si>
    <t>21.1.3.</t>
  </si>
  <si>
    <t>22.1.</t>
  </si>
  <si>
    <t>22.1.1.</t>
  </si>
  <si>
    <t>22.1.3.</t>
  </si>
  <si>
    <t>4. Sveikatos apsaugos programa</t>
  </si>
  <si>
    <t>07.</t>
  </si>
  <si>
    <t>Iš jų: Aplinkos apsaugos rėmimo specialioji programa (AA)</t>
  </si>
  <si>
    <t>9. Savivaldybės valdymo ir pagrindinių funkcijų vykdymo programa</t>
  </si>
  <si>
    <t>01.</t>
  </si>
  <si>
    <t>Pedagoginė psichologinė tarnyba</t>
  </si>
  <si>
    <t>23.1.</t>
  </si>
  <si>
    <t>23.1.1.</t>
  </si>
  <si>
    <t>23.1.2.</t>
  </si>
  <si>
    <t>24.1.</t>
  </si>
  <si>
    <t>5. Socialinės apsaugos ir NVO politikos programa</t>
  </si>
  <si>
    <t>24.1.1.</t>
  </si>
  <si>
    <t>24.1.2.</t>
  </si>
  <si>
    <t>25.1.</t>
  </si>
  <si>
    <t>2. Ekonominio konkurencingumo didinimo programa</t>
  </si>
  <si>
    <t>04.</t>
  </si>
  <si>
    <t>25.1.1.</t>
  </si>
  <si>
    <t>25.1.2.</t>
  </si>
  <si>
    <t>Klaipėdos rajono savivaldybės visuomenės sveikatos biuras</t>
  </si>
  <si>
    <t>26.1.</t>
  </si>
  <si>
    <t>26.1.1.</t>
  </si>
  <si>
    <t>26.1.2.</t>
  </si>
  <si>
    <t>26.1.3.</t>
  </si>
  <si>
    <t xml:space="preserve"> Aplinkos apsaugos rėmimo specialioji programa (AA)</t>
  </si>
  <si>
    <t xml:space="preserve">Gargždų socialinių paslaugų centras </t>
  </si>
  <si>
    <t>27.1.</t>
  </si>
  <si>
    <t>27.1.1.</t>
  </si>
  <si>
    <t>27.1.2.</t>
  </si>
  <si>
    <t xml:space="preserve">Klaipėdos rajono paramos šeimai centras </t>
  </si>
  <si>
    <t>28.1.</t>
  </si>
  <si>
    <t>28.1.1.</t>
  </si>
  <si>
    <t>28.1.2.</t>
  </si>
  <si>
    <t>28.1.3.</t>
  </si>
  <si>
    <t xml:space="preserve">Priekulės socialinių paslaugų centras </t>
  </si>
  <si>
    <t>29.1.</t>
  </si>
  <si>
    <t>29.1.1.</t>
  </si>
  <si>
    <t>29.1.2.</t>
  </si>
  <si>
    <t>30.1.</t>
  </si>
  <si>
    <t>30.1.1.</t>
  </si>
  <si>
    <t>30.1.2.</t>
  </si>
  <si>
    <t>30.1.3.</t>
  </si>
  <si>
    <t>31.1.</t>
  </si>
  <si>
    <t>7. Kultūros paveldo puoselėjimo ir kultūros paslaugų plėtros programa</t>
  </si>
  <si>
    <t>08.</t>
  </si>
  <si>
    <t>31.1.1.</t>
  </si>
  <si>
    <t>31.1.2.</t>
  </si>
  <si>
    <t>31.1.3.</t>
  </si>
  <si>
    <t>32.1.</t>
  </si>
  <si>
    <t>32.1.1.</t>
  </si>
  <si>
    <t>32.1.2.</t>
  </si>
  <si>
    <t>32.1.3.</t>
  </si>
  <si>
    <t>Dotacija savivaldybėms iš Europos Sąjungos, kitos tarptautinės finansinės paramos ir bendrojo finansavimo lėšos (ES, VBES)</t>
  </si>
  <si>
    <t>33.1.</t>
  </si>
  <si>
    <t>33.1.1.</t>
  </si>
  <si>
    <t>33.1.2.</t>
  </si>
  <si>
    <t>34.1.</t>
  </si>
  <si>
    <t>34.1.1.</t>
  </si>
  <si>
    <t>34.1.2.</t>
  </si>
  <si>
    <t>35.1.</t>
  </si>
  <si>
    <t>35.1.1.</t>
  </si>
  <si>
    <t>35.1.2.</t>
  </si>
  <si>
    <t>36.1.</t>
  </si>
  <si>
    <t>36.1.1.</t>
  </si>
  <si>
    <t>36.1.2.</t>
  </si>
  <si>
    <t>37.1.</t>
  </si>
  <si>
    <t>37.1.1.</t>
  </si>
  <si>
    <t>37.1.2.</t>
  </si>
  <si>
    <t>38.1.</t>
  </si>
  <si>
    <t>38.1.1.</t>
  </si>
  <si>
    <t>38.1.2.</t>
  </si>
  <si>
    <t>39.1.</t>
  </si>
  <si>
    <t>8. Kūno kultūros ir sporto plėtros programa</t>
  </si>
  <si>
    <t>39.1.1.</t>
  </si>
  <si>
    <t>39.1.2.</t>
  </si>
  <si>
    <t>40.</t>
  </si>
  <si>
    <t>Klaipėdos r. sav. priešgaisrinė tarnyba</t>
  </si>
  <si>
    <t>40.1.</t>
  </si>
  <si>
    <t>03.</t>
  </si>
  <si>
    <t>40.1.1.</t>
  </si>
  <si>
    <t>40.1.2.</t>
  </si>
  <si>
    <t>valstybinei funkcijai (VBD)</t>
  </si>
  <si>
    <t>3. Aplinkos apsaugos programa</t>
  </si>
  <si>
    <t>05.</t>
  </si>
  <si>
    <t>41.</t>
  </si>
  <si>
    <t>Kontrolės ir audito tarnyba</t>
  </si>
  <si>
    <t>41.1.</t>
  </si>
  <si>
    <t>41.1.1.</t>
  </si>
  <si>
    <t>42.</t>
  </si>
  <si>
    <t>42.1.</t>
  </si>
  <si>
    <t>42.1.1.</t>
  </si>
  <si>
    <t>Dotacija savivaldybėms iš Europos Sąjungos, kitos tarptautinės finansinės paramos ir bendrojo finansavimo lėšos (ES, VBES))</t>
  </si>
  <si>
    <t>Dovilų seniūnija</t>
  </si>
  <si>
    <t>Iš jos:</t>
  </si>
  <si>
    <t>Aplinkos apsaugos rėmimo specialioji programa (AA)</t>
  </si>
  <si>
    <t>savivaldybės lėšos (SB)</t>
  </si>
  <si>
    <t>Agluonėnų seniūnija</t>
  </si>
  <si>
    <t>Dauparų-Kvietinių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</si>
  <si>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</si>
  <si>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</si>
  <si>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</si>
  <si>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</si>
  <si>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</si>
  <si>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</si>
  <si>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</si>
  <si>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</si>
  <si>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Komunalinių atliekų surinkimo ir tvarkymo priemonių finansavimas (GŠV)</t>
  </si>
  <si>
    <t>Iš jų: savivaldybės lėšos (SB)</t>
  </si>
  <si>
    <t>valstybės biudžeto dotacija vietinės reikšmės keliams (gatvėms) tiesti, taisyti, prižiūrėti ir saugaus eismo sąlygoms užtikrinti (KPPP)</t>
  </si>
  <si>
    <t>Savivaldybės taryba (SB)</t>
  </si>
  <si>
    <t>Savivaldybės administracija</t>
  </si>
  <si>
    <t>02.</t>
  </si>
  <si>
    <t>43.</t>
  </si>
  <si>
    <t>IŠ VISO:</t>
  </si>
  <si>
    <t>43.1.</t>
  </si>
  <si>
    <t>43.2.</t>
  </si>
  <si>
    <t>43.3.</t>
  </si>
  <si>
    <t>43.4.</t>
  </si>
  <si>
    <t>43.5.</t>
  </si>
  <si>
    <t>43.6.</t>
  </si>
  <si>
    <t>43.7.</t>
  </si>
  <si>
    <t>43.8.</t>
  </si>
  <si>
    <t>43.9.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</si>
  <si>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</si>
  <si>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</si>
  <si>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</si>
  <si>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</si>
  <si>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</si>
  <si>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</si>
  <si>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</si>
  <si>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</si>
  <si>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</si>
  <si>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4 priedas</t>
  </si>
  <si>
    <t>1.1.4.</t>
  </si>
  <si>
    <t>kita dotacija  (VBD)</t>
  </si>
  <si>
    <t>2.1.5.</t>
  </si>
  <si>
    <t>3.1.4.</t>
  </si>
  <si>
    <t>6.1.4.</t>
  </si>
  <si>
    <t>22.1.2.</t>
  </si>
  <si>
    <t>skolintos lėšos (SL)</t>
  </si>
  <si>
    <t>Vietinės rinkliavos už komunalinių atliekų surinkimą iš atliekų turėtojų ir atliekų tvarkymą likutis (LGŠV)</t>
  </si>
  <si>
    <t>Aplinkos apsaugos rėmimo specialiosios programos lėšų likutis (LA)</t>
  </si>
  <si>
    <t>Socialinio būsto nuomos pajamų likutis (LS)</t>
  </si>
  <si>
    <t>infrastruktūros plėtros įmokų likutis (LS)</t>
  </si>
  <si>
    <t>biudžeto lėšų likutis (LK)</t>
  </si>
  <si>
    <t>Savivaldybės mero rezervas (SB)</t>
  </si>
  <si>
    <t>Paskolų ir palūkanų grąžinimas (SB)</t>
  </si>
  <si>
    <t>kitos dotacijos (VBD)</t>
  </si>
  <si>
    <t>pajamų už paslaugas ir nuomą likutis (LS)</t>
  </si>
  <si>
    <t>kita dotacija (VBD)</t>
  </si>
  <si>
    <t>27.1.3.</t>
  </si>
  <si>
    <t>29.1.3.</t>
  </si>
  <si>
    <t xml:space="preserve">                                                                         __________________________</t>
  </si>
  <si>
    <t>Dotacija savivaldybėms iš Europos Sąjungos, kitos tarpautinės finansinės paramos ir bendrojo finansavimo lėšos (ES, VBES)</t>
  </si>
  <si>
    <t>valstybės dotacija iš apskrities perduotai įstaigai finansuoti (VBD)</t>
  </si>
  <si>
    <t>2026 m.</t>
  </si>
  <si>
    <t>2027 m.</t>
  </si>
  <si>
    <t>gyventojų pajamų mokestis pagal Lietuvos Respublikos 2025-2027 metų biudžeto patvirtinimo įstatymą</t>
  </si>
  <si>
    <t>Sendvario ,,Saulės" mokykla</t>
  </si>
  <si>
    <t>23.1.3.</t>
  </si>
  <si>
    <t>23.2.</t>
  </si>
  <si>
    <t>23.2.1.</t>
  </si>
  <si>
    <t>23.3.</t>
  </si>
  <si>
    <t>23.3.1.</t>
  </si>
  <si>
    <t>27.1.4.</t>
  </si>
  <si>
    <t>27.1.5.</t>
  </si>
  <si>
    <t>29.1.4.</t>
  </si>
  <si>
    <t>31.1.4.</t>
  </si>
  <si>
    <t>32.2.</t>
  </si>
  <si>
    <t>32.2.1.</t>
  </si>
  <si>
    <t>41.1.2.</t>
  </si>
  <si>
    <t>41.2.</t>
  </si>
  <si>
    <t>41.2.1.</t>
  </si>
  <si>
    <t>41.1.3.</t>
  </si>
  <si>
    <t>43.1.1.</t>
  </si>
  <si>
    <t>43.1.2.</t>
  </si>
  <si>
    <t>43.1.3.</t>
  </si>
  <si>
    <t>43.1.4.</t>
  </si>
  <si>
    <t>43.1.5.</t>
  </si>
  <si>
    <t>43.2.1.</t>
  </si>
  <si>
    <t>43.2.1.1.</t>
  </si>
  <si>
    <t>43.2.1.2.</t>
  </si>
  <si>
    <t>43.2.2.</t>
  </si>
  <si>
    <t>43.2.3.</t>
  </si>
  <si>
    <t>43.2.3.1.</t>
  </si>
  <si>
    <t>43.3.1.</t>
  </si>
  <si>
    <t>43.3.2.</t>
  </si>
  <si>
    <t>43.3.2.1.</t>
  </si>
  <si>
    <t>43.3.2.2.</t>
  </si>
  <si>
    <t>43.3.2.3.</t>
  </si>
  <si>
    <t>43.3.2.4.</t>
  </si>
  <si>
    <t>43.3.2.5.</t>
  </si>
  <si>
    <t>43.3.2.6.</t>
  </si>
  <si>
    <t>43.3.2.7.</t>
  </si>
  <si>
    <t>43.3.2.8.</t>
  </si>
  <si>
    <t>43.3.2.9.</t>
  </si>
  <si>
    <t>43.3.2.10.</t>
  </si>
  <si>
    <t>43.3.2.11.</t>
  </si>
  <si>
    <t>43.3.3.</t>
  </si>
  <si>
    <t>43.3.3.1.</t>
  </si>
  <si>
    <t>43.3.4.</t>
  </si>
  <si>
    <t>43.3.5.</t>
  </si>
  <si>
    <t>43.2.1.3.</t>
  </si>
  <si>
    <t>43.2.4.</t>
  </si>
  <si>
    <t>skolintos lėšos prisidėjimui prie ES projektų (SL(ES))</t>
  </si>
  <si>
    <t>43.2.5.</t>
  </si>
  <si>
    <t>43.3.6.</t>
  </si>
  <si>
    <t>43.3.7.</t>
  </si>
  <si>
    <t>43.3.8.</t>
  </si>
  <si>
    <t>43.3.9.</t>
  </si>
  <si>
    <t>43.3.10.</t>
  </si>
  <si>
    <t>43.4.1.</t>
  </si>
  <si>
    <t>43.4.2.</t>
  </si>
  <si>
    <t>43.4.3.</t>
  </si>
  <si>
    <t>43.5.1.</t>
  </si>
  <si>
    <t>43.5.2.</t>
  </si>
  <si>
    <t>43.5.3.</t>
  </si>
  <si>
    <t>43.5.4.</t>
  </si>
  <si>
    <t>43.5.5.</t>
  </si>
  <si>
    <t>43.5.6.</t>
  </si>
  <si>
    <t>43.5.7.</t>
  </si>
  <si>
    <t>43.5.8.</t>
  </si>
  <si>
    <t>43.6.1.</t>
  </si>
  <si>
    <t>43.6.2.</t>
  </si>
  <si>
    <t>43.6.2.1.</t>
  </si>
  <si>
    <t>43.6.2.2.</t>
  </si>
  <si>
    <t>43.6.2.3.</t>
  </si>
  <si>
    <t>43.6.2.4.</t>
  </si>
  <si>
    <t>43.6.2.5.</t>
  </si>
  <si>
    <t>43.6.2.6.</t>
  </si>
  <si>
    <t>43.6.2.7.</t>
  </si>
  <si>
    <t>43.6.2.8.</t>
  </si>
  <si>
    <t>43.6.2.9.</t>
  </si>
  <si>
    <t>43.6.2.10.</t>
  </si>
  <si>
    <t>43.6.2.11.</t>
  </si>
  <si>
    <t>43.6.3.</t>
  </si>
  <si>
    <t>43.6.4.</t>
  </si>
  <si>
    <t>43.6.5.</t>
  </si>
  <si>
    <t>43.6.6.</t>
  </si>
  <si>
    <t>43.6.7.</t>
  </si>
  <si>
    <t>43.6.8.</t>
  </si>
  <si>
    <t>43.7.1.</t>
  </si>
  <si>
    <t>43.8.1.</t>
  </si>
  <si>
    <t>43.8.2.</t>
  </si>
  <si>
    <t>43.7.1.1.</t>
  </si>
  <si>
    <t>43.7.1.2.</t>
  </si>
  <si>
    <t>43.5.9.</t>
  </si>
  <si>
    <t>43.6.9.</t>
  </si>
  <si>
    <t>43.7.1.3.</t>
  </si>
  <si>
    <t>43.6.10.</t>
  </si>
  <si>
    <t>43.6.4.1.</t>
  </si>
  <si>
    <t>43.6.11.</t>
  </si>
  <si>
    <t>43.9.1.</t>
  </si>
  <si>
    <t>43.9.1.1.</t>
  </si>
  <si>
    <t>43.9.1.2.</t>
  </si>
  <si>
    <t>43.9.1.2.1.</t>
  </si>
  <si>
    <t>43.9.1.2.1.1.</t>
  </si>
  <si>
    <t>43.9.1.2.1.2.</t>
  </si>
  <si>
    <t>43.9.1.2.1.3.</t>
  </si>
  <si>
    <t>43.9.1.2.1.4.</t>
  </si>
  <si>
    <t>43.9.1.2.1.5.</t>
  </si>
  <si>
    <t>43.9.1.2.1.6.</t>
  </si>
  <si>
    <t>43.9.1.2.1.7.</t>
  </si>
  <si>
    <t>43.9.1.2.1.8.</t>
  </si>
  <si>
    <t>43.9.1.2.1.9.</t>
  </si>
  <si>
    <t>43.9.1.2.1.10.</t>
  </si>
  <si>
    <t>43.9.1.2.1.11.</t>
  </si>
  <si>
    <t>43.9.1.2.2.</t>
  </si>
  <si>
    <t>43.9.1.2.2.1.</t>
  </si>
  <si>
    <t>43.9.1.2.2.2.</t>
  </si>
  <si>
    <t>43.9.1.2.2.3.</t>
  </si>
  <si>
    <t>43.9.1.2.2.4.</t>
  </si>
  <si>
    <t>43.9.1.2.2.5.</t>
  </si>
  <si>
    <t>43.9.1.2.2.6.</t>
  </si>
  <si>
    <t>43.9.1.2.2.7.</t>
  </si>
  <si>
    <t>43.9.1.2.2.8.</t>
  </si>
  <si>
    <t>43.9.1.2.3.</t>
  </si>
  <si>
    <t>43.9.1.2.3.1.</t>
  </si>
  <si>
    <t>43.9.1.2.3.3.</t>
  </si>
  <si>
    <t>43.9.1.2.4.</t>
  </si>
  <si>
    <t>43.9.2.</t>
  </si>
  <si>
    <t>43.9.2.1.</t>
  </si>
  <si>
    <t>43.9.2.2.</t>
  </si>
  <si>
    <t>43.9.3.</t>
  </si>
  <si>
    <t>43.9.4.</t>
  </si>
  <si>
    <t>43.9.4.1.</t>
  </si>
  <si>
    <t>43.9.4.2.</t>
  </si>
  <si>
    <t>43.9.4.2.1.</t>
  </si>
  <si>
    <t>43.9.4.2.3.</t>
  </si>
  <si>
    <t>43.9.4.2.4.</t>
  </si>
  <si>
    <t>43.9.4.2.5.</t>
  </si>
  <si>
    <t>43.9.4.2.6.</t>
  </si>
  <si>
    <t>43.9.4.2.7.</t>
  </si>
  <si>
    <t>43.9.4.3.</t>
  </si>
  <si>
    <t>43.9.5.</t>
  </si>
  <si>
    <t>43.9.6.</t>
  </si>
  <si>
    <t>43.9.7.</t>
  </si>
  <si>
    <t>43.9.9.</t>
  </si>
  <si>
    <t>43.9.9.1.</t>
  </si>
  <si>
    <t>43.9.9.2.</t>
  </si>
  <si>
    <t>43.9.10.</t>
  </si>
  <si>
    <t>43.9.4.2.2.</t>
  </si>
  <si>
    <t>43.9.10.1.</t>
  </si>
  <si>
    <t>43.9.10.2.</t>
  </si>
  <si>
    <t>43.9.10.3.</t>
  </si>
  <si>
    <t>43.9.11.</t>
  </si>
  <si>
    <t>43.9.12.</t>
  </si>
  <si>
    <t>44.1.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</si>
  <si>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</si>
  <si>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</si>
  <si>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</si>
  <si>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</si>
  <si>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</si>
  <si>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</si>
  <si>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</si>
  <si>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</si>
  <si>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</si>
  <si>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>44.11.</t>
  </si>
  <si>
    <t>44.12.</t>
  </si>
  <si>
    <t>44.13.</t>
  </si>
  <si>
    <t>44.14.</t>
  </si>
  <si>
    <t>44.15.</t>
  </si>
  <si>
    <t>44.16.</t>
  </si>
  <si>
    <t>44.17.</t>
  </si>
  <si>
    <t>44.18.</t>
  </si>
  <si>
    <t>44.19.</t>
  </si>
  <si>
    <t>53.</t>
  </si>
  <si>
    <t>pajamų už parduotą žemę likutis (LŽ)</t>
  </si>
  <si>
    <t>43.9.1.2.5.</t>
  </si>
  <si>
    <t>pajamos už parduotą žemę (Ž)</t>
  </si>
  <si>
    <t>Dotacija savivaldybėms iš Europos Sąjungos, kitos tarptautinės finansinės paramos ir bendrojo finansavimo lėšos (ES,VBES)</t>
  </si>
  <si>
    <t>27.2.</t>
  </si>
  <si>
    <t>27.2.1.</t>
  </si>
  <si>
    <t>43.1.6.</t>
  </si>
  <si>
    <t>43.7.2.</t>
  </si>
  <si>
    <t>43.7.3.</t>
  </si>
  <si>
    <t>43.9.1.2.6.</t>
  </si>
  <si>
    <t>43.2.3.2.</t>
  </si>
  <si>
    <t>Priekulės meno ir kultūros centras</t>
  </si>
  <si>
    <t xml:space="preserve">                                                       ________________________________</t>
  </si>
  <si>
    <t>Klaipėdos rajono etninės kultūros centras</t>
  </si>
  <si>
    <t>43.6.12.</t>
  </si>
  <si>
    <t>43.9.1.2.3.2.</t>
  </si>
  <si>
    <t>22.2.</t>
  </si>
  <si>
    <t>22.2.1.</t>
  </si>
  <si>
    <t>43.2.1.4.</t>
  </si>
  <si>
    <t>43.1.7.</t>
  </si>
  <si>
    <t>3 priedas</t>
  </si>
  <si>
    <t>Įstaigos pavadinimas</t>
  </si>
  <si>
    <t>Iš viso:</t>
  </si>
  <si>
    <t>Įmokos už išlaikymą švietimo, socialinės apsaugos ir kitose įstaigose</t>
  </si>
  <si>
    <t>Pajamos už socialinio būsto nuomą</t>
  </si>
  <si>
    <t>Gargždų ,,Vaivorykštės"  gimnazija</t>
  </si>
  <si>
    <t>Priekulės Ievos Simonaitytės  gimnazija</t>
  </si>
  <si>
    <t>Gargždų ,,Minijos"  progimnazija</t>
  </si>
  <si>
    <t>Gargždų ,,Kranto"  progimnazija</t>
  </si>
  <si>
    <t>Agluonėnų  mokykla-darželis</t>
  </si>
  <si>
    <t>Dovilų  pagrindinė mokykla</t>
  </si>
  <si>
    <t>Ketvergių  pagrindinė mokykla</t>
  </si>
  <si>
    <t>Kretingalės  pagrindinė mokykla</t>
  </si>
  <si>
    <t>Plikių Ievos Labutytės  pagrindinė mokykla</t>
  </si>
  <si>
    <t>Priekulės lopšelis-darželis</t>
  </si>
  <si>
    <t>Gargždų  muzikos  mokykla</t>
  </si>
  <si>
    <t>Gargždų socialinių paslaugų centras</t>
  </si>
  <si>
    <t>Priekulės socialinių paslaugų centras</t>
  </si>
  <si>
    <t>Klaipėdos r. sav. visuomenės sveikatos biuras</t>
  </si>
  <si>
    <t>Klaipėdos rajono paramos šeimai centras</t>
  </si>
  <si>
    <t>Priešgaisrinė tarnyba</t>
  </si>
  <si>
    <t>IŠ VISO PAJAMŲ:</t>
  </si>
  <si>
    <t>43.6.13.</t>
  </si>
  <si>
    <t>43.6.1.1.</t>
  </si>
  <si>
    <t>43.6.1.2.</t>
  </si>
  <si>
    <t>43.2.1.5.</t>
  </si>
  <si>
    <t>43.7.1.4.</t>
  </si>
  <si>
    <t>43.6.1.3.</t>
  </si>
  <si>
    <t>15.1.3.</t>
  </si>
  <si>
    <t>43.6.1.4.</t>
  </si>
  <si>
    <t>2 priedas</t>
  </si>
  <si>
    <t>SAVIVALDYBĖS BIUDŽETO LĖŠŲ LIKUČIAI IR SKOLINTOS LĖŠOS</t>
  </si>
  <si>
    <t>Lėšų pavadinimas</t>
  </si>
  <si>
    <t xml:space="preserve">2026 m. </t>
  </si>
  <si>
    <t>Lėšų likučiai:</t>
  </si>
  <si>
    <t>1.2.</t>
  </si>
  <si>
    <t xml:space="preserve">Aplinkos apsaugos rėmimo specialiosios programos lėšų likutis </t>
  </si>
  <si>
    <t>1.3.</t>
  </si>
  <si>
    <t>Pajamų už paslaugas ir nuomą likutis, iš jų:</t>
  </si>
  <si>
    <t>1.3.1.</t>
  </si>
  <si>
    <t xml:space="preserve">Infrastruktūros plėtros įmokos </t>
  </si>
  <si>
    <t>1.3.2.</t>
  </si>
  <si>
    <t>Socialinio būsto nuomos pajamos</t>
  </si>
  <si>
    <t>1.4.</t>
  </si>
  <si>
    <t>Vietinės rinkliavos už komunalinių atliekų surinkimą iš atliekų turėtojų ir atliekų tvarkymą likutis</t>
  </si>
  <si>
    <t>1.5.</t>
  </si>
  <si>
    <t>Pajamų už parduotą žemę likutis</t>
  </si>
  <si>
    <t>Skolintos lėšos:</t>
  </si>
  <si>
    <t>Skolintos lėšos (SL)</t>
  </si>
  <si>
    <t>Skolintos lėšos prisidėjimui prie ES projektų (SL(ES))</t>
  </si>
  <si>
    <t>2026 m. sausio 29 d. sprendimo Nr. T11-</t>
  </si>
  <si>
    <t>2026-2028 METŲ SAVIVALDYBĖS BIUDŽETO PAJAMOS</t>
  </si>
  <si>
    <t>2028 m.</t>
  </si>
  <si>
    <t>Savivaldybės biudžeto lėšų likutis</t>
  </si>
  <si>
    <t xml:space="preserve">2026 METŲ  PAJAMŲ ĮMOKOS Į SAVIVALDYBĖS BIUDŽETĄ </t>
  </si>
  <si>
    <t>Klaipėdos r. Sendvario ,,Saulės" mokykla</t>
  </si>
  <si>
    <t>15.1.4.</t>
  </si>
  <si>
    <t>40.1.3</t>
  </si>
  <si>
    <t>40.2</t>
  </si>
  <si>
    <t>40.2.1</t>
  </si>
  <si>
    <t>43.2.6.</t>
  </si>
  <si>
    <t>43.3.9.1.</t>
  </si>
  <si>
    <t>43.3.9.2.</t>
  </si>
  <si>
    <t>43.3.9.3.</t>
  </si>
  <si>
    <t>43.3.9.4.</t>
  </si>
  <si>
    <t>43.3.9.5.</t>
  </si>
  <si>
    <t>43.3.9.6.</t>
  </si>
  <si>
    <t>43.3.9.7.</t>
  </si>
  <si>
    <t>43.4.4.</t>
  </si>
  <si>
    <t>43.4.5.</t>
  </si>
  <si>
    <t>43.5.10.</t>
  </si>
  <si>
    <t>43.5.11.</t>
  </si>
  <si>
    <t>43.6.1.5.</t>
  </si>
  <si>
    <t>43.6.1.6.</t>
  </si>
  <si>
    <t>43.6.1.7.</t>
  </si>
  <si>
    <t>43.6.1.8.</t>
  </si>
  <si>
    <t>43.6.1.9.</t>
  </si>
  <si>
    <t>43.6.1.10.</t>
  </si>
  <si>
    <t>43.6.1.11.</t>
  </si>
  <si>
    <t>43.6.14.</t>
  </si>
  <si>
    <t>43.6.15.</t>
  </si>
  <si>
    <t>43.7.4.</t>
  </si>
  <si>
    <t xml:space="preserve"> valstybinėms funkcijoms (VBD(T))</t>
  </si>
  <si>
    <t>valstybinei funkcijai (VBD(T))</t>
  </si>
  <si>
    <t xml:space="preserve">  valstybinėms funkcijoms (VBD(T))</t>
  </si>
  <si>
    <t>2026-2028 METŲ SAVIVALDYBĖS BIUDŽETO ASIGNAVIMAI</t>
  </si>
  <si>
    <t>43.9.8.</t>
  </si>
  <si>
    <t>43.9.8.1.</t>
  </si>
  <si>
    <t>43.9.8.2.</t>
  </si>
  <si>
    <t>43.9.8.3.</t>
  </si>
  <si>
    <t>43.9.8.4.</t>
  </si>
  <si>
    <t xml:space="preserve">2027 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</si>
</sst>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3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name val="Arial"/>
      <family val="2"/>
      <charset val="186"/>
    </font>
    <font>
      <sz val="12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204"/>
    </font>
    <font>
      <sz val="9"/>
      <name val="Arial"/>
      <family val="2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name val="Arial"/>
      <family val="2"/>
      <charset val="186"/>
    </font>
    <font>
      <sz val="12"/>
      <color rgb="FF444444"/>
      <name val="Arial"/>
      <family val="2"/>
      <charset val="186"/>
    </font>
    <font>
      <sz val="9"/>
      <color theme="1"/>
      <name val="Arial"/>
      <family val="2"/>
      <charset val="186"/>
    </font>
    <font>
      <i/>
      <sz val="12"/>
      <name val="Arial"/>
      <family val="2"/>
      <charset val="186"/>
    </font>
    <font>
      <b/>
      <i/>
      <sz val="12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sz val="12"/>
      <name val="Arial"/>
    </font>
    <font>
      <sz val="10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b/>
      <sz val="9"/>
      <name val="Arial"/>
      <family val="2"/>
      <charset val="186"/>
    </font>
    <font>
      <sz val="12"/>
      <color rgb="FF000000"/>
      <name val="Arial"/>
      <family val="2"/>
      <charset val="186"/>
    </font>
    <font>
      <sz val="9"/>
      <color theme="1"/>
      <name val="Arial"/>
    </font>
    <font>
      <i/>
      <sz val="12"/>
      <name val="Arial"/>
    </font>
    <font>
      <i/>
      <sz val="9"/>
      <name val="Arial"/>
      <family val="2"/>
      <charset val="186"/>
    </font>
    <font>
      <i/>
      <sz val="9"/>
      <name val="Arial"/>
      <family val="2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rgb="FF000000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/>
      <diagonal/>
    </border>
    <border>
      <left style="thin">
        <color indexed="64"/>
      </left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dotted">
        <color rgb="FF000000"/>
      </top>
      <bottom/>
      <diagonal/>
    </border>
    <border>
      <left style="dotted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thin">
        <color indexed="64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tted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48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3" fillId="0" borderId="0" xfId="0" applyFont="1" applyAlignment="1">
      <alignment horizontal="center"/>
    </xf>
    <xf numFmtId="0" fontId="3" fillId="2" borderId="0" xfId="0" applyFont="1" applyFill="1"/>
    <xf numFmtId="164" fontId="3" fillId="0" borderId="0" xfId="0" applyNumberFormat="1" applyFont="1"/>
    <xf numFmtId="0" fontId="0" fillId="2" borderId="0" xfId="0" applyFill="1"/>
    <xf numFmtId="165" fontId="0" fillId="0" borderId="0" xfId="0" applyNumberForma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right"/>
    </xf>
    <xf numFmtId="0" fontId="10" fillId="0" borderId="1" xfId="0" applyFont="1" applyBorder="1" applyAlignment="1">
      <alignment wrapText="1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/>
    <xf numFmtId="0" fontId="10" fillId="0" borderId="21" xfId="0" applyFont="1" applyBorder="1"/>
    <xf numFmtId="0" fontId="10" fillId="0" borderId="24" xfId="0" applyFont="1" applyBorder="1"/>
    <xf numFmtId="0" fontId="10" fillId="0" borderId="22" xfId="0" applyFont="1" applyBorder="1"/>
    <xf numFmtId="0" fontId="11" fillId="0" borderId="24" xfId="0" applyFont="1" applyBorder="1" applyAlignment="1">
      <alignment vertical="center"/>
    </xf>
    <xf numFmtId="0" fontId="11" fillId="0" borderId="22" xfId="0" applyFont="1" applyBorder="1" applyAlignment="1">
      <alignment horizontal="left" wrapText="1"/>
    </xf>
    <xf numFmtId="165" fontId="11" fillId="0" borderId="24" xfId="0" applyNumberFormat="1" applyFont="1" applyBorder="1"/>
    <xf numFmtId="0" fontId="11" fillId="0" borderId="24" xfId="0" applyFont="1" applyBorder="1"/>
    <xf numFmtId="0" fontId="11" fillId="0" borderId="22" xfId="0" applyFont="1" applyBorder="1" applyAlignment="1">
      <alignment wrapText="1"/>
    </xf>
    <xf numFmtId="0" fontId="11" fillId="0" borderId="22" xfId="0" applyFont="1" applyBorder="1"/>
    <xf numFmtId="0" fontId="10" fillId="0" borderId="22" xfId="0" applyFont="1" applyBorder="1" applyAlignment="1">
      <alignment wrapText="1"/>
    </xf>
    <xf numFmtId="0" fontId="10" fillId="0" borderId="25" xfId="0" applyFont="1" applyBorder="1" applyAlignment="1">
      <alignment vertical="center"/>
    </xf>
    <xf numFmtId="0" fontId="10" fillId="0" borderId="23" xfId="0" applyFont="1" applyBorder="1" applyAlignment="1">
      <alignment wrapText="1"/>
    </xf>
    <xf numFmtId="0" fontId="10" fillId="0" borderId="1" xfId="0" applyFont="1" applyBorder="1"/>
    <xf numFmtId="0" fontId="10" fillId="0" borderId="6" xfId="0" applyFont="1" applyBorder="1"/>
    <xf numFmtId="164" fontId="10" fillId="0" borderId="19" xfId="0" applyNumberFormat="1" applyFont="1" applyBorder="1"/>
    <xf numFmtId="165" fontId="11" fillId="0" borderId="5" xfId="0" applyNumberFormat="1" applyFont="1" applyBorder="1"/>
    <xf numFmtId="0" fontId="1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13" fillId="2" borderId="0" xfId="0" applyFont="1" applyFill="1"/>
    <xf numFmtId="164" fontId="10" fillId="2" borderId="24" xfId="0" applyNumberFormat="1" applyFont="1" applyFill="1" applyBorder="1"/>
    <xf numFmtId="166" fontId="4" fillId="2" borderId="32" xfId="0" applyNumberFormat="1" applyFont="1" applyFill="1" applyBorder="1"/>
    <xf numFmtId="166" fontId="4" fillId="2" borderId="5" xfId="0" applyNumberFormat="1" applyFont="1" applyFill="1" applyBorder="1"/>
    <xf numFmtId="166" fontId="16" fillId="2" borderId="5" xfId="0" applyNumberFormat="1" applyFont="1" applyFill="1" applyBorder="1"/>
    <xf numFmtId="166" fontId="13" fillId="2" borderId="5" xfId="0" applyNumberFormat="1" applyFont="1" applyFill="1" applyBorder="1"/>
    <xf numFmtId="164" fontId="11" fillId="2" borderId="5" xfId="0" applyNumberFormat="1" applyFont="1" applyFill="1" applyBorder="1"/>
    <xf numFmtId="166" fontId="16" fillId="2" borderId="32" xfId="0" applyNumberFormat="1" applyFont="1" applyFill="1" applyBorder="1"/>
    <xf numFmtId="164" fontId="11" fillId="2" borderId="24" xfId="0" applyNumberFormat="1" applyFont="1" applyFill="1" applyBorder="1"/>
    <xf numFmtId="0" fontId="19" fillId="2" borderId="0" xfId="0" applyFont="1" applyFill="1" applyAlignment="1">
      <alignment wrapText="1"/>
    </xf>
    <xf numFmtId="0" fontId="4" fillId="2" borderId="4" xfId="0" applyFont="1" applyFill="1" applyBorder="1"/>
    <xf numFmtId="0" fontId="11" fillId="2" borderId="1" xfId="0" applyFont="1" applyFill="1" applyBorder="1" applyAlignment="1">
      <alignment vertical="center" wrapText="1" shrinkToFit="1"/>
    </xf>
    <xf numFmtId="0" fontId="11" fillId="2" borderId="1" xfId="0" applyFont="1" applyFill="1" applyBorder="1" applyAlignment="1">
      <alignment horizontal="center" vertical="center" shrinkToFit="1"/>
    </xf>
    <xf numFmtId="0" fontId="4" fillId="2" borderId="53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0" borderId="1" xfId="0" applyFont="1" applyBorder="1"/>
    <xf numFmtId="165" fontId="4" fillId="2" borderId="1" xfId="1" applyNumberFormat="1" applyFont="1" applyFill="1" applyBorder="1"/>
    <xf numFmtId="164" fontId="11" fillId="2" borderId="1" xfId="0" applyNumberFormat="1" applyFont="1" applyFill="1" applyBorder="1"/>
    <xf numFmtId="165" fontId="11" fillId="2" borderId="1" xfId="0" applyNumberFormat="1" applyFont="1" applyFill="1" applyBorder="1"/>
    <xf numFmtId="0" fontId="4" fillId="0" borderId="1" xfId="0" applyFont="1" applyBorder="1"/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wrapText="1"/>
    </xf>
    <xf numFmtId="0" fontId="11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165" fontId="4" fillId="2" borderId="1" xfId="1" applyNumberFormat="1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4" fillId="0" borderId="1" xfId="1" applyFont="1" applyBorder="1"/>
    <xf numFmtId="165" fontId="4" fillId="0" borderId="1" xfId="1" applyNumberFormat="1" applyFont="1" applyBorder="1"/>
    <xf numFmtId="0" fontId="4" fillId="2" borderId="1" xfId="1" applyFont="1" applyFill="1" applyBorder="1"/>
    <xf numFmtId="0" fontId="4" fillId="2" borderId="1" xfId="1" applyFont="1" applyFill="1" applyBorder="1" applyAlignment="1">
      <alignment wrapText="1"/>
    </xf>
    <xf numFmtId="0" fontId="4" fillId="0" borderId="1" xfId="1" applyFont="1" applyBorder="1" applyAlignment="1">
      <alignment wrapText="1"/>
    </xf>
    <xf numFmtId="0" fontId="4" fillId="2" borderId="1" xfId="0" applyFont="1" applyFill="1" applyBorder="1" applyAlignment="1">
      <alignment vertical="center"/>
    </xf>
    <xf numFmtId="165" fontId="4" fillId="0" borderId="1" xfId="1" applyNumberFormat="1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3" fillId="2" borderId="1" xfId="0" applyFont="1" applyFill="1" applyBorder="1"/>
    <xf numFmtId="164" fontId="10" fillId="2" borderId="1" xfId="0" applyNumberFormat="1" applyFont="1" applyFill="1" applyBorder="1"/>
    <xf numFmtId="0" fontId="3" fillId="0" borderId="8" xfId="0" applyFont="1" applyBorder="1"/>
    <xf numFmtId="0" fontId="0" fillId="0" borderId="4" xfId="0" applyBorder="1"/>
    <xf numFmtId="166" fontId="6" fillId="0" borderId="0" xfId="0" applyNumberFormat="1" applyFont="1"/>
    <xf numFmtId="165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13" fillId="0" borderId="1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57" xfId="0" applyFont="1" applyBorder="1"/>
    <xf numFmtId="0" fontId="11" fillId="0" borderId="58" xfId="0" applyFont="1" applyBorder="1"/>
    <xf numFmtId="0" fontId="0" fillId="0" borderId="3" xfId="0" applyBorder="1"/>
    <xf numFmtId="0" fontId="0" fillId="0" borderId="5" xfId="0" applyBorder="1"/>
    <xf numFmtId="0" fontId="13" fillId="0" borderId="24" xfId="0" applyFont="1" applyBorder="1"/>
    <xf numFmtId="0" fontId="13" fillId="0" borderId="22" xfId="0" applyFont="1" applyBorder="1"/>
    <xf numFmtId="165" fontId="13" fillId="0" borderId="24" xfId="0" applyNumberFormat="1" applyFont="1" applyBorder="1"/>
    <xf numFmtId="165" fontId="13" fillId="0" borderId="0" xfId="0" applyNumberFormat="1" applyFont="1"/>
    <xf numFmtId="0" fontId="4" fillId="0" borderId="24" xfId="0" applyFont="1" applyBorder="1" applyAlignment="1">
      <alignment horizontal="left"/>
    </xf>
    <xf numFmtId="0" fontId="4" fillId="0" borderId="59" xfId="0" applyFont="1" applyBorder="1"/>
    <xf numFmtId="165" fontId="11" fillId="0" borderId="0" xfId="0" applyNumberFormat="1" applyFont="1"/>
    <xf numFmtId="0" fontId="4" fillId="0" borderId="24" xfId="0" applyFont="1" applyBorder="1" applyAlignment="1">
      <alignment horizontal="left" vertical="center"/>
    </xf>
    <xf numFmtId="0" fontId="14" fillId="0" borderId="59" xfId="0" applyFont="1" applyBorder="1" applyAlignment="1">
      <alignment wrapText="1"/>
    </xf>
    <xf numFmtId="165" fontId="12" fillId="0" borderId="5" xfId="0" applyNumberFormat="1" applyFont="1" applyBorder="1"/>
    <xf numFmtId="166" fontId="0" fillId="0" borderId="0" xfId="0" applyNumberFormat="1"/>
    <xf numFmtId="165" fontId="12" fillId="0" borderId="24" xfId="0" applyNumberFormat="1" applyFont="1" applyBorder="1"/>
    <xf numFmtId="0" fontId="4" fillId="0" borderId="59" xfId="0" applyFont="1" applyBorder="1" applyAlignment="1">
      <alignment wrapText="1"/>
    </xf>
    <xf numFmtId="0" fontId="13" fillId="0" borderId="24" xfId="0" applyFont="1" applyBorder="1" applyAlignment="1">
      <alignment horizontal="left"/>
    </xf>
    <xf numFmtId="0" fontId="13" fillId="0" borderId="59" xfId="0" applyFont="1" applyBorder="1"/>
    <xf numFmtId="0" fontId="4" fillId="0" borderId="24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13" fillId="0" borderId="1" xfId="0" applyFont="1" applyBorder="1"/>
    <xf numFmtId="0" fontId="13" fillId="0" borderId="6" xfId="0" applyFont="1" applyBorder="1"/>
    <xf numFmtId="165" fontId="13" fillId="0" borderId="1" xfId="0" applyNumberFormat="1" applyFont="1" applyBorder="1"/>
    <xf numFmtId="0" fontId="1" fillId="0" borderId="0" xfId="0" applyFont="1"/>
    <xf numFmtId="164" fontId="11" fillId="0" borderId="24" xfId="0" applyNumberFormat="1" applyFont="1" applyBorder="1"/>
    <xf numFmtId="165" fontId="4" fillId="0" borderId="24" xfId="0" applyNumberFormat="1" applyFont="1" applyBorder="1"/>
    <xf numFmtId="165" fontId="4" fillId="0" borderId="5" xfId="0" applyNumberFormat="1" applyFont="1" applyBorder="1"/>
    <xf numFmtId="0" fontId="4" fillId="0" borderId="1" xfId="1" applyFont="1" applyBorder="1" applyAlignment="1">
      <alignment horizontal="right" vertical="center"/>
    </xf>
    <xf numFmtId="164" fontId="11" fillId="0" borderId="1" xfId="0" applyNumberFormat="1" applyFont="1" applyBorder="1"/>
    <xf numFmtId="165" fontId="11" fillId="0" borderId="1" xfId="0" applyNumberFormat="1" applyFont="1" applyBorder="1"/>
    <xf numFmtId="165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right"/>
    </xf>
    <xf numFmtId="0" fontId="4" fillId="0" borderId="1" xfId="1" applyFont="1" applyBorder="1" applyAlignment="1">
      <alignment horizontal="right" wrapText="1"/>
    </xf>
    <xf numFmtId="164" fontId="11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164" fontId="10" fillId="0" borderId="1" xfId="0" applyNumberFormat="1" applyFont="1" applyBorder="1"/>
    <xf numFmtId="166" fontId="13" fillId="0" borderId="3" xfId="0" applyNumberFormat="1" applyFont="1" applyBorder="1"/>
    <xf numFmtId="166" fontId="4" fillId="0" borderId="29" xfId="0" applyNumberFormat="1" applyFont="1" applyBorder="1"/>
    <xf numFmtId="166" fontId="16" fillId="0" borderId="32" xfId="0" applyNumberFormat="1" applyFont="1" applyBorder="1"/>
    <xf numFmtId="164" fontId="10" fillId="0" borderId="24" xfId="0" applyNumberFormat="1" applyFont="1" applyBorder="1"/>
    <xf numFmtId="167" fontId="10" fillId="0" borderId="24" xfId="0" applyNumberFormat="1" applyFont="1" applyBorder="1"/>
    <xf numFmtId="167" fontId="11" fillId="0" borderId="24" xfId="0" applyNumberFormat="1" applyFont="1" applyBorder="1"/>
    <xf numFmtId="167" fontId="10" fillId="0" borderId="1" xfId="0" applyNumberFormat="1" applyFont="1" applyBorder="1"/>
    <xf numFmtId="166" fontId="4" fillId="0" borderId="5" xfId="0" applyNumberFormat="1" applyFont="1" applyBorder="1"/>
    <xf numFmtId="166" fontId="4" fillId="0" borderId="32" xfId="0" applyNumberFormat="1" applyFont="1" applyBorder="1"/>
    <xf numFmtId="166" fontId="4" fillId="0" borderId="2" xfId="0" applyNumberFormat="1" applyFont="1" applyBorder="1"/>
    <xf numFmtId="166" fontId="13" fillId="0" borderId="5" xfId="0" applyNumberFormat="1" applyFont="1" applyBorder="1"/>
    <xf numFmtId="166" fontId="16" fillId="0" borderId="5" xfId="0" applyNumberFormat="1" applyFont="1" applyBorder="1"/>
    <xf numFmtId="166" fontId="4" fillId="0" borderId="34" xfId="0" applyNumberFormat="1" applyFont="1" applyBorder="1"/>
    <xf numFmtId="166" fontId="13" fillId="0" borderId="32" xfId="0" applyNumberFormat="1" applyFont="1" applyBorder="1"/>
    <xf numFmtId="166" fontId="4" fillId="0" borderId="10" xfId="0" applyNumberFormat="1" applyFont="1" applyBorder="1"/>
    <xf numFmtId="166" fontId="4" fillId="0" borderId="35" xfId="0" applyNumberFormat="1" applyFont="1" applyBorder="1"/>
    <xf numFmtId="166" fontId="4" fillId="0" borderId="18" xfId="0" applyNumberFormat="1" applyFont="1" applyBorder="1"/>
    <xf numFmtId="166" fontId="4" fillId="0" borderId="33" xfId="0" applyNumberFormat="1" applyFont="1" applyBorder="1"/>
    <xf numFmtId="166" fontId="4" fillId="0" borderId="39" xfId="0" applyNumberFormat="1" applyFont="1" applyBorder="1"/>
    <xf numFmtId="166" fontId="4" fillId="0" borderId="17" xfId="0" applyNumberFormat="1" applyFont="1" applyBorder="1"/>
    <xf numFmtId="166" fontId="13" fillId="0" borderId="49" xfId="0" applyNumberFormat="1" applyFont="1" applyBorder="1"/>
    <xf numFmtId="166" fontId="4" fillId="0" borderId="51" xfId="0" applyNumberFormat="1" applyFont="1" applyBorder="1"/>
    <xf numFmtId="164" fontId="11" fillId="0" borderId="22" xfId="0" applyNumberFormat="1" applyFont="1" applyBorder="1"/>
    <xf numFmtId="164" fontId="11" fillId="0" borderId="5" xfId="0" applyNumberFormat="1" applyFont="1" applyBorder="1"/>
    <xf numFmtId="164" fontId="11" fillId="0" borderId="16" xfId="0" applyNumberFormat="1" applyFont="1" applyBorder="1"/>
    <xf numFmtId="164" fontId="10" fillId="0" borderId="22" xfId="0" applyNumberFormat="1" applyFont="1" applyBorder="1"/>
    <xf numFmtId="165" fontId="11" fillId="0" borderId="2" xfId="0" applyNumberFormat="1" applyFont="1" applyBorder="1"/>
    <xf numFmtId="164" fontId="11" fillId="0" borderId="2" xfId="0" applyNumberFormat="1" applyFont="1" applyBorder="1"/>
    <xf numFmtId="164" fontId="11" fillId="0" borderId="26" xfId="0" applyNumberFormat="1" applyFont="1" applyBorder="1"/>
    <xf numFmtId="164" fontId="11" fillId="0" borderId="25" xfId="0" applyNumberFormat="1" applyFont="1" applyBorder="1"/>
    <xf numFmtId="166" fontId="0" fillId="2" borderId="0" xfId="0" applyNumberFormat="1" applyFill="1"/>
    <xf numFmtId="166" fontId="0" fillId="3" borderId="0" xfId="0" applyNumberFormat="1" applyFill="1" applyAlignment="1">
      <alignment horizontal="center"/>
    </xf>
    <xf numFmtId="166" fontId="11" fillId="0" borderId="0" xfId="0" applyNumberFormat="1" applyFont="1"/>
    <xf numFmtId="166" fontId="12" fillId="2" borderId="0" xfId="0" applyNumberFormat="1" applyFont="1" applyFill="1"/>
    <xf numFmtId="166" fontId="15" fillId="0" borderId="0" xfId="0" applyNumberFormat="1" applyFont="1"/>
    <xf numFmtId="166" fontId="4" fillId="2" borderId="0" xfId="0" applyNumberFormat="1" applyFont="1" applyFill="1" applyAlignment="1">
      <alignment horizontal="right"/>
    </xf>
    <xf numFmtId="166" fontId="3" fillId="2" borderId="0" xfId="0" applyNumberFormat="1" applyFont="1" applyFill="1"/>
    <xf numFmtId="166" fontId="7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20" fillId="0" borderId="0" xfId="0" applyNumberFormat="1" applyFont="1" applyAlignment="1">
      <alignment horizontal="right"/>
    </xf>
    <xf numFmtId="166" fontId="11" fillId="2" borderId="3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1" fontId="11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/>
    </xf>
    <xf numFmtId="1" fontId="11" fillId="2" borderId="20" xfId="0" applyNumberFormat="1" applyFont="1" applyFill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66" fontId="13" fillId="2" borderId="41" xfId="0" applyNumberFormat="1" applyFont="1" applyFill="1" applyBorder="1"/>
    <xf numFmtId="166" fontId="13" fillId="2" borderId="11" xfId="0" applyNumberFormat="1" applyFont="1" applyFill="1" applyBorder="1"/>
    <xf numFmtId="166" fontId="4" fillId="2" borderId="8" xfId="0" applyNumberFormat="1" applyFont="1" applyFill="1" applyBorder="1" applyAlignment="1">
      <alignment horizontal="center"/>
    </xf>
    <xf numFmtId="166" fontId="13" fillId="0" borderId="9" xfId="0" applyNumberFormat="1" applyFont="1" applyBorder="1"/>
    <xf numFmtId="9" fontId="22" fillId="0" borderId="0" xfId="0" applyNumberFormat="1" applyFont="1"/>
    <xf numFmtId="166" fontId="4" fillId="2" borderId="42" xfId="0" applyNumberFormat="1" applyFont="1" applyFill="1" applyBorder="1"/>
    <xf numFmtId="166" fontId="4" fillId="2" borderId="27" xfId="0" applyNumberFormat="1" applyFont="1" applyFill="1" applyBorder="1" applyAlignment="1">
      <alignment horizontal="center"/>
    </xf>
    <xf numFmtId="166" fontId="4" fillId="2" borderId="28" xfId="0" applyNumberFormat="1" applyFont="1" applyFill="1" applyBorder="1" applyAlignment="1">
      <alignment horizontal="center"/>
    </xf>
    <xf numFmtId="166" fontId="4" fillId="0" borderId="42" xfId="0" applyNumberFormat="1" applyFont="1" applyBorder="1"/>
    <xf numFmtId="166" fontId="4" fillId="2" borderId="33" xfId="0" applyNumberFormat="1" applyFont="1" applyFill="1" applyBorder="1"/>
    <xf numFmtId="166" fontId="16" fillId="2" borderId="30" xfId="0" applyNumberFormat="1" applyFont="1" applyFill="1" applyBorder="1"/>
    <xf numFmtId="166" fontId="16" fillId="2" borderId="31" xfId="0" applyNumberFormat="1" applyFont="1" applyFill="1" applyBorder="1" applyAlignment="1">
      <alignment horizontal="center"/>
    </xf>
    <xf numFmtId="166" fontId="16" fillId="0" borderId="33" xfId="0" applyNumberFormat="1" applyFont="1" applyBorder="1"/>
    <xf numFmtId="9" fontId="23" fillId="0" borderId="0" xfId="0" applyNumberFormat="1" applyFont="1"/>
    <xf numFmtId="166" fontId="4" fillId="2" borderId="10" xfId="0" applyNumberFormat="1" applyFont="1" applyFill="1" applyBorder="1"/>
    <xf numFmtId="166" fontId="4" fillId="2" borderId="13" xfId="0" applyNumberFormat="1" applyFont="1" applyFill="1" applyBorder="1" applyAlignment="1">
      <alignment horizontal="right"/>
    </xf>
    <xf numFmtId="166" fontId="16" fillId="2" borderId="0" xfId="0" applyNumberFormat="1" applyFont="1" applyFill="1" applyAlignment="1">
      <alignment horizontal="center"/>
    </xf>
    <xf numFmtId="166" fontId="4" fillId="0" borderId="16" xfId="0" applyNumberFormat="1" applyFont="1" applyBorder="1"/>
    <xf numFmtId="166" fontId="4" fillId="0" borderId="0" xfId="0" applyNumberFormat="1" applyFont="1"/>
    <xf numFmtId="166" fontId="4" fillId="2" borderId="33" xfId="0" applyNumberFormat="1" applyFont="1" applyFill="1" applyBorder="1" applyAlignment="1">
      <alignment vertical="center"/>
    </xf>
    <xf numFmtId="166" fontId="4" fillId="2" borderId="30" xfId="0" applyNumberFormat="1" applyFont="1" applyFill="1" applyBorder="1" applyAlignment="1">
      <alignment horizontal="right" wrapText="1"/>
    </xf>
    <xf numFmtId="166" fontId="4" fillId="2" borderId="31" xfId="0" applyNumberFormat="1" applyFont="1" applyFill="1" applyBorder="1" applyAlignment="1">
      <alignment horizontal="center"/>
    </xf>
    <xf numFmtId="166" fontId="4" fillId="0" borderId="31" xfId="0" applyNumberFormat="1" applyFont="1" applyBorder="1"/>
    <xf numFmtId="166" fontId="4" fillId="2" borderId="33" xfId="0" applyNumberFormat="1" applyFont="1" applyFill="1" applyBorder="1" applyAlignment="1">
      <alignment horizontal="right" wrapText="1"/>
    </xf>
    <xf numFmtId="166" fontId="4" fillId="2" borderId="33" xfId="0" applyNumberFormat="1" applyFont="1" applyFill="1" applyBorder="1" applyAlignment="1">
      <alignment horizontal="center"/>
    </xf>
    <xf numFmtId="166" fontId="4" fillId="2" borderId="36" xfId="0" applyNumberFormat="1" applyFont="1" applyFill="1" applyBorder="1"/>
    <xf numFmtId="166" fontId="14" fillId="0" borderId="37" xfId="0" applyNumberFormat="1" applyFont="1" applyBorder="1" applyAlignment="1">
      <alignment horizontal="right"/>
    </xf>
    <xf numFmtId="166" fontId="4" fillId="2" borderId="37" xfId="0" applyNumberFormat="1" applyFont="1" applyFill="1" applyBorder="1" applyAlignment="1">
      <alignment horizontal="center"/>
    </xf>
    <xf numFmtId="166" fontId="13" fillId="2" borderId="10" xfId="0" applyNumberFormat="1" applyFont="1" applyFill="1" applyBorder="1"/>
    <xf numFmtId="166" fontId="4" fillId="2" borderId="0" xfId="0" applyNumberFormat="1" applyFont="1" applyFill="1" applyAlignment="1">
      <alignment horizontal="center"/>
    </xf>
    <xf numFmtId="166" fontId="13" fillId="0" borderId="10" xfId="0" applyNumberFormat="1" applyFont="1" applyBorder="1"/>
    <xf numFmtId="166" fontId="4" fillId="2" borderId="32" xfId="0" applyNumberFormat="1" applyFont="1" applyFill="1" applyBorder="1" applyAlignment="1">
      <alignment horizontal="center"/>
    </xf>
    <xf numFmtId="166" fontId="13" fillId="0" borderId="33" xfId="0" applyNumberFormat="1" applyFont="1" applyBorder="1"/>
    <xf numFmtId="166" fontId="4" fillId="2" borderId="43" xfId="0" applyNumberFormat="1" applyFont="1" applyFill="1" applyBorder="1"/>
    <xf numFmtId="166" fontId="16" fillId="2" borderId="16" xfId="0" applyNumberFormat="1" applyFont="1" applyFill="1" applyBorder="1"/>
    <xf numFmtId="166" fontId="16" fillId="0" borderId="10" xfId="0" applyNumberFormat="1" applyFont="1" applyBorder="1"/>
    <xf numFmtId="166" fontId="4" fillId="2" borderId="44" xfId="0" applyNumberFormat="1" applyFont="1" applyFill="1" applyBorder="1"/>
    <xf numFmtId="166" fontId="4" fillId="2" borderId="35" xfId="0" applyNumberFormat="1" applyFont="1" applyFill="1" applyBorder="1" applyAlignment="1">
      <alignment horizontal="right"/>
    </xf>
    <xf numFmtId="166" fontId="4" fillId="3" borderId="32" xfId="0" applyNumberFormat="1" applyFont="1" applyFill="1" applyBorder="1"/>
    <xf numFmtId="166" fontId="4" fillId="2" borderId="44" xfId="0" applyNumberFormat="1" applyFont="1" applyFill="1" applyBorder="1" applyAlignment="1">
      <alignment vertical="center"/>
    </xf>
    <xf numFmtId="166" fontId="4" fillId="2" borderId="31" xfId="0" applyNumberFormat="1" applyFont="1" applyFill="1" applyBorder="1" applyAlignment="1">
      <alignment horizontal="right" wrapText="1"/>
    </xf>
    <xf numFmtId="166" fontId="4" fillId="2" borderId="38" xfId="0" applyNumberFormat="1" applyFont="1" applyFill="1" applyBorder="1" applyAlignment="1">
      <alignment horizontal="center"/>
    </xf>
    <xf numFmtId="166" fontId="14" fillId="0" borderId="31" xfId="0" applyNumberFormat="1" applyFont="1" applyBorder="1" applyAlignment="1">
      <alignment horizontal="right" wrapText="1"/>
    </xf>
    <xf numFmtId="166" fontId="4" fillId="2" borderId="43" xfId="0" applyNumberFormat="1" applyFont="1" applyFill="1" applyBorder="1" applyAlignment="1">
      <alignment vertical="center"/>
    </xf>
    <xf numFmtId="166" fontId="14" fillId="0" borderId="0" xfId="0" applyNumberFormat="1" applyFont="1" applyAlignment="1">
      <alignment horizontal="right"/>
    </xf>
    <xf numFmtId="166" fontId="4" fillId="2" borderId="12" xfId="0" applyNumberFormat="1" applyFont="1" applyFill="1" applyBorder="1" applyAlignment="1">
      <alignment horizontal="center"/>
    </xf>
    <xf numFmtId="166" fontId="4" fillId="2" borderId="2" xfId="0" applyNumberFormat="1" applyFont="1" applyFill="1" applyBorder="1"/>
    <xf numFmtId="166" fontId="13" fillId="2" borderId="9" xfId="0" applyNumberFormat="1" applyFont="1" applyFill="1" applyBorder="1"/>
    <xf numFmtId="166" fontId="13" fillId="2" borderId="3" xfId="0" applyNumberFormat="1" applyFont="1" applyFill="1" applyBorder="1"/>
    <xf numFmtId="166" fontId="13" fillId="2" borderId="8" xfId="0" applyNumberFormat="1" applyFont="1" applyFill="1" applyBorder="1"/>
    <xf numFmtId="166" fontId="8" fillId="0" borderId="0" xfId="0" applyNumberFormat="1" applyFont="1"/>
    <xf numFmtId="166" fontId="13" fillId="2" borderId="32" xfId="0" applyNumberFormat="1" applyFont="1" applyFill="1" applyBorder="1"/>
    <xf numFmtId="166" fontId="13" fillId="2" borderId="33" xfId="0" applyNumberFormat="1" applyFont="1" applyFill="1" applyBorder="1"/>
    <xf numFmtId="166" fontId="4" fillId="2" borderId="32" xfId="0" applyNumberFormat="1" applyFont="1" applyFill="1" applyBorder="1" applyAlignment="1">
      <alignment horizontal="right"/>
    </xf>
    <xf numFmtId="166" fontId="4" fillId="2" borderId="32" xfId="0" applyNumberFormat="1" applyFont="1" applyFill="1" applyBorder="1" applyAlignment="1">
      <alignment horizontal="right" wrapText="1"/>
    </xf>
    <xf numFmtId="166" fontId="4" fillId="2" borderId="10" xfId="0" applyNumberFormat="1" applyFont="1" applyFill="1" applyBorder="1" applyAlignment="1">
      <alignment vertical="center"/>
    </xf>
    <xf numFmtId="166" fontId="4" fillId="2" borderId="5" xfId="0" applyNumberFormat="1" applyFont="1" applyFill="1" applyBorder="1" applyAlignment="1">
      <alignment horizontal="right" wrapText="1"/>
    </xf>
    <xf numFmtId="166" fontId="4" fillId="2" borderId="29" xfId="0" applyNumberFormat="1" applyFont="1" applyFill="1" applyBorder="1"/>
    <xf numFmtId="166" fontId="16" fillId="2" borderId="10" xfId="0" applyNumberFormat="1" applyFont="1" applyFill="1" applyBorder="1" applyAlignment="1">
      <alignment horizontal="center"/>
    </xf>
    <xf numFmtId="166" fontId="16" fillId="2" borderId="33" xfId="0" applyNumberFormat="1" applyFont="1" applyFill="1" applyBorder="1" applyAlignment="1">
      <alignment horizontal="center"/>
    </xf>
    <xf numFmtId="166" fontId="4" fillId="2" borderId="32" xfId="0" applyNumberFormat="1" applyFont="1" applyFill="1" applyBorder="1" applyAlignment="1">
      <alignment vertical="center"/>
    </xf>
    <xf numFmtId="166" fontId="4" fillId="2" borderId="51" xfId="0" applyNumberFormat="1" applyFont="1" applyFill="1" applyBorder="1" applyAlignment="1">
      <alignment vertical="center"/>
    </xf>
    <xf numFmtId="166" fontId="4" fillId="2" borderId="51" xfId="0" applyNumberFormat="1" applyFont="1" applyFill="1" applyBorder="1" applyAlignment="1">
      <alignment horizontal="right" wrapText="1"/>
    </xf>
    <xf numFmtId="166" fontId="4" fillId="2" borderId="50" xfId="0" applyNumberFormat="1" applyFont="1" applyFill="1" applyBorder="1" applyAlignment="1">
      <alignment horizontal="center"/>
    </xf>
    <xf numFmtId="166" fontId="13" fillId="0" borderId="8" xfId="0" applyNumberFormat="1" applyFont="1" applyBorder="1"/>
    <xf numFmtId="166" fontId="4" fillId="0" borderId="32" xfId="0" applyNumberFormat="1" applyFont="1" applyBorder="1" applyAlignment="1">
      <alignment horizontal="center"/>
    </xf>
    <xf numFmtId="166" fontId="4" fillId="0" borderId="31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center"/>
    </xf>
    <xf numFmtId="166" fontId="4" fillId="0" borderId="32" xfId="0" applyNumberFormat="1" applyFont="1" applyBorder="1" applyAlignment="1">
      <alignment horizontal="right"/>
    </xf>
    <xf numFmtId="166" fontId="16" fillId="0" borderId="31" xfId="0" applyNumberFormat="1" applyFont="1" applyBorder="1" applyAlignment="1">
      <alignment horizontal="center"/>
    </xf>
    <xf numFmtId="166" fontId="4" fillId="0" borderId="44" xfId="0" applyNumberFormat="1" applyFont="1" applyBorder="1" applyAlignment="1">
      <alignment vertical="center"/>
    </xf>
    <xf numFmtId="166" fontId="4" fillId="0" borderId="31" xfId="0" applyNumberFormat="1" applyFont="1" applyBorder="1" applyAlignment="1">
      <alignment horizontal="right" wrapText="1"/>
    </xf>
    <xf numFmtId="166" fontId="4" fillId="0" borderId="38" xfId="0" applyNumberFormat="1" applyFont="1" applyBorder="1" applyAlignment="1">
      <alignment horizontal="center"/>
    </xf>
    <xf numFmtId="166" fontId="4" fillId="0" borderId="43" xfId="0" applyNumberFormat="1" applyFont="1" applyBorder="1" applyAlignment="1">
      <alignment vertical="center"/>
    </xf>
    <xf numFmtId="166" fontId="14" fillId="0" borderId="0" xfId="0" applyNumberFormat="1" applyFont="1" applyAlignment="1">
      <alignment horizontal="right" wrapText="1"/>
    </xf>
    <xf numFmtId="166" fontId="4" fillId="0" borderId="12" xfId="0" applyNumberFormat="1" applyFont="1" applyBorder="1" applyAlignment="1">
      <alignment horizontal="center"/>
    </xf>
    <xf numFmtId="166" fontId="4" fillId="0" borderId="45" xfId="0" applyNumberFormat="1" applyFont="1" applyBorder="1" applyAlignment="1">
      <alignment vertical="center"/>
    </xf>
    <xf numFmtId="166" fontId="4" fillId="0" borderId="61" xfId="0" applyNumberFormat="1" applyFont="1" applyBorder="1" applyAlignment="1">
      <alignment horizontal="right" wrapText="1"/>
    </xf>
    <xf numFmtId="166" fontId="4" fillId="0" borderId="54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166" fontId="16" fillId="3" borderId="5" xfId="0" applyNumberFormat="1" applyFont="1" applyFill="1" applyBorder="1"/>
    <xf numFmtId="166" fontId="16" fillId="0" borderId="33" xfId="0" applyNumberFormat="1" applyFont="1" applyBorder="1" applyAlignment="1">
      <alignment horizontal="center"/>
    </xf>
    <xf numFmtId="166" fontId="4" fillId="0" borderId="33" xfId="0" applyNumberFormat="1" applyFont="1" applyBorder="1" applyAlignment="1">
      <alignment vertical="center"/>
    </xf>
    <xf numFmtId="166" fontId="4" fillId="0" borderId="32" xfId="0" applyNumberFormat="1" applyFont="1" applyBorder="1" applyAlignment="1">
      <alignment horizontal="right" wrapText="1"/>
    </xf>
    <xf numFmtId="166" fontId="4" fillId="0" borderId="10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horizontal="right" wrapText="1"/>
    </xf>
    <xf numFmtId="166" fontId="4" fillId="0" borderId="2" xfId="0" applyNumberFormat="1" applyFont="1" applyBorder="1" applyAlignment="1">
      <alignment horizontal="center"/>
    </xf>
    <xf numFmtId="166" fontId="4" fillId="3" borderId="5" xfId="0" applyNumberFormat="1" applyFont="1" applyFill="1" applyBorder="1"/>
    <xf numFmtId="166" fontId="13" fillId="0" borderId="0" xfId="0" applyNumberFormat="1" applyFont="1"/>
    <xf numFmtId="166" fontId="13" fillId="2" borderId="9" xfId="0" applyNumberFormat="1" applyFont="1" applyFill="1" applyBorder="1" applyAlignment="1">
      <alignment vertical="center"/>
    </xf>
    <xf numFmtId="166" fontId="13" fillId="2" borderId="3" xfId="0" applyNumberFormat="1" applyFont="1" applyFill="1" applyBorder="1" applyAlignment="1">
      <alignment horizontal="left" wrapText="1"/>
    </xf>
    <xf numFmtId="166" fontId="4" fillId="2" borderId="50" xfId="0" applyNumberFormat="1" applyFont="1" applyFill="1" applyBorder="1" applyAlignment="1">
      <alignment vertical="center"/>
    </xf>
    <xf numFmtId="166" fontId="4" fillId="2" borderId="10" xfId="0" applyNumberFormat="1" applyFont="1" applyFill="1" applyBorder="1" applyAlignment="1">
      <alignment horizontal="center"/>
    </xf>
    <xf numFmtId="166" fontId="4" fillId="2" borderId="33" xfId="0" applyNumberFormat="1" applyFont="1" applyFill="1" applyBorder="1" applyAlignment="1">
      <alignment horizontal="right"/>
    </xf>
    <xf numFmtId="166" fontId="13" fillId="0" borderId="3" xfId="0" applyNumberFormat="1" applyFont="1" applyBorder="1" applyAlignment="1">
      <alignment horizontal="left"/>
    </xf>
    <xf numFmtId="166" fontId="7" fillId="0" borderId="0" xfId="0" applyNumberFormat="1" applyFont="1"/>
    <xf numFmtId="166" fontId="13" fillId="0" borderId="5" xfId="0" applyNumberFormat="1" applyFont="1" applyBorder="1" applyAlignment="1">
      <alignment horizontal="left"/>
    </xf>
    <xf numFmtId="166" fontId="13" fillId="0" borderId="0" xfId="0" applyNumberFormat="1" applyFont="1" applyAlignment="1">
      <alignment horizontal="center"/>
    </xf>
    <xf numFmtId="166" fontId="16" fillId="0" borderId="5" xfId="0" applyNumberFormat="1" applyFont="1" applyBorder="1" applyAlignment="1">
      <alignment horizontal="left"/>
    </xf>
    <xf numFmtId="166" fontId="4" fillId="0" borderId="62" xfId="0" applyNumberFormat="1" applyFont="1" applyBorder="1"/>
    <xf numFmtId="166" fontId="4" fillId="0" borderId="29" xfId="0" applyNumberFormat="1" applyFont="1" applyBorder="1" applyAlignment="1">
      <alignment horizontal="right"/>
    </xf>
    <xf numFmtId="166" fontId="4" fillId="0" borderId="28" xfId="0" applyNumberFormat="1" applyFont="1" applyBorder="1" applyAlignment="1">
      <alignment horizontal="center"/>
    </xf>
    <xf numFmtId="166" fontId="4" fillId="0" borderId="63" xfId="0" applyNumberFormat="1" applyFont="1" applyBorder="1"/>
    <xf numFmtId="166" fontId="4" fillId="0" borderId="64" xfId="0" applyNumberFormat="1" applyFont="1" applyBorder="1" applyAlignment="1">
      <alignment horizontal="right"/>
    </xf>
    <xf numFmtId="166" fontId="4" fillId="0" borderId="65" xfId="0" applyNumberFormat="1" applyFont="1" applyBorder="1" applyAlignment="1">
      <alignment horizontal="center"/>
    </xf>
    <xf numFmtId="166" fontId="4" fillId="2" borderId="62" xfId="0" applyNumberFormat="1" applyFont="1" applyFill="1" applyBorder="1" applyAlignment="1">
      <alignment horizontal="right"/>
    </xf>
    <xf numFmtId="166" fontId="4" fillId="0" borderId="68" xfId="0" applyNumberFormat="1" applyFont="1" applyBorder="1" applyAlignment="1">
      <alignment horizontal="center"/>
    </xf>
    <xf numFmtId="166" fontId="4" fillId="0" borderId="12" xfId="0" applyNumberFormat="1" applyFont="1" applyBorder="1"/>
    <xf numFmtId="166" fontId="4" fillId="0" borderId="51" xfId="0" applyNumberFormat="1" applyFont="1" applyBorder="1" applyAlignment="1">
      <alignment horizontal="right" wrapText="1"/>
    </xf>
    <xf numFmtId="166" fontId="4" fillId="0" borderId="0" xfId="0" applyNumberFormat="1" applyFont="1" applyAlignment="1">
      <alignment horizontal="center"/>
    </xf>
    <xf numFmtId="166" fontId="4" fillId="0" borderId="70" xfId="0" applyNumberFormat="1" applyFont="1" applyBorder="1"/>
    <xf numFmtId="166" fontId="24" fillId="0" borderId="0" xfId="0" applyNumberFormat="1" applyFont="1"/>
    <xf numFmtId="166" fontId="4" fillId="2" borderId="31" xfId="0" applyNumberFormat="1" applyFont="1" applyFill="1" applyBorder="1"/>
    <xf numFmtId="166" fontId="13" fillId="0" borderId="9" xfId="0" applyNumberFormat="1" applyFont="1" applyBorder="1" applyAlignment="1">
      <alignment vertical="top" wrapText="1"/>
    </xf>
    <xf numFmtId="166" fontId="13" fillId="0" borderId="3" xfId="0" applyNumberFormat="1" applyFont="1" applyBorder="1" applyAlignment="1">
      <alignment horizontal="left" vertical="top" wrapText="1"/>
    </xf>
    <xf numFmtId="166" fontId="4" fillId="0" borderId="9" xfId="0" applyNumberFormat="1" applyFont="1" applyBorder="1" applyAlignment="1">
      <alignment horizontal="left" vertical="top" wrapText="1"/>
    </xf>
    <xf numFmtId="166" fontId="4" fillId="0" borderId="52" xfId="0" applyNumberFormat="1" applyFont="1" applyBorder="1" applyAlignment="1">
      <alignment vertical="center"/>
    </xf>
    <xf numFmtId="166" fontId="4" fillId="0" borderId="32" xfId="0" applyNumberFormat="1" applyFont="1" applyBorder="1" applyAlignment="1">
      <alignment vertical="center"/>
    </xf>
    <xf numFmtId="166" fontId="13" fillId="2" borderId="5" xfId="0" applyNumberFormat="1" applyFont="1" applyFill="1" applyBorder="1" applyAlignment="1">
      <alignment wrapText="1"/>
    </xf>
    <xf numFmtId="166" fontId="13" fillId="2" borderId="0" xfId="0" applyNumberFormat="1" applyFont="1" applyFill="1"/>
    <xf numFmtId="166" fontId="4" fillId="0" borderId="29" xfId="0" applyNumberFormat="1" applyFont="1" applyBorder="1" applyAlignment="1">
      <alignment horizontal="right" wrapText="1"/>
    </xf>
    <xf numFmtId="166" fontId="4" fillId="2" borderId="64" xfId="0" applyNumberFormat="1" applyFont="1" applyFill="1" applyBorder="1"/>
    <xf numFmtId="166" fontId="4" fillId="0" borderId="63" xfId="0" applyNumberFormat="1" applyFont="1" applyBorder="1" applyAlignment="1">
      <alignment vertical="center"/>
    </xf>
    <xf numFmtId="166" fontId="16" fillId="0" borderId="62" xfId="0" applyNumberFormat="1" applyFont="1" applyBorder="1" applyAlignment="1">
      <alignment horizontal="left" vertical="top" wrapText="1"/>
    </xf>
    <xf numFmtId="166" fontId="16" fillId="0" borderId="66" xfId="0" applyNumberFormat="1" applyFont="1" applyBorder="1" applyAlignment="1">
      <alignment horizontal="center"/>
    </xf>
    <xf numFmtId="166" fontId="4" fillId="2" borderId="72" xfId="0" applyNumberFormat="1" applyFont="1" applyFill="1" applyBorder="1"/>
    <xf numFmtId="166" fontId="16" fillId="0" borderId="62" xfId="0" applyNumberFormat="1" applyFont="1" applyBorder="1"/>
    <xf numFmtId="166" fontId="4" fillId="0" borderId="73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horizontal="right"/>
    </xf>
    <xf numFmtId="166" fontId="4" fillId="2" borderId="7" xfId="0" applyNumberFormat="1" applyFont="1" applyFill="1" applyBorder="1"/>
    <xf numFmtId="166" fontId="4" fillId="0" borderId="5" xfId="0" applyNumberFormat="1" applyFont="1" applyBorder="1" applyAlignment="1">
      <alignment horizontal="right"/>
    </xf>
    <xf numFmtId="166" fontId="4" fillId="0" borderId="32" xfId="0" applyNumberFormat="1" applyFont="1" applyBorder="1" applyAlignment="1">
      <alignment horizontal="right" vertical="top" wrapText="1"/>
    </xf>
    <xf numFmtId="166" fontId="16" fillId="0" borderId="32" xfId="0" applyNumberFormat="1" applyFont="1" applyBorder="1" applyAlignment="1">
      <alignment horizontal="left" vertical="distributed" wrapText="1"/>
    </xf>
    <xf numFmtId="166" fontId="4" fillId="0" borderId="5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horizontal="right" vertical="distributed" wrapText="1"/>
    </xf>
    <xf numFmtId="166" fontId="4" fillId="0" borderId="7" xfId="0" applyNumberFormat="1" applyFont="1" applyBorder="1" applyAlignment="1">
      <alignment horizontal="center"/>
    </xf>
    <xf numFmtId="166" fontId="4" fillId="0" borderId="31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13" fillId="0" borderId="0" xfId="0" applyNumberFormat="1" applyFont="1" applyAlignment="1">
      <alignment horizontal="left"/>
    </xf>
    <xf numFmtId="166" fontId="4" fillId="0" borderId="9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wrapText="1"/>
    </xf>
    <xf numFmtId="166" fontId="4" fillId="0" borderId="10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vertical="top"/>
    </xf>
    <xf numFmtId="166" fontId="13" fillId="0" borderId="8" xfId="0" applyNumberFormat="1" applyFont="1" applyBorder="1" applyAlignment="1">
      <alignment horizontal="left" wrapText="1"/>
    </xf>
    <xf numFmtId="166" fontId="16" fillId="0" borderId="10" xfId="0" applyNumberFormat="1" applyFont="1" applyBorder="1" applyAlignment="1">
      <alignment horizontal="left" vertical="top" wrapText="1"/>
    </xf>
    <xf numFmtId="166" fontId="4" fillId="0" borderId="2" xfId="0" applyNumberFormat="1" applyFont="1" applyBorder="1" applyAlignment="1">
      <alignment vertical="center"/>
    </xf>
    <xf numFmtId="166" fontId="4" fillId="0" borderId="2" xfId="0" applyNumberFormat="1" applyFont="1" applyBorder="1" applyAlignment="1">
      <alignment horizontal="right" wrapText="1"/>
    </xf>
    <xf numFmtId="166" fontId="16" fillId="0" borderId="4" xfId="0" applyNumberFormat="1" applyFont="1" applyBorder="1" applyAlignment="1">
      <alignment horizontal="center"/>
    </xf>
    <xf numFmtId="166" fontId="13" fillId="0" borderId="5" xfId="0" applyNumberFormat="1" applyFont="1" applyBorder="1" applyAlignment="1">
      <alignment horizontal="left" vertical="top" wrapText="1"/>
    </xf>
    <xf numFmtId="166" fontId="13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left"/>
    </xf>
    <xf numFmtId="166" fontId="4" fillId="0" borderId="31" xfId="0" applyNumberFormat="1" applyFont="1" applyBorder="1" applyAlignment="1">
      <alignment horizontal="right" vertical="top" wrapText="1"/>
    </xf>
    <xf numFmtId="166" fontId="4" fillId="0" borderId="29" xfId="0" applyNumberFormat="1" applyFont="1" applyBorder="1" applyAlignment="1">
      <alignment vertical="center"/>
    </xf>
    <xf numFmtId="166" fontId="4" fillId="0" borderId="0" xfId="0" applyNumberFormat="1" applyFont="1" applyAlignment="1">
      <alignment horizontal="right" vertical="top" wrapText="1"/>
    </xf>
    <xf numFmtId="166" fontId="16" fillId="0" borderId="32" xfId="0" applyNumberFormat="1" applyFont="1" applyBorder="1" applyAlignment="1">
      <alignment horizontal="left" vertical="top" wrapText="1"/>
    </xf>
    <xf numFmtId="166" fontId="16" fillId="0" borderId="32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right" vertical="top" wrapText="1"/>
    </xf>
    <xf numFmtId="166" fontId="16" fillId="0" borderId="2" xfId="0" applyNumberFormat="1" applyFont="1" applyBorder="1" applyAlignment="1">
      <alignment horizontal="center"/>
    </xf>
    <xf numFmtId="166" fontId="13" fillId="0" borderId="74" xfId="0" applyNumberFormat="1" applyFont="1" applyBorder="1"/>
    <xf numFmtId="9" fontId="26" fillId="0" borderId="0" xfId="0" applyNumberFormat="1" applyFont="1"/>
    <xf numFmtId="166" fontId="16" fillId="0" borderId="5" xfId="0" applyNumberFormat="1" applyFont="1" applyBorder="1" applyAlignment="1">
      <alignment wrapText="1"/>
    </xf>
    <xf numFmtId="166" fontId="11" fillId="2" borderId="5" xfId="0" applyNumberFormat="1" applyFont="1" applyFill="1" applyBorder="1"/>
    <xf numFmtId="166" fontId="4" fillId="3" borderId="36" xfId="0" applyNumberFormat="1" applyFont="1" applyFill="1" applyBorder="1"/>
    <xf numFmtId="166" fontId="4" fillId="3" borderId="13" xfId="0" applyNumberFormat="1" applyFont="1" applyFill="1" applyBorder="1" applyAlignment="1">
      <alignment horizontal="right" vertical="top" wrapText="1"/>
    </xf>
    <xf numFmtId="166" fontId="4" fillId="3" borderId="0" xfId="0" applyNumberFormat="1" applyFont="1" applyFill="1"/>
    <xf numFmtId="166" fontId="4" fillId="0" borderId="18" xfId="0" applyNumberFormat="1" applyFont="1" applyBorder="1" applyAlignment="1">
      <alignment horizontal="right"/>
    </xf>
    <xf numFmtId="166" fontId="13" fillId="0" borderId="10" xfId="0" applyNumberFormat="1" applyFont="1" applyBorder="1" applyAlignment="1">
      <alignment horizontal="left"/>
    </xf>
    <xf numFmtId="166" fontId="17" fillId="0" borderId="10" xfId="0" applyNumberFormat="1" applyFont="1" applyBorder="1" applyAlignment="1">
      <alignment horizontal="center"/>
    </xf>
    <xf numFmtId="166" fontId="4" fillId="0" borderId="43" xfId="0" applyNumberFormat="1" applyFont="1" applyBorder="1"/>
    <xf numFmtId="166" fontId="4" fillId="0" borderId="0" xfId="0" applyNumberFormat="1" applyFont="1" applyAlignment="1">
      <alignment horizontal="right" wrapText="1"/>
    </xf>
    <xf numFmtId="166" fontId="4" fillId="0" borderId="33" xfId="0" applyNumberFormat="1" applyFont="1" applyBorder="1" applyAlignment="1">
      <alignment horizontal="right"/>
    </xf>
    <xf numFmtId="166" fontId="11" fillId="2" borderId="32" xfId="0" applyNumberFormat="1" applyFont="1" applyFill="1" applyBorder="1"/>
    <xf numFmtId="166" fontId="4" fillId="0" borderId="34" xfId="0" applyNumberFormat="1" applyFont="1" applyBorder="1" applyAlignment="1">
      <alignment horizontal="right" wrapText="1"/>
    </xf>
    <xf numFmtId="166" fontId="16" fillId="0" borderId="61" xfId="0" applyNumberFormat="1" applyFont="1" applyBorder="1" applyAlignment="1">
      <alignment horizontal="center"/>
    </xf>
    <xf numFmtId="166" fontId="11" fillId="2" borderId="34" xfId="0" applyNumberFormat="1" applyFont="1" applyFill="1" applyBorder="1"/>
    <xf numFmtId="166" fontId="16" fillId="0" borderId="5" xfId="0" applyNumberFormat="1" applyFont="1" applyBorder="1" applyAlignment="1">
      <alignment horizontal="left" vertical="distributed" wrapText="1"/>
    </xf>
    <xf numFmtId="166" fontId="16" fillId="0" borderId="32" xfId="0" applyNumberFormat="1" applyFont="1" applyBorder="1" applyAlignment="1">
      <alignment horizontal="left" wrapText="1"/>
    </xf>
    <xf numFmtId="166" fontId="4" fillId="0" borderId="10" xfId="0" applyNumberFormat="1" applyFont="1" applyBorder="1" applyAlignment="1">
      <alignment horizontal="right"/>
    </xf>
    <xf numFmtId="166" fontId="13" fillId="0" borderId="9" xfId="0" applyNumberFormat="1" applyFont="1" applyBorder="1" applyAlignment="1">
      <alignment horizontal="left"/>
    </xf>
    <xf numFmtId="166" fontId="4" fillId="0" borderId="8" xfId="0" applyNumberFormat="1" applyFont="1" applyBorder="1" applyAlignment="1">
      <alignment horizontal="center"/>
    </xf>
    <xf numFmtId="166" fontId="4" fillId="0" borderId="10" xfId="0" applyNumberFormat="1" applyFont="1" applyBorder="1" applyAlignment="1">
      <alignment horizontal="left" vertical="center"/>
    </xf>
    <xf numFmtId="166" fontId="4" fillId="0" borderId="33" xfId="0" applyNumberFormat="1" applyFont="1" applyBorder="1" applyAlignment="1">
      <alignment horizontal="left"/>
    </xf>
    <xf numFmtId="166" fontId="4" fillId="0" borderId="5" xfId="0" applyNumberFormat="1" applyFont="1" applyBorder="1" applyAlignment="1">
      <alignment horizontal="left"/>
    </xf>
    <xf numFmtId="166" fontId="4" fillId="0" borderId="16" xfId="0" applyNumberFormat="1" applyFont="1" applyBorder="1" applyAlignment="1">
      <alignment horizontal="right" wrapText="1"/>
    </xf>
    <xf numFmtId="166" fontId="4" fillId="0" borderId="8" xfId="0" applyNumberFormat="1" applyFont="1" applyBorder="1"/>
    <xf numFmtId="166" fontId="4" fillId="0" borderId="10" xfId="0" applyNumberFormat="1" applyFont="1" applyBorder="1" applyAlignment="1">
      <alignment horizontal="left"/>
    </xf>
    <xf numFmtId="166" fontId="4" fillId="0" borderId="9" xfId="0" applyNumberFormat="1" applyFont="1" applyBorder="1"/>
    <xf numFmtId="166" fontId="4" fillId="2" borderId="9" xfId="0" applyNumberFormat="1" applyFont="1" applyFill="1" applyBorder="1"/>
    <xf numFmtId="166" fontId="16" fillId="0" borderId="39" xfId="0" applyNumberFormat="1" applyFont="1" applyBorder="1" applyAlignment="1">
      <alignment horizontal="center"/>
    </xf>
    <xf numFmtId="166" fontId="16" fillId="0" borderId="0" xfId="0" applyNumberFormat="1" applyFont="1"/>
    <xf numFmtId="166" fontId="4" fillId="0" borderId="75" xfId="0" applyNumberFormat="1" applyFont="1" applyBorder="1"/>
    <xf numFmtId="166" fontId="4" fillId="0" borderId="67" xfId="0" applyNumberFormat="1" applyFont="1" applyBorder="1" applyAlignment="1">
      <alignment horizontal="right"/>
    </xf>
    <xf numFmtId="166" fontId="16" fillId="0" borderId="64" xfId="0" applyNumberFormat="1" applyFont="1" applyBorder="1" applyAlignment="1">
      <alignment horizontal="center"/>
    </xf>
    <xf numFmtId="166" fontId="4" fillId="0" borderId="76" xfId="0" applyNumberFormat="1" applyFont="1" applyBorder="1"/>
    <xf numFmtId="166" fontId="4" fillId="0" borderId="66" xfId="0" applyNumberFormat="1" applyFont="1" applyBorder="1" applyAlignment="1">
      <alignment horizontal="right"/>
    </xf>
    <xf numFmtId="166" fontId="4" fillId="0" borderId="72" xfId="0" applyNumberFormat="1" applyFont="1" applyBorder="1" applyAlignment="1">
      <alignment horizontal="center"/>
    </xf>
    <xf numFmtId="166" fontId="4" fillId="0" borderId="77" xfId="0" applyNumberFormat="1" applyFont="1" applyBorder="1"/>
    <xf numFmtId="166" fontId="27" fillId="0" borderId="77" xfId="0" applyNumberFormat="1" applyFont="1" applyBorder="1" applyAlignment="1">
      <alignment horizontal="left" wrapText="1"/>
    </xf>
    <xf numFmtId="166" fontId="4" fillId="2" borderId="78" xfId="0" applyNumberFormat="1" applyFont="1" applyFill="1" applyBorder="1"/>
    <xf numFmtId="166" fontId="20" fillId="0" borderId="17" xfId="0" applyNumberFormat="1" applyFont="1" applyBorder="1" applyAlignment="1">
      <alignment horizontal="right" wrapText="1"/>
    </xf>
    <xf numFmtId="166" fontId="4" fillId="0" borderId="73" xfId="0" applyNumberFormat="1" applyFont="1" applyBorder="1" applyAlignment="1">
      <alignment horizontal="center"/>
    </xf>
    <xf numFmtId="166" fontId="4" fillId="2" borderId="14" xfId="0" applyNumberFormat="1" applyFont="1" applyFill="1" applyBorder="1"/>
    <xf numFmtId="166" fontId="13" fillId="0" borderId="0" xfId="0" applyNumberFormat="1" applyFont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166" fontId="13" fillId="0" borderId="33" xfId="0" applyNumberFormat="1" applyFont="1" applyBorder="1" applyAlignment="1">
      <alignment horizontal="center"/>
    </xf>
    <xf numFmtId="166" fontId="16" fillId="0" borderId="0" xfId="0" applyNumberFormat="1" applyFont="1" applyAlignment="1">
      <alignment horizontal="left" vertical="distributed" wrapText="1"/>
    </xf>
    <xf numFmtId="166" fontId="4" fillId="0" borderId="44" xfId="0" applyNumberFormat="1" applyFont="1" applyBorder="1"/>
    <xf numFmtId="166" fontId="16" fillId="0" borderId="31" xfId="0" applyNumberFormat="1" applyFont="1" applyBorder="1"/>
    <xf numFmtId="166" fontId="16" fillId="0" borderId="38" xfId="0" applyNumberFormat="1" applyFont="1" applyBorder="1" applyAlignment="1">
      <alignment horizontal="center"/>
    </xf>
    <xf numFmtId="166" fontId="4" fillId="0" borderId="14" xfId="0" applyNumberFormat="1" applyFont="1" applyBorder="1"/>
    <xf numFmtId="166" fontId="4" fillId="0" borderId="7" xfId="0" applyNumberFormat="1" applyFont="1" applyBorder="1" applyAlignment="1">
      <alignment horizontal="right"/>
    </xf>
    <xf numFmtId="166" fontId="4" fillId="0" borderId="15" xfId="0" applyNumberFormat="1" applyFont="1" applyBorder="1" applyAlignment="1">
      <alignment horizontal="center"/>
    </xf>
    <xf numFmtId="166" fontId="6" fillId="0" borderId="79" xfId="0" applyNumberFormat="1" applyFont="1" applyBorder="1"/>
    <xf numFmtId="166" fontId="16" fillId="0" borderId="33" xfId="0" applyNumberFormat="1" applyFont="1" applyBorder="1" applyAlignment="1">
      <alignment horizontal="left" vertical="distributed" wrapText="1"/>
    </xf>
    <xf numFmtId="166" fontId="16" fillId="0" borderId="18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wrapText="1"/>
    </xf>
    <xf numFmtId="166" fontId="4" fillId="0" borderId="40" xfId="0" applyNumberFormat="1" applyFont="1" applyBorder="1"/>
    <xf numFmtId="166" fontId="4" fillId="0" borderId="80" xfId="0" applyNumberFormat="1" applyFont="1" applyBorder="1" applyAlignment="1">
      <alignment horizontal="right"/>
    </xf>
    <xf numFmtId="166" fontId="16" fillId="0" borderId="81" xfId="0" applyNumberFormat="1" applyFont="1" applyBorder="1" applyAlignment="1">
      <alignment horizontal="center"/>
    </xf>
    <xf numFmtId="166" fontId="11" fillId="0" borderId="5" xfId="0" applyNumberFormat="1" applyFont="1" applyBorder="1"/>
    <xf numFmtId="166" fontId="4" fillId="3" borderId="32" xfId="0" applyNumberFormat="1" applyFont="1" applyFill="1" applyBorder="1" applyAlignment="1">
      <alignment vertical="center"/>
    </xf>
    <xf numFmtId="166" fontId="4" fillId="3" borderId="31" xfId="0" applyNumberFormat="1" applyFont="1" applyFill="1" applyBorder="1" applyAlignment="1">
      <alignment horizontal="right" wrapText="1"/>
    </xf>
    <xf numFmtId="166" fontId="16" fillId="3" borderId="38" xfId="0" applyNumberFormat="1" applyFont="1" applyFill="1" applyBorder="1" applyAlignment="1">
      <alignment horizontal="center"/>
    </xf>
    <xf numFmtId="166" fontId="4" fillId="0" borderId="24" xfId="0" applyNumberFormat="1" applyFont="1" applyBorder="1"/>
    <xf numFmtId="166" fontId="4" fillId="3" borderId="32" xfId="0" applyNumberFormat="1" applyFont="1" applyFill="1" applyBorder="1" applyAlignment="1">
      <alignment horizontal="right" wrapText="1"/>
    </xf>
    <xf numFmtId="166" fontId="16" fillId="2" borderId="32" xfId="0" applyNumberFormat="1" applyFont="1" applyFill="1" applyBorder="1" applyAlignment="1">
      <alignment horizontal="center"/>
    </xf>
    <xf numFmtId="166" fontId="16" fillId="0" borderId="31" xfId="0" applyNumberFormat="1" applyFont="1" applyBorder="1" applyAlignment="1">
      <alignment horizontal="left" vertical="top" wrapText="1"/>
    </xf>
    <xf numFmtId="166" fontId="4" fillId="3" borderId="10" xfId="0" applyNumberFormat="1" applyFont="1" applyFill="1" applyBorder="1" applyAlignment="1">
      <alignment horizontal="right"/>
    </xf>
    <xf numFmtId="166" fontId="4" fillId="0" borderId="31" xfId="0" applyNumberFormat="1" applyFont="1" applyBorder="1" applyAlignment="1">
      <alignment horizontal="center" vertical="top" wrapText="1"/>
    </xf>
    <xf numFmtId="166" fontId="4" fillId="0" borderId="0" xfId="0" applyNumberFormat="1" applyFont="1" applyAlignment="1">
      <alignment horizontal="center" wrapText="1"/>
    </xf>
    <xf numFmtId="166" fontId="16" fillId="0" borderId="10" xfId="0" applyNumberFormat="1" applyFont="1" applyBorder="1" applyAlignment="1">
      <alignment horizontal="center" vertical="top"/>
    </xf>
    <xf numFmtId="166" fontId="4" fillId="0" borderId="33" xfId="0" applyNumberFormat="1" applyFont="1" applyBorder="1" applyAlignment="1">
      <alignment horizontal="center" vertical="top"/>
    </xf>
    <xf numFmtId="166" fontId="4" fillId="0" borderId="5" xfId="0" applyNumberFormat="1" applyFont="1" applyBorder="1" applyAlignment="1">
      <alignment horizontal="right" vertical="top" wrapText="1"/>
    </xf>
    <xf numFmtId="166" fontId="4" fillId="0" borderId="10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top"/>
    </xf>
    <xf numFmtId="166" fontId="4" fillId="0" borderId="38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center" vertical="center"/>
    </xf>
    <xf numFmtId="166" fontId="4" fillId="0" borderId="33" xfId="0" applyNumberFormat="1" applyFont="1" applyBorder="1" applyAlignment="1">
      <alignment horizontal="right" wrapText="1"/>
    </xf>
    <xf numFmtId="166" fontId="4" fillId="0" borderId="10" xfId="0" applyNumberFormat="1" applyFont="1" applyBorder="1" applyAlignment="1">
      <alignment horizontal="center" wrapText="1"/>
    </xf>
    <xf numFmtId="166" fontId="4" fillId="0" borderId="33" xfId="0" applyNumberFormat="1" applyFont="1" applyBorder="1" applyAlignment="1">
      <alignment horizontal="center" wrapText="1"/>
    </xf>
    <xf numFmtId="166" fontId="4" fillId="0" borderId="10" xfId="0" applyNumberFormat="1" applyFont="1" applyBorder="1" applyAlignment="1">
      <alignment horizontal="right" wrapText="1"/>
    </xf>
    <xf numFmtId="166" fontId="16" fillId="0" borderId="33" xfId="0" applyNumberFormat="1" applyFont="1" applyBorder="1" applyAlignment="1">
      <alignment horizontal="left"/>
    </xf>
    <xf numFmtId="166" fontId="16" fillId="0" borderId="33" xfId="0" applyNumberFormat="1" applyFont="1" applyBorder="1" applyAlignment="1">
      <alignment horizontal="center" vertical="top" wrapText="1"/>
    </xf>
    <xf numFmtId="166" fontId="16" fillId="0" borderId="10" xfId="0" applyNumberFormat="1" applyFont="1" applyBorder="1" applyAlignment="1">
      <alignment horizontal="center" vertical="top" wrapText="1"/>
    </xf>
    <xf numFmtId="166" fontId="16" fillId="0" borderId="10" xfId="0" applyNumberFormat="1" applyFont="1" applyBorder="1" applyAlignment="1">
      <alignment horizontal="left" wrapText="1"/>
    </xf>
    <xf numFmtId="166" fontId="4" fillId="0" borderId="10" xfId="0" applyNumberFormat="1" applyFont="1" applyBorder="1" applyAlignment="1">
      <alignment horizontal="left" vertical="top" wrapText="1"/>
    </xf>
    <xf numFmtId="166" fontId="4" fillId="0" borderId="33" xfId="0" applyNumberFormat="1" applyFont="1" applyBorder="1" applyAlignment="1">
      <alignment horizontal="left" vertical="top" wrapText="1"/>
    </xf>
    <xf numFmtId="166" fontId="4" fillId="0" borderId="10" xfId="0" applyNumberFormat="1" applyFont="1" applyBorder="1" applyAlignment="1">
      <alignment horizontal="center" vertical="top" wrapText="1"/>
    </xf>
    <xf numFmtId="166" fontId="4" fillId="0" borderId="33" xfId="0" applyNumberFormat="1" applyFont="1" applyBorder="1" applyAlignment="1">
      <alignment horizontal="center" vertical="top" wrapText="1"/>
    </xf>
    <xf numFmtId="166" fontId="4" fillId="0" borderId="33" xfId="0" applyNumberFormat="1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right" wrapText="1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31" xfId="0" applyNumberFormat="1" applyFont="1" applyBorder="1" applyAlignment="1">
      <alignment horizontal="center" vertical="center" wrapText="1"/>
    </xf>
    <xf numFmtId="166" fontId="4" fillId="0" borderId="32" xfId="0" applyNumberFormat="1" applyFont="1" applyBorder="1" applyAlignment="1">
      <alignment horizontal="center" vertical="center" wrapText="1"/>
    </xf>
    <xf numFmtId="166" fontId="16" fillId="0" borderId="33" xfId="0" applyNumberFormat="1" applyFont="1" applyBorder="1" applyAlignment="1">
      <alignment wrapText="1"/>
    </xf>
    <xf numFmtId="1" fontId="7" fillId="0" borderId="0" xfId="0" applyNumberFormat="1" applyFont="1"/>
    <xf numFmtId="166" fontId="4" fillId="0" borderId="60" xfId="0" applyNumberFormat="1" applyFont="1" applyBorder="1" applyAlignment="1">
      <alignment horizontal="center" vertical="top" wrapText="1"/>
    </xf>
    <xf numFmtId="166" fontId="4" fillId="2" borderId="77" xfId="0" applyNumberFormat="1" applyFont="1" applyFill="1" applyBorder="1"/>
    <xf numFmtId="166" fontId="4" fillId="0" borderId="82" xfId="0" applyNumberFormat="1" applyFont="1" applyBorder="1"/>
    <xf numFmtId="1" fontId="6" fillId="0" borderId="0" xfId="0" applyNumberFormat="1" applyFont="1"/>
    <xf numFmtId="166" fontId="4" fillId="0" borderId="31" xfId="0" applyNumberFormat="1" applyFont="1" applyBorder="1" applyAlignment="1">
      <alignment horizontal="center" wrapText="1"/>
    </xf>
    <xf numFmtId="166" fontId="16" fillId="0" borderId="33" xfId="0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 wrapText="1"/>
    </xf>
    <xf numFmtId="166" fontId="4" fillId="0" borderId="42" xfId="0" applyNumberFormat="1" applyFont="1" applyBorder="1" applyAlignment="1">
      <alignment horizontal="right"/>
    </xf>
    <xf numFmtId="166" fontId="4" fillId="0" borderId="32" xfId="0" applyNumberFormat="1" applyFont="1" applyBorder="1" applyAlignment="1">
      <alignment vertical="top" wrapText="1"/>
    </xf>
    <xf numFmtId="166" fontId="16" fillId="0" borderId="33" xfId="0" applyNumberFormat="1" applyFont="1" applyBorder="1" applyAlignment="1">
      <alignment horizontal="left" vertical="center" wrapText="1"/>
    </xf>
    <xf numFmtId="166" fontId="13" fillId="0" borderId="5" xfId="0" applyNumberFormat="1" applyFont="1" applyBorder="1" applyAlignment="1">
      <alignment vertical="top" wrapText="1"/>
    </xf>
    <xf numFmtId="166" fontId="4" fillId="0" borderId="5" xfId="0" applyNumberFormat="1" applyFont="1" applyBorder="1" applyAlignment="1">
      <alignment vertical="center" wrapText="1"/>
    </xf>
    <xf numFmtId="166" fontId="4" fillId="0" borderId="32" xfId="0" applyNumberFormat="1" applyFont="1" applyBorder="1" applyAlignment="1">
      <alignment vertical="center" wrapText="1"/>
    </xf>
    <xf numFmtId="166" fontId="13" fillId="0" borderId="10" xfId="0" applyNumberFormat="1" applyFont="1" applyBorder="1" applyAlignment="1">
      <alignment horizontal="left" vertical="top" wrapText="1"/>
    </xf>
    <xf numFmtId="166" fontId="13" fillId="0" borderId="32" xfId="0" applyNumberFormat="1" applyFont="1" applyBorder="1" applyAlignment="1">
      <alignment vertical="top" wrapText="1"/>
    </xf>
    <xf numFmtId="166" fontId="13" fillId="0" borderId="33" xfId="0" applyNumberFormat="1" applyFont="1" applyBorder="1" applyAlignment="1">
      <alignment horizontal="left" vertical="top" wrapText="1"/>
    </xf>
    <xf numFmtId="166" fontId="4" fillId="0" borderId="5" xfId="0" applyNumberFormat="1" applyFont="1" applyBorder="1" applyAlignment="1">
      <alignment vertical="top" wrapText="1"/>
    </xf>
    <xf numFmtId="166" fontId="13" fillId="2" borderId="10" xfId="0" applyNumberFormat="1" applyFont="1" applyFill="1" applyBorder="1" applyAlignment="1">
      <alignment horizontal="left" vertical="top" wrapText="1"/>
    </xf>
    <xf numFmtId="166" fontId="13" fillId="2" borderId="33" xfId="0" applyNumberFormat="1" applyFont="1" applyFill="1" applyBorder="1" applyAlignment="1">
      <alignment horizontal="left" vertical="top" wrapText="1"/>
    </xf>
    <xf numFmtId="166" fontId="4" fillId="2" borderId="10" xfId="0" applyNumberFormat="1" applyFont="1" applyFill="1" applyBorder="1" applyAlignment="1">
      <alignment horizontal="left" vertical="top" wrapText="1"/>
    </xf>
    <xf numFmtId="166" fontId="4" fillId="2" borderId="33" xfId="0" applyNumberFormat="1" applyFont="1" applyFill="1" applyBorder="1" applyAlignment="1">
      <alignment horizontal="left" vertical="top" wrapText="1"/>
    </xf>
    <xf numFmtId="166" fontId="4" fillId="3" borderId="32" xfId="0" applyNumberFormat="1" applyFont="1" applyFill="1" applyBorder="1" applyAlignment="1">
      <alignment vertical="top" wrapText="1"/>
    </xf>
    <xf numFmtId="166" fontId="4" fillId="3" borderId="33" xfId="0" applyNumberFormat="1" applyFont="1" applyFill="1" applyBorder="1" applyAlignment="1">
      <alignment horizontal="center"/>
    </xf>
    <xf numFmtId="166" fontId="4" fillId="0" borderId="83" xfId="0" applyNumberFormat="1" applyFont="1" applyBorder="1" applyAlignment="1">
      <alignment vertical="center" wrapText="1"/>
    </xf>
    <xf numFmtId="166" fontId="4" fillId="0" borderId="65" xfId="0" applyNumberFormat="1" applyFont="1" applyBorder="1" applyAlignment="1">
      <alignment horizontal="right" wrapText="1"/>
    </xf>
    <xf numFmtId="166" fontId="13" fillId="0" borderId="67" xfId="0" applyNumberFormat="1" applyFont="1" applyBorder="1" applyAlignment="1">
      <alignment horizontal="left" vertical="top" wrapText="1"/>
    </xf>
    <xf numFmtId="166" fontId="4" fillId="2" borderId="84" xfId="0" applyNumberFormat="1" applyFont="1" applyFill="1" applyBorder="1"/>
    <xf numFmtId="166" fontId="4" fillId="0" borderId="85" xfId="0" applyNumberFormat="1" applyFont="1" applyBorder="1" applyAlignment="1">
      <alignment vertical="center" wrapText="1"/>
    </xf>
    <xf numFmtId="166" fontId="4" fillId="0" borderId="68" xfId="0" applyNumberFormat="1" applyFont="1" applyBorder="1" applyAlignment="1">
      <alignment horizontal="right" wrapText="1"/>
    </xf>
    <xf numFmtId="166" fontId="13" fillId="0" borderId="68" xfId="0" applyNumberFormat="1" applyFont="1" applyBorder="1" applyAlignment="1">
      <alignment horizontal="left" vertical="top" wrapText="1"/>
    </xf>
    <xf numFmtId="166" fontId="4" fillId="2" borderId="10" xfId="0" applyNumberFormat="1" applyFont="1" applyFill="1" applyBorder="1" applyAlignment="1">
      <alignment horizontal="center" vertical="top" wrapText="1"/>
    </xf>
    <xf numFmtId="166" fontId="4" fillId="2" borderId="33" xfId="0" applyNumberFormat="1" applyFont="1" applyFill="1" applyBorder="1" applyAlignment="1">
      <alignment horizontal="center" vertical="top" wrapText="1"/>
    </xf>
    <xf numFmtId="166" fontId="4" fillId="0" borderId="10" xfId="0" applyNumberFormat="1" applyFont="1" applyBorder="1" applyAlignment="1">
      <alignment horizontal="right" vertical="top" wrapText="1"/>
    </xf>
    <xf numFmtId="166" fontId="4" fillId="0" borderId="46" xfId="0" applyNumberFormat="1" applyFont="1" applyBorder="1"/>
    <xf numFmtId="166" fontId="13" fillId="0" borderId="47" xfId="0" applyNumberFormat="1" applyFont="1" applyBorder="1" applyAlignment="1">
      <alignment horizontal="left" shrinkToFit="1"/>
    </xf>
    <xf numFmtId="166" fontId="13" fillId="0" borderId="48" xfId="0" applyNumberFormat="1" applyFont="1" applyBorder="1" applyAlignment="1">
      <alignment horizontal="center" shrinkToFit="1"/>
    </xf>
    <xf numFmtId="166" fontId="13" fillId="0" borderId="10" xfId="0" applyNumberFormat="1" applyFont="1" applyBorder="1" applyAlignment="1">
      <alignment horizontal="center" shrinkToFit="1"/>
    </xf>
    <xf numFmtId="166" fontId="13" fillId="0" borderId="33" xfId="0" applyNumberFormat="1" applyFont="1" applyBorder="1" applyAlignment="1">
      <alignment horizontal="center" shrinkToFit="1"/>
    </xf>
    <xf numFmtId="166" fontId="9" fillId="0" borderId="0" xfId="0" applyNumberFormat="1" applyFont="1" applyAlignment="1">
      <alignment horizontal="center" vertical="top"/>
    </xf>
    <xf numFmtId="166" fontId="4" fillId="0" borderId="32" xfId="0" applyNumberFormat="1" applyFont="1" applyBorder="1" applyAlignment="1">
      <alignment vertical="top"/>
    </xf>
    <xf numFmtId="166" fontId="13" fillId="0" borderId="33" xfId="0" applyNumberFormat="1" applyFont="1" applyBorder="1" applyAlignment="1">
      <alignment horizontal="left" shrinkToFit="1"/>
    </xf>
    <xf numFmtId="166" fontId="9" fillId="0" borderId="0" xfId="0" applyNumberFormat="1" applyFont="1"/>
    <xf numFmtId="166" fontId="13" fillId="0" borderId="10" xfId="0" applyNumberFormat="1" applyFont="1" applyBorder="1" applyAlignment="1">
      <alignment horizontal="left" shrinkToFit="1"/>
    </xf>
    <xf numFmtId="166" fontId="4" fillId="3" borderId="5" xfId="0" applyNumberFormat="1" applyFont="1" applyFill="1" applyBorder="1" applyAlignment="1">
      <alignment vertical="center"/>
    </xf>
    <xf numFmtId="166" fontId="14" fillId="3" borderId="0" xfId="0" applyNumberFormat="1" applyFont="1" applyFill="1" applyAlignment="1">
      <alignment horizontal="right" wrapText="1"/>
    </xf>
    <xf numFmtId="166" fontId="14" fillId="3" borderId="31" xfId="0" applyNumberFormat="1" applyFont="1" applyFill="1" applyBorder="1" applyAlignment="1">
      <alignment horizontal="right" wrapText="1"/>
    </xf>
    <xf numFmtId="166" fontId="4" fillId="3" borderId="86" xfId="0" applyNumberFormat="1" applyFont="1" applyFill="1" applyBorder="1" applyAlignment="1">
      <alignment vertical="center"/>
    </xf>
    <xf numFmtId="166" fontId="4" fillId="3" borderId="87" xfId="0" applyNumberFormat="1" applyFont="1" applyFill="1" applyBorder="1" applyAlignment="1">
      <alignment horizontal="right" wrapText="1"/>
    </xf>
    <xf numFmtId="166" fontId="13" fillId="0" borderId="55" xfId="0" applyNumberFormat="1" applyFont="1" applyBorder="1" applyAlignment="1">
      <alignment horizontal="left" shrinkToFit="1"/>
    </xf>
    <xf numFmtId="166" fontId="4" fillId="0" borderId="16" xfId="0" applyNumberFormat="1" applyFont="1" applyBorder="1" applyAlignment="1">
      <alignment horizontal="center"/>
    </xf>
    <xf numFmtId="166" fontId="28" fillId="0" borderId="0" xfId="0" applyNumberFormat="1" applyFont="1"/>
    <xf numFmtId="166" fontId="16" fillId="0" borderId="5" xfId="0" applyNumberFormat="1" applyFont="1" applyBorder="1" applyAlignment="1">
      <alignment horizontal="left" vertical="top" wrapText="1"/>
    </xf>
    <xf numFmtId="2" fontId="23" fillId="0" borderId="0" xfId="0" applyNumberFormat="1" applyFont="1"/>
    <xf numFmtId="166" fontId="29" fillId="0" borderId="0" xfId="0" applyNumberFormat="1" applyFont="1"/>
    <xf numFmtId="166" fontId="16" fillId="0" borderId="32" xfId="0" applyNumberFormat="1" applyFont="1" applyBorder="1" applyAlignment="1">
      <alignment wrapText="1"/>
    </xf>
    <xf numFmtId="166" fontId="16" fillId="0" borderId="5" xfId="0" applyNumberFormat="1" applyFont="1" applyBorder="1" applyAlignment="1">
      <alignment horizontal="left" wrapText="1"/>
    </xf>
    <xf numFmtId="166" fontId="16" fillId="0" borderId="2" xfId="0" applyNumberFormat="1" applyFont="1" applyBorder="1" applyAlignment="1">
      <alignment horizontal="left" vertical="distributed" wrapText="1"/>
    </xf>
    <xf numFmtId="166" fontId="13" fillId="0" borderId="18" xfId="0" applyNumberFormat="1" applyFont="1" applyBorder="1" applyAlignment="1">
      <alignment horizontal="left" vertical="top" wrapText="1"/>
    </xf>
    <xf numFmtId="166" fontId="3" fillId="0" borderId="0" xfId="0" applyNumberFormat="1" applyFont="1"/>
    <xf numFmtId="166" fontId="5" fillId="0" borderId="0" xfId="0" applyNumberFormat="1" applyFont="1"/>
    <xf numFmtId="166" fontId="30" fillId="0" borderId="0" xfId="0" applyNumberFormat="1" applyFont="1"/>
    <xf numFmtId="166" fontId="4" fillId="0" borderId="84" xfId="0" applyNumberFormat="1" applyFont="1" applyBorder="1"/>
    <xf numFmtId="166" fontId="4" fillId="0" borderId="88" xfId="0" applyNumberFormat="1" applyFont="1" applyBorder="1"/>
    <xf numFmtId="166" fontId="16" fillId="0" borderId="88" xfId="0" applyNumberFormat="1" applyFont="1" applyBorder="1"/>
    <xf numFmtId="166" fontId="13" fillId="0" borderId="90" xfId="0" applyNumberFormat="1" applyFont="1" applyBorder="1"/>
    <xf numFmtId="166" fontId="16" fillId="0" borderId="91" xfId="0" applyNumberFormat="1" applyFont="1" applyBorder="1"/>
    <xf numFmtId="166" fontId="4" fillId="2" borderId="92" xfId="0" applyNumberFormat="1" applyFont="1" applyFill="1" applyBorder="1"/>
    <xf numFmtId="166" fontId="4" fillId="2" borderId="88" xfId="0" applyNumberFormat="1" applyFont="1" applyFill="1" applyBorder="1"/>
    <xf numFmtId="166" fontId="4" fillId="2" borderId="91" xfId="0" applyNumberFormat="1" applyFont="1" applyFill="1" applyBorder="1"/>
    <xf numFmtId="166" fontId="4" fillId="2" borderId="82" xfId="0" applyNumberFormat="1" applyFont="1" applyFill="1" applyBorder="1"/>
    <xf numFmtId="166" fontId="4" fillId="2" borderId="93" xfId="0" applyNumberFormat="1" applyFont="1" applyFill="1" applyBorder="1"/>
    <xf numFmtId="166" fontId="4" fillId="2" borderId="71" xfId="0" applyNumberFormat="1" applyFont="1" applyFill="1" applyBorder="1"/>
    <xf numFmtId="166" fontId="4" fillId="0" borderId="39" xfId="0" applyNumberFormat="1" applyFont="1" applyBorder="1" applyAlignment="1">
      <alignment vertical="center"/>
    </xf>
    <xf numFmtId="166" fontId="4" fillId="0" borderId="39" xfId="0" applyNumberFormat="1" applyFont="1" applyBorder="1" applyAlignment="1">
      <alignment horizontal="center"/>
    </xf>
    <xf numFmtId="166" fontId="4" fillId="2" borderId="39" xfId="0" applyNumberFormat="1" applyFont="1" applyFill="1" applyBorder="1" applyAlignment="1">
      <alignment horizontal="center"/>
    </xf>
    <xf numFmtId="166" fontId="4" fillId="0" borderId="34" xfId="0" applyNumberFormat="1" applyFont="1" applyBorder="1" applyAlignment="1">
      <alignment horizontal="right"/>
    </xf>
    <xf numFmtId="166" fontId="4" fillId="0" borderId="61" xfId="0" applyNumberFormat="1" applyFont="1" applyBorder="1" applyAlignment="1">
      <alignment horizontal="center"/>
    </xf>
    <xf numFmtId="166" fontId="4" fillId="2" borderId="34" xfId="0" applyNumberFormat="1" applyFont="1" applyFill="1" applyBorder="1" applyAlignment="1">
      <alignment horizontal="right" wrapText="1"/>
    </xf>
    <xf numFmtId="166" fontId="4" fillId="2" borderId="61" xfId="0" applyNumberFormat="1" applyFont="1" applyFill="1" applyBorder="1"/>
    <xf numFmtId="166" fontId="16" fillId="0" borderId="72" xfId="0" applyNumberFormat="1" applyFont="1" applyBorder="1" applyAlignment="1">
      <alignment horizontal="center"/>
    </xf>
    <xf numFmtId="166" fontId="4" fillId="0" borderId="50" xfId="0" applyNumberFormat="1" applyFont="1" applyBorder="1"/>
    <xf numFmtId="166" fontId="4" fillId="0" borderId="66" xfId="0" applyNumberFormat="1" applyFont="1" applyBorder="1"/>
    <xf numFmtId="166" fontId="4" fillId="0" borderId="69" xfId="0" applyNumberFormat="1" applyFont="1" applyBorder="1"/>
    <xf numFmtId="166" fontId="4" fillId="0" borderId="73" xfId="0" applyNumberFormat="1" applyFont="1" applyBorder="1"/>
    <xf numFmtId="166" fontId="25" fillId="0" borderId="5" xfId="0" applyNumberFormat="1" applyFont="1" applyBorder="1"/>
    <xf numFmtId="166" fontId="25" fillId="0" borderId="34" xfId="0" applyNumberFormat="1" applyFont="1" applyBorder="1"/>
    <xf numFmtId="166" fontId="25" fillId="0" borderId="2" xfId="0" applyNumberFormat="1" applyFont="1" applyBorder="1"/>
    <xf numFmtId="166" fontId="4" fillId="0" borderId="71" xfId="0" applyNumberFormat="1" applyFont="1" applyBorder="1"/>
    <xf numFmtId="166" fontId="16" fillId="0" borderId="77" xfId="0" applyNumberFormat="1" applyFont="1" applyBorder="1"/>
    <xf numFmtId="166" fontId="6" fillId="0" borderId="32" xfId="0" applyNumberFormat="1" applyFont="1" applyBorder="1"/>
    <xf numFmtId="166" fontId="4" fillId="0" borderId="65" xfId="0" applyNumberFormat="1" applyFont="1" applyBorder="1"/>
    <xf numFmtId="166" fontId="4" fillId="0" borderId="56" xfId="0" applyNumberFormat="1" applyFont="1" applyBorder="1"/>
    <xf numFmtId="166" fontId="16" fillId="0" borderId="2" xfId="0" applyNumberFormat="1" applyFont="1" applyBorder="1"/>
    <xf numFmtId="166" fontId="13" fillId="0" borderId="89" xfId="0" applyNumberFormat="1" applyFont="1" applyBorder="1"/>
    <xf numFmtId="166" fontId="4" fillId="0" borderId="88" xfId="0" applyNumberFormat="1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6" fontId="13" fillId="2" borderId="0" xfId="0" applyNumberFormat="1" applyFont="1" applyFill="1" applyAlignment="1">
      <alignment horizontal="center"/>
    </xf>
    <xf numFmtId="166" fontId="4" fillId="0" borderId="29" xfId="0" applyNumberFormat="1" applyFont="1" applyBorder="1" applyAlignment="1">
      <alignment horizontal="center"/>
    </xf>
    <xf numFmtId="166" fontId="16" fillId="0" borderId="32" xfId="0" applyNumberFormat="1" applyFont="1" applyBorder="1" applyAlignment="1">
      <alignment horizontal="center" vertical="top" wrapText="1"/>
    </xf>
    <xf numFmtId="166" fontId="4" fillId="0" borderId="32" xfId="0" applyNumberFormat="1" applyFont="1" applyBorder="1" applyAlignment="1">
      <alignment horizontal="left" vertical="top" wrapText="1"/>
    </xf>
    <xf numFmtId="166" fontId="4" fillId="0" borderId="44" xfId="0" applyNumberFormat="1" applyFont="1" applyBorder="1" applyAlignment="1">
      <alignment horizontal="center"/>
    </xf>
    <xf numFmtId="166" fontId="4" fillId="0" borderId="32" xfId="0" applyNumberFormat="1" applyFont="1" applyBorder="1" applyAlignment="1">
      <alignment horizontal="center" vertical="top" wrapText="1"/>
    </xf>
    <xf numFmtId="166" fontId="16" fillId="0" borderId="32" xfId="0" applyNumberFormat="1" applyFont="1" applyBorder="1" applyAlignment="1">
      <alignment horizontal="center" vertical="center" wrapText="1"/>
    </xf>
    <xf numFmtId="166" fontId="16" fillId="0" borderId="29" xfId="0" applyNumberFormat="1" applyFont="1" applyBorder="1" applyAlignment="1">
      <alignment horizontal="center" vertical="center" wrapText="1"/>
    </xf>
    <xf numFmtId="166" fontId="13" fillId="0" borderId="32" xfId="0" applyNumberFormat="1" applyFont="1" applyBorder="1" applyAlignment="1">
      <alignment horizontal="left" vertical="top" wrapText="1"/>
    </xf>
    <xf numFmtId="166" fontId="4" fillId="0" borderId="29" xfId="0" applyNumberFormat="1" applyFont="1" applyBorder="1" applyAlignment="1">
      <alignment horizontal="center" vertical="top" wrapText="1"/>
    </xf>
    <xf numFmtId="166" fontId="14" fillId="3" borderId="32" xfId="0" applyNumberFormat="1" applyFont="1" applyFill="1" applyBorder="1" applyAlignment="1">
      <alignment horizontal="right" wrapText="1"/>
    </xf>
    <xf numFmtId="166" fontId="13" fillId="0" borderId="32" xfId="0" applyNumberFormat="1" applyFont="1" applyBorder="1" applyAlignment="1">
      <alignment horizontal="left" shrinkToFit="1"/>
    </xf>
  </cellXfs>
  <cellStyles count="2">
    <cellStyle name="Įprastas" xfId="0" builtinId="0"/>
    <cellStyle name="Įprastas 2" xfId="1" xr:uid="{CC215BDA-89A0-4381-9D4B-35D110D987A8}"/>
  </cellStyles>
  <dxfs count="0"/>
  <tableStyles count="0" defaultTableStyle="TableStyleMedium2" defaultPivotStyle="PivotStyleLight16"/>
  <colors>
    <mruColors>
      <color rgb="FFFFFFCC"/>
      <color rgb="FFCCFFCC"/>
      <color rgb="FFFF99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D80E8-0AD1-440E-9324-3A5DDAC0F2A2}">
  <dimension ref="A1:F51"/>
  <sheetViews>
    <sheetView tabSelected="1" zoomScaleNormal="100" workbookViewId="0"/>
  </sheetViews>
  <sheetFormatPr defaultRowHeight="15" x14ac:dyDescent="0.25"/>
  <cols>
    <col min="1" max="1" width="7.5703125" customWidth="1"/>
    <col min="2" max="2" width="64.140625" customWidth="1"/>
    <col min="3" max="5" width="15.85546875" customWidth="1"/>
  </cols>
  <sheetData>
    <row r="1" spans="1:6" ht="15.75" x14ac:dyDescent="0.25">
      <c r="A1" s="2"/>
      <c r="B1" s="2"/>
      <c r="C1" s="9" t="s">
        <v>21</v>
      </c>
      <c r="D1" s="10"/>
      <c r="E1" s="10"/>
    </row>
    <row r="2" spans="1:6" ht="15.75" customHeight="1" x14ac:dyDescent="0.25">
      <c r="A2" s="2"/>
      <c r="C2" s="531" t="s">
        <v>625</v>
      </c>
      <c r="D2" s="531"/>
      <c r="E2" s="531"/>
    </row>
    <row r="3" spans="1:6" ht="15.75" x14ac:dyDescent="0.25">
      <c r="A3" s="2"/>
      <c r="B3" s="4"/>
      <c r="C3" s="10"/>
      <c r="D3" s="10"/>
      <c r="E3" s="11" t="s">
        <v>90</v>
      </c>
    </row>
    <row r="4" spans="1:6" ht="18.75" x14ac:dyDescent="0.3">
      <c r="A4" s="532" t="s">
        <v>626</v>
      </c>
      <c r="B4" s="532"/>
      <c r="C4" s="532"/>
      <c r="D4" s="532"/>
      <c r="E4" s="532"/>
      <c r="F4" s="1"/>
    </row>
    <row r="5" spans="1:6" ht="15.75" x14ac:dyDescent="0.25">
      <c r="A5" s="2"/>
      <c r="B5" s="2"/>
      <c r="E5" s="11" t="s">
        <v>22</v>
      </c>
    </row>
    <row r="6" spans="1:6" ht="31.5" x14ac:dyDescent="0.25">
      <c r="A6" s="12" t="s">
        <v>0</v>
      </c>
      <c r="B6" s="13" t="s">
        <v>23</v>
      </c>
      <c r="C6" s="14" t="s">
        <v>383</v>
      </c>
      <c r="D6" s="14" t="s">
        <v>384</v>
      </c>
      <c r="E6" s="13" t="s">
        <v>627</v>
      </c>
    </row>
    <row r="7" spans="1:6" ht="15.75" x14ac:dyDescent="0.25">
      <c r="A7" s="15" t="s">
        <v>1</v>
      </c>
      <c r="B7" s="16" t="s">
        <v>25</v>
      </c>
      <c r="C7" s="30">
        <f>C8+C11+C15</f>
        <v>104971</v>
      </c>
      <c r="D7" s="30">
        <f t="shared" ref="D7:E7" si="0">D8+D11+D15</f>
        <v>113409</v>
      </c>
      <c r="E7" s="30">
        <f t="shared" si="0"/>
        <v>120000</v>
      </c>
    </row>
    <row r="8" spans="1:6" ht="15.75" x14ac:dyDescent="0.25">
      <c r="A8" s="17" t="s">
        <v>24</v>
      </c>
      <c r="B8" s="18" t="s">
        <v>26</v>
      </c>
      <c r="C8" s="36">
        <f>SUM(C9:C10)</f>
        <v>100250</v>
      </c>
      <c r="D8" s="129">
        <f t="shared" ref="D8:E8" si="1">SUM(D9:D10)</f>
        <v>108488</v>
      </c>
      <c r="E8" s="129">
        <f t="shared" si="1"/>
        <v>115079</v>
      </c>
    </row>
    <row r="9" spans="1:6" ht="30" customHeight="1" x14ac:dyDescent="0.25">
      <c r="A9" s="19" t="s">
        <v>27</v>
      </c>
      <c r="B9" s="20" t="s">
        <v>385</v>
      </c>
      <c r="C9" s="43">
        <v>100090</v>
      </c>
      <c r="D9" s="114">
        <v>108328</v>
      </c>
      <c r="E9" s="148">
        <v>114909</v>
      </c>
    </row>
    <row r="10" spans="1:6" ht="31.5" customHeight="1" x14ac:dyDescent="0.25">
      <c r="A10" s="22" t="s">
        <v>28</v>
      </c>
      <c r="B10" s="23" t="s">
        <v>29</v>
      </c>
      <c r="C10" s="43">
        <v>160</v>
      </c>
      <c r="D10" s="149">
        <v>160</v>
      </c>
      <c r="E10" s="150">
        <v>170</v>
      </c>
    </row>
    <row r="11" spans="1:6" ht="15.75" x14ac:dyDescent="0.25">
      <c r="A11" s="17" t="s">
        <v>5</v>
      </c>
      <c r="B11" s="18" t="s">
        <v>30</v>
      </c>
      <c r="C11" s="36">
        <f>SUM(C12:C14)</f>
        <v>4140</v>
      </c>
      <c r="D11" s="129">
        <f t="shared" ref="D11:E11" si="2">SUM(D12:D14)</f>
        <v>4340</v>
      </c>
      <c r="E11" s="129">
        <f t="shared" si="2"/>
        <v>4340</v>
      </c>
    </row>
    <row r="12" spans="1:6" ht="15.75" x14ac:dyDescent="0.25">
      <c r="A12" s="22" t="s">
        <v>7</v>
      </c>
      <c r="B12" s="24" t="s">
        <v>3</v>
      </c>
      <c r="C12" s="43">
        <v>1500</v>
      </c>
      <c r="D12" s="114">
        <v>1500</v>
      </c>
      <c r="E12" s="148">
        <v>1500</v>
      </c>
    </row>
    <row r="13" spans="1:6" ht="15.75" x14ac:dyDescent="0.25">
      <c r="A13" s="22" t="s">
        <v>13</v>
      </c>
      <c r="B13" s="24" t="s">
        <v>31</v>
      </c>
      <c r="C13" s="43">
        <v>40</v>
      </c>
      <c r="D13" s="114">
        <v>40</v>
      </c>
      <c r="E13" s="148">
        <v>40</v>
      </c>
    </row>
    <row r="14" spans="1:6" ht="15.75" x14ac:dyDescent="0.25">
      <c r="A14" s="22" t="s">
        <v>14</v>
      </c>
      <c r="B14" s="24" t="s">
        <v>4</v>
      </c>
      <c r="C14" s="43">
        <v>2600</v>
      </c>
      <c r="D14" s="41">
        <v>2800</v>
      </c>
      <c r="E14" s="150">
        <v>2800</v>
      </c>
    </row>
    <row r="15" spans="1:6" ht="15.75" x14ac:dyDescent="0.25">
      <c r="A15" s="17" t="s">
        <v>15</v>
      </c>
      <c r="B15" s="18" t="s">
        <v>32</v>
      </c>
      <c r="C15" s="36">
        <f>C16</f>
        <v>581</v>
      </c>
      <c r="D15" s="36">
        <f t="shared" ref="D15:E15" si="3">D16</f>
        <v>581</v>
      </c>
      <c r="E15" s="129">
        <f t="shared" si="3"/>
        <v>581</v>
      </c>
    </row>
    <row r="16" spans="1:6" ht="15.75" x14ac:dyDescent="0.25">
      <c r="A16" s="22" t="s">
        <v>18</v>
      </c>
      <c r="B16" s="24" t="s">
        <v>33</v>
      </c>
      <c r="C16" s="43">
        <v>581</v>
      </c>
      <c r="D16" s="41">
        <v>581</v>
      </c>
      <c r="E16" s="150">
        <v>581</v>
      </c>
    </row>
    <row r="17" spans="1:5" ht="15.75" x14ac:dyDescent="0.25">
      <c r="A17" s="17" t="s">
        <v>17</v>
      </c>
      <c r="B17" s="18" t="s">
        <v>67</v>
      </c>
      <c r="C17" s="36">
        <f>C18+C27+C36+C37</f>
        <v>14338.4</v>
      </c>
      <c r="D17" s="36">
        <f t="shared" ref="D17:E17" si="4">D18+D27+D36+D37</f>
        <v>14271.5</v>
      </c>
      <c r="E17" s="129">
        <f t="shared" si="4"/>
        <v>14050.6</v>
      </c>
    </row>
    <row r="18" spans="1:5" ht="15.75" x14ac:dyDescent="0.25">
      <c r="A18" s="17" t="s">
        <v>48</v>
      </c>
      <c r="B18" s="18" t="s">
        <v>49</v>
      </c>
      <c r="C18" s="36">
        <f>SUM(C19:C22)</f>
        <v>980</v>
      </c>
      <c r="D18" s="36">
        <f t="shared" ref="D18:E18" si="5">SUM(D19:D22)</f>
        <v>1000</v>
      </c>
      <c r="E18" s="129">
        <f t="shared" si="5"/>
        <v>1000</v>
      </c>
    </row>
    <row r="19" spans="1:5" ht="15.75" x14ac:dyDescent="0.25">
      <c r="A19" s="22" t="s">
        <v>34</v>
      </c>
      <c r="B19" s="24" t="s">
        <v>20</v>
      </c>
      <c r="C19" s="43">
        <v>100</v>
      </c>
      <c r="D19" s="43">
        <v>100</v>
      </c>
      <c r="E19" s="148">
        <v>100</v>
      </c>
    </row>
    <row r="20" spans="1:5" ht="15.75" x14ac:dyDescent="0.25">
      <c r="A20" s="22" t="s">
        <v>35</v>
      </c>
      <c r="B20" s="24" t="s">
        <v>6</v>
      </c>
      <c r="C20" s="43">
        <v>150</v>
      </c>
      <c r="D20" s="43">
        <v>150</v>
      </c>
      <c r="E20" s="148">
        <v>150</v>
      </c>
    </row>
    <row r="21" spans="1:5" ht="15.75" x14ac:dyDescent="0.25">
      <c r="A21" s="22" t="s">
        <v>36</v>
      </c>
      <c r="B21" s="24" t="s">
        <v>37</v>
      </c>
      <c r="C21" s="43">
        <v>360</v>
      </c>
      <c r="D21" s="41">
        <v>380</v>
      </c>
      <c r="E21" s="150">
        <v>380</v>
      </c>
    </row>
    <row r="22" spans="1:5" ht="15.75" x14ac:dyDescent="0.25">
      <c r="A22" s="22" t="s">
        <v>38</v>
      </c>
      <c r="B22" s="24" t="s">
        <v>39</v>
      </c>
      <c r="C22" s="43">
        <f>SUM(C23:C26)</f>
        <v>370</v>
      </c>
      <c r="D22" s="43">
        <f t="shared" ref="D22:E22" si="6">SUM(D23:D26)</f>
        <v>370</v>
      </c>
      <c r="E22" s="114">
        <f t="shared" si="6"/>
        <v>370</v>
      </c>
    </row>
    <row r="23" spans="1:5" ht="15.75" x14ac:dyDescent="0.25">
      <c r="A23" s="22" t="s">
        <v>40</v>
      </c>
      <c r="B23" s="24" t="s">
        <v>44</v>
      </c>
      <c r="C23" s="43">
        <v>40</v>
      </c>
      <c r="D23" s="43">
        <v>40</v>
      </c>
      <c r="E23" s="148">
        <v>40</v>
      </c>
    </row>
    <row r="24" spans="1:5" ht="15.75" x14ac:dyDescent="0.25">
      <c r="A24" s="22" t="s">
        <v>41</v>
      </c>
      <c r="B24" s="24" t="s">
        <v>45</v>
      </c>
      <c r="C24" s="43">
        <v>270</v>
      </c>
      <c r="D24" s="43">
        <v>270</v>
      </c>
      <c r="E24" s="148">
        <v>270</v>
      </c>
    </row>
    <row r="25" spans="1:5" ht="15.75" x14ac:dyDescent="0.25">
      <c r="A25" s="22" t="s">
        <v>42</v>
      </c>
      <c r="B25" s="24" t="s">
        <v>46</v>
      </c>
      <c r="C25" s="43">
        <v>20</v>
      </c>
      <c r="D25" s="43">
        <v>20</v>
      </c>
      <c r="E25" s="148">
        <v>20</v>
      </c>
    </row>
    <row r="26" spans="1:5" ht="15.75" x14ac:dyDescent="0.25">
      <c r="A26" s="22" t="s">
        <v>43</v>
      </c>
      <c r="B26" s="24" t="s">
        <v>47</v>
      </c>
      <c r="C26" s="43">
        <v>40</v>
      </c>
      <c r="D26" s="41">
        <v>40</v>
      </c>
      <c r="E26" s="150">
        <v>40</v>
      </c>
    </row>
    <row r="27" spans="1:5" ht="15.75" x14ac:dyDescent="0.25">
      <c r="A27" s="17" t="s">
        <v>50</v>
      </c>
      <c r="B27" s="18" t="s">
        <v>61</v>
      </c>
      <c r="C27" s="36">
        <f>C28+C33+C34</f>
        <v>12468.4</v>
      </c>
      <c r="D27" s="36">
        <f t="shared" ref="D27:E27" si="7">D28+D33+D34</f>
        <v>12571.5</v>
      </c>
      <c r="E27" s="129">
        <f t="shared" si="7"/>
        <v>12650.6</v>
      </c>
    </row>
    <row r="28" spans="1:5" ht="15.75" x14ac:dyDescent="0.25">
      <c r="A28" s="22" t="s">
        <v>51</v>
      </c>
      <c r="B28" s="24" t="s">
        <v>52</v>
      </c>
      <c r="C28" s="114">
        <f>SUM(C29:C32)</f>
        <v>8748.4</v>
      </c>
      <c r="D28" s="43">
        <f t="shared" ref="D28:E28" si="8">SUM(D29:D32)</f>
        <v>8841.5</v>
      </c>
      <c r="E28" s="114">
        <f t="shared" si="8"/>
        <v>8900.6</v>
      </c>
    </row>
    <row r="29" spans="1:5" ht="15.75" x14ac:dyDescent="0.25">
      <c r="A29" s="22" t="s">
        <v>53</v>
      </c>
      <c r="B29" s="24" t="s">
        <v>9</v>
      </c>
      <c r="C29" s="114">
        <f>394.5+26</f>
        <v>420.5</v>
      </c>
      <c r="D29" s="43">
        <f>399.5+26</f>
        <v>425.5</v>
      </c>
      <c r="E29" s="148">
        <f>404.5+26</f>
        <v>430.5</v>
      </c>
    </row>
    <row r="30" spans="1:5" ht="15.75" x14ac:dyDescent="0.25">
      <c r="A30" s="22" t="s">
        <v>54</v>
      </c>
      <c r="B30" s="24" t="s">
        <v>8</v>
      </c>
      <c r="C30" s="114">
        <v>3888.4</v>
      </c>
      <c r="D30" s="43">
        <v>3899.8</v>
      </c>
      <c r="E30" s="148">
        <v>3921.6</v>
      </c>
    </row>
    <row r="31" spans="1:5" ht="15.75" x14ac:dyDescent="0.25">
      <c r="A31" s="22" t="s">
        <v>55</v>
      </c>
      <c r="B31" s="24" t="s">
        <v>10</v>
      </c>
      <c r="C31" s="114">
        <v>3629.5</v>
      </c>
      <c r="D31" s="43">
        <v>3706.2</v>
      </c>
      <c r="E31" s="148">
        <v>3738.5</v>
      </c>
    </row>
    <row r="32" spans="1:5" ht="15.75" x14ac:dyDescent="0.25">
      <c r="A32" s="22" t="s">
        <v>56</v>
      </c>
      <c r="B32" s="24" t="s">
        <v>19</v>
      </c>
      <c r="C32" s="114">
        <v>810</v>
      </c>
      <c r="D32" s="43">
        <v>810</v>
      </c>
      <c r="E32" s="148">
        <v>810</v>
      </c>
    </row>
    <row r="33" spans="1:5" ht="15.75" x14ac:dyDescent="0.25">
      <c r="A33" s="22" t="s">
        <v>57</v>
      </c>
      <c r="B33" s="24" t="s">
        <v>11</v>
      </c>
      <c r="C33" s="114">
        <v>150</v>
      </c>
      <c r="D33" s="43">
        <v>150</v>
      </c>
      <c r="E33" s="148">
        <v>160</v>
      </c>
    </row>
    <row r="34" spans="1:5" ht="15.75" x14ac:dyDescent="0.25">
      <c r="A34" s="22" t="s">
        <v>58</v>
      </c>
      <c r="B34" s="24" t="s">
        <v>59</v>
      </c>
      <c r="C34" s="114">
        <v>3570</v>
      </c>
      <c r="D34" s="43">
        <v>3580</v>
      </c>
      <c r="E34" s="148">
        <v>3590</v>
      </c>
    </row>
    <row r="35" spans="1:5" ht="15.75" x14ac:dyDescent="0.25">
      <c r="A35" s="22" t="s">
        <v>60</v>
      </c>
      <c r="B35" s="24" t="s">
        <v>12</v>
      </c>
      <c r="C35" s="114">
        <v>3430</v>
      </c>
      <c r="D35" s="43">
        <v>3430</v>
      </c>
      <c r="E35" s="148">
        <v>3430</v>
      </c>
    </row>
    <row r="36" spans="1:5" ht="15.75" x14ac:dyDescent="0.25">
      <c r="A36" s="17" t="s">
        <v>62</v>
      </c>
      <c r="B36" s="18" t="s">
        <v>63</v>
      </c>
      <c r="C36" s="129">
        <v>200</v>
      </c>
      <c r="D36" s="36">
        <v>200</v>
      </c>
      <c r="E36" s="151">
        <v>200</v>
      </c>
    </row>
    <row r="37" spans="1:5" ht="15.75" x14ac:dyDescent="0.25">
      <c r="A37" s="17" t="s">
        <v>64</v>
      </c>
      <c r="B37" s="18" t="s">
        <v>65</v>
      </c>
      <c r="C37" s="129">
        <v>690</v>
      </c>
      <c r="D37" s="36">
        <v>500</v>
      </c>
      <c r="E37" s="151">
        <v>200</v>
      </c>
    </row>
    <row r="38" spans="1:5" ht="31.5" x14ac:dyDescent="0.25">
      <c r="A38" s="17" t="s">
        <v>66</v>
      </c>
      <c r="B38" s="25" t="s">
        <v>68</v>
      </c>
      <c r="C38" s="129">
        <v>312</v>
      </c>
      <c r="D38" s="36">
        <v>300</v>
      </c>
      <c r="E38" s="151">
        <v>300</v>
      </c>
    </row>
    <row r="39" spans="1:5" ht="15.75" x14ac:dyDescent="0.25">
      <c r="A39" s="22" t="s">
        <v>69</v>
      </c>
      <c r="B39" s="24" t="s">
        <v>16</v>
      </c>
      <c r="C39" s="114">
        <v>200</v>
      </c>
      <c r="D39" s="41">
        <v>200</v>
      </c>
      <c r="E39" s="150">
        <v>200</v>
      </c>
    </row>
    <row r="40" spans="1:5" ht="31.5" x14ac:dyDescent="0.25">
      <c r="A40" s="17" t="s">
        <v>70</v>
      </c>
      <c r="B40" s="25" t="s">
        <v>71</v>
      </c>
      <c r="C40" s="129">
        <f>C7+C17+C38</f>
        <v>119621.4</v>
      </c>
      <c r="D40" s="36">
        <f t="shared" ref="D40:E40" si="9">D7+D17+D38</f>
        <v>127980.5</v>
      </c>
      <c r="E40" s="129">
        <f t="shared" si="9"/>
        <v>134350.6</v>
      </c>
    </row>
    <row r="41" spans="1:5" ht="15.75" x14ac:dyDescent="0.25">
      <c r="A41" s="17" t="s">
        <v>72</v>
      </c>
      <c r="B41" s="18" t="s">
        <v>89</v>
      </c>
      <c r="C41" s="130">
        <f>C42+C48</f>
        <v>71969.35500000001</v>
      </c>
      <c r="D41" s="36">
        <f t="shared" ref="D41:E41" si="10">D42+D48</f>
        <v>74712.247999999992</v>
      </c>
      <c r="E41" s="129">
        <f t="shared" si="10"/>
        <v>63242.903999999995</v>
      </c>
    </row>
    <row r="42" spans="1:5" ht="15.75" x14ac:dyDescent="0.25">
      <c r="A42" s="17" t="s">
        <v>73</v>
      </c>
      <c r="B42" s="18" t="s">
        <v>84</v>
      </c>
      <c r="C42" s="131">
        <f>SUM(C43:C47)</f>
        <v>53761.855000000003</v>
      </c>
      <c r="D42" s="43">
        <f t="shared" ref="D42:E42" si="11">SUM(D43:D47)</f>
        <v>57326.648000000001</v>
      </c>
      <c r="E42" s="114">
        <f t="shared" si="11"/>
        <v>56971.703999999998</v>
      </c>
    </row>
    <row r="43" spans="1:5" ht="30.75" x14ac:dyDescent="0.25">
      <c r="A43" s="22" t="s">
        <v>74</v>
      </c>
      <c r="B43" s="23" t="s">
        <v>75</v>
      </c>
      <c r="C43" s="114">
        <v>8280.098</v>
      </c>
      <c r="D43" s="114">
        <v>8682.3979999999992</v>
      </c>
      <c r="E43" s="148">
        <v>8939.3979999999992</v>
      </c>
    </row>
    <row r="44" spans="1:5" ht="15.75" x14ac:dyDescent="0.25">
      <c r="A44" s="22" t="s">
        <v>76</v>
      </c>
      <c r="B44" s="24" t="s">
        <v>77</v>
      </c>
      <c r="C44" s="114">
        <v>38347.800000000003</v>
      </c>
      <c r="D44" s="43">
        <v>41415.599999999999</v>
      </c>
      <c r="E44" s="148">
        <v>41415.599999999999</v>
      </c>
    </row>
    <row r="45" spans="1:5" ht="15.75" x14ac:dyDescent="0.25">
      <c r="A45" s="22" t="s">
        <v>78</v>
      </c>
      <c r="B45" s="24" t="s">
        <v>81</v>
      </c>
      <c r="C45" s="114">
        <v>295.10000000000002</v>
      </c>
      <c r="D45" s="43">
        <v>309.5</v>
      </c>
      <c r="E45" s="148">
        <v>324.7</v>
      </c>
    </row>
    <row r="46" spans="1:5" ht="30.75" x14ac:dyDescent="0.25">
      <c r="A46" s="19" t="s">
        <v>79</v>
      </c>
      <c r="B46" s="23" t="s">
        <v>80</v>
      </c>
      <c r="C46" s="114">
        <v>147.80000000000001</v>
      </c>
      <c r="D46" s="43">
        <v>147.80000000000001</v>
      </c>
      <c r="E46" s="148">
        <v>147.80000000000001</v>
      </c>
    </row>
    <row r="47" spans="1:5" ht="15.75" x14ac:dyDescent="0.25">
      <c r="A47" s="22" t="s">
        <v>82</v>
      </c>
      <c r="B47" s="24" t="s">
        <v>83</v>
      </c>
      <c r="C47" s="114">
        <v>6691.0569999999998</v>
      </c>
      <c r="D47" s="114">
        <v>6771.35</v>
      </c>
      <c r="E47" s="148">
        <v>6144.2060000000001</v>
      </c>
    </row>
    <row r="48" spans="1:5" ht="48" customHeight="1" x14ac:dyDescent="0.25">
      <c r="A48" s="26" t="s">
        <v>85</v>
      </c>
      <c r="B48" s="27" t="s">
        <v>86</v>
      </c>
      <c r="C48" s="155">
        <v>18207.5</v>
      </c>
      <c r="D48" s="153">
        <v>17385.599999999999</v>
      </c>
      <c r="E48" s="154">
        <v>6271.2</v>
      </c>
    </row>
    <row r="49" spans="1:5" ht="15.75" x14ac:dyDescent="0.25">
      <c r="A49" s="28" t="s">
        <v>87</v>
      </c>
      <c r="B49" s="29" t="s">
        <v>88</v>
      </c>
      <c r="C49" s="132">
        <f>C40+C41</f>
        <v>191590.755</v>
      </c>
      <c r="D49" s="77">
        <f t="shared" ref="D49:E49" si="12">D40+D41</f>
        <v>202692.74799999999</v>
      </c>
      <c r="E49" s="125">
        <f t="shared" si="12"/>
        <v>197593.50400000002</v>
      </c>
    </row>
    <row r="50" spans="1:5" x14ac:dyDescent="0.25">
      <c r="C50" s="7"/>
      <c r="D50" s="7"/>
    </row>
    <row r="51" spans="1:5" x14ac:dyDescent="0.25">
      <c r="B51" t="s">
        <v>380</v>
      </c>
    </row>
  </sheetData>
  <mergeCells count="2">
    <mergeCell ref="C2:E2"/>
    <mergeCell ref="A4:E4"/>
  </mergeCells>
  <phoneticPr fontId="18" type="noConversion"/>
  <pageMargins left="0.70866141732283472" right="0.70866141732283472" top="0.74803149606299213" bottom="0.55118110236220474" header="0.31496062992125984" footer="0.31496062992125984"/>
  <pageSetup paperSize="9" orientation="landscape" horizontalDpi="4294967293" verticalDpi="4294967293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9B33-D18F-4A64-B4BA-4AE7CDCB2919}">
  <dimension ref="A1:F23"/>
  <sheetViews>
    <sheetView zoomScaleNormal="100" workbookViewId="0"/>
  </sheetViews>
  <sheetFormatPr defaultRowHeight="15" x14ac:dyDescent="0.25"/>
  <cols>
    <col min="1" max="1" width="12" customWidth="1"/>
    <col min="2" max="2" width="52.85546875" customWidth="1"/>
    <col min="3" max="5" width="15.5703125" customWidth="1"/>
  </cols>
  <sheetData>
    <row r="1" spans="1:6" ht="15.75" x14ac:dyDescent="0.25">
      <c r="A1" s="2"/>
      <c r="B1" s="2"/>
      <c r="C1" s="9" t="s">
        <v>21</v>
      </c>
    </row>
    <row r="2" spans="1:6" ht="15.75" x14ac:dyDescent="0.25">
      <c r="A2" s="2"/>
      <c r="B2" s="2"/>
      <c r="C2" s="83" t="s">
        <v>625</v>
      </c>
    </row>
    <row r="3" spans="1:6" ht="15.75" x14ac:dyDescent="0.25">
      <c r="A3" s="2"/>
      <c r="B3" s="2"/>
      <c r="E3" s="84" t="s">
        <v>605</v>
      </c>
    </row>
    <row r="4" spans="1:6" ht="18.75" customHeight="1" x14ac:dyDescent="0.25">
      <c r="B4" s="533" t="s">
        <v>606</v>
      </c>
      <c r="C4" s="533"/>
      <c r="D4" s="533"/>
      <c r="E4" s="533"/>
    </row>
    <row r="5" spans="1:6" ht="15.75" x14ac:dyDescent="0.25">
      <c r="A5" s="2"/>
      <c r="B5" s="2"/>
      <c r="E5" s="84" t="s">
        <v>22</v>
      </c>
    </row>
    <row r="6" spans="1:6" ht="15.75" customHeight="1" x14ac:dyDescent="0.25">
      <c r="A6" s="85" t="s">
        <v>0</v>
      </c>
      <c r="B6" s="85" t="s">
        <v>607</v>
      </c>
      <c r="C6" s="85" t="s">
        <v>383</v>
      </c>
      <c r="D6" s="86" t="s">
        <v>666</v>
      </c>
      <c r="E6" s="87" t="s">
        <v>627</v>
      </c>
    </row>
    <row r="7" spans="1:6" ht="15.75" customHeight="1" x14ac:dyDescent="0.25">
      <c r="A7" s="88"/>
      <c r="B7" s="89"/>
      <c r="C7" s="88"/>
      <c r="D7" s="90"/>
      <c r="E7" s="91"/>
    </row>
    <row r="8" spans="1:6" ht="15.75" customHeight="1" x14ac:dyDescent="0.25">
      <c r="A8" s="92" t="s">
        <v>1</v>
      </c>
      <c r="B8" s="93" t="s">
        <v>609</v>
      </c>
      <c r="C8" s="94">
        <f>SUM(C9+C10+C11+C14+C15)</f>
        <v>2436.1</v>
      </c>
      <c r="D8" s="94">
        <f>SUM(D9+D10+D11+D14+D15)</f>
        <v>2060</v>
      </c>
      <c r="E8" s="94">
        <f>SUM(E9+E10+E11+E14+E15)</f>
        <v>2060</v>
      </c>
      <c r="F8" s="95"/>
    </row>
    <row r="9" spans="1:6" ht="15.75" customHeight="1" x14ac:dyDescent="0.25">
      <c r="A9" s="96" t="s">
        <v>2</v>
      </c>
      <c r="B9" s="97" t="s">
        <v>628</v>
      </c>
      <c r="C9" s="21">
        <v>1954.2</v>
      </c>
      <c r="D9" s="21">
        <v>2000</v>
      </c>
      <c r="E9" s="21">
        <v>2000</v>
      </c>
      <c r="F9" s="98"/>
    </row>
    <row r="10" spans="1:6" ht="31.5" customHeight="1" x14ac:dyDescent="0.25">
      <c r="A10" s="99" t="s">
        <v>610</v>
      </c>
      <c r="B10" s="100" t="s">
        <v>611</v>
      </c>
      <c r="C10" s="21">
        <v>138.9</v>
      </c>
      <c r="D10" s="101">
        <v>30</v>
      </c>
      <c r="E10" s="101">
        <v>30</v>
      </c>
    </row>
    <row r="11" spans="1:6" ht="15.75" customHeight="1" x14ac:dyDescent="0.25">
      <c r="A11" s="96" t="s">
        <v>612</v>
      </c>
      <c r="B11" s="97" t="s">
        <v>613</v>
      </c>
      <c r="C11" s="21">
        <f>SUM(C12:C13)</f>
        <v>304</v>
      </c>
      <c r="D11" s="21">
        <f>SUM(D12:D13)</f>
        <v>0</v>
      </c>
      <c r="E11" s="21">
        <f>SUM(E12:E13)</f>
        <v>0</v>
      </c>
    </row>
    <row r="12" spans="1:6" ht="15.75" customHeight="1" x14ac:dyDescent="0.25">
      <c r="A12" s="96" t="s">
        <v>614</v>
      </c>
      <c r="B12" s="97" t="s">
        <v>615</v>
      </c>
      <c r="C12" s="21">
        <v>301.5</v>
      </c>
      <c r="D12" s="101"/>
      <c r="E12" s="101"/>
      <c r="F12" s="102"/>
    </row>
    <row r="13" spans="1:6" ht="15.75" customHeight="1" x14ac:dyDescent="0.25">
      <c r="A13" s="96" t="s">
        <v>616</v>
      </c>
      <c r="B13" s="97" t="s">
        <v>617</v>
      </c>
      <c r="C13" s="21">
        <v>2.5</v>
      </c>
      <c r="D13" s="103"/>
      <c r="E13" s="103"/>
    </row>
    <row r="14" spans="1:6" ht="31.5" customHeight="1" x14ac:dyDescent="0.25">
      <c r="A14" s="99" t="s">
        <v>618</v>
      </c>
      <c r="B14" s="104" t="s">
        <v>619</v>
      </c>
      <c r="C14" s="21">
        <v>34</v>
      </c>
      <c r="D14" s="103">
        <v>30</v>
      </c>
      <c r="E14" s="103">
        <v>30</v>
      </c>
    </row>
    <row r="15" spans="1:6" ht="15.75" customHeight="1" x14ac:dyDescent="0.25">
      <c r="A15" s="99" t="s">
        <v>620</v>
      </c>
      <c r="B15" s="104" t="s">
        <v>621</v>
      </c>
      <c r="C15" s="21">
        <v>5</v>
      </c>
      <c r="D15" s="31"/>
      <c r="E15" s="31"/>
    </row>
    <row r="16" spans="1:6" ht="15.75" customHeight="1" x14ac:dyDescent="0.25">
      <c r="A16" s="105" t="s">
        <v>24</v>
      </c>
      <c r="B16" s="106" t="s">
        <v>622</v>
      </c>
      <c r="C16" s="94">
        <f>C17+C18</f>
        <v>7318.4</v>
      </c>
      <c r="D16" s="94">
        <f t="shared" ref="D16:E16" si="0">D17+D18</f>
        <v>7761.4</v>
      </c>
      <c r="E16" s="94">
        <f t="shared" si="0"/>
        <v>5749.9</v>
      </c>
    </row>
    <row r="17" spans="1:6" ht="15.75" customHeight="1" x14ac:dyDescent="0.25">
      <c r="A17" s="96" t="s">
        <v>27</v>
      </c>
      <c r="B17" s="107" t="s">
        <v>623</v>
      </c>
      <c r="C17" s="115">
        <v>5000</v>
      </c>
      <c r="D17" s="21">
        <v>5600</v>
      </c>
      <c r="E17" s="21">
        <v>5200</v>
      </c>
    </row>
    <row r="18" spans="1:6" ht="15.75" customHeight="1" x14ac:dyDescent="0.25">
      <c r="A18" s="108" t="s">
        <v>28</v>
      </c>
      <c r="B18" s="109" t="s">
        <v>624</v>
      </c>
      <c r="C18" s="116">
        <v>2318.4</v>
      </c>
      <c r="D18" s="152">
        <v>2161.4</v>
      </c>
      <c r="E18" s="152">
        <v>549.9</v>
      </c>
    </row>
    <row r="19" spans="1:6" ht="15.75" customHeight="1" x14ac:dyDescent="0.25">
      <c r="A19" s="110" t="s">
        <v>577</v>
      </c>
      <c r="B19" s="111"/>
      <c r="C19" s="112">
        <f>C8+C16</f>
        <v>9754.5</v>
      </c>
      <c r="D19" s="112">
        <f>D8+D16</f>
        <v>9821.4</v>
      </c>
      <c r="E19" s="112">
        <f>E8+E16</f>
        <v>7809.9</v>
      </c>
    </row>
    <row r="20" spans="1:6" ht="15.75" x14ac:dyDescent="0.25">
      <c r="A20" s="2"/>
      <c r="B20" s="2"/>
      <c r="C20" s="2"/>
    </row>
    <row r="21" spans="1:6" x14ac:dyDescent="0.25">
      <c r="B21" s="113"/>
      <c r="C21" s="79"/>
      <c r="F21" s="8"/>
    </row>
    <row r="23" spans="1:6" x14ac:dyDescent="0.25">
      <c r="E23" s="102"/>
    </row>
  </sheetData>
  <mergeCells count="1">
    <mergeCell ref="B4:E4"/>
  </mergeCells>
  <pageMargins left="0.7" right="0.7" top="0.75" bottom="0.75" header="0.3" footer="0.3"/>
  <pageSetup paperSize="9" orientation="landscape" horizontalDpi="4294967293" verticalDpi="4294967293" r:id="rId1"/>
  <headerFooter differentFirst="1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525B-6FF5-41BE-A418-5FDAF1140CD9}">
  <dimension ref="A1:M51"/>
  <sheetViews>
    <sheetView zoomScaleNormal="100" workbookViewId="0"/>
  </sheetViews>
  <sheetFormatPr defaultRowHeight="15" x14ac:dyDescent="0.25"/>
  <cols>
    <col min="1" max="1" width="5" customWidth="1"/>
    <col min="2" max="2" width="41.7109375" customWidth="1"/>
    <col min="3" max="3" width="10.140625" customWidth="1"/>
    <col min="4" max="4" width="12" customWidth="1"/>
    <col min="5" max="5" width="15.28515625" customWidth="1"/>
    <col min="6" max="6" width="14.28515625" customWidth="1"/>
    <col min="7" max="7" width="12" customWidth="1"/>
    <col min="8" max="8" width="11.85546875" customWidth="1"/>
  </cols>
  <sheetData>
    <row r="1" spans="1:11" ht="15.75" x14ac:dyDescent="0.25">
      <c r="A1" s="2"/>
      <c r="B1" s="2"/>
      <c r="C1" s="2"/>
      <c r="D1" s="2"/>
      <c r="E1" s="32" t="s">
        <v>21</v>
      </c>
      <c r="G1" s="32"/>
      <c r="H1" s="32"/>
      <c r="I1" s="2"/>
    </row>
    <row r="2" spans="1:11" ht="15.75" x14ac:dyDescent="0.25">
      <c r="A2" s="5"/>
      <c r="B2" s="5"/>
      <c r="C2" s="2"/>
      <c r="D2" s="2"/>
      <c r="E2" s="535" t="s">
        <v>625</v>
      </c>
      <c r="F2" s="535"/>
      <c r="G2" s="535"/>
      <c r="H2" s="535"/>
      <c r="I2" s="2"/>
    </row>
    <row r="3" spans="1:11" ht="15.75" x14ac:dyDescent="0.25">
      <c r="A3" s="5"/>
      <c r="B3" s="5"/>
      <c r="C3" s="5"/>
      <c r="D3" s="5"/>
      <c r="E3" s="32"/>
      <c r="F3" s="9"/>
      <c r="G3" s="9"/>
      <c r="H3" s="34" t="s">
        <v>575</v>
      </c>
      <c r="I3" s="2"/>
    </row>
    <row r="4" spans="1:11" ht="15.75" customHeight="1" x14ac:dyDescent="0.3">
      <c r="B4" s="534" t="s">
        <v>629</v>
      </c>
      <c r="C4" s="534"/>
      <c r="D4" s="534"/>
      <c r="E4" s="534"/>
      <c r="F4" s="534"/>
      <c r="G4" s="534"/>
      <c r="H4" s="44"/>
      <c r="I4" s="2"/>
    </row>
    <row r="5" spans="1:11" ht="15.75" x14ac:dyDescent="0.25">
      <c r="A5" s="35"/>
      <c r="B5" s="35"/>
      <c r="C5" s="35"/>
      <c r="D5" s="35"/>
      <c r="E5" s="45"/>
      <c r="F5" s="33"/>
      <c r="G5" s="9"/>
      <c r="H5" s="33" t="s">
        <v>22</v>
      </c>
      <c r="I5" s="2"/>
    </row>
    <row r="6" spans="1:11" ht="108.75" customHeight="1" x14ac:dyDescent="0.25">
      <c r="A6" s="46" t="s">
        <v>0</v>
      </c>
      <c r="B6" s="47" t="s">
        <v>576</v>
      </c>
      <c r="C6" s="48" t="s">
        <v>577</v>
      </c>
      <c r="D6" s="49" t="s">
        <v>8</v>
      </c>
      <c r="E6" s="49" t="s">
        <v>578</v>
      </c>
      <c r="F6" s="50" t="s">
        <v>9</v>
      </c>
      <c r="G6" s="50" t="s">
        <v>579</v>
      </c>
      <c r="H6" s="50" t="s">
        <v>19</v>
      </c>
      <c r="I6" s="2"/>
    </row>
    <row r="7" spans="1:11" ht="15.75" customHeight="1" x14ac:dyDescent="0.25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2"/>
    </row>
    <row r="8" spans="1:11" ht="15.75" customHeight="1" x14ac:dyDescent="0.25">
      <c r="A8" s="51" t="s">
        <v>1</v>
      </c>
      <c r="B8" s="52" t="s">
        <v>580</v>
      </c>
      <c r="C8" s="53">
        <f>SUM(D8:F8)</f>
        <v>160.1</v>
      </c>
      <c r="D8" s="81">
        <v>156</v>
      </c>
      <c r="E8" s="54"/>
      <c r="F8" s="55">
        <v>4.0999999999999996</v>
      </c>
      <c r="G8" s="51"/>
      <c r="H8" s="51"/>
      <c r="I8" s="2"/>
      <c r="K8" s="8"/>
    </row>
    <row r="9" spans="1:11" ht="15.75" customHeight="1" x14ac:dyDescent="0.25">
      <c r="A9" s="51" t="s">
        <v>24</v>
      </c>
      <c r="B9" s="56" t="s">
        <v>581</v>
      </c>
      <c r="C9" s="53">
        <f t="shared" ref="C9:C29" si="0">SUM(D9:F9)</f>
        <v>118.7</v>
      </c>
      <c r="D9" s="82">
        <v>102</v>
      </c>
      <c r="E9" s="54">
        <v>5.8</v>
      </c>
      <c r="F9" s="55">
        <v>10.9</v>
      </c>
      <c r="G9" s="55"/>
      <c r="H9" s="55"/>
      <c r="I9" s="2"/>
    </row>
    <row r="10" spans="1:11" ht="15.75" customHeight="1" x14ac:dyDescent="0.25">
      <c r="A10" s="51" t="s">
        <v>5</v>
      </c>
      <c r="B10" s="56" t="s">
        <v>91</v>
      </c>
      <c r="C10" s="53">
        <f t="shared" si="0"/>
        <v>98.9</v>
      </c>
      <c r="D10" s="81">
        <v>57.6</v>
      </c>
      <c r="E10" s="54">
        <v>38.6</v>
      </c>
      <c r="F10" s="55">
        <v>2.7</v>
      </c>
      <c r="G10" s="55"/>
      <c r="H10" s="55"/>
      <c r="I10" s="2"/>
    </row>
    <row r="11" spans="1:11" ht="15.75" customHeight="1" x14ac:dyDescent="0.25">
      <c r="A11" s="51" t="s">
        <v>7</v>
      </c>
      <c r="B11" s="56" t="s">
        <v>92</v>
      </c>
      <c r="C11" s="53">
        <f t="shared" si="0"/>
        <v>48.8</v>
      </c>
      <c r="D11" s="82">
        <v>33</v>
      </c>
      <c r="E11" s="54">
        <v>15.4</v>
      </c>
      <c r="F11" s="51">
        <v>0.4</v>
      </c>
      <c r="G11" s="51"/>
      <c r="H11" s="51"/>
      <c r="I11" s="2"/>
    </row>
    <row r="12" spans="1:11" ht="15.75" customHeight="1" x14ac:dyDescent="0.25">
      <c r="A12" s="51" t="s">
        <v>13</v>
      </c>
      <c r="B12" s="56" t="s">
        <v>583</v>
      </c>
      <c r="C12" s="53">
        <f t="shared" si="0"/>
        <v>181.5</v>
      </c>
      <c r="D12" s="82">
        <v>172.5</v>
      </c>
      <c r="E12" s="54"/>
      <c r="F12" s="55">
        <v>9</v>
      </c>
      <c r="G12" s="55"/>
      <c r="H12" s="55"/>
      <c r="I12" s="2"/>
    </row>
    <row r="13" spans="1:11" ht="15.75" customHeight="1" x14ac:dyDescent="0.25">
      <c r="A13" s="51" t="s">
        <v>14</v>
      </c>
      <c r="B13" s="56" t="s">
        <v>582</v>
      </c>
      <c r="C13" s="53">
        <f t="shared" si="0"/>
        <v>237</v>
      </c>
      <c r="D13" s="117">
        <v>225</v>
      </c>
      <c r="E13" s="118"/>
      <c r="F13" s="119">
        <v>12</v>
      </c>
      <c r="G13" s="55"/>
      <c r="H13" s="55"/>
      <c r="I13" s="2"/>
    </row>
    <row r="14" spans="1:11" ht="15.75" customHeight="1" x14ac:dyDescent="0.25">
      <c r="A14" s="51" t="s">
        <v>15</v>
      </c>
      <c r="B14" s="52" t="s">
        <v>584</v>
      </c>
      <c r="C14" s="53">
        <f t="shared" si="0"/>
        <v>56</v>
      </c>
      <c r="D14" s="120">
        <v>11.5</v>
      </c>
      <c r="E14" s="118">
        <v>42</v>
      </c>
      <c r="F14" s="119">
        <v>2.5</v>
      </c>
      <c r="G14" s="55"/>
      <c r="H14" s="55"/>
      <c r="I14" s="2"/>
    </row>
    <row r="15" spans="1:11" ht="30" customHeight="1" x14ac:dyDescent="0.25">
      <c r="A15" s="57" t="s">
        <v>18</v>
      </c>
      <c r="B15" s="58" t="s">
        <v>122</v>
      </c>
      <c r="C15" s="53">
        <f t="shared" si="0"/>
        <v>24.1</v>
      </c>
      <c r="D15" s="121">
        <v>22.1</v>
      </c>
      <c r="E15" s="118"/>
      <c r="F15" s="52">
        <v>2</v>
      </c>
      <c r="G15" s="51"/>
      <c r="H15" s="51"/>
      <c r="I15" s="2"/>
    </row>
    <row r="16" spans="1:11" ht="15.75" customHeight="1" x14ac:dyDescent="0.25">
      <c r="A16" s="51" t="s">
        <v>17</v>
      </c>
      <c r="B16" s="52" t="s">
        <v>585</v>
      </c>
      <c r="C16" s="53">
        <f t="shared" si="0"/>
        <v>133.39999999999998</v>
      </c>
      <c r="D16" s="117">
        <v>61.8</v>
      </c>
      <c r="E16" s="118">
        <v>66.599999999999994</v>
      </c>
      <c r="F16" s="119">
        <v>5</v>
      </c>
      <c r="G16" s="55"/>
      <c r="H16" s="55"/>
      <c r="I16" s="2"/>
    </row>
    <row r="17" spans="1:9" ht="15.75" customHeight="1" x14ac:dyDescent="0.25">
      <c r="A17" s="51" t="s">
        <v>48</v>
      </c>
      <c r="B17" s="52" t="s">
        <v>586</v>
      </c>
      <c r="C17" s="53">
        <f t="shared" si="0"/>
        <v>79.7</v>
      </c>
      <c r="D17" s="120">
        <v>70.099999999999994</v>
      </c>
      <c r="E17" s="118">
        <v>1.4</v>
      </c>
      <c r="F17" s="119">
        <v>8.1999999999999993</v>
      </c>
      <c r="G17" s="55"/>
      <c r="H17" s="55"/>
      <c r="I17" s="2"/>
    </row>
    <row r="18" spans="1:9" ht="15.75" customHeight="1" x14ac:dyDescent="0.25">
      <c r="A18" s="51" t="s">
        <v>34</v>
      </c>
      <c r="B18" s="52" t="s">
        <v>587</v>
      </c>
      <c r="C18" s="53">
        <f t="shared" si="0"/>
        <v>152.80000000000001</v>
      </c>
      <c r="D18" s="120">
        <v>70</v>
      </c>
      <c r="E18" s="118">
        <v>77.8</v>
      </c>
      <c r="F18" s="119">
        <v>5</v>
      </c>
      <c r="G18" s="55"/>
      <c r="H18" s="55"/>
      <c r="I18" s="2"/>
    </row>
    <row r="19" spans="1:9" s="64" customFormat="1" ht="35.25" customHeight="1" x14ac:dyDescent="0.25">
      <c r="A19" s="59" t="s">
        <v>93</v>
      </c>
      <c r="B19" s="60" t="s">
        <v>588</v>
      </c>
      <c r="C19" s="61">
        <f t="shared" si="0"/>
        <v>133</v>
      </c>
      <c r="D19" s="122">
        <v>70</v>
      </c>
      <c r="E19" s="123">
        <v>62.1</v>
      </c>
      <c r="F19" s="58">
        <v>0.9</v>
      </c>
      <c r="G19" s="62"/>
      <c r="H19" s="62"/>
      <c r="I19" s="63"/>
    </row>
    <row r="20" spans="1:9" ht="15.75" customHeight="1" x14ac:dyDescent="0.25">
      <c r="A20" s="51" t="s">
        <v>36</v>
      </c>
      <c r="B20" s="52" t="s">
        <v>94</v>
      </c>
      <c r="C20" s="53">
        <f t="shared" si="0"/>
        <v>128.9</v>
      </c>
      <c r="D20" s="120">
        <v>58.8</v>
      </c>
      <c r="E20" s="118">
        <v>62.1</v>
      </c>
      <c r="F20" s="52">
        <v>8</v>
      </c>
      <c r="G20" s="51"/>
      <c r="H20" s="51"/>
      <c r="I20" s="2"/>
    </row>
    <row r="21" spans="1:9" ht="15.75" customHeight="1" x14ac:dyDescent="0.25">
      <c r="A21" s="51" t="s">
        <v>38</v>
      </c>
      <c r="B21" s="56" t="s">
        <v>196</v>
      </c>
      <c r="C21" s="53">
        <f t="shared" si="0"/>
        <v>126.39999999999999</v>
      </c>
      <c r="D21" s="120">
        <v>36.299999999999997</v>
      </c>
      <c r="E21" s="118">
        <v>85</v>
      </c>
      <c r="F21" s="119">
        <v>5.0999999999999996</v>
      </c>
      <c r="G21" s="51"/>
      <c r="H21" s="51"/>
      <c r="I21" s="2"/>
    </row>
    <row r="22" spans="1:9" ht="15.75" customHeight="1" x14ac:dyDescent="0.25">
      <c r="A22" s="51" t="s">
        <v>50</v>
      </c>
      <c r="B22" s="56" t="s">
        <v>630</v>
      </c>
      <c r="C22" s="53">
        <f t="shared" si="0"/>
        <v>291.29999999999995</v>
      </c>
      <c r="D22" s="120">
        <v>155</v>
      </c>
      <c r="E22" s="118">
        <v>122.9</v>
      </c>
      <c r="F22" s="119">
        <v>13.4</v>
      </c>
      <c r="G22" s="51"/>
      <c r="H22" s="51"/>
      <c r="I22" s="2"/>
    </row>
    <row r="23" spans="1:9" ht="15.75" customHeight="1" x14ac:dyDescent="0.25">
      <c r="A23" s="51" t="s">
        <v>51</v>
      </c>
      <c r="B23" s="52" t="s">
        <v>95</v>
      </c>
      <c r="C23" s="53">
        <f t="shared" ref="C23:C28" si="1">SUM(E23:F23)</f>
        <v>126.7</v>
      </c>
      <c r="D23" s="52"/>
      <c r="E23" s="117">
        <v>125.2</v>
      </c>
      <c r="F23" s="52">
        <v>1.5</v>
      </c>
      <c r="G23" s="51"/>
      <c r="H23" s="51"/>
      <c r="I23" s="2"/>
    </row>
    <row r="24" spans="1:9" ht="15.75" customHeight="1" x14ac:dyDescent="0.25">
      <c r="A24" s="51" t="s">
        <v>57</v>
      </c>
      <c r="B24" s="52" t="s">
        <v>96</v>
      </c>
      <c r="C24" s="53">
        <f t="shared" si="1"/>
        <v>117.5</v>
      </c>
      <c r="D24" s="52"/>
      <c r="E24" s="117">
        <v>116.7</v>
      </c>
      <c r="F24" s="52">
        <v>0.8</v>
      </c>
      <c r="G24" s="51"/>
      <c r="H24" s="51"/>
      <c r="I24" s="2"/>
    </row>
    <row r="25" spans="1:9" ht="15.75" customHeight="1" x14ac:dyDescent="0.25">
      <c r="A25" s="51" t="s">
        <v>58</v>
      </c>
      <c r="B25" s="52" t="s">
        <v>97</v>
      </c>
      <c r="C25" s="53">
        <f t="shared" si="1"/>
        <v>119.9</v>
      </c>
      <c r="D25" s="52"/>
      <c r="E25" s="117">
        <v>118.9</v>
      </c>
      <c r="F25" s="52">
        <v>1</v>
      </c>
      <c r="G25" s="51"/>
      <c r="H25" s="51"/>
      <c r="I25" s="2"/>
    </row>
    <row r="26" spans="1:9" ht="15.75" customHeight="1" x14ac:dyDescent="0.25">
      <c r="A26" s="65" t="s">
        <v>62</v>
      </c>
      <c r="B26" s="56" t="s">
        <v>98</v>
      </c>
      <c r="C26" s="53">
        <f t="shared" si="1"/>
        <v>119.8</v>
      </c>
      <c r="D26" s="52"/>
      <c r="E26" s="117">
        <v>117.3</v>
      </c>
      <c r="F26" s="52">
        <v>2.5</v>
      </c>
      <c r="G26" s="51"/>
      <c r="H26" s="51"/>
      <c r="I26" s="2"/>
    </row>
    <row r="27" spans="1:9" ht="15.75" customHeight="1" x14ac:dyDescent="0.25">
      <c r="A27" s="65" t="s">
        <v>64</v>
      </c>
      <c r="B27" s="52" t="s">
        <v>589</v>
      </c>
      <c r="C27" s="53">
        <f t="shared" si="1"/>
        <v>153.89999999999998</v>
      </c>
      <c r="D27" s="52"/>
      <c r="E27" s="120">
        <v>152.69999999999999</v>
      </c>
      <c r="F27" s="52">
        <v>1.2</v>
      </c>
      <c r="G27" s="51"/>
      <c r="H27" s="51"/>
      <c r="I27" s="2"/>
    </row>
    <row r="28" spans="1:9" ht="15.75" customHeight="1" x14ac:dyDescent="0.25">
      <c r="A28" s="65" t="s">
        <v>99</v>
      </c>
      <c r="B28" s="52" t="s">
        <v>590</v>
      </c>
      <c r="C28" s="53">
        <f t="shared" si="1"/>
        <v>117.6</v>
      </c>
      <c r="D28" s="52"/>
      <c r="E28" s="117">
        <v>117.6</v>
      </c>
      <c r="F28" s="52"/>
      <c r="G28" s="51"/>
      <c r="H28" s="51"/>
      <c r="I28" s="2"/>
    </row>
    <row r="29" spans="1:9" s="64" customFormat="1" ht="30.75" customHeight="1" x14ac:dyDescent="0.25">
      <c r="A29" s="66" t="s">
        <v>101</v>
      </c>
      <c r="B29" s="60" t="s">
        <v>100</v>
      </c>
      <c r="C29" s="61">
        <f t="shared" si="0"/>
        <v>22.4</v>
      </c>
      <c r="D29" s="124"/>
      <c r="E29" s="123">
        <v>21.4</v>
      </c>
      <c r="F29" s="58">
        <v>1</v>
      </c>
      <c r="G29" s="62"/>
      <c r="H29" s="62"/>
      <c r="I29" s="63"/>
    </row>
    <row r="30" spans="1:9" ht="15.75" customHeight="1" x14ac:dyDescent="0.25">
      <c r="A30" s="65" t="s">
        <v>72</v>
      </c>
      <c r="B30" s="52" t="s">
        <v>102</v>
      </c>
      <c r="C30" s="53">
        <f>SUM(D30:F30)</f>
        <v>97.7</v>
      </c>
      <c r="D30" s="118">
        <f>77.7+20</f>
        <v>97.7</v>
      </c>
      <c r="E30" s="118"/>
      <c r="F30" s="52"/>
      <c r="G30" s="51"/>
      <c r="H30" s="51"/>
      <c r="I30" s="6"/>
    </row>
    <row r="31" spans="1:9" ht="15.75" customHeight="1" x14ac:dyDescent="0.25">
      <c r="A31" s="65" t="s">
        <v>73</v>
      </c>
      <c r="B31" s="67" t="s">
        <v>103</v>
      </c>
      <c r="C31" s="53">
        <f>SUM(D31:F31)</f>
        <v>1</v>
      </c>
      <c r="D31" s="68">
        <v>1</v>
      </c>
      <c r="E31" s="67"/>
      <c r="F31" s="67"/>
      <c r="G31" s="67"/>
      <c r="H31" s="67"/>
      <c r="I31" s="6"/>
    </row>
    <row r="32" spans="1:9" ht="15.75" customHeight="1" x14ac:dyDescent="0.25">
      <c r="A32" s="65" t="s">
        <v>74</v>
      </c>
      <c r="B32" s="69" t="s">
        <v>104</v>
      </c>
      <c r="C32" s="53">
        <f>SUM(D32:F32)</f>
        <v>16</v>
      </c>
      <c r="D32" s="68">
        <f>8+1</f>
        <v>9</v>
      </c>
      <c r="E32" s="67"/>
      <c r="F32" s="68">
        <v>7</v>
      </c>
      <c r="G32" s="68"/>
      <c r="H32" s="68"/>
      <c r="I32" s="2"/>
    </row>
    <row r="33" spans="1:13" ht="15.75" customHeight="1" x14ac:dyDescent="0.25">
      <c r="A33" s="65" t="s">
        <v>76</v>
      </c>
      <c r="B33" s="69" t="s">
        <v>105</v>
      </c>
      <c r="C33" s="53">
        <f>SUM(D33:F33)</f>
        <v>431</v>
      </c>
      <c r="D33" s="68">
        <v>391</v>
      </c>
      <c r="E33" s="67"/>
      <c r="F33" s="68">
        <v>40</v>
      </c>
      <c r="G33" s="68"/>
      <c r="H33" s="68"/>
      <c r="I33" s="2"/>
    </row>
    <row r="34" spans="1:13" s="64" customFormat="1" ht="30.75" customHeight="1" x14ac:dyDescent="0.25">
      <c r="A34" s="66" t="s">
        <v>78</v>
      </c>
      <c r="B34" s="70" t="s">
        <v>106</v>
      </c>
      <c r="C34" s="61">
        <f t="shared" ref="C34:C41" si="2">SUM(D34:F34)</f>
        <v>245.1</v>
      </c>
      <c r="D34" s="73">
        <v>245.1</v>
      </c>
      <c r="E34" s="71"/>
      <c r="F34" s="71"/>
      <c r="G34" s="71"/>
      <c r="H34" s="71"/>
      <c r="I34" s="63"/>
    </row>
    <row r="35" spans="1:13" ht="15.75" customHeight="1" x14ac:dyDescent="0.25">
      <c r="A35" s="65" t="s">
        <v>79</v>
      </c>
      <c r="B35" s="69" t="s">
        <v>591</v>
      </c>
      <c r="C35" s="53">
        <f t="shared" si="2"/>
        <v>66.099999999999994</v>
      </c>
      <c r="D35" s="68">
        <v>66.099999999999994</v>
      </c>
      <c r="E35" s="67"/>
      <c r="F35" s="67"/>
      <c r="G35" s="67"/>
      <c r="H35" s="67"/>
      <c r="I35" s="6"/>
      <c r="J35" s="3"/>
    </row>
    <row r="36" spans="1:13" ht="15.75" customHeight="1" x14ac:dyDescent="0.25">
      <c r="A36" s="65" t="s">
        <v>82</v>
      </c>
      <c r="B36" s="69" t="s">
        <v>592</v>
      </c>
      <c r="C36" s="53">
        <f t="shared" si="2"/>
        <v>60</v>
      </c>
      <c r="D36" s="68">
        <v>60</v>
      </c>
      <c r="E36" s="67"/>
      <c r="F36" s="67"/>
      <c r="G36" s="67"/>
      <c r="H36" s="67"/>
      <c r="I36" s="2"/>
    </row>
    <row r="37" spans="1:13" ht="15.75" customHeight="1" x14ac:dyDescent="0.25">
      <c r="A37" s="65" t="s">
        <v>85</v>
      </c>
      <c r="B37" s="69" t="s">
        <v>568</v>
      </c>
      <c r="C37" s="53">
        <f t="shared" si="2"/>
        <v>3.7</v>
      </c>
      <c r="D37" s="68">
        <v>3</v>
      </c>
      <c r="E37" s="67"/>
      <c r="F37" s="67">
        <v>0.7</v>
      </c>
      <c r="G37" s="67"/>
      <c r="H37" s="67"/>
      <c r="I37" s="2"/>
    </row>
    <row r="38" spans="1:13" ht="15.75" customHeight="1" x14ac:dyDescent="0.25">
      <c r="A38" s="65" t="s">
        <v>108</v>
      </c>
      <c r="B38" s="69" t="s">
        <v>107</v>
      </c>
      <c r="C38" s="53">
        <f t="shared" si="2"/>
        <v>15.1</v>
      </c>
      <c r="D38" s="68">
        <v>15.1</v>
      </c>
      <c r="E38" s="67"/>
      <c r="F38" s="67"/>
      <c r="G38" s="67"/>
      <c r="H38" s="67"/>
      <c r="I38" s="2"/>
    </row>
    <row r="39" spans="1:13" ht="30.6" customHeight="1" x14ac:dyDescent="0.25">
      <c r="A39" s="72" t="s">
        <v>109</v>
      </c>
      <c r="B39" s="70" t="s">
        <v>593</v>
      </c>
      <c r="C39" s="53">
        <f t="shared" si="2"/>
        <v>7</v>
      </c>
      <c r="D39" s="68">
        <v>7</v>
      </c>
      <c r="E39" s="67"/>
      <c r="F39" s="67"/>
      <c r="G39" s="67"/>
      <c r="H39" s="67"/>
      <c r="I39" s="2"/>
    </row>
    <row r="40" spans="1:13" s="64" customFormat="1" ht="19.149999999999999" customHeight="1" x14ac:dyDescent="0.25">
      <c r="A40" s="66" t="s">
        <v>110</v>
      </c>
      <c r="B40" s="70" t="s">
        <v>594</v>
      </c>
      <c r="C40" s="61">
        <f t="shared" si="2"/>
        <v>82.8</v>
      </c>
      <c r="D40" s="73">
        <v>82.8</v>
      </c>
      <c r="E40" s="71"/>
      <c r="F40" s="71"/>
      <c r="G40" s="71"/>
      <c r="H40" s="71"/>
      <c r="I40" s="63"/>
    </row>
    <row r="41" spans="1:13" ht="15.75" customHeight="1" x14ac:dyDescent="0.25">
      <c r="A41" s="65" t="s">
        <v>112</v>
      </c>
      <c r="B41" s="69" t="s">
        <v>111</v>
      </c>
      <c r="C41" s="53">
        <f t="shared" si="2"/>
        <v>1859.7</v>
      </c>
      <c r="D41" s="53">
        <v>1556.7</v>
      </c>
      <c r="E41" s="53">
        <v>180</v>
      </c>
      <c r="F41" s="53">
        <v>123</v>
      </c>
      <c r="G41" s="68"/>
      <c r="H41" s="68"/>
      <c r="I41" s="2"/>
    </row>
    <row r="42" spans="1:13" ht="15.75" customHeight="1" x14ac:dyDescent="0.25">
      <c r="A42" s="65" t="s">
        <v>114</v>
      </c>
      <c r="B42" s="69" t="s">
        <v>113</v>
      </c>
      <c r="C42" s="53">
        <f>SUM(D42:F42)</f>
        <v>7</v>
      </c>
      <c r="D42" s="53">
        <v>3</v>
      </c>
      <c r="E42" s="69"/>
      <c r="F42" s="69">
        <v>4</v>
      </c>
      <c r="G42" s="67"/>
      <c r="H42" s="67"/>
      <c r="I42" s="2"/>
    </row>
    <row r="43" spans="1:13" ht="15.75" customHeight="1" x14ac:dyDescent="0.25">
      <c r="A43" s="65" t="s">
        <v>115</v>
      </c>
      <c r="B43" s="69" t="s">
        <v>566</v>
      </c>
      <c r="C43" s="53">
        <f>SUM(D43:F43)</f>
        <v>27</v>
      </c>
      <c r="D43" s="53">
        <f>13+8.2+2.8</f>
        <v>24</v>
      </c>
      <c r="E43" s="69"/>
      <c r="F43" s="53">
        <v>3</v>
      </c>
      <c r="G43" s="68"/>
      <c r="H43" s="68"/>
      <c r="I43" s="6"/>
      <c r="J43" s="3"/>
    </row>
    <row r="44" spans="1:13" ht="15.75" customHeight="1" x14ac:dyDescent="0.25">
      <c r="A44" s="65" t="s">
        <v>117</v>
      </c>
      <c r="B44" s="69" t="s">
        <v>116</v>
      </c>
      <c r="C44" s="53">
        <f>SUM(D44:F44)</f>
        <v>4</v>
      </c>
      <c r="D44" s="53">
        <v>3</v>
      </c>
      <c r="E44" s="69"/>
      <c r="F44" s="69">
        <v>1</v>
      </c>
      <c r="G44" s="67"/>
      <c r="H44" s="67"/>
      <c r="I44" s="2"/>
    </row>
    <row r="45" spans="1:13" ht="15.75" customHeight="1" x14ac:dyDescent="0.25">
      <c r="A45" s="65" t="s">
        <v>123</v>
      </c>
      <c r="B45" s="69" t="s">
        <v>118</v>
      </c>
      <c r="C45" s="53">
        <f>SUM(D45:F45)</f>
        <v>16</v>
      </c>
      <c r="D45" s="53">
        <v>12</v>
      </c>
      <c r="E45" s="69"/>
      <c r="F45" s="69">
        <v>4</v>
      </c>
      <c r="G45" s="67"/>
      <c r="H45" s="67"/>
      <c r="I45" s="2"/>
    </row>
    <row r="46" spans="1:13" ht="15.75" customHeight="1" x14ac:dyDescent="0.25">
      <c r="A46" s="65" t="s">
        <v>119</v>
      </c>
      <c r="B46" s="69" t="s">
        <v>595</v>
      </c>
      <c r="C46" s="53">
        <f>SUM(D46:F46)</f>
        <v>1</v>
      </c>
      <c r="D46" s="53">
        <v>1</v>
      </c>
      <c r="E46" s="69"/>
      <c r="F46" s="69"/>
      <c r="G46" s="67"/>
      <c r="H46" s="67"/>
      <c r="I46" s="2"/>
    </row>
    <row r="47" spans="1:13" ht="15.75" customHeight="1" x14ac:dyDescent="0.25">
      <c r="A47" s="65" t="s">
        <v>303</v>
      </c>
      <c r="B47" s="69" t="s">
        <v>120</v>
      </c>
      <c r="C47" s="68">
        <f t="shared" ref="C47" si="3">SUM(D47:F47)</f>
        <v>2100</v>
      </c>
      <c r="D47" s="53"/>
      <c r="E47" s="68">
        <v>2100</v>
      </c>
      <c r="F47" s="69"/>
      <c r="G47" s="67"/>
      <c r="H47" s="67"/>
      <c r="I47" s="2"/>
    </row>
    <row r="48" spans="1:13" s="64" customFormat="1" ht="30.75" customHeight="1" x14ac:dyDescent="0.25">
      <c r="A48" s="66" t="s">
        <v>312</v>
      </c>
      <c r="B48" s="71" t="s">
        <v>121</v>
      </c>
      <c r="C48" s="61">
        <f>SUM(D48:H48)</f>
        <v>959.8</v>
      </c>
      <c r="D48" s="61">
        <v>9.1999999999999993</v>
      </c>
      <c r="E48" s="70"/>
      <c r="F48" s="61">
        <v>114.6</v>
      </c>
      <c r="G48" s="73">
        <v>26</v>
      </c>
      <c r="H48" s="73">
        <v>810</v>
      </c>
      <c r="I48" s="74"/>
      <c r="K48" s="75"/>
      <c r="M48" s="75"/>
    </row>
    <row r="49" spans="1:11" ht="15.75" customHeight="1" x14ac:dyDescent="0.25">
      <c r="A49" s="65"/>
      <c r="B49" s="76" t="s">
        <v>596</v>
      </c>
      <c r="C49" s="125">
        <f>SUM(C8:C48)</f>
        <v>8748.4</v>
      </c>
      <c r="D49" s="125">
        <f>SUM(D8:D48)</f>
        <v>3888.3999999999996</v>
      </c>
      <c r="E49" s="125">
        <f>SUM(E8:E48)</f>
        <v>3629.5</v>
      </c>
      <c r="F49" s="125">
        <f>SUM(F8:F48)</f>
        <v>394.5</v>
      </c>
      <c r="G49" s="77">
        <f t="shared" ref="G49:H49" si="4">SUM(G8:G48)</f>
        <v>26</v>
      </c>
      <c r="H49" s="77">
        <f t="shared" si="4"/>
        <v>810</v>
      </c>
      <c r="I49" s="2"/>
      <c r="K49" s="3"/>
    </row>
    <row r="50" spans="1:11" ht="15.75" x14ac:dyDescent="0.25">
      <c r="A50" s="2"/>
      <c r="B50" s="2"/>
      <c r="C50" s="78"/>
      <c r="D50" s="78"/>
      <c r="E50" s="78"/>
      <c r="F50" s="2"/>
      <c r="G50" s="2"/>
      <c r="H50" s="2"/>
      <c r="I50" s="2"/>
    </row>
    <row r="51" spans="1:11" x14ac:dyDescent="0.25">
      <c r="D51" s="79"/>
      <c r="E51" s="79"/>
    </row>
  </sheetData>
  <mergeCells count="2">
    <mergeCell ref="B4:G4"/>
    <mergeCell ref="E2:H2"/>
  </mergeCells>
  <pageMargins left="0.7" right="0.7" top="0.75" bottom="0.75" header="0.3" footer="0.3"/>
  <pageSetup paperSize="9" orientation="landscape" horizontalDpi="4294967293" verticalDpi="4294967293" r:id="rId1"/>
  <headerFooter differentFirst="1">
    <oddHeader>&amp;C&amp;P</oddHead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2AEEC-0014-4D6F-9C07-E157367FF1B5}">
  <dimension ref="A1:S537"/>
  <sheetViews>
    <sheetView zoomScaleNormal="100" workbookViewId="0"/>
  </sheetViews>
  <sheetFormatPr defaultColWidth="9.140625" defaultRowHeight="12" x14ac:dyDescent="0.2"/>
  <cols>
    <col min="1" max="1" width="14.5703125" style="80" customWidth="1"/>
    <col min="2" max="2" width="46.5703125" style="80" customWidth="1"/>
    <col min="3" max="3" width="13.28515625" style="80" customWidth="1"/>
    <col min="4" max="6" width="15" style="80" customWidth="1"/>
    <col min="7" max="7" width="14.140625" style="80" customWidth="1"/>
    <col min="8" max="8" width="10.85546875" style="80" customWidth="1"/>
    <col min="9" max="9" width="10.28515625" style="80" customWidth="1"/>
    <col min="10" max="10" width="11.7109375" style="80" customWidth="1"/>
    <col min="11" max="11" width="11.42578125" style="80" customWidth="1"/>
    <col min="12" max="16384" width="9.140625" style="80"/>
  </cols>
  <sheetData>
    <row r="1" spans="1:8" ht="15.75" x14ac:dyDescent="0.25">
      <c r="A1" s="156"/>
      <c r="B1" s="157"/>
      <c r="D1" s="32" t="s">
        <v>21</v>
      </c>
      <c r="E1"/>
      <c r="F1" s="32"/>
    </row>
    <row r="2" spans="1:8" ht="15.75" x14ac:dyDescent="0.25">
      <c r="A2" s="102"/>
      <c r="B2" s="156"/>
      <c r="D2" s="535" t="s">
        <v>625</v>
      </c>
      <c r="E2" s="535"/>
      <c r="F2" s="535"/>
    </row>
    <row r="3" spans="1:8" ht="15.75" x14ac:dyDescent="0.25">
      <c r="A3" s="156"/>
      <c r="B3" s="156"/>
      <c r="C3" s="159"/>
      <c r="D3" s="160"/>
      <c r="E3" s="161"/>
      <c r="F3" s="161" t="s">
        <v>360</v>
      </c>
    </row>
    <row r="4" spans="1:8" ht="15.75" customHeight="1" x14ac:dyDescent="0.25">
      <c r="A4" s="536" t="s">
        <v>660</v>
      </c>
      <c r="B4" s="536"/>
      <c r="C4" s="536"/>
      <c r="D4" s="536"/>
      <c r="E4" s="536"/>
      <c r="F4" s="536"/>
    </row>
    <row r="5" spans="1:8" ht="15.75" x14ac:dyDescent="0.25">
      <c r="A5" s="162"/>
      <c r="B5" s="162"/>
      <c r="C5" s="162"/>
      <c r="D5" s="163"/>
      <c r="E5" s="164"/>
      <c r="F5" s="164" t="s">
        <v>22</v>
      </c>
      <c r="G5" s="165"/>
    </row>
    <row r="6" spans="1:8" ht="58.5" customHeight="1" x14ac:dyDescent="0.2">
      <c r="A6" s="166" t="s">
        <v>0</v>
      </c>
      <c r="B6" s="167" t="s">
        <v>126</v>
      </c>
      <c r="C6" s="168" t="s">
        <v>127</v>
      </c>
      <c r="D6" s="169" t="s">
        <v>608</v>
      </c>
      <c r="E6" s="169" t="s">
        <v>384</v>
      </c>
      <c r="F6" s="169" t="s">
        <v>627</v>
      </c>
      <c r="G6" s="170"/>
      <c r="H6" s="171"/>
    </row>
    <row r="7" spans="1:8" ht="15" x14ac:dyDescent="0.2">
      <c r="A7" s="172">
        <v>1</v>
      </c>
      <c r="B7" s="173">
        <v>2</v>
      </c>
      <c r="C7" s="174">
        <v>3</v>
      </c>
      <c r="D7" s="175">
        <v>4</v>
      </c>
      <c r="E7" s="175">
        <v>5</v>
      </c>
      <c r="F7" s="175">
        <v>6</v>
      </c>
      <c r="G7" s="176"/>
    </row>
    <row r="8" spans="1:8" ht="15.75" x14ac:dyDescent="0.25">
      <c r="A8" s="177" t="s">
        <v>1</v>
      </c>
      <c r="B8" s="178" t="s">
        <v>128</v>
      </c>
      <c r="C8" s="179"/>
      <c r="D8" s="126">
        <f t="shared" ref="D8:F8" si="0">SUM(D10)</f>
        <v>3855.9</v>
      </c>
      <c r="E8" s="126">
        <f t="shared" si="0"/>
        <v>4058.2000000000003</v>
      </c>
      <c r="F8" s="126">
        <f t="shared" si="0"/>
        <v>4093.3</v>
      </c>
      <c r="G8" s="181"/>
    </row>
    <row r="9" spans="1:8" ht="15.75" x14ac:dyDescent="0.25">
      <c r="A9" s="182"/>
      <c r="B9" s="183" t="s">
        <v>129</v>
      </c>
      <c r="C9" s="184"/>
      <c r="D9" s="127"/>
      <c r="E9" s="127"/>
      <c r="F9" s="127"/>
      <c r="G9" s="181"/>
    </row>
    <row r="10" spans="1:8" ht="15" x14ac:dyDescent="0.2">
      <c r="A10" s="186" t="s">
        <v>2</v>
      </c>
      <c r="B10" s="187" t="s">
        <v>130</v>
      </c>
      <c r="C10" s="188" t="s">
        <v>131</v>
      </c>
      <c r="D10" s="128">
        <f t="shared" ref="D10:F10" si="1">SUM(D11:D14)</f>
        <v>3855.9</v>
      </c>
      <c r="E10" s="128">
        <f t="shared" si="1"/>
        <v>4058.2000000000003</v>
      </c>
      <c r="F10" s="128">
        <f t="shared" si="1"/>
        <v>4093.3</v>
      </c>
      <c r="G10" s="190"/>
    </row>
    <row r="11" spans="1:8" ht="18" customHeight="1" x14ac:dyDescent="0.2">
      <c r="A11" s="191" t="s">
        <v>124</v>
      </c>
      <c r="B11" s="192" t="s">
        <v>132</v>
      </c>
      <c r="C11" s="193"/>
      <c r="D11" s="133">
        <f>691.7+63.1</f>
        <v>754.80000000000007</v>
      </c>
      <c r="E11" s="194">
        <v>724.8</v>
      </c>
      <c r="F11" s="194">
        <v>759.9</v>
      </c>
      <c r="G11" s="190"/>
    </row>
    <row r="12" spans="1:8" ht="33" customHeight="1" x14ac:dyDescent="0.2">
      <c r="A12" s="196" t="s">
        <v>125</v>
      </c>
      <c r="B12" s="197" t="s">
        <v>133</v>
      </c>
      <c r="C12" s="198"/>
      <c r="D12" s="134">
        <v>2903.7</v>
      </c>
      <c r="E12" s="141">
        <v>3136</v>
      </c>
      <c r="F12" s="141">
        <v>3136</v>
      </c>
      <c r="G12" s="190"/>
    </row>
    <row r="13" spans="1:8" ht="15.75" customHeight="1" x14ac:dyDescent="0.2">
      <c r="A13" s="196" t="s">
        <v>134</v>
      </c>
      <c r="B13" s="200" t="s">
        <v>362</v>
      </c>
      <c r="C13" s="201"/>
      <c r="D13" s="134">
        <v>37.299999999999997</v>
      </c>
      <c r="E13" s="141">
        <v>37.299999999999997</v>
      </c>
      <c r="F13" s="141">
        <v>37.299999999999997</v>
      </c>
      <c r="G13" s="190"/>
    </row>
    <row r="14" spans="1:8" ht="15" x14ac:dyDescent="0.2">
      <c r="A14" s="202" t="s">
        <v>361</v>
      </c>
      <c r="B14" s="203" t="s">
        <v>135</v>
      </c>
      <c r="C14" s="204"/>
      <c r="D14" s="135">
        <v>160.1</v>
      </c>
      <c r="E14" s="135">
        <v>160.1</v>
      </c>
      <c r="F14" s="135">
        <v>160.1</v>
      </c>
      <c r="G14" s="190"/>
    </row>
    <row r="15" spans="1:8" ht="15.75" x14ac:dyDescent="0.25">
      <c r="A15" s="205" t="s">
        <v>24</v>
      </c>
      <c r="B15" s="40" t="s">
        <v>136</v>
      </c>
      <c r="C15" s="206"/>
      <c r="D15" s="136">
        <f t="shared" ref="D15:F15" si="2">SUM(D17)</f>
        <v>5460.8</v>
      </c>
      <c r="E15" s="136">
        <f t="shared" si="2"/>
        <v>5737.8</v>
      </c>
      <c r="F15" s="136">
        <f t="shared" si="2"/>
        <v>5813.5999999999995</v>
      </c>
      <c r="G15" s="181"/>
    </row>
    <row r="16" spans="1:8" ht="15.75" x14ac:dyDescent="0.25">
      <c r="A16" s="186"/>
      <c r="B16" s="208" t="s">
        <v>129</v>
      </c>
      <c r="C16" s="198"/>
      <c r="D16" s="134"/>
      <c r="E16" s="139"/>
      <c r="F16" s="139"/>
      <c r="G16" s="181"/>
    </row>
    <row r="17" spans="1:7" ht="15" x14ac:dyDescent="0.2">
      <c r="A17" s="210" t="s">
        <v>27</v>
      </c>
      <c r="B17" s="211" t="s">
        <v>130</v>
      </c>
      <c r="C17" s="193" t="s">
        <v>131</v>
      </c>
      <c r="D17" s="137">
        <f t="shared" ref="D17:F17" si="3">SUM(D18:D22)</f>
        <v>5460.8</v>
      </c>
      <c r="E17" s="137">
        <f t="shared" si="3"/>
        <v>5737.8</v>
      </c>
      <c r="F17" s="137">
        <f t="shared" si="3"/>
        <v>5813.5999999999995</v>
      </c>
      <c r="G17" s="190"/>
    </row>
    <row r="18" spans="1:7" ht="15" x14ac:dyDescent="0.2">
      <c r="A18" s="213" t="s">
        <v>137</v>
      </c>
      <c r="B18" s="214" t="s">
        <v>132</v>
      </c>
      <c r="C18" s="188"/>
      <c r="D18" s="134">
        <f>1436.4+86.1</f>
        <v>1522.5</v>
      </c>
      <c r="E18" s="134">
        <v>1507.9</v>
      </c>
      <c r="F18" s="134">
        <v>1583.7</v>
      </c>
      <c r="G18" s="190"/>
    </row>
    <row r="19" spans="1:7" ht="33" customHeight="1" x14ac:dyDescent="0.2">
      <c r="A19" s="216" t="s">
        <v>138</v>
      </c>
      <c r="B19" s="217" t="s">
        <v>133</v>
      </c>
      <c r="C19" s="218"/>
      <c r="D19" s="134">
        <v>3645.6</v>
      </c>
      <c r="E19" s="134">
        <v>3937.2</v>
      </c>
      <c r="F19" s="134">
        <v>3937.2</v>
      </c>
      <c r="G19" s="190"/>
    </row>
    <row r="20" spans="1:7" ht="42.75" customHeight="1" x14ac:dyDescent="0.2">
      <c r="A20" s="216" t="s">
        <v>139</v>
      </c>
      <c r="B20" s="219" t="s">
        <v>140</v>
      </c>
      <c r="C20" s="218"/>
      <c r="D20" s="134">
        <v>147.80000000000001</v>
      </c>
      <c r="E20" s="134">
        <v>147.80000000000001</v>
      </c>
      <c r="F20" s="134">
        <v>147.80000000000001</v>
      </c>
      <c r="G20" s="190"/>
    </row>
    <row r="21" spans="1:7" ht="15" x14ac:dyDescent="0.2">
      <c r="A21" s="216" t="s">
        <v>141</v>
      </c>
      <c r="B21" s="219" t="s">
        <v>362</v>
      </c>
      <c r="C21" s="218"/>
      <c r="D21" s="134">
        <v>26.2</v>
      </c>
      <c r="E21" s="134">
        <v>26.2</v>
      </c>
      <c r="F21" s="134">
        <v>26.2</v>
      </c>
      <c r="G21" s="190"/>
    </row>
    <row r="22" spans="1:7" ht="15.6" customHeight="1" x14ac:dyDescent="0.2">
      <c r="A22" s="220" t="s">
        <v>363</v>
      </c>
      <c r="B22" s="221" t="s">
        <v>135</v>
      </c>
      <c r="C22" s="222"/>
      <c r="D22" s="135">
        <v>118.7</v>
      </c>
      <c r="E22" s="223">
        <v>118.7</v>
      </c>
      <c r="F22" s="223">
        <v>118.7</v>
      </c>
      <c r="G22" s="190"/>
    </row>
    <row r="23" spans="1:7" s="227" customFormat="1" ht="15.75" x14ac:dyDescent="0.25">
      <c r="A23" s="224" t="s">
        <v>5</v>
      </c>
      <c r="B23" s="225" t="s">
        <v>91</v>
      </c>
      <c r="C23" s="226"/>
      <c r="D23" s="126">
        <f t="shared" ref="D23:F23" si="4">SUM(D25)</f>
        <v>3979.4</v>
      </c>
      <c r="E23" s="225">
        <f t="shared" si="4"/>
        <v>4204.3999999999996</v>
      </c>
      <c r="F23" s="225">
        <f t="shared" si="4"/>
        <v>4290.5</v>
      </c>
      <c r="G23" s="181"/>
    </row>
    <row r="24" spans="1:7" ht="15.75" x14ac:dyDescent="0.25">
      <c r="A24" s="186"/>
      <c r="B24" s="208" t="s">
        <v>129</v>
      </c>
      <c r="C24" s="198"/>
      <c r="D24" s="134"/>
      <c r="E24" s="228"/>
      <c r="F24" s="228"/>
      <c r="G24" s="181"/>
    </row>
    <row r="25" spans="1:7" ht="15" x14ac:dyDescent="0.2">
      <c r="A25" s="191" t="s">
        <v>142</v>
      </c>
      <c r="B25" s="39" t="s">
        <v>130</v>
      </c>
      <c r="C25" s="193" t="s">
        <v>131</v>
      </c>
      <c r="D25" s="137">
        <f t="shared" ref="D25:F25" si="5">SUM(D26:D29)</f>
        <v>3979.4</v>
      </c>
      <c r="E25" s="39">
        <f t="shared" si="5"/>
        <v>4204.3999999999996</v>
      </c>
      <c r="F25" s="39">
        <f t="shared" si="5"/>
        <v>4290.5</v>
      </c>
      <c r="G25" s="190"/>
    </row>
    <row r="26" spans="1:7" ht="15" x14ac:dyDescent="0.2">
      <c r="A26" s="186" t="s">
        <v>143</v>
      </c>
      <c r="B26" s="230" t="s">
        <v>132</v>
      </c>
      <c r="C26" s="188"/>
      <c r="D26" s="134">
        <f>1576.3+36.8</f>
        <v>1613.1</v>
      </c>
      <c r="E26" s="37">
        <v>1657.8</v>
      </c>
      <c r="F26" s="37">
        <v>1743.9</v>
      </c>
      <c r="G26" s="190"/>
    </row>
    <row r="27" spans="1:7" ht="27.75" customHeight="1" x14ac:dyDescent="0.2">
      <c r="A27" s="196" t="s">
        <v>144</v>
      </c>
      <c r="B27" s="231" t="s">
        <v>133</v>
      </c>
      <c r="C27" s="198"/>
      <c r="D27" s="134">
        <v>2253.5</v>
      </c>
      <c r="E27" s="37">
        <v>2433.8000000000002</v>
      </c>
      <c r="F27" s="37">
        <v>2433.8000000000002</v>
      </c>
      <c r="G27" s="190"/>
    </row>
    <row r="28" spans="1:7" ht="15.75" customHeight="1" x14ac:dyDescent="0.2">
      <c r="A28" s="196" t="s">
        <v>145</v>
      </c>
      <c r="B28" s="231" t="s">
        <v>362</v>
      </c>
      <c r="C28" s="198"/>
      <c r="D28" s="134">
        <v>13.9</v>
      </c>
      <c r="E28" s="37">
        <v>13.9</v>
      </c>
      <c r="F28" s="37">
        <v>13.9</v>
      </c>
      <c r="G28" s="190"/>
    </row>
    <row r="29" spans="1:7" ht="15" x14ac:dyDescent="0.2">
      <c r="A29" s="232" t="s">
        <v>364</v>
      </c>
      <c r="B29" s="233" t="s">
        <v>135</v>
      </c>
      <c r="C29" s="206"/>
      <c r="D29" s="135">
        <v>98.9</v>
      </c>
      <c r="E29" s="223">
        <v>98.9</v>
      </c>
      <c r="F29" s="223">
        <v>98.9</v>
      </c>
      <c r="G29" s="190"/>
    </row>
    <row r="30" spans="1:7" s="227" customFormat="1" ht="15.75" x14ac:dyDescent="0.25">
      <c r="A30" s="224" t="s">
        <v>7</v>
      </c>
      <c r="B30" s="225" t="s">
        <v>92</v>
      </c>
      <c r="C30" s="224"/>
      <c r="D30" s="136">
        <f t="shared" ref="D30:F30" si="6">SUM(D32)</f>
        <v>1692.8999999999999</v>
      </c>
      <c r="E30" s="136">
        <f t="shared" si="6"/>
        <v>1754.1</v>
      </c>
      <c r="F30" s="136">
        <f t="shared" si="6"/>
        <v>1797.1</v>
      </c>
      <c r="G30" s="181"/>
    </row>
    <row r="31" spans="1:7" ht="15.75" x14ac:dyDescent="0.25">
      <c r="A31" s="186"/>
      <c r="B31" s="208" t="s">
        <v>129</v>
      </c>
      <c r="C31" s="201"/>
      <c r="D31" s="134"/>
      <c r="E31" s="139"/>
      <c r="F31" s="139"/>
      <c r="G31" s="181"/>
    </row>
    <row r="32" spans="1:7" ht="15" x14ac:dyDescent="0.2">
      <c r="A32" s="234" t="s">
        <v>148</v>
      </c>
      <c r="B32" s="39" t="s">
        <v>130</v>
      </c>
      <c r="C32" s="235" t="s">
        <v>131</v>
      </c>
      <c r="D32" s="137">
        <f t="shared" ref="D32:F32" si="7">SUM(D33:D35)</f>
        <v>1692.8999999999999</v>
      </c>
      <c r="E32" s="137">
        <f t="shared" si="7"/>
        <v>1754.1</v>
      </c>
      <c r="F32" s="137">
        <f t="shared" si="7"/>
        <v>1797.1</v>
      </c>
      <c r="G32" s="190"/>
    </row>
    <row r="33" spans="1:7" ht="15" x14ac:dyDescent="0.2">
      <c r="A33" s="37" t="s">
        <v>149</v>
      </c>
      <c r="B33" s="230" t="s">
        <v>132</v>
      </c>
      <c r="C33" s="236"/>
      <c r="D33" s="134">
        <f>755.4+30.1</f>
        <v>785.5</v>
      </c>
      <c r="E33" s="134">
        <v>795.9</v>
      </c>
      <c r="F33" s="134">
        <v>838.9</v>
      </c>
      <c r="G33" s="190"/>
    </row>
    <row r="34" spans="1:7" ht="33" customHeight="1" x14ac:dyDescent="0.2">
      <c r="A34" s="237" t="s">
        <v>150</v>
      </c>
      <c r="B34" s="231" t="s">
        <v>133</v>
      </c>
      <c r="C34" s="201"/>
      <c r="D34" s="134">
        <v>858.6</v>
      </c>
      <c r="E34" s="134">
        <v>909.4</v>
      </c>
      <c r="F34" s="134">
        <v>909.4</v>
      </c>
      <c r="G34" s="190"/>
    </row>
    <row r="35" spans="1:7" ht="15" x14ac:dyDescent="0.2">
      <c r="A35" s="238" t="s">
        <v>151</v>
      </c>
      <c r="B35" s="239" t="s">
        <v>135</v>
      </c>
      <c r="C35" s="240"/>
      <c r="D35" s="143">
        <v>48.8</v>
      </c>
      <c r="E35" s="134">
        <v>48.8</v>
      </c>
      <c r="F35" s="134">
        <v>48.8</v>
      </c>
      <c r="G35" s="190"/>
    </row>
    <row r="36" spans="1:7" s="227" customFormat="1" ht="15.75" x14ac:dyDescent="0.25">
      <c r="A36" s="126" t="s">
        <v>13</v>
      </c>
      <c r="B36" s="126" t="s">
        <v>152</v>
      </c>
      <c r="C36" s="241"/>
      <c r="D36" s="126">
        <f t="shared" ref="D36:F36" si="8">SUM(D38)</f>
        <v>4415</v>
      </c>
      <c r="E36" s="126">
        <f t="shared" si="8"/>
        <v>4649.6000000000004</v>
      </c>
      <c r="F36" s="126">
        <f t="shared" si="8"/>
        <v>4707.8</v>
      </c>
      <c r="G36" s="181"/>
    </row>
    <row r="37" spans="1:7" ht="15.75" x14ac:dyDescent="0.25">
      <c r="A37" s="134"/>
      <c r="B37" s="242" t="s">
        <v>129</v>
      </c>
      <c r="C37" s="243"/>
      <c r="D37" s="134"/>
      <c r="E37" s="139"/>
      <c r="F37" s="139"/>
      <c r="G37" s="181"/>
    </row>
    <row r="38" spans="1:7" ht="15" x14ac:dyDescent="0.2">
      <c r="A38" s="140" t="s">
        <v>153</v>
      </c>
      <c r="B38" s="137" t="s">
        <v>130</v>
      </c>
      <c r="C38" s="244" t="s">
        <v>131</v>
      </c>
      <c r="D38" s="137">
        <f t="shared" ref="D38:F38" si="9">SUM(D39:D42)</f>
        <v>4415</v>
      </c>
      <c r="E38" s="137">
        <f t="shared" si="9"/>
        <v>4649.6000000000004</v>
      </c>
      <c r="F38" s="137">
        <f t="shared" si="9"/>
        <v>4707.8</v>
      </c>
      <c r="G38" s="190"/>
    </row>
    <row r="39" spans="1:7" ht="15" x14ac:dyDescent="0.2">
      <c r="A39" s="143" t="s">
        <v>154</v>
      </c>
      <c r="B39" s="245" t="s">
        <v>132</v>
      </c>
      <c r="C39" s="246"/>
      <c r="D39" s="134">
        <f>1073.5+66.1</f>
        <v>1139.5999999999999</v>
      </c>
      <c r="E39" s="134">
        <v>1128.3</v>
      </c>
      <c r="F39" s="134">
        <v>1186.5</v>
      </c>
      <c r="G39" s="190"/>
    </row>
    <row r="40" spans="1:7" ht="27.75" customHeight="1" x14ac:dyDescent="0.2">
      <c r="A40" s="247" t="s">
        <v>155</v>
      </c>
      <c r="B40" s="248" t="s">
        <v>133</v>
      </c>
      <c r="C40" s="249"/>
      <c r="D40" s="134">
        <v>3073.4</v>
      </c>
      <c r="E40" s="134">
        <v>3319.3</v>
      </c>
      <c r="F40" s="134">
        <v>3319.3</v>
      </c>
      <c r="G40" s="190"/>
    </row>
    <row r="41" spans="1:7" ht="15" x14ac:dyDescent="0.2">
      <c r="A41" s="250" t="s">
        <v>156</v>
      </c>
      <c r="B41" s="251" t="s">
        <v>362</v>
      </c>
      <c r="C41" s="252"/>
      <c r="D41" s="133">
        <v>20.5</v>
      </c>
      <c r="E41" s="133">
        <v>20.5</v>
      </c>
      <c r="F41" s="133">
        <v>20.5</v>
      </c>
      <c r="G41" s="190"/>
    </row>
    <row r="42" spans="1:7" ht="15" x14ac:dyDescent="0.2">
      <c r="A42" s="253" t="s">
        <v>157</v>
      </c>
      <c r="B42" s="254" t="s">
        <v>135</v>
      </c>
      <c r="C42" s="255"/>
      <c r="D42" s="138">
        <v>181.5</v>
      </c>
      <c r="E42" s="138">
        <v>181.5</v>
      </c>
      <c r="F42" s="138">
        <v>181.5</v>
      </c>
      <c r="G42" s="190"/>
    </row>
    <row r="43" spans="1:7" s="227" customFormat="1" ht="15.75" x14ac:dyDescent="0.25">
      <c r="A43" s="207" t="s">
        <v>14</v>
      </c>
      <c r="B43" s="136" t="s">
        <v>158</v>
      </c>
      <c r="C43" s="207"/>
      <c r="D43" s="136">
        <f t="shared" ref="D43:F43" si="10">SUM(D45)</f>
        <v>4997.3999999999996</v>
      </c>
      <c r="E43" s="136">
        <f t="shared" si="10"/>
        <v>5278.9</v>
      </c>
      <c r="F43" s="136">
        <f t="shared" si="10"/>
        <v>5340.7000000000007</v>
      </c>
      <c r="G43" s="181"/>
    </row>
    <row r="44" spans="1:7" ht="15.75" x14ac:dyDescent="0.25">
      <c r="A44" s="143"/>
      <c r="B44" s="242" t="s">
        <v>129</v>
      </c>
      <c r="C44" s="256"/>
      <c r="D44" s="134"/>
      <c r="E44" s="139"/>
      <c r="F44" s="139"/>
      <c r="G44" s="181"/>
    </row>
    <row r="45" spans="1:7" ht="15" customHeight="1" x14ac:dyDescent="0.2">
      <c r="A45" s="140" t="s">
        <v>159</v>
      </c>
      <c r="B45" s="137" t="s">
        <v>130</v>
      </c>
      <c r="C45" s="257" t="s">
        <v>131</v>
      </c>
      <c r="D45" s="137">
        <f t="shared" ref="D45:F45" si="11">SUM(D46:D49)</f>
        <v>4997.3999999999996</v>
      </c>
      <c r="E45" s="258">
        <f t="shared" si="11"/>
        <v>5278.9</v>
      </c>
      <c r="F45" s="258">
        <f t="shared" si="11"/>
        <v>5340.7000000000007</v>
      </c>
      <c r="G45" s="190"/>
    </row>
    <row r="46" spans="1:7" ht="15" x14ac:dyDescent="0.2">
      <c r="A46" s="143" t="s">
        <v>160</v>
      </c>
      <c r="B46" s="245" t="s">
        <v>132</v>
      </c>
      <c r="C46" s="259"/>
      <c r="D46" s="134">
        <f>1186.4+56.1</f>
        <v>1242.5</v>
      </c>
      <c r="E46" s="134">
        <v>1244.5999999999999</v>
      </c>
      <c r="F46" s="134">
        <v>1306.4000000000001</v>
      </c>
      <c r="G46" s="190"/>
    </row>
    <row r="47" spans="1:7" ht="33" customHeight="1" x14ac:dyDescent="0.2">
      <c r="A47" s="260" t="s">
        <v>161</v>
      </c>
      <c r="B47" s="261" t="s">
        <v>133</v>
      </c>
      <c r="C47" s="256"/>
      <c r="D47" s="134">
        <v>3492.4</v>
      </c>
      <c r="E47" s="134">
        <v>3771.8</v>
      </c>
      <c r="F47" s="134">
        <v>3771.8</v>
      </c>
      <c r="G47" s="190"/>
    </row>
    <row r="48" spans="1:7" ht="15.75" customHeight="1" x14ac:dyDescent="0.2">
      <c r="A48" s="260" t="s">
        <v>162</v>
      </c>
      <c r="B48" s="261" t="s">
        <v>362</v>
      </c>
      <c r="C48" s="256"/>
      <c r="D48" s="134">
        <v>25.5</v>
      </c>
      <c r="E48" s="134">
        <v>25.5</v>
      </c>
      <c r="F48" s="134">
        <v>25.5</v>
      </c>
      <c r="G48" s="190"/>
    </row>
    <row r="49" spans="1:7" ht="15" x14ac:dyDescent="0.2">
      <c r="A49" s="262" t="s">
        <v>365</v>
      </c>
      <c r="B49" s="263" t="s">
        <v>135</v>
      </c>
      <c r="C49" s="264"/>
      <c r="D49" s="135">
        <v>237</v>
      </c>
      <c r="E49" s="135">
        <v>237</v>
      </c>
      <c r="F49" s="135">
        <v>237</v>
      </c>
      <c r="G49" s="190"/>
    </row>
    <row r="50" spans="1:7" s="227" customFormat="1" ht="15.75" x14ac:dyDescent="0.25">
      <c r="A50" s="180" t="s">
        <v>15</v>
      </c>
      <c r="B50" s="126" t="s">
        <v>163</v>
      </c>
      <c r="C50" s="266"/>
      <c r="D50" s="126">
        <f t="shared" ref="D50:F50" si="12">SUM(D52)</f>
        <v>1157.2</v>
      </c>
      <c r="E50" s="126">
        <f t="shared" si="12"/>
        <v>1181.9000000000001</v>
      </c>
      <c r="F50" s="126">
        <f t="shared" si="12"/>
        <v>1215.2</v>
      </c>
      <c r="G50" s="181"/>
    </row>
    <row r="51" spans="1:7" ht="15.75" x14ac:dyDescent="0.25">
      <c r="A51" s="143"/>
      <c r="B51" s="242" t="s">
        <v>129</v>
      </c>
      <c r="C51" s="199"/>
      <c r="D51" s="134"/>
      <c r="E51" s="139"/>
      <c r="F51" s="139"/>
      <c r="G51" s="181"/>
    </row>
    <row r="52" spans="1:7" ht="15" x14ac:dyDescent="0.2">
      <c r="A52" s="140" t="s">
        <v>164</v>
      </c>
      <c r="B52" s="137" t="s">
        <v>130</v>
      </c>
      <c r="C52" s="244" t="s">
        <v>131</v>
      </c>
      <c r="D52" s="137">
        <f t="shared" ref="D52:F52" si="13">SUM(D53:D55)</f>
        <v>1157.2</v>
      </c>
      <c r="E52" s="137">
        <f t="shared" si="13"/>
        <v>1181.9000000000001</v>
      </c>
      <c r="F52" s="137">
        <f t="shared" si="13"/>
        <v>1215.2</v>
      </c>
      <c r="G52" s="190"/>
    </row>
    <row r="53" spans="1:7" ht="15" x14ac:dyDescent="0.2">
      <c r="A53" s="143" t="s">
        <v>165</v>
      </c>
      <c r="B53" s="245" t="s">
        <v>132</v>
      </c>
      <c r="C53" s="246"/>
      <c r="D53" s="134">
        <f>583.2+44.8</f>
        <v>628</v>
      </c>
      <c r="E53" s="134">
        <v>614.79999999999995</v>
      </c>
      <c r="F53" s="134">
        <v>648.1</v>
      </c>
      <c r="G53" s="190"/>
    </row>
    <row r="54" spans="1:7" ht="33" customHeight="1" x14ac:dyDescent="0.2">
      <c r="A54" s="260" t="s">
        <v>166</v>
      </c>
      <c r="B54" s="261" t="s">
        <v>133</v>
      </c>
      <c r="C54" s="199"/>
      <c r="D54" s="134">
        <v>473.2</v>
      </c>
      <c r="E54" s="134">
        <v>511.1</v>
      </c>
      <c r="F54" s="134">
        <v>511.1</v>
      </c>
      <c r="G54" s="190"/>
    </row>
    <row r="55" spans="1:7" ht="15" x14ac:dyDescent="0.2">
      <c r="A55" s="260" t="s">
        <v>167</v>
      </c>
      <c r="B55" s="261" t="s">
        <v>135</v>
      </c>
      <c r="C55" s="199"/>
      <c r="D55" s="138">
        <v>56</v>
      </c>
      <c r="E55" s="138">
        <v>56</v>
      </c>
      <c r="F55" s="138">
        <v>56</v>
      </c>
      <c r="G55" s="190"/>
    </row>
    <row r="56" spans="1:7" s="227" customFormat="1" ht="31.5" customHeight="1" x14ac:dyDescent="0.25">
      <c r="A56" s="267" t="s">
        <v>18</v>
      </c>
      <c r="B56" s="268" t="s">
        <v>122</v>
      </c>
      <c r="C56" s="224"/>
      <c r="D56" s="136">
        <f t="shared" ref="D56:F56" si="14">SUM(D58)</f>
        <v>1374</v>
      </c>
      <c r="E56" s="136">
        <f t="shared" si="14"/>
        <v>1438.8999999999999</v>
      </c>
      <c r="F56" s="136">
        <f t="shared" si="14"/>
        <v>1463.5</v>
      </c>
      <c r="G56" s="181"/>
    </row>
    <row r="57" spans="1:7" s="227" customFormat="1" ht="15.75" x14ac:dyDescent="0.25">
      <c r="A57" s="229"/>
      <c r="B57" s="208" t="s">
        <v>129</v>
      </c>
      <c r="C57" s="201"/>
      <c r="D57" s="139"/>
      <c r="E57" s="139"/>
      <c r="F57" s="139"/>
      <c r="G57" s="181"/>
    </row>
    <row r="58" spans="1:7" ht="15" x14ac:dyDescent="0.2">
      <c r="A58" s="191" t="s">
        <v>168</v>
      </c>
      <c r="B58" s="39" t="s">
        <v>130</v>
      </c>
      <c r="C58" s="235" t="s">
        <v>131</v>
      </c>
      <c r="D58" s="137">
        <f t="shared" ref="D58:F58" si="15">SUM(D59:D61)</f>
        <v>1374</v>
      </c>
      <c r="E58" s="137">
        <f t="shared" si="15"/>
        <v>1438.8999999999999</v>
      </c>
      <c r="F58" s="137">
        <f t="shared" si="15"/>
        <v>1463.5</v>
      </c>
      <c r="G58" s="190"/>
    </row>
    <row r="59" spans="1:7" ht="15" x14ac:dyDescent="0.2">
      <c r="A59" s="186" t="s">
        <v>169</v>
      </c>
      <c r="B59" s="230" t="s">
        <v>132</v>
      </c>
      <c r="C59" s="236"/>
      <c r="D59" s="134">
        <f>465.8+31.2</f>
        <v>497</v>
      </c>
      <c r="E59" s="134">
        <v>493.7</v>
      </c>
      <c r="F59" s="134">
        <v>518.29999999999995</v>
      </c>
      <c r="G59" s="190"/>
    </row>
    <row r="60" spans="1:7" ht="33" customHeight="1" x14ac:dyDescent="0.2">
      <c r="A60" s="196" t="s">
        <v>170</v>
      </c>
      <c r="B60" s="231" t="s">
        <v>133</v>
      </c>
      <c r="C60" s="201"/>
      <c r="D60" s="134">
        <v>852.9</v>
      </c>
      <c r="E60" s="134">
        <v>921.1</v>
      </c>
      <c r="F60" s="134">
        <v>921.1</v>
      </c>
      <c r="G60" s="190"/>
    </row>
    <row r="61" spans="1:7" ht="15" x14ac:dyDescent="0.2">
      <c r="A61" s="269" t="s">
        <v>171</v>
      </c>
      <c r="B61" s="239" t="s">
        <v>135</v>
      </c>
      <c r="C61" s="240"/>
      <c r="D61" s="516">
        <v>24.1</v>
      </c>
      <c r="E61" s="147">
        <v>24.1</v>
      </c>
      <c r="F61" s="147">
        <v>24.1</v>
      </c>
      <c r="G61" s="190"/>
    </row>
    <row r="62" spans="1:7" s="227" customFormat="1" ht="15.75" x14ac:dyDescent="0.25">
      <c r="A62" s="180" t="s">
        <v>17</v>
      </c>
      <c r="B62" s="126" t="s">
        <v>172</v>
      </c>
      <c r="C62" s="180"/>
      <c r="D62" s="126">
        <f t="shared" ref="D62:F62" si="16">SUM(D64)</f>
        <v>4012.6</v>
      </c>
      <c r="E62" s="126">
        <f t="shared" si="16"/>
        <v>4222.5999999999995</v>
      </c>
      <c r="F62" s="126">
        <f t="shared" si="16"/>
        <v>4311.7</v>
      </c>
      <c r="G62" s="181"/>
    </row>
    <row r="63" spans="1:7" ht="15.75" x14ac:dyDescent="0.25">
      <c r="A63" s="143"/>
      <c r="B63" s="242" t="s">
        <v>129</v>
      </c>
      <c r="C63" s="256"/>
      <c r="D63" s="134"/>
      <c r="E63" s="139"/>
      <c r="F63" s="139"/>
      <c r="G63" s="181"/>
    </row>
    <row r="64" spans="1:7" ht="15" x14ac:dyDescent="0.2">
      <c r="A64" s="140" t="s">
        <v>173</v>
      </c>
      <c r="B64" s="137" t="s">
        <v>130</v>
      </c>
      <c r="C64" s="257" t="s">
        <v>131</v>
      </c>
      <c r="D64" s="137">
        <f>SUM(D65:D67)</f>
        <v>4012.6</v>
      </c>
      <c r="E64" s="137">
        <f>SUM(E65:E67)</f>
        <v>4222.5999999999995</v>
      </c>
      <c r="F64" s="137">
        <f>SUM(F65:F67)</f>
        <v>4311.7</v>
      </c>
      <c r="G64" s="190"/>
    </row>
    <row r="65" spans="1:7" ht="15" x14ac:dyDescent="0.2">
      <c r="A65" s="143" t="s">
        <v>174</v>
      </c>
      <c r="B65" s="245" t="s">
        <v>132</v>
      </c>
      <c r="C65" s="259"/>
      <c r="D65" s="134">
        <f>1545.5+56.3</f>
        <v>1601.8</v>
      </c>
      <c r="E65" s="134">
        <v>1629.6</v>
      </c>
      <c r="F65" s="134">
        <v>1718.7</v>
      </c>
      <c r="G65" s="190"/>
    </row>
    <row r="66" spans="1:7" ht="33" customHeight="1" x14ac:dyDescent="0.2">
      <c r="A66" s="260" t="s">
        <v>175</v>
      </c>
      <c r="B66" s="261" t="s">
        <v>133</v>
      </c>
      <c r="C66" s="256"/>
      <c r="D66" s="134">
        <v>2277.4</v>
      </c>
      <c r="E66" s="134">
        <v>2459.6</v>
      </c>
      <c r="F66" s="134">
        <v>2459.6</v>
      </c>
      <c r="G66" s="190"/>
    </row>
    <row r="67" spans="1:7" ht="15" x14ac:dyDescent="0.2">
      <c r="A67" s="262" t="s">
        <v>176</v>
      </c>
      <c r="B67" s="233" t="s">
        <v>135</v>
      </c>
      <c r="C67" s="270"/>
      <c r="D67" s="135">
        <v>133.4</v>
      </c>
      <c r="E67" s="135">
        <v>133.4</v>
      </c>
      <c r="F67" s="135">
        <v>133.4</v>
      </c>
      <c r="G67" s="190"/>
    </row>
    <row r="68" spans="1:7" s="227" customFormat="1" ht="15.75" x14ac:dyDescent="0.25">
      <c r="A68" s="180" t="s">
        <v>48</v>
      </c>
      <c r="B68" s="225" t="s">
        <v>177</v>
      </c>
      <c r="C68" s="224"/>
      <c r="D68" s="126">
        <f t="shared" ref="D68:F68" si="17">SUM(D70)</f>
        <v>2263.3000000000002</v>
      </c>
      <c r="E68" s="126">
        <f t="shared" si="17"/>
        <v>2173.0999999999995</v>
      </c>
      <c r="F68" s="126">
        <f t="shared" si="17"/>
        <v>2207.7999999999997</v>
      </c>
      <c r="G68" s="181"/>
    </row>
    <row r="69" spans="1:7" ht="15.75" x14ac:dyDescent="0.25">
      <c r="A69" s="143"/>
      <c r="B69" s="208" t="s">
        <v>129</v>
      </c>
      <c r="C69" s="201"/>
      <c r="D69" s="134"/>
      <c r="E69" s="139"/>
      <c r="F69" s="139"/>
      <c r="G69" s="181"/>
    </row>
    <row r="70" spans="1:7" ht="15" x14ac:dyDescent="0.2">
      <c r="A70" s="140" t="s">
        <v>178</v>
      </c>
      <c r="B70" s="39" t="s">
        <v>130</v>
      </c>
      <c r="C70" s="235" t="s">
        <v>131</v>
      </c>
      <c r="D70" s="137">
        <f t="shared" ref="D70:F70" si="18">SUM(D71:D73)</f>
        <v>2263.3000000000002</v>
      </c>
      <c r="E70" s="137">
        <f t="shared" si="18"/>
        <v>2173.0999999999995</v>
      </c>
      <c r="F70" s="137">
        <f t="shared" si="18"/>
        <v>2207.7999999999997</v>
      </c>
      <c r="G70" s="190"/>
    </row>
    <row r="71" spans="1:7" ht="15" x14ac:dyDescent="0.2">
      <c r="A71" s="143" t="s">
        <v>179</v>
      </c>
      <c r="B71" s="230" t="s">
        <v>132</v>
      </c>
      <c r="C71" s="236"/>
      <c r="D71" s="134">
        <f>620.5+123.2+106.5</f>
        <v>850.2</v>
      </c>
      <c r="E71" s="134">
        <v>653.29999999999995</v>
      </c>
      <c r="F71" s="134">
        <v>688</v>
      </c>
      <c r="G71" s="190"/>
    </row>
    <row r="72" spans="1:7" ht="33" customHeight="1" x14ac:dyDescent="0.2">
      <c r="A72" s="260" t="s">
        <v>180</v>
      </c>
      <c r="B72" s="231" t="s">
        <v>133</v>
      </c>
      <c r="C72" s="201"/>
      <c r="D72" s="134">
        <v>1333.4</v>
      </c>
      <c r="E72" s="134">
        <v>1440.1</v>
      </c>
      <c r="F72" s="134">
        <v>1440.1</v>
      </c>
      <c r="G72" s="190"/>
    </row>
    <row r="73" spans="1:7" ht="15" x14ac:dyDescent="0.2">
      <c r="A73" s="260" t="s">
        <v>181</v>
      </c>
      <c r="B73" s="231" t="s">
        <v>135</v>
      </c>
      <c r="C73" s="201"/>
      <c r="D73" s="138">
        <v>79.7</v>
      </c>
      <c r="E73" s="138">
        <v>79.7</v>
      </c>
      <c r="F73" s="138">
        <v>79.7</v>
      </c>
      <c r="G73" s="190"/>
    </row>
    <row r="74" spans="1:7" s="227" customFormat="1" ht="15.75" x14ac:dyDescent="0.25">
      <c r="A74" s="180" t="s">
        <v>34</v>
      </c>
      <c r="B74" s="225" t="s">
        <v>182</v>
      </c>
      <c r="C74" s="224"/>
      <c r="D74" s="136">
        <f t="shared" ref="D74:F74" si="19">SUM(D76)</f>
        <v>3389.8</v>
      </c>
      <c r="E74" s="136">
        <f t="shared" si="19"/>
        <v>3502.3</v>
      </c>
      <c r="F74" s="136">
        <f t="shared" si="19"/>
        <v>3582.1000000000004</v>
      </c>
      <c r="G74" s="181"/>
    </row>
    <row r="75" spans="1:7" ht="15.75" x14ac:dyDescent="0.25">
      <c r="A75" s="143"/>
      <c r="B75" s="242" t="s">
        <v>129</v>
      </c>
      <c r="C75" s="256"/>
      <c r="D75" s="134"/>
      <c r="E75" s="139"/>
      <c r="F75" s="139"/>
      <c r="G75" s="181"/>
    </row>
    <row r="76" spans="1:7" ht="15" x14ac:dyDescent="0.2">
      <c r="A76" s="140" t="s">
        <v>183</v>
      </c>
      <c r="B76" s="137" t="s">
        <v>130</v>
      </c>
      <c r="C76" s="257" t="s">
        <v>131</v>
      </c>
      <c r="D76" s="137">
        <f t="shared" ref="D76:F76" si="20">SUM(D77:D79)</f>
        <v>3389.8</v>
      </c>
      <c r="E76" s="137">
        <f t="shared" si="20"/>
        <v>3502.3</v>
      </c>
      <c r="F76" s="137">
        <f t="shared" si="20"/>
        <v>3582.1000000000004</v>
      </c>
      <c r="G76" s="190"/>
    </row>
    <row r="77" spans="1:7" ht="15" x14ac:dyDescent="0.2">
      <c r="A77" s="143" t="s">
        <v>184</v>
      </c>
      <c r="B77" s="245" t="s">
        <v>132</v>
      </c>
      <c r="C77" s="259"/>
      <c r="D77" s="134">
        <f>1404+101.4</f>
        <v>1505.4</v>
      </c>
      <c r="E77" s="134">
        <v>1479.4</v>
      </c>
      <c r="F77" s="134">
        <v>1559.2</v>
      </c>
      <c r="G77" s="190"/>
    </row>
    <row r="78" spans="1:7" ht="33" customHeight="1" x14ac:dyDescent="0.2">
      <c r="A78" s="260" t="s">
        <v>185</v>
      </c>
      <c r="B78" s="261" t="s">
        <v>133</v>
      </c>
      <c r="C78" s="256"/>
      <c r="D78" s="134">
        <v>1731.6</v>
      </c>
      <c r="E78" s="134">
        <v>1870.1</v>
      </c>
      <c r="F78" s="134">
        <v>1870.1</v>
      </c>
      <c r="G78" s="190"/>
    </row>
    <row r="79" spans="1:7" ht="15" x14ac:dyDescent="0.2">
      <c r="A79" s="508" t="s">
        <v>186</v>
      </c>
      <c r="B79" s="351" t="s">
        <v>135</v>
      </c>
      <c r="C79" s="509"/>
      <c r="D79" s="138">
        <v>152.80000000000001</v>
      </c>
      <c r="E79" s="138">
        <v>152.80000000000001</v>
      </c>
      <c r="F79" s="138">
        <v>152.80000000000001</v>
      </c>
      <c r="G79" s="190"/>
    </row>
    <row r="80" spans="1:7" s="227" customFormat="1" ht="15.75" x14ac:dyDescent="0.25">
      <c r="A80" s="205" t="s">
        <v>93</v>
      </c>
      <c r="B80" s="40" t="s">
        <v>187</v>
      </c>
      <c r="C80" s="205"/>
      <c r="D80" s="136">
        <f t="shared" ref="D80:F80" si="21">SUM(D82)</f>
        <v>2926.5</v>
      </c>
      <c r="E80" s="136">
        <f t="shared" si="21"/>
        <v>3088.7</v>
      </c>
      <c r="F80" s="136">
        <f t="shared" si="21"/>
        <v>3154.7</v>
      </c>
      <c r="G80" s="181"/>
    </row>
    <row r="81" spans="1:7" ht="15.75" x14ac:dyDescent="0.25">
      <c r="A81" s="186"/>
      <c r="B81" s="208" t="s">
        <v>129</v>
      </c>
      <c r="C81" s="201"/>
      <c r="D81" s="134"/>
      <c r="E81" s="139"/>
      <c r="F81" s="139"/>
      <c r="G81" s="181"/>
    </row>
    <row r="82" spans="1:7" ht="15" x14ac:dyDescent="0.2">
      <c r="A82" s="191" t="s">
        <v>188</v>
      </c>
      <c r="B82" s="39" t="s">
        <v>130</v>
      </c>
      <c r="C82" s="235" t="s">
        <v>131</v>
      </c>
      <c r="D82" s="137">
        <f t="shared" ref="D82:F82" si="22">SUM(D83:D85)</f>
        <v>2926.5</v>
      </c>
      <c r="E82" s="137">
        <f t="shared" si="22"/>
        <v>3088.7</v>
      </c>
      <c r="F82" s="137">
        <f t="shared" si="22"/>
        <v>3154.7</v>
      </c>
      <c r="G82" s="190"/>
    </row>
    <row r="83" spans="1:7" ht="15" x14ac:dyDescent="0.2">
      <c r="A83" s="186" t="s">
        <v>189</v>
      </c>
      <c r="B83" s="230" t="s">
        <v>132</v>
      </c>
      <c r="C83" s="236"/>
      <c r="D83" s="134">
        <f>1168.7+27.9</f>
        <v>1196.6000000000001</v>
      </c>
      <c r="E83" s="134">
        <v>1231</v>
      </c>
      <c r="F83" s="134">
        <v>1297</v>
      </c>
      <c r="G83" s="190"/>
    </row>
    <row r="84" spans="1:7" ht="33" customHeight="1" x14ac:dyDescent="0.2">
      <c r="A84" s="196" t="s">
        <v>190</v>
      </c>
      <c r="B84" s="231" t="s">
        <v>133</v>
      </c>
      <c r="C84" s="201"/>
      <c r="D84" s="134">
        <v>1596.9</v>
      </c>
      <c r="E84" s="134">
        <v>1724.7</v>
      </c>
      <c r="F84" s="134">
        <v>1724.7</v>
      </c>
      <c r="G84" s="190"/>
    </row>
    <row r="85" spans="1:7" ht="14.45" customHeight="1" x14ac:dyDescent="0.2">
      <c r="A85" s="37" t="s">
        <v>191</v>
      </c>
      <c r="B85" s="271" t="s">
        <v>135</v>
      </c>
      <c r="C85" s="510"/>
      <c r="D85" s="144">
        <v>133</v>
      </c>
      <c r="E85" s="138">
        <v>133</v>
      </c>
      <c r="F85" s="138">
        <v>133</v>
      </c>
      <c r="G85" s="190"/>
    </row>
    <row r="86" spans="1:7" s="227" customFormat="1" ht="15.75" x14ac:dyDescent="0.25">
      <c r="A86" s="224" t="s">
        <v>36</v>
      </c>
      <c r="B86" s="225" t="s">
        <v>94</v>
      </c>
      <c r="C86" s="205"/>
      <c r="D86" s="136">
        <f t="shared" ref="D86:F86" si="23">SUM(D88)</f>
        <v>3323.6000000000004</v>
      </c>
      <c r="E86" s="136">
        <f t="shared" si="23"/>
        <v>3500.1</v>
      </c>
      <c r="F86" s="136">
        <f t="shared" si="23"/>
        <v>3569</v>
      </c>
      <c r="G86" s="181"/>
    </row>
    <row r="87" spans="1:7" ht="15.75" x14ac:dyDescent="0.25">
      <c r="A87" s="186"/>
      <c r="B87" s="208" t="s">
        <v>129</v>
      </c>
      <c r="C87" s="201"/>
      <c r="D87" s="134"/>
      <c r="E87" s="139"/>
      <c r="F87" s="139"/>
      <c r="G87" s="181"/>
    </row>
    <row r="88" spans="1:7" ht="15" x14ac:dyDescent="0.2">
      <c r="A88" s="191" t="s">
        <v>192</v>
      </c>
      <c r="B88" s="39" t="s">
        <v>130</v>
      </c>
      <c r="C88" s="235" t="s">
        <v>131</v>
      </c>
      <c r="D88" s="137">
        <f t="shared" ref="D88:F88" si="24">SUM(D89:D91)</f>
        <v>3323.6000000000004</v>
      </c>
      <c r="E88" s="137">
        <f t="shared" si="24"/>
        <v>3500.1</v>
      </c>
      <c r="F88" s="137">
        <f t="shared" si="24"/>
        <v>3569</v>
      </c>
      <c r="G88" s="190"/>
    </row>
    <row r="89" spans="1:7" ht="15" x14ac:dyDescent="0.2">
      <c r="A89" s="186" t="s">
        <v>193</v>
      </c>
      <c r="B89" s="230" t="s">
        <v>132</v>
      </c>
      <c r="C89" s="236"/>
      <c r="D89" s="134">
        <f>1320.4+35.4</f>
        <v>1355.8000000000002</v>
      </c>
      <c r="E89" s="134">
        <v>1385.2</v>
      </c>
      <c r="F89" s="134">
        <v>1454.1</v>
      </c>
      <c r="G89" s="190"/>
    </row>
    <row r="90" spans="1:7" ht="33" customHeight="1" x14ac:dyDescent="0.2">
      <c r="A90" s="196" t="s">
        <v>194</v>
      </c>
      <c r="B90" s="231" t="s">
        <v>133</v>
      </c>
      <c r="C90" s="201"/>
      <c r="D90" s="134">
        <v>1838.9</v>
      </c>
      <c r="E90" s="134">
        <v>1986</v>
      </c>
      <c r="F90" s="134">
        <v>1986</v>
      </c>
      <c r="G90" s="190"/>
    </row>
    <row r="91" spans="1:7" ht="15" x14ac:dyDescent="0.2">
      <c r="A91" s="37" t="s">
        <v>195</v>
      </c>
      <c r="B91" s="230" t="s">
        <v>135</v>
      </c>
      <c r="C91" s="208"/>
      <c r="D91" s="516">
        <v>128.9</v>
      </c>
      <c r="E91" s="147">
        <v>128.9</v>
      </c>
      <c r="F91" s="147">
        <v>128.9</v>
      </c>
      <c r="G91" s="190"/>
    </row>
    <row r="92" spans="1:7" s="227" customFormat="1" ht="15.75" x14ac:dyDescent="0.25">
      <c r="A92" s="180" t="s">
        <v>38</v>
      </c>
      <c r="B92" s="272" t="s">
        <v>196</v>
      </c>
      <c r="C92" s="241"/>
      <c r="D92" s="126">
        <f t="shared" ref="D92:F92" si="25">SUM(D94)</f>
        <v>2988.2999999999997</v>
      </c>
      <c r="E92" s="126">
        <f t="shared" si="25"/>
        <v>3147.9</v>
      </c>
      <c r="F92" s="126">
        <f t="shared" si="25"/>
        <v>3230.4</v>
      </c>
      <c r="G92" s="181"/>
    </row>
    <row r="93" spans="1:7" ht="15.75" x14ac:dyDescent="0.25">
      <c r="A93" s="143"/>
      <c r="B93" s="242" t="s">
        <v>129</v>
      </c>
      <c r="C93" s="243"/>
      <c r="D93" s="134"/>
      <c r="E93" s="139"/>
      <c r="F93" s="139"/>
      <c r="G93" s="181"/>
    </row>
    <row r="94" spans="1:7" ht="15" x14ac:dyDescent="0.2">
      <c r="A94" s="140" t="s">
        <v>40</v>
      </c>
      <c r="B94" s="137" t="s">
        <v>130</v>
      </c>
      <c r="C94" s="244" t="s">
        <v>131</v>
      </c>
      <c r="D94" s="137">
        <f t="shared" ref="D94:F94" si="26">SUM(D95:D97)</f>
        <v>2988.2999999999997</v>
      </c>
      <c r="E94" s="137">
        <f t="shared" si="26"/>
        <v>3147.9</v>
      </c>
      <c r="F94" s="137">
        <f t="shared" si="26"/>
        <v>3230.4</v>
      </c>
      <c r="G94" s="190"/>
    </row>
    <row r="95" spans="1:7" ht="15" x14ac:dyDescent="0.2">
      <c r="A95" s="143" t="s">
        <v>197</v>
      </c>
      <c r="B95" s="245" t="s">
        <v>132</v>
      </c>
      <c r="C95" s="246"/>
      <c r="D95" s="134">
        <f>1521.6+25.7</f>
        <v>1547.3</v>
      </c>
      <c r="E95" s="134">
        <v>1601.7</v>
      </c>
      <c r="F95" s="134">
        <v>1684.2</v>
      </c>
      <c r="G95" s="190"/>
    </row>
    <row r="96" spans="1:7" ht="33" customHeight="1" x14ac:dyDescent="0.2">
      <c r="A96" s="260" t="s">
        <v>198</v>
      </c>
      <c r="B96" s="261" t="s">
        <v>133</v>
      </c>
      <c r="C96" s="243"/>
      <c r="D96" s="134">
        <v>1314.6</v>
      </c>
      <c r="E96" s="134">
        <v>1419.8</v>
      </c>
      <c r="F96" s="134">
        <v>1419.8</v>
      </c>
      <c r="G96" s="190"/>
    </row>
    <row r="97" spans="1:8" ht="15" x14ac:dyDescent="0.2">
      <c r="A97" s="144" t="s">
        <v>199</v>
      </c>
      <c r="B97" s="511" t="s">
        <v>135</v>
      </c>
      <c r="C97" s="512"/>
      <c r="D97" s="138">
        <v>126.4</v>
      </c>
      <c r="E97" s="138">
        <v>126.4</v>
      </c>
      <c r="F97" s="138">
        <v>126.4</v>
      </c>
      <c r="G97" s="190"/>
      <c r="H97" s="273"/>
    </row>
    <row r="98" spans="1:8" ht="15.75" x14ac:dyDescent="0.25">
      <c r="A98" s="207" t="s">
        <v>50</v>
      </c>
      <c r="B98" s="274" t="s">
        <v>386</v>
      </c>
      <c r="C98" s="275"/>
      <c r="D98" s="136">
        <f>SUM(D100)</f>
        <v>4049.3</v>
      </c>
      <c r="E98" s="136">
        <f t="shared" ref="E98:F98" si="27">SUM(E100)</f>
        <v>4285.7999999999993</v>
      </c>
      <c r="F98" s="136">
        <f t="shared" si="27"/>
        <v>4373</v>
      </c>
      <c r="G98" s="181"/>
      <c r="H98" s="273"/>
    </row>
    <row r="99" spans="1:8" ht="15.75" x14ac:dyDescent="0.25">
      <c r="A99" s="143"/>
      <c r="B99" s="242" t="s">
        <v>129</v>
      </c>
      <c r="C99" s="243"/>
      <c r="D99" s="134"/>
      <c r="E99" s="134"/>
      <c r="F99" s="134"/>
      <c r="G99" s="181"/>
      <c r="H99" s="273"/>
    </row>
    <row r="100" spans="1:8" ht="15" x14ac:dyDescent="0.2">
      <c r="A100" s="140" t="s">
        <v>200</v>
      </c>
      <c r="B100" s="276" t="s">
        <v>130</v>
      </c>
      <c r="C100" s="334" t="s">
        <v>131</v>
      </c>
      <c r="D100" s="194">
        <f>SUM(D101:D104)</f>
        <v>4049.3</v>
      </c>
      <c r="E100" s="133">
        <f t="shared" ref="E100:F100" si="28">SUM(E101:E104)</f>
        <v>4285.7999999999993</v>
      </c>
      <c r="F100" s="133">
        <f t="shared" si="28"/>
        <v>4373</v>
      </c>
      <c r="G100" s="190"/>
      <c r="H100" s="273"/>
    </row>
    <row r="101" spans="1:8" ht="15" x14ac:dyDescent="0.2">
      <c r="A101" s="185" t="s">
        <v>201</v>
      </c>
      <c r="B101" s="278" t="s">
        <v>132</v>
      </c>
      <c r="C101" s="279"/>
      <c r="D101" s="127">
        <f>1585.7+17.2</f>
        <v>1602.9</v>
      </c>
      <c r="E101" s="127">
        <v>1668</v>
      </c>
      <c r="F101" s="127">
        <v>1755.2</v>
      </c>
      <c r="G101" s="190"/>
      <c r="H101" s="273"/>
    </row>
    <row r="102" spans="1:8" ht="15" x14ac:dyDescent="0.2">
      <c r="A102" s="280" t="s">
        <v>202</v>
      </c>
      <c r="B102" s="281" t="s">
        <v>135</v>
      </c>
      <c r="C102" s="282"/>
      <c r="D102" s="517">
        <v>291.3</v>
      </c>
      <c r="E102" s="277">
        <v>291.3</v>
      </c>
      <c r="F102" s="497">
        <v>291.3</v>
      </c>
      <c r="G102" s="190"/>
      <c r="H102" s="273"/>
    </row>
    <row r="103" spans="1:8" ht="15" x14ac:dyDescent="0.2">
      <c r="A103" s="280" t="s">
        <v>603</v>
      </c>
      <c r="B103" s="283" t="s">
        <v>362</v>
      </c>
      <c r="C103" s="284"/>
      <c r="D103" s="195">
        <v>12.3</v>
      </c>
      <c r="E103" s="285">
        <v>12.3</v>
      </c>
      <c r="F103" s="498">
        <v>12.3</v>
      </c>
      <c r="G103" s="190"/>
      <c r="H103" s="273"/>
    </row>
    <row r="104" spans="1:8" ht="30" x14ac:dyDescent="0.2">
      <c r="A104" s="140" t="s">
        <v>631</v>
      </c>
      <c r="B104" s="286" t="s">
        <v>133</v>
      </c>
      <c r="C104" s="287"/>
      <c r="D104" s="518">
        <v>2142.8000000000002</v>
      </c>
      <c r="E104" s="288">
        <v>2314.1999999999998</v>
      </c>
      <c r="F104" s="194">
        <v>2314.1999999999998</v>
      </c>
      <c r="G104" s="190"/>
      <c r="H104" s="273"/>
    </row>
    <row r="105" spans="1:8" s="227" customFormat="1" ht="15.75" x14ac:dyDescent="0.25">
      <c r="A105" s="180" t="s">
        <v>51</v>
      </c>
      <c r="B105" s="126" t="s">
        <v>95</v>
      </c>
      <c r="C105" s="241"/>
      <c r="D105" s="136">
        <f t="shared" ref="D105:F105" si="29">SUM(D107)</f>
        <v>2304.6999999999998</v>
      </c>
      <c r="E105" s="136">
        <f t="shared" si="29"/>
        <v>2413.6999999999998</v>
      </c>
      <c r="F105" s="126">
        <f t="shared" si="29"/>
        <v>2489.8999999999996</v>
      </c>
      <c r="G105" s="181"/>
      <c r="H105" s="289"/>
    </row>
    <row r="106" spans="1:8" ht="15.75" x14ac:dyDescent="0.25">
      <c r="A106" s="143"/>
      <c r="B106" s="242" t="s">
        <v>129</v>
      </c>
      <c r="C106" s="199"/>
      <c r="D106" s="134"/>
      <c r="E106" s="139"/>
      <c r="F106" s="139"/>
      <c r="G106" s="181"/>
    </row>
    <row r="107" spans="1:8" ht="15" x14ac:dyDescent="0.2">
      <c r="A107" s="140" t="s">
        <v>53</v>
      </c>
      <c r="B107" s="137" t="s">
        <v>130</v>
      </c>
      <c r="C107" s="244" t="s">
        <v>131</v>
      </c>
      <c r="D107" s="137">
        <f t="shared" ref="D107:F107" si="30">SUM(D108:D110)</f>
        <v>2304.6999999999998</v>
      </c>
      <c r="E107" s="137">
        <f t="shared" si="30"/>
        <v>2413.6999999999998</v>
      </c>
      <c r="F107" s="137">
        <f t="shared" si="30"/>
        <v>2489.8999999999996</v>
      </c>
      <c r="G107" s="190"/>
    </row>
    <row r="108" spans="1:8" ht="15" x14ac:dyDescent="0.2">
      <c r="A108" s="143" t="s">
        <v>203</v>
      </c>
      <c r="B108" s="245" t="s">
        <v>132</v>
      </c>
      <c r="C108" s="246"/>
      <c r="D108" s="134">
        <f>1318.5+29.1</f>
        <v>1347.6</v>
      </c>
      <c r="E108" s="134">
        <v>1390.2</v>
      </c>
      <c r="F108" s="134">
        <v>1466.4</v>
      </c>
      <c r="G108" s="190"/>
    </row>
    <row r="109" spans="1:8" ht="33" customHeight="1" x14ac:dyDescent="0.2">
      <c r="A109" s="260" t="s">
        <v>204</v>
      </c>
      <c r="B109" s="261" t="s">
        <v>133</v>
      </c>
      <c r="C109" s="199"/>
      <c r="D109" s="134">
        <v>830.4</v>
      </c>
      <c r="E109" s="134">
        <v>896.8</v>
      </c>
      <c r="F109" s="134">
        <v>896.8</v>
      </c>
      <c r="G109" s="190"/>
    </row>
    <row r="110" spans="1:8" ht="15" x14ac:dyDescent="0.2">
      <c r="A110" s="143" t="s">
        <v>205</v>
      </c>
      <c r="B110" s="245" t="s">
        <v>135</v>
      </c>
      <c r="C110" s="143"/>
      <c r="D110" s="138">
        <v>126.7</v>
      </c>
      <c r="E110" s="138">
        <v>126.7</v>
      </c>
      <c r="F110" s="138">
        <v>126.7</v>
      </c>
      <c r="G110" s="190"/>
    </row>
    <row r="111" spans="1:8" s="227" customFormat="1" ht="15.75" x14ac:dyDescent="0.25">
      <c r="A111" s="224" t="s">
        <v>57</v>
      </c>
      <c r="B111" s="225" t="s">
        <v>96</v>
      </c>
      <c r="C111" s="224"/>
      <c r="D111" s="136">
        <f t="shared" ref="D111:F111" si="31">SUM(D113)</f>
        <v>2213.3000000000002</v>
      </c>
      <c r="E111" s="136">
        <f t="shared" si="31"/>
        <v>2327.5</v>
      </c>
      <c r="F111" s="136">
        <f t="shared" si="31"/>
        <v>2403.3999999999996</v>
      </c>
      <c r="G111" s="181"/>
    </row>
    <row r="112" spans="1:8" ht="15.75" x14ac:dyDescent="0.25">
      <c r="A112" s="186"/>
      <c r="B112" s="208" t="s">
        <v>129</v>
      </c>
      <c r="C112" s="186"/>
      <c r="D112" s="134"/>
      <c r="E112" s="139"/>
      <c r="F112" s="139"/>
      <c r="G112" s="181"/>
    </row>
    <row r="113" spans="1:7" ht="15" x14ac:dyDescent="0.2">
      <c r="A113" s="191" t="s">
        <v>206</v>
      </c>
      <c r="B113" s="39" t="s">
        <v>130</v>
      </c>
      <c r="C113" s="235" t="s">
        <v>131</v>
      </c>
      <c r="D113" s="137">
        <f t="shared" ref="D113:F113" si="32">SUM(D114:D116)</f>
        <v>2213.3000000000002</v>
      </c>
      <c r="E113" s="137">
        <f t="shared" si="32"/>
        <v>2327.5</v>
      </c>
      <c r="F113" s="137">
        <f t="shared" si="32"/>
        <v>2403.3999999999996</v>
      </c>
      <c r="G113" s="190"/>
    </row>
    <row r="114" spans="1:7" ht="15" x14ac:dyDescent="0.2">
      <c r="A114" s="37" t="s">
        <v>207</v>
      </c>
      <c r="B114" s="230" t="s">
        <v>132</v>
      </c>
      <c r="C114" s="236"/>
      <c r="D114" s="134">
        <f>1309.9+19</f>
        <v>1328.9</v>
      </c>
      <c r="E114" s="134">
        <v>1381.7</v>
      </c>
      <c r="F114" s="134">
        <v>1457.6</v>
      </c>
      <c r="G114" s="190"/>
    </row>
    <row r="115" spans="1:7" ht="33" customHeight="1" x14ac:dyDescent="0.2">
      <c r="A115" s="196" t="s">
        <v>208</v>
      </c>
      <c r="B115" s="231" t="s">
        <v>133</v>
      </c>
      <c r="C115" s="186"/>
      <c r="D115" s="134">
        <v>766.9</v>
      </c>
      <c r="E115" s="134">
        <v>828.3</v>
      </c>
      <c r="F115" s="134">
        <v>828.3</v>
      </c>
      <c r="G115" s="190"/>
    </row>
    <row r="116" spans="1:7" ht="15" x14ac:dyDescent="0.2">
      <c r="A116" s="37" t="s">
        <v>209</v>
      </c>
      <c r="B116" s="230" t="s">
        <v>135</v>
      </c>
      <c r="C116" s="37"/>
      <c r="D116" s="516">
        <v>117.5</v>
      </c>
      <c r="E116" s="147">
        <v>117.5</v>
      </c>
      <c r="F116" s="147">
        <v>117.5</v>
      </c>
      <c r="G116" s="190"/>
    </row>
    <row r="117" spans="1:7" s="227" customFormat="1" ht="15.75" x14ac:dyDescent="0.25">
      <c r="A117" s="224" t="s">
        <v>58</v>
      </c>
      <c r="B117" s="225" t="s">
        <v>97</v>
      </c>
      <c r="C117" s="226"/>
      <c r="D117" s="126">
        <f t="shared" ref="D117:F117" si="33">SUM(D119)</f>
        <v>1977.5</v>
      </c>
      <c r="E117" s="126">
        <f t="shared" si="33"/>
        <v>2239.7000000000003</v>
      </c>
      <c r="F117" s="126">
        <f t="shared" si="33"/>
        <v>2155.8000000000002</v>
      </c>
      <c r="G117" s="181"/>
    </row>
    <row r="118" spans="1:7" ht="15.75" x14ac:dyDescent="0.25">
      <c r="A118" s="186"/>
      <c r="B118" s="208" t="s">
        <v>129</v>
      </c>
      <c r="C118" s="290"/>
      <c r="D118" s="134"/>
      <c r="E118" s="139"/>
      <c r="F118" s="139"/>
      <c r="G118" s="181"/>
    </row>
    <row r="119" spans="1:7" ht="15" x14ac:dyDescent="0.2">
      <c r="A119" s="191" t="s">
        <v>60</v>
      </c>
      <c r="B119" s="39" t="s">
        <v>130</v>
      </c>
      <c r="C119" s="193" t="s">
        <v>131</v>
      </c>
      <c r="D119" s="137">
        <f t="shared" ref="D119:F119" si="34">SUM(D120:D122)</f>
        <v>1977.5</v>
      </c>
      <c r="E119" s="137">
        <f t="shared" si="34"/>
        <v>2239.7000000000003</v>
      </c>
      <c r="F119" s="137">
        <f t="shared" si="34"/>
        <v>2155.8000000000002</v>
      </c>
      <c r="G119" s="190"/>
    </row>
    <row r="120" spans="1:7" ht="15" x14ac:dyDescent="0.2">
      <c r="A120" s="186" t="s">
        <v>210</v>
      </c>
      <c r="B120" s="230" t="s">
        <v>132</v>
      </c>
      <c r="C120" s="188"/>
      <c r="D120" s="134">
        <f>1148.1+17</f>
        <v>1165.0999999999999</v>
      </c>
      <c r="E120" s="134">
        <f>1221.9+150</f>
        <v>1371.9</v>
      </c>
      <c r="F120" s="134">
        <v>1288</v>
      </c>
      <c r="G120" s="190"/>
    </row>
    <row r="121" spans="1:7" ht="31.5" customHeight="1" x14ac:dyDescent="0.2">
      <c r="A121" s="196" t="s">
        <v>211</v>
      </c>
      <c r="B121" s="231" t="s">
        <v>133</v>
      </c>
      <c r="C121" s="290"/>
      <c r="D121" s="134">
        <v>692.5</v>
      </c>
      <c r="E121" s="134">
        <v>747.9</v>
      </c>
      <c r="F121" s="134">
        <v>747.9</v>
      </c>
      <c r="G121" s="190"/>
    </row>
    <row r="122" spans="1:7" ht="15" x14ac:dyDescent="0.2">
      <c r="A122" s="186" t="s">
        <v>212</v>
      </c>
      <c r="B122" s="230" t="s">
        <v>135</v>
      </c>
      <c r="C122" s="290"/>
      <c r="D122" s="138">
        <v>119.9</v>
      </c>
      <c r="E122" s="138">
        <v>119.9</v>
      </c>
      <c r="F122" s="138">
        <v>119.9</v>
      </c>
      <c r="G122" s="190"/>
    </row>
    <row r="123" spans="1:7" s="227" customFormat="1" ht="15.75" customHeight="1" x14ac:dyDescent="0.25">
      <c r="A123" s="291" t="s">
        <v>62</v>
      </c>
      <c r="B123" s="292" t="s">
        <v>98</v>
      </c>
      <c r="C123" s="293"/>
      <c r="D123" s="136">
        <f t="shared" ref="D123:F123" si="35">SUM(D125)</f>
        <v>2386.8000000000002</v>
      </c>
      <c r="E123" s="136">
        <f t="shared" si="35"/>
        <v>2503.3000000000002</v>
      </c>
      <c r="F123" s="136">
        <f t="shared" si="35"/>
        <v>2584.4</v>
      </c>
      <c r="G123" s="181"/>
    </row>
    <row r="124" spans="1:7" ht="15.75" x14ac:dyDescent="0.25">
      <c r="A124" s="143"/>
      <c r="B124" s="242" t="s">
        <v>129</v>
      </c>
      <c r="C124" s="143"/>
      <c r="D124" s="134"/>
      <c r="E124" s="139"/>
      <c r="F124" s="139"/>
      <c r="G124" s="181"/>
    </row>
    <row r="125" spans="1:7" ht="15" x14ac:dyDescent="0.2">
      <c r="A125" s="140" t="s">
        <v>214</v>
      </c>
      <c r="B125" s="137" t="s">
        <v>130</v>
      </c>
      <c r="C125" s="257" t="s">
        <v>131</v>
      </c>
      <c r="D125" s="137">
        <f t="shared" ref="D125:F125" si="36">SUM(D126:D128)</f>
        <v>2386.8000000000002</v>
      </c>
      <c r="E125" s="137">
        <f t="shared" si="36"/>
        <v>2503.3000000000002</v>
      </c>
      <c r="F125" s="137">
        <f t="shared" si="36"/>
        <v>2584.4</v>
      </c>
      <c r="G125" s="190"/>
    </row>
    <row r="126" spans="1:7" ht="15" x14ac:dyDescent="0.2">
      <c r="A126" s="143" t="s">
        <v>215</v>
      </c>
      <c r="B126" s="245" t="s">
        <v>132</v>
      </c>
      <c r="C126" s="259"/>
      <c r="D126" s="134">
        <f>1408.4+26.6</f>
        <v>1435</v>
      </c>
      <c r="E126" s="134">
        <v>1484.9</v>
      </c>
      <c r="F126" s="134">
        <v>1566</v>
      </c>
      <c r="G126" s="190"/>
    </row>
    <row r="127" spans="1:7" ht="33" customHeight="1" x14ac:dyDescent="0.2">
      <c r="A127" s="260" t="s">
        <v>216</v>
      </c>
      <c r="B127" s="261" t="s">
        <v>133</v>
      </c>
      <c r="C127" s="143"/>
      <c r="D127" s="134">
        <v>832</v>
      </c>
      <c r="E127" s="134">
        <v>898.6</v>
      </c>
      <c r="F127" s="134">
        <v>898.6</v>
      </c>
      <c r="G127" s="190"/>
    </row>
    <row r="128" spans="1:7" ht="15" x14ac:dyDescent="0.2">
      <c r="A128" s="294" t="s">
        <v>217</v>
      </c>
      <c r="B128" s="261" t="s">
        <v>135</v>
      </c>
      <c r="C128" s="143"/>
      <c r="D128" s="138">
        <v>119.8</v>
      </c>
      <c r="E128" s="138">
        <v>119.8</v>
      </c>
      <c r="F128" s="138">
        <v>119.8</v>
      </c>
      <c r="G128" s="190"/>
    </row>
    <row r="129" spans="1:7" s="227" customFormat="1" ht="15.75" customHeight="1" x14ac:dyDescent="0.25">
      <c r="A129" s="291" t="s">
        <v>64</v>
      </c>
      <c r="B129" s="126" t="s">
        <v>213</v>
      </c>
      <c r="C129" s="293"/>
      <c r="D129" s="136">
        <f t="shared" ref="D129:F129" si="37">SUM(D131)</f>
        <v>2331.7000000000003</v>
      </c>
      <c r="E129" s="136">
        <f t="shared" si="37"/>
        <v>2449.2000000000003</v>
      </c>
      <c r="F129" s="136">
        <f t="shared" si="37"/>
        <v>2529.1</v>
      </c>
      <c r="G129" s="181"/>
    </row>
    <row r="130" spans="1:7" ht="15.75" x14ac:dyDescent="0.25">
      <c r="A130" s="143"/>
      <c r="B130" s="242" t="s">
        <v>129</v>
      </c>
      <c r="C130" s="143"/>
      <c r="D130" s="134"/>
      <c r="E130" s="139"/>
      <c r="F130" s="139"/>
      <c r="G130" s="181"/>
    </row>
    <row r="131" spans="1:7" ht="15" x14ac:dyDescent="0.2">
      <c r="A131" s="140" t="s">
        <v>219</v>
      </c>
      <c r="B131" s="137" t="s">
        <v>130</v>
      </c>
      <c r="C131" s="257" t="s">
        <v>131</v>
      </c>
      <c r="D131" s="137">
        <f t="shared" ref="D131:F131" si="38">SUM(D132:D134)</f>
        <v>2331.7000000000003</v>
      </c>
      <c r="E131" s="137">
        <f t="shared" si="38"/>
        <v>2449.2000000000003</v>
      </c>
      <c r="F131" s="137">
        <f t="shared" si="38"/>
        <v>2529.1</v>
      </c>
      <c r="G131" s="190"/>
    </row>
    <row r="132" spans="1:7" ht="15" x14ac:dyDescent="0.2">
      <c r="A132" s="143" t="s">
        <v>220</v>
      </c>
      <c r="B132" s="245" t="s">
        <v>132</v>
      </c>
      <c r="C132" s="259"/>
      <c r="D132" s="134">
        <f>1427.9+16.5</f>
        <v>1444.4</v>
      </c>
      <c r="E132" s="134">
        <v>1503.2</v>
      </c>
      <c r="F132" s="134">
        <v>1583.1</v>
      </c>
      <c r="G132" s="190"/>
    </row>
    <row r="133" spans="1:7" s="227" customFormat="1" ht="33" customHeight="1" x14ac:dyDescent="0.2">
      <c r="A133" s="260" t="s">
        <v>221</v>
      </c>
      <c r="B133" s="261" t="s">
        <v>133</v>
      </c>
      <c r="C133" s="143"/>
      <c r="D133" s="134">
        <v>733.4</v>
      </c>
      <c r="E133" s="134">
        <v>792.1</v>
      </c>
      <c r="F133" s="134">
        <v>792.1</v>
      </c>
      <c r="G133" s="190"/>
    </row>
    <row r="134" spans="1:7" s="227" customFormat="1" ht="15" x14ac:dyDescent="0.2">
      <c r="A134" s="295" t="s">
        <v>222</v>
      </c>
      <c r="B134" s="261" t="s">
        <v>135</v>
      </c>
      <c r="C134" s="134"/>
      <c r="D134" s="516">
        <v>153.9</v>
      </c>
      <c r="E134" s="147">
        <v>153.9</v>
      </c>
      <c r="F134" s="147">
        <v>153.9</v>
      </c>
      <c r="G134" s="190"/>
    </row>
    <row r="135" spans="1:7" s="227" customFormat="1" ht="15.75" x14ac:dyDescent="0.25">
      <c r="A135" s="224" t="s">
        <v>99</v>
      </c>
      <c r="B135" s="225" t="s">
        <v>218</v>
      </c>
      <c r="C135" s="226"/>
      <c r="D135" s="126">
        <f t="shared" ref="D135:F135" si="39">SUM(D137)</f>
        <v>2303.6</v>
      </c>
      <c r="E135" s="126">
        <f t="shared" si="39"/>
        <v>2412</v>
      </c>
      <c r="F135" s="126">
        <f t="shared" si="39"/>
        <v>2534.6</v>
      </c>
      <c r="G135" s="181"/>
    </row>
    <row r="136" spans="1:7" ht="15.75" x14ac:dyDescent="0.25">
      <c r="A136" s="186"/>
      <c r="B136" s="208" t="s">
        <v>129</v>
      </c>
      <c r="C136" s="290"/>
      <c r="D136" s="134"/>
      <c r="E136" s="139"/>
      <c r="F136" s="139"/>
      <c r="G136" s="181"/>
    </row>
    <row r="137" spans="1:7" ht="15" x14ac:dyDescent="0.2">
      <c r="A137" s="191" t="s">
        <v>69</v>
      </c>
      <c r="B137" s="39" t="s">
        <v>130</v>
      </c>
      <c r="C137" s="193" t="s">
        <v>131</v>
      </c>
      <c r="D137" s="137">
        <f t="shared" ref="D137:F137" si="40">SUM(D138:D140)</f>
        <v>2303.6</v>
      </c>
      <c r="E137" s="137">
        <f t="shared" si="40"/>
        <v>2412</v>
      </c>
      <c r="F137" s="137">
        <f t="shared" si="40"/>
        <v>2534.6</v>
      </c>
      <c r="G137" s="190"/>
    </row>
    <row r="138" spans="1:7" ht="15" x14ac:dyDescent="0.2">
      <c r="A138" s="186" t="s">
        <v>223</v>
      </c>
      <c r="B138" s="230" t="s">
        <v>132</v>
      </c>
      <c r="C138" s="188"/>
      <c r="D138" s="134">
        <f>2021.3+18.9</f>
        <v>2040.2</v>
      </c>
      <c r="E138" s="134">
        <v>2136.9</v>
      </c>
      <c r="F138" s="134">
        <v>2259.5</v>
      </c>
      <c r="G138" s="190"/>
    </row>
    <row r="139" spans="1:7" ht="33" customHeight="1" x14ac:dyDescent="0.2">
      <c r="A139" s="196" t="s">
        <v>224</v>
      </c>
      <c r="B139" s="231" t="s">
        <v>133</v>
      </c>
      <c r="C139" s="290"/>
      <c r="D139" s="134">
        <v>145.80000000000001</v>
      </c>
      <c r="E139" s="134">
        <v>157.5</v>
      </c>
      <c r="F139" s="134">
        <v>157.5</v>
      </c>
      <c r="G139" s="190"/>
    </row>
    <row r="140" spans="1:7" ht="15" x14ac:dyDescent="0.2">
      <c r="A140" s="196" t="s">
        <v>225</v>
      </c>
      <c r="B140" s="513" t="s">
        <v>135</v>
      </c>
      <c r="C140" s="514"/>
      <c r="D140" s="138">
        <v>117.6</v>
      </c>
      <c r="E140" s="138">
        <v>117.6</v>
      </c>
      <c r="F140" s="138">
        <v>117.6</v>
      </c>
      <c r="G140" s="190"/>
    </row>
    <row r="141" spans="1:7" s="227" customFormat="1" ht="31.5" x14ac:dyDescent="0.25">
      <c r="A141" s="224" t="s">
        <v>101</v>
      </c>
      <c r="B141" s="296" t="s">
        <v>100</v>
      </c>
      <c r="C141" s="297"/>
      <c r="D141" s="136">
        <f>SUM(D143+D147)</f>
        <v>547.80000000000007</v>
      </c>
      <c r="E141" s="136">
        <f>SUM(E143+E147)</f>
        <v>528.20000000000005</v>
      </c>
      <c r="F141" s="136">
        <f>SUM(F143+F147)</f>
        <v>552.79999999999995</v>
      </c>
      <c r="G141" s="181"/>
    </row>
    <row r="142" spans="1:7" ht="15.75" x14ac:dyDescent="0.25">
      <c r="A142" s="143"/>
      <c r="B142" s="242" t="s">
        <v>129</v>
      </c>
      <c r="C142" s="199"/>
      <c r="D142" s="134"/>
      <c r="E142" s="139"/>
      <c r="F142" s="139"/>
      <c r="G142" s="181"/>
    </row>
    <row r="143" spans="1:7" ht="15" x14ac:dyDescent="0.2">
      <c r="A143" s="140" t="s">
        <v>226</v>
      </c>
      <c r="B143" s="137" t="s">
        <v>130</v>
      </c>
      <c r="C143" s="244" t="s">
        <v>131</v>
      </c>
      <c r="D143" s="137">
        <f t="shared" ref="D143:F143" si="41">SUM(D144:D146)</f>
        <v>529.80000000000007</v>
      </c>
      <c r="E143" s="137">
        <f t="shared" si="41"/>
        <v>528.20000000000005</v>
      </c>
      <c r="F143" s="137">
        <f t="shared" si="41"/>
        <v>552.79999999999995</v>
      </c>
      <c r="G143" s="190"/>
    </row>
    <row r="144" spans="1:7" ht="15" x14ac:dyDescent="0.2">
      <c r="A144" s="260" t="s">
        <v>227</v>
      </c>
      <c r="B144" s="245" t="s">
        <v>132</v>
      </c>
      <c r="C144" s="246"/>
      <c r="D144" s="134">
        <f>426.8+29.1</f>
        <v>455.90000000000003</v>
      </c>
      <c r="E144" s="134">
        <v>450.2</v>
      </c>
      <c r="F144" s="134">
        <v>474.8</v>
      </c>
      <c r="G144" s="190"/>
    </row>
    <row r="145" spans="1:10" ht="33" customHeight="1" x14ac:dyDescent="0.2">
      <c r="A145" s="260" t="s">
        <v>366</v>
      </c>
      <c r="B145" s="261" t="s">
        <v>133</v>
      </c>
      <c r="C145" s="199"/>
      <c r="D145" s="134">
        <v>51.5</v>
      </c>
      <c r="E145" s="134">
        <v>55.6</v>
      </c>
      <c r="F145" s="134">
        <v>55.6</v>
      </c>
      <c r="G145" s="190"/>
    </row>
    <row r="146" spans="1:10" ht="15" x14ac:dyDescent="0.2">
      <c r="A146" s="260" t="s">
        <v>228</v>
      </c>
      <c r="B146" s="298" t="s">
        <v>135</v>
      </c>
      <c r="C146" s="185"/>
      <c r="D146" s="127">
        <v>22.4</v>
      </c>
      <c r="E146" s="127">
        <v>22.4</v>
      </c>
      <c r="F146" s="127">
        <v>22.4</v>
      </c>
      <c r="G146" s="190"/>
    </row>
    <row r="147" spans="1:10" ht="30" x14ac:dyDescent="0.2">
      <c r="A147" s="300" t="s">
        <v>571</v>
      </c>
      <c r="B147" s="301" t="s">
        <v>243</v>
      </c>
      <c r="C147" s="302" t="s">
        <v>244</v>
      </c>
      <c r="D147" s="304">
        <f>SUM(D148)</f>
        <v>18</v>
      </c>
      <c r="E147" s="304">
        <f t="shared" ref="E147:F147" si="42">SUM(E148)</f>
        <v>0</v>
      </c>
      <c r="F147" s="499">
        <f t="shared" si="42"/>
        <v>0</v>
      </c>
      <c r="G147" s="190"/>
    </row>
    <row r="148" spans="1:10" ht="15" x14ac:dyDescent="0.2">
      <c r="A148" s="305" t="s">
        <v>572</v>
      </c>
      <c r="B148" s="306" t="s">
        <v>132</v>
      </c>
      <c r="C148" s="307"/>
      <c r="D148" s="519">
        <v>18</v>
      </c>
      <c r="E148" s="145"/>
      <c r="F148" s="145"/>
      <c r="G148" s="190"/>
    </row>
    <row r="149" spans="1:10" s="227" customFormat="1" ht="15.75" x14ac:dyDescent="0.25">
      <c r="A149" s="136" t="s">
        <v>72</v>
      </c>
      <c r="B149" s="136" t="s">
        <v>102</v>
      </c>
      <c r="C149" s="266"/>
      <c r="D149" s="136">
        <f t="shared" ref="D149:F149" si="43">SUM(D151+D155+D157)</f>
        <v>1779.6</v>
      </c>
      <c r="E149" s="136">
        <f t="shared" si="43"/>
        <v>1852.8</v>
      </c>
      <c r="F149" s="136">
        <f t="shared" si="43"/>
        <v>1943.6</v>
      </c>
      <c r="G149" s="181"/>
    </row>
    <row r="150" spans="1:10" ht="15.75" x14ac:dyDescent="0.25">
      <c r="A150" s="134"/>
      <c r="B150" s="242" t="s">
        <v>129</v>
      </c>
      <c r="C150" s="199"/>
      <c r="D150" s="134"/>
      <c r="E150" s="139"/>
      <c r="F150" s="139"/>
      <c r="G150" s="181"/>
    </row>
    <row r="151" spans="1:10" ht="15" x14ac:dyDescent="0.2">
      <c r="A151" s="133" t="s">
        <v>235</v>
      </c>
      <c r="B151" s="137" t="s">
        <v>130</v>
      </c>
      <c r="C151" s="244" t="s">
        <v>131</v>
      </c>
      <c r="D151" s="137">
        <f t="shared" ref="D151:F151" si="44">SUM(D152:D154)</f>
        <v>485.69999999999993</v>
      </c>
      <c r="E151" s="137">
        <f t="shared" si="44"/>
        <v>491.29999999999995</v>
      </c>
      <c r="F151" s="137">
        <f t="shared" si="44"/>
        <v>510.4</v>
      </c>
      <c r="G151" s="190"/>
    </row>
    <row r="152" spans="1:10" ht="15" x14ac:dyDescent="0.2">
      <c r="A152" s="134" t="s">
        <v>236</v>
      </c>
      <c r="B152" s="245" t="s">
        <v>132</v>
      </c>
      <c r="C152" s="246"/>
      <c r="D152" s="134">
        <f>349.2+2.4</f>
        <v>351.59999999999997</v>
      </c>
      <c r="E152" s="134">
        <v>357.2</v>
      </c>
      <c r="F152" s="134">
        <v>376.3</v>
      </c>
      <c r="G152" s="190"/>
    </row>
    <row r="153" spans="1:10" ht="15" x14ac:dyDescent="0.2">
      <c r="A153" s="133" t="s">
        <v>237</v>
      </c>
      <c r="B153" s="308" t="s">
        <v>362</v>
      </c>
      <c r="C153" s="244"/>
      <c r="D153" s="133">
        <v>36.4</v>
      </c>
      <c r="E153" s="133">
        <v>36.4</v>
      </c>
      <c r="F153" s="133">
        <v>36.4</v>
      </c>
      <c r="G153" s="190"/>
    </row>
    <row r="154" spans="1:10" ht="15" x14ac:dyDescent="0.2">
      <c r="A154" s="134" t="s">
        <v>387</v>
      </c>
      <c r="B154" s="245" t="s">
        <v>135</v>
      </c>
      <c r="C154" s="199"/>
      <c r="D154" s="134">
        <v>97.7</v>
      </c>
      <c r="E154" s="134">
        <v>97.7</v>
      </c>
      <c r="F154" s="134">
        <v>97.7</v>
      </c>
      <c r="G154" s="190"/>
    </row>
    <row r="155" spans="1:10" ht="15" x14ac:dyDescent="0.2">
      <c r="A155" s="133" t="s">
        <v>388</v>
      </c>
      <c r="B155" s="276" t="s">
        <v>229</v>
      </c>
      <c r="C155" s="244" t="s">
        <v>230</v>
      </c>
      <c r="D155" s="137">
        <f t="shared" ref="D155:F155" si="45">SUM(D156)</f>
        <v>13</v>
      </c>
      <c r="E155" s="137">
        <f t="shared" si="45"/>
        <v>13</v>
      </c>
      <c r="F155" s="137">
        <f t="shared" si="45"/>
        <v>13</v>
      </c>
      <c r="G155" s="190"/>
    </row>
    <row r="156" spans="1:10" ht="33.75" customHeight="1" x14ac:dyDescent="0.2">
      <c r="A156" s="295" t="s">
        <v>389</v>
      </c>
      <c r="B156" s="309" t="s">
        <v>231</v>
      </c>
      <c r="C156" s="199"/>
      <c r="D156" s="134">
        <v>13</v>
      </c>
      <c r="E156" s="134">
        <v>13</v>
      </c>
      <c r="F156" s="134">
        <v>13</v>
      </c>
      <c r="G156" s="190"/>
      <c r="H156" s="273"/>
      <c r="I156" s="273"/>
      <c r="J156" s="273"/>
    </row>
    <row r="157" spans="1:10" ht="30" x14ac:dyDescent="0.2">
      <c r="A157" s="295" t="s">
        <v>390</v>
      </c>
      <c r="B157" s="310" t="s">
        <v>232</v>
      </c>
      <c r="C157" s="243" t="s">
        <v>233</v>
      </c>
      <c r="D157" s="128">
        <f t="shared" ref="D157:F157" si="46">SUM(D158:D158)</f>
        <v>1280.9000000000001</v>
      </c>
      <c r="E157" s="128">
        <f t="shared" si="46"/>
        <v>1348.5</v>
      </c>
      <c r="F157" s="128">
        <f t="shared" si="46"/>
        <v>1420.2</v>
      </c>
      <c r="G157" s="190"/>
      <c r="H157" s="273"/>
      <c r="I157" s="273"/>
      <c r="J157" s="273"/>
    </row>
    <row r="158" spans="1:10" ht="15" x14ac:dyDescent="0.2">
      <c r="A158" s="311" t="s">
        <v>391</v>
      </c>
      <c r="B158" s="312" t="s">
        <v>132</v>
      </c>
      <c r="C158" s="313"/>
      <c r="D158" s="135">
        <v>1280.9000000000001</v>
      </c>
      <c r="E158" s="135">
        <v>1348.5</v>
      </c>
      <c r="F158" s="135">
        <v>1420.2</v>
      </c>
      <c r="G158" s="190"/>
      <c r="H158" s="273"/>
      <c r="I158" s="273"/>
      <c r="J158" s="273"/>
    </row>
    <row r="159" spans="1:10" ht="15.75" x14ac:dyDescent="0.25">
      <c r="A159" s="126" t="s">
        <v>73</v>
      </c>
      <c r="B159" s="266" t="s">
        <v>234</v>
      </c>
      <c r="C159" s="140"/>
      <c r="D159" s="126">
        <f t="shared" ref="D159:F159" si="47">SUM(D161)</f>
        <v>801</v>
      </c>
      <c r="E159" s="126">
        <f t="shared" si="47"/>
        <v>854</v>
      </c>
      <c r="F159" s="126">
        <f t="shared" si="47"/>
        <v>877.40000000000009</v>
      </c>
      <c r="G159" s="181"/>
    </row>
    <row r="160" spans="1:10" ht="15.75" x14ac:dyDescent="0.25">
      <c r="A160" s="134"/>
      <c r="B160" s="256" t="s">
        <v>129</v>
      </c>
      <c r="C160" s="256"/>
      <c r="D160" s="134"/>
      <c r="E160" s="139"/>
      <c r="F160" s="139"/>
      <c r="G160" s="181"/>
    </row>
    <row r="161" spans="1:10" ht="15.6" customHeight="1" x14ac:dyDescent="0.2">
      <c r="A161" s="133" t="s">
        <v>238</v>
      </c>
      <c r="B161" s="212" t="s">
        <v>130</v>
      </c>
      <c r="C161" s="257" t="s">
        <v>131</v>
      </c>
      <c r="D161" s="137">
        <f t="shared" ref="D161:F161" si="48">SUM(D162:D163)</f>
        <v>801</v>
      </c>
      <c r="E161" s="137">
        <f t="shared" si="48"/>
        <v>854</v>
      </c>
      <c r="F161" s="137">
        <f t="shared" si="48"/>
        <v>877.40000000000009</v>
      </c>
      <c r="G161" s="190"/>
      <c r="I161" s="273"/>
      <c r="J161" s="273"/>
    </row>
    <row r="162" spans="1:10" ht="15" x14ac:dyDescent="0.2">
      <c r="A162" s="134" t="s">
        <v>240</v>
      </c>
      <c r="B162" s="314" t="s">
        <v>132</v>
      </c>
      <c r="C162" s="259"/>
      <c r="D162" s="134">
        <f>399.4+1</f>
        <v>400.4</v>
      </c>
      <c r="E162" s="134">
        <v>421.4</v>
      </c>
      <c r="F162" s="134">
        <v>444.8</v>
      </c>
    </row>
    <row r="163" spans="1:10" ht="31.5" customHeight="1" x14ac:dyDescent="0.2">
      <c r="A163" s="133" t="s">
        <v>241</v>
      </c>
      <c r="B163" s="315" t="s">
        <v>133</v>
      </c>
      <c r="C163" s="257"/>
      <c r="D163" s="135">
        <v>400.6</v>
      </c>
      <c r="E163" s="135">
        <v>432.6</v>
      </c>
      <c r="F163" s="135">
        <v>432.6</v>
      </c>
      <c r="G163" s="316"/>
    </row>
    <row r="164" spans="1:10" ht="15.75" x14ac:dyDescent="0.25">
      <c r="A164" s="126" t="s">
        <v>74</v>
      </c>
      <c r="B164" s="317" t="s">
        <v>103</v>
      </c>
      <c r="C164" s="318"/>
      <c r="D164" s="126">
        <f t="shared" ref="D164:F164" si="49">SUM(D166)</f>
        <v>404.6</v>
      </c>
      <c r="E164" s="126">
        <f t="shared" si="49"/>
        <v>369.4</v>
      </c>
      <c r="F164" s="126">
        <f t="shared" si="49"/>
        <v>385.3</v>
      </c>
      <c r="G164" s="316"/>
    </row>
    <row r="165" spans="1:10" ht="15" x14ac:dyDescent="0.2">
      <c r="A165" s="134"/>
      <c r="B165" s="243" t="s">
        <v>129</v>
      </c>
      <c r="C165" s="256"/>
      <c r="D165" s="134"/>
      <c r="E165" s="134"/>
      <c r="F165" s="134"/>
      <c r="G165" s="316"/>
    </row>
    <row r="166" spans="1:10" ht="30" x14ac:dyDescent="0.2">
      <c r="A166" s="311" t="s">
        <v>242</v>
      </c>
      <c r="B166" s="319" t="s">
        <v>239</v>
      </c>
      <c r="C166" s="257" t="s">
        <v>48</v>
      </c>
      <c r="D166" s="137">
        <f t="shared" ref="D166:F166" si="50">SUM(D167:D168)</f>
        <v>404.6</v>
      </c>
      <c r="E166" s="137">
        <f t="shared" si="50"/>
        <v>369.4</v>
      </c>
      <c r="F166" s="137">
        <f t="shared" si="50"/>
        <v>385.3</v>
      </c>
      <c r="G166" s="316"/>
    </row>
    <row r="167" spans="1:10" ht="15" x14ac:dyDescent="0.2">
      <c r="A167" s="134" t="s">
        <v>245</v>
      </c>
      <c r="B167" s="245" t="s">
        <v>132</v>
      </c>
      <c r="C167" s="256"/>
      <c r="D167" s="134">
        <v>403.6</v>
      </c>
      <c r="E167" s="134">
        <v>368.4</v>
      </c>
      <c r="F167" s="134">
        <v>384.3</v>
      </c>
      <c r="G167" s="316"/>
    </row>
    <row r="168" spans="1:10" ht="15" x14ac:dyDescent="0.2">
      <c r="A168" s="133" t="s">
        <v>246</v>
      </c>
      <c r="B168" s="308" t="s">
        <v>135</v>
      </c>
      <c r="C168" s="320"/>
      <c r="D168" s="135">
        <v>1</v>
      </c>
      <c r="E168" s="135">
        <v>1</v>
      </c>
      <c r="F168" s="135">
        <v>1</v>
      </c>
      <c r="G168" s="190"/>
    </row>
    <row r="169" spans="1:10" ht="31.15" customHeight="1" x14ac:dyDescent="0.25">
      <c r="A169" s="321" t="s">
        <v>76</v>
      </c>
      <c r="B169" s="322" t="s">
        <v>106</v>
      </c>
      <c r="C169" s="180"/>
      <c r="D169" s="136">
        <f t="shared" ref="D169:F169" si="51">SUM(D171)</f>
        <v>681.6</v>
      </c>
      <c r="E169" s="136">
        <f t="shared" si="51"/>
        <v>548.4</v>
      </c>
      <c r="F169" s="136">
        <f t="shared" si="51"/>
        <v>494.6</v>
      </c>
      <c r="G169" s="181"/>
    </row>
    <row r="170" spans="1:10" ht="15.75" x14ac:dyDescent="0.25">
      <c r="A170" s="134"/>
      <c r="B170" s="256" t="s">
        <v>129</v>
      </c>
      <c r="C170" s="143"/>
      <c r="D170" s="134"/>
      <c r="E170" s="139"/>
      <c r="F170" s="139"/>
      <c r="G170" s="181"/>
    </row>
    <row r="171" spans="1:10" ht="15.6" customHeight="1" x14ac:dyDescent="0.2">
      <c r="A171" s="311" t="s">
        <v>248</v>
      </c>
      <c r="B171" s="323" t="s">
        <v>243</v>
      </c>
      <c r="C171" s="257" t="s">
        <v>244</v>
      </c>
      <c r="D171" s="137">
        <f t="shared" ref="D171:F171" si="52">SUM(D172:D174)</f>
        <v>681.6</v>
      </c>
      <c r="E171" s="137">
        <f t="shared" si="52"/>
        <v>548.4</v>
      </c>
      <c r="F171" s="137">
        <f t="shared" si="52"/>
        <v>494.6</v>
      </c>
      <c r="G171" s="190"/>
    </row>
    <row r="172" spans="1:10" ht="15" x14ac:dyDescent="0.2">
      <c r="A172" s="134" t="s">
        <v>249</v>
      </c>
      <c r="B172" s="245" t="s">
        <v>132</v>
      </c>
      <c r="C172" s="259"/>
      <c r="D172" s="134">
        <v>367.5</v>
      </c>
      <c r="E172" s="37">
        <v>290.3</v>
      </c>
      <c r="F172" s="37">
        <v>249.5</v>
      </c>
      <c r="G172" s="190"/>
    </row>
    <row r="173" spans="1:10" ht="15" x14ac:dyDescent="0.2">
      <c r="A173" s="295" t="s">
        <v>250</v>
      </c>
      <c r="B173" s="261" t="s">
        <v>135</v>
      </c>
      <c r="C173" s="246"/>
      <c r="D173" s="134">
        <v>245.1</v>
      </c>
      <c r="E173" s="37">
        <v>245.1</v>
      </c>
      <c r="F173" s="37">
        <v>245.1</v>
      </c>
      <c r="G173" s="190"/>
    </row>
    <row r="174" spans="1:10" ht="43.5" customHeight="1" x14ac:dyDescent="0.2">
      <c r="A174" s="324" t="s">
        <v>251</v>
      </c>
      <c r="B174" s="325" t="s">
        <v>558</v>
      </c>
      <c r="C174" s="326"/>
      <c r="D174" s="135">
        <v>69</v>
      </c>
      <c r="E174" s="223">
        <v>13</v>
      </c>
      <c r="F174" s="223"/>
      <c r="G174" s="190"/>
    </row>
    <row r="175" spans="1:10" ht="33" customHeight="1" x14ac:dyDescent="0.25">
      <c r="A175" s="327" t="s">
        <v>78</v>
      </c>
      <c r="B175" s="328" t="s">
        <v>247</v>
      </c>
      <c r="C175" s="207"/>
      <c r="D175" s="136">
        <f t="shared" ref="D175:F175" si="53">SUM(D177+D183)</f>
        <v>1901.0000000000002</v>
      </c>
      <c r="E175" s="40">
        <f t="shared" si="53"/>
        <v>1950.7</v>
      </c>
      <c r="F175" s="40">
        <f t="shared" si="53"/>
        <v>1986.1</v>
      </c>
      <c r="G175" s="181"/>
    </row>
    <row r="176" spans="1:10" ht="15.75" x14ac:dyDescent="0.25">
      <c r="A176" s="134"/>
      <c r="B176" s="243" t="s">
        <v>129</v>
      </c>
      <c r="C176" s="143"/>
      <c r="D176" s="134"/>
      <c r="E176" s="228"/>
      <c r="F176" s="228"/>
      <c r="G176" s="181"/>
    </row>
    <row r="177" spans="1:9" ht="15" x14ac:dyDescent="0.2">
      <c r="A177" s="133" t="s">
        <v>254</v>
      </c>
      <c r="B177" s="329" t="s">
        <v>229</v>
      </c>
      <c r="C177" s="257" t="s">
        <v>230</v>
      </c>
      <c r="D177" s="137">
        <f t="shared" ref="D177:F177" si="54">SUM(D178:D182)</f>
        <v>1744.2000000000003</v>
      </c>
      <c r="E177" s="39">
        <f t="shared" si="54"/>
        <v>1787.5</v>
      </c>
      <c r="F177" s="39">
        <f t="shared" si="54"/>
        <v>1816</v>
      </c>
      <c r="G177" s="190"/>
    </row>
    <row r="178" spans="1:9" ht="15" x14ac:dyDescent="0.2">
      <c r="A178" s="134" t="s">
        <v>255</v>
      </c>
      <c r="B178" s="314" t="s">
        <v>132</v>
      </c>
      <c r="C178" s="259"/>
      <c r="D178" s="134">
        <v>619.6</v>
      </c>
      <c r="E178" s="42">
        <v>645.1</v>
      </c>
      <c r="F178" s="42">
        <v>673.6</v>
      </c>
      <c r="G178" s="190"/>
      <c r="I178" s="158"/>
    </row>
    <row r="179" spans="1:9" ht="15" x14ac:dyDescent="0.2">
      <c r="A179" s="133" t="s">
        <v>256</v>
      </c>
      <c r="B179" s="164" t="s">
        <v>657</v>
      </c>
      <c r="C179" s="257"/>
      <c r="D179" s="520">
        <v>952.2</v>
      </c>
      <c r="E179" s="38">
        <v>970</v>
      </c>
      <c r="F179" s="38">
        <v>970</v>
      </c>
      <c r="G179" s="190"/>
    </row>
    <row r="180" spans="1:9" ht="15" x14ac:dyDescent="0.2">
      <c r="A180" s="134" t="s">
        <v>378</v>
      </c>
      <c r="B180" s="314" t="s">
        <v>135</v>
      </c>
      <c r="C180" s="259"/>
      <c r="D180" s="134">
        <v>7</v>
      </c>
      <c r="E180" s="37">
        <v>7</v>
      </c>
      <c r="F180" s="37">
        <v>7</v>
      </c>
      <c r="G180" s="190"/>
    </row>
    <row r="181" spans="1:9" ht="33" customHeight="1" x14ac:dyDescent="0.2">
      <c r="A181" s="295" t="s">
        <v>392</v>
      </c>
      <c r="B181" s="330" t="s">
        <v>252</v>
      </c>
      <c r="C181" s="259"/>
      <c r="D181" s="134">
        <v>47.7</v>
      </c>
      <c r="E181" s="134">
        <v>47.7</v>
      </c>
      <c r="F181" s="134">
        <v>47.7</v>
      </c>
      <c r="G181" s="190"/>
    </row>
    <row r="182" spans="1:9" ht="46.15" customHeight="1" x14ac:dyDescent="0.2">
      <c r="A182" s="331" t="s">
        <v>393</v>
      </c>
      <c r="B182" s="332" t="s">
        <v>558</v>
      </c>
      <c r="C182" s="257"/>
      <c r="D182" s="133">
        <v>117.7</v>
      </c>
      <c r="E182" s="127">
        <v>117.7</v>
      </c>
      <c r="F182" s="127">
        <v>117.7</v>
      </c>
      <c r="G182" s="190"/>
    </row>
    <row r="183" spans="1:9" ht="15" customHeight="1" x14ac:dyDescent="0.2">
      <c r="A183" s="295" t="s">
        <v>559</v>
      </c>
      <c r="B183" s="333" t="s">
        <v>239</v>
      </c>
      <c r="C183" s="334" t="s">
        <v>48</v>
      </c>
      <c r="D183" s="143">
        <f>D184</f>
        <v>156.80000000000001</v>
      </c>
      <c r="E183" s="134">
        <f t="shared" ref="E183:F183" si="55">E184</f>
        <v>163.19999999999999</v>
      </c>
      <c r="F183" s="134">
        <f t="shared" si="55"/>
        <v>170.1</v>
      </c>
      <c r="G183" s="190"/>
    </row>
    <row r="184" spans="1:9" ht="15" customHeight="1" x14ac:dyDescent="0.2">
      <c r="A184" s="324" t="s">
        <v>560</v>
      </c>
      <c r="B184" s="335" t="s">
        <v>132</v>
      </c>
      <c r="C184" s="336"/>
      <c r="D184" s="135">
        <v>156.80000000000001</v>
      </c>
      <c r="E184" s="135">
        <v>163.19999999999999</v>
      </c>
      <c r="F184" s="135">
        <v>170.1</v>
      </c>
      <c r="G184" s="190"/>
    </row>
    <row r="185" spans="1:9" ht="15.75" x14ac:dyDescent="0.25">
      <c r="A185" s="180" t="s">
        <v>79</v>
      </c>
      <c r="B185" s="126" t="s">
        <v>253</v>
      </c>
      <c r="C185" s="180"/>
      <c r="D185" s="337">
        <f t="shared" ref="D185:F185" si="56">SUM(D187)</f>
        <v>3014.95</v>
      </c>
      <c r="E185" s="337">
        <f t="shared" si="56"/>
        <v>3144.2</v>
      </c>
      <c r="F185" s="337">
        <f t="shared" si="56"/>
        <v>3281.1</v>
      </c>
      <c r="G185" s="181"/>
    </row>
    <row r="186" spans="1:9" ht="15.75" x14ac:dyDescent="0.25">
      <c r="A186" s="143"/>
      <c r="B186" s="242" t="s">
        <v>129</v>
      </c>
      <c r="C186" s="143"/>
      <c r="D186" s="134"/>
      <c r="E186" s="134"/>
      <c r="F186" s="134"/>
      <c r="G186" s="181"/>
    </row>
    <row r="187" spans="1:9" ht="30" x14ac:dyDescent="0.2">
      <c r="A187" s="262" t="s">
        <v>258</v>
      </c>
      <c r="B187" s="319" t="s">
        <v>239</v>
      </c>
      <c r="C187" s="257" t="s">
        <v>48</v>
      </c>
      <c r="D187" s="137">
        <f t="shared" ref="D187:F187" si="57">SUM(D188:D190)</f>
        <v>3014.95</v>
      </c>
      <c r="E187" s="137">
        <f t="shared" si="57"/>
        <v>3144.2</v>
      </c>
      <c r="F187" s="137">
        <f t="shared" si="57"/>
        <v>3281.1</v>
      </c>
      <c r="G187" s="190"/>
    </row>
    <row r="188" spans="1:9" ht="15" x14ac:dyDescent="0.2">
      <c r="A188" s="143" t="s">
        <v>259</v>
      </c>
      <c r="B188" s="245" t="s">
        <v>132</v>
      </c>
      <c r="C188" s="259"/>
      <c r="D188" s="134">
        <v>2823.4</v>
      </c>
      <c r="E188" s="134">
        <v>2952.7</v>
      </c>
      <c r="F188" s="134">
        <v>3089.6</v>
      </c>
      <c r="G188" s="190"/>
    </row>
    <row r="189" spans="1:9" ht="15" x14ac:dyDescent="0.2">
      <c r="A189" s="134" t="s">
        <v>260</v>
      </c>
      <c r="B189" s="245" t="s">
        <v>135</v>
      </c>
      <c r="C189" s="143"/>
      <c r="D189" s="134">
        <v>66.099999999999994</v>
      </c>
      <c r="E189" s="134">
        <v>66.099999999999994</v>
      </c>
      <c r="F189" s="134">
        <v>66.099999999999994</v>
      </c>
      <c r="G189" s="190"/>
    </row>
    <row r="190" spans="1:9" ht="15" x14ac:dyDescent="0.2">
      <c r="A190" s="140" t="s">
        <v>261</v>
      </c>
      <c r="B190" s="308" t="s">
        <v>377</v>
      </c>
      <c r="C190" s="142"/>
      <c r="D190" s="521">
        <f>117.45+8</f>
        <v>125.45</v>
      </c>
      <c r="E190" s="138">
        <v>125.4</v>
      </c>
      <c r="F190" s="138">
        <v>125.4</v>
      </c>
      <c r="G190" s="338"/>
    </row>
    <row r="191" spans="1:9" ht="15.75" x14ac:dyDescent="0.25">
      <c r="A191" s="180" t="s">
        <v>82</v>
      </c>
      <c r="B191" s="126" t="s">
        <v>257</v>
      </c>
      <c r="C191" s="241"/>
      <c r="D191" s="126">
        <f t="shared" ref="D191:F191" si="58">SUM(D193)</f>
        <v>2018.78</v>
      </c>
      <c r="E191" s="126">
        <f t="shared" si="58"/>
        <v>2080.08</v>
      </c>
      <c r="F191" s="126">
        <f t="shared" si="58"/>
        <v>2107.7999999999997</v>
      </c>
      <c r="G191" s="181"/>
      <c r="I191" s="266"/>
    </row>
    <row r="192" spans="1:9" ht="15.75" x14ac:dyDescent="0.25">
      <c r="A192" s="143"/>
      <c r="B192" s="242" t="s">
        <v>129</v>
      </c>
      <c r="C192" s="199"/>
      <c r="D192" s="134"/>
      <c r="E192" s="134"/>
      <c r="F192" s="134"/>
      <c r="G192" s="181"/>
    </row>
    <row r="193" spans="1:12" ht="30" x14ac:dyDescent="0.2">
      <c r="A193" s="262" t="s">
        <v>263</v>
      </c>
      <c r="B193" s="339" t="s">
        <v>239</v>
      </c>
      <c r="C193" s="244" t="s">
        <v>48</v>
      </c>
      <c r="D193" s="137">
        <f t="shared" ref="D193:F193" si="59">SUM(D194:D197)</f>
        <v>2018.78</v>
      </c>
      <c r="E193" s="137">
        <f t="shared" si="59"/>
        <v>2080.08</v>
      </c>
      <c r="F193" s="137">
        <f t="shared" si="59"/>
        <v>2107.7999999999997</v>
      </c>
      <c r="G193" s="190"/>
    </row>
    <row r="194" spans="1:12" ht="15" x14ac:dyDescent="0.2">
      <c r="A194" s="143" t="s">
        <v>264</v>
      </c>
      <c r="B194" s="245" t="s">
        <v>132</v>
      </c>
      <c r="C194" s="246"/>
      <c r="D194" s="134">
        <v>1099.2</v>
      </c>
      <c r="E194" s="134">
        <v>1155.7</v>
      </c>
      <c r="F194" s="134">
        <v>1216</v>
      </c>
      <c r="G194" s="190"/>
    </row>
    <row r="195" spans="1:12" ht="15" x14ac:dyDescent="0.2">
      <c r="A195" s="140" t="s">
        <v>265</v>
      </c>
      <c r="B195" s="308" t="s">
        <v>657</v>
      </c>
      <c r="C195" s="257"/>
      <c r="D195" s="398">
        <v>760</v>
      </c>
      <c r="E195" s="340">
        <v>760</v>
      </c>
      <c r="F195" s="340">
        <v>760</v>
      </c>
      <c r="G195" s="190"/>
    </row>
    <row r="196" spans="1:12" ht="15" x14ac:dyDescent="0.2">
      <c r="A196" s="143" t="s">
        <v>379</v>
      </c>
      <c r="B196" s="245" t="s">
        <v>135</v>
      </c>
      <c r="C196" s="143"/>
      <c r="D196" s="134">
        <v>82.8</v>
      </c>
      <c r="E196" s="37">
        <v>87.6</v>
      </c>
      <c r="F196" s="37">
        <v>92.6</v>
      </c>
      <c r="G196" s="190"/>
    </row>
    <row r="197" spans="1:12" ht="15" x14ac:dyDescent="0.2">
      <c r="A197" s="341" t="s">
        <v>394</v>
      </c>
      <c r="B197" s="342" t="s">
        <v>377</v>
      </c>
      <c r="C197" s="343"/>
      <c r="D197" s="522">
        <f>39.28+37.5</f>
        <v>76.78</v>
      </c>
      <c r="E197" s="135">
        <v>76.78</v>
      </c>
      <c r="F197" s="135">
        <v>39.200000000000003</v>
      </c>
      <c r="G197" s="190"/>
    </row>
    <row r="198" spans="1:12" ht="15.75" x14ac:dyDescent="0.25">
      <c r="A198" s="180" t="s">
        <v>85</v>
      </c>
      <c r="B198" s="126" t="s">
        <v>262</v>
      </c>
      <c r="C198" s="241"/>
      <c r="D198" s="126">
        <f t="shared" ref="D198:F198" si="60">SUM(D200)</f>
        <v>1745.7379999999998</v>
      </c>
      <c r="E198" s="225">
        <f t="shared" si="60"/>
        <v>1817.1</v>
      </c>
      <c r="F198" s="225">
        <f t="shared" si="60"/>
        <v>1892.9</v>
      </c>
      <c r="G198" s="181"/>
    </row>
    <row r="199" spans="1:12" ht="15.75" x14ac:dyDescent="0.25">
      <c r="A199" s="143"/>
      <c r="B199" s="242" t="s">
        <v>129</v>
      </c>
      <c r="C199" s="199"/>
      <c r="D199" s="134"/>
      <c r="E199" s="134"/>
      <c r="F199" s="134"/>
      <c r="G199" s="181"/>
    </row>
    <row r="200" spans="1:12" ht="30" x14ac:dyDescent="0.2">
      <c r="A200" s="262" t="s">
        <v>266</v>
      </c>
      <c r="B200" s="339" t="s">
        <v>239</v>
      </c>
      <c r="C200" s="244" t="s">
        <v>48</v>
      </c>
      <c r="D200" s="137">
        <f t="shared" ref="D200:F200" si="61">SUM(D201:D203)</f>
        <v>1745.7379999999998</v>
      </c>
      <c r="E200" s="137">
        <f t="shared" si="61"/>
        <v>1817.1</v>
      </c>
      <c r="F200" s="137">
        <f t="shared" si="61"/>
        <v>1892.9</v>
      </c>
      <c r="G200" s="190"/>
    </row>
    <row r="201" spans="1:12" ht="15" x14ac:dyDescent="0.2">
      <c r="A201" s="143" t="s">
        <v>267</v>
      </c>
      <c r="B201" s="245" t="s">
        <v>132</v>
      </c>
      <c r="C201" s="246"/>
      <c r="D201" s="134">
        <v>1597.6</v>
      </c>
      <c r="E201" s="134">
        <v>1669.1</v>
      </c>
      <c r="F201" s="134">
        <v>1744.9</v>
      </c>
      <c r="G201" s="190"/>
    </row>
    <row r="202" spans="1:12" ht="15" x14ac:dyDescent="0.2">
      <c r="A202" s="143" t="s">
        <v>268</v>
      </c>
      <c r="B202" s="245" t="s">
        <v>135</v>
      </c>
      <c r="C202" s="199"/>
      <c r="D202" s="134">
        <v>60</v>
      </c>
      <c r="E202" s="134">
        <v>60</v>
      </c>
      <c r="F202" s="134">
        <v>60</v>
      </c>
      <c r="G202" s="190"/>
    </row>
    <row r="203" spans="1:12" ht="15" x14ac:dyDescent="0.2">
      <c r="A203" s="142" t="s">
        <v>269</v>
      </c>
      <c r="B203" s="344" t="s">
        <v>377</v>
      </c>
      <c r="C203" s="142"/>
      <c r="D203" s="522">
        <f>79.238+8.9</f>
        <v>88.138000000000005</v>
      </c>
      <c r="E203" s="135">
        <v>88</v>
      </c>
      <c r="F203" s="135">
        <v>88</v>
      </c>
      <c r="G203" s="190"/>
    </row>
    <row r="204" spans="1:12" ht="15.75" x14ac:dyDescent="0.25">
      <c r="A204" s="136" t="s">
        <v>108</v>
      </c>
      <c r="B204" s="345" t="s">
        <v>120</v>
      </c>
      <c r="C204" s="346"/>
      <c r="D204" s="136">
        <f t="shared" ref="D204:F204" si="62">SUM(D206)</f>
        <v>2455.6</v>
      </c>
      <c r="E204" s="136">
        <f t="shared" si="62"/>
        <v>5265.5</v>
      </c>
      <c r="F204" s="136">
        <f t="shared" si="62"/>
        <v>3284.2</v>
      </c>
      <c r="G204" s="181"/>
      <c r="I204" s="273"/>
    </row>
    <row r="205" spans="1:12" ht="15.75" x14ac:dyDescent="0.25">
      <c r="A205" s="134"/>
      <c r="B205" s="256" t="s">
        <v>129</v>
      </c>
      <c r="C205" s="259"/>
      <c r="D205" s="134"/>
      <c r="E205" s="139"/>
      <c r="F205" s="139"/>
      <c r="G205" s="181"/>
    </row>
    <row r="206" spans="1:12" ht="30" x14ac:dyDescent="0.2">
      <c r="A206" s="311" t="s">
        <v>270</v>
      </c>
      <c r="B206" s="319" t="s">
        <v>239</v>
      </c>
      <c r="C206" s="257" t="s">
        <v>48</v>
      </c>
      <c r="D206" s="137">
        <f t="shared" ref="D206:F206" si="63">SUM(D207:D210)</f>
        <v>2455.6</v>
      </c>
      <c r="E206" s="39">
        <f t="shared" si="63"/>
        <v>5265.5</v>
      </c>
      <c r="F206" s="39">
        <f t="shared" si="63"/>
        <v>3284.2</v>
      </c>
      <c r="G206" s="190"/>
    </row>
    <row r="207" spans="1:12" ht="15" x14ac:dyDescent="0.2">
      <c r="A207" s="295" t="s">
        <v>273</v>
      </c>
      <c r="B207" s="245" t="s">
        <v>132</v>
      </c>
      <c r="C207" s="259"/>
      <c r="D207" s="134">
        <v>60.5</v>
      </c>
      <c r="E207" s="37">
        <v>60.5</v>
      </c>
      <c r="F207" s="37">
        <v>60.5</v>
      </c>
      <c r="G207" s="190"/>
    </row>
    <row r="208" spans="1:12" ht="33" customHeight="1" x14ac:dyDescent="0.2">
      <c r="A208" s="347" t="s">
        <v>274</v>
      </c>
      <c r="B208" s="348" t="s">
        <v>382</v>
      </c>
      <c r="C208" s="257"/>
      <c r="D208" s="133">
        <v>295.10000000000002</v>
      </c>
      <c r="E208" s="39">
        <v>309.5</v>
      </c>
      <c r="F208" s="39">
        <v>324.7</v>
      </c>
      <c r="G208" s="190"/>
      <c r="H208" s="273"/>
      <c r="I208" s="273"/>
      <c r="J208" s="273"/>
      <c r="K208" s="273"/>
      <c r="L208" s="273"/>
    </row>
    <row r="209" spans="1:11" ht="15" x14ac:dyDescent="0.2">
      <c r="A209" s="134" t="s">
        <v>275</v>
      </c>
      <c r="B209" s="349" t="s">
        <v>135</v>
      </c>
      <c r="C209" s="259"/>
      <c r="D209" s="134">
        <v>2100</v>
      </c>
      <c r="E209" s="350">
        <v>2176.6999999999998</v>
      </c>
      <c r="F209" s="350">
        <v>2209</v>
      </c>
      <c r="G209" s="190"/>
      <c r="H209" s="273"/>
    </row>
    <row r="210" spans="1:11" ht="47.25" customHeight="1" x14ac:dyDescent="0.2">
      <c r="A210" s="144" t="s">
        <v>395</v>
      </c>
      <c r="B210" s="351" t="s">
        <v>558</v>
      </c>
      <c r="C210" s="352"/>
      <c r="D210" s="138"/>
      <c r="E210" s="353">
        <v>2718.8</v>
      </c>
      <c r="F210" s="353">
        <v>690</v>
      </c>
      <c r="G210" s="190"/>
      <c r="H210" s="273"/>
    </row>
    <row r="211" spans="1:11" s="227" customFormat="1" ht="15.75" x14ac:dyDescent="0.25">
      <c r="A211" s="207" t="s">
        <v>109</v>
      </c>
      <c r="B211" s="136" t="s">
        <v>104</v>
      </c>
      <c r="C211" s="266"/>
      <c r="D211" s="136">
        <f>SUM(D213+D217)</f>
        <v>2108.864</v>
      </c>
      <c r="E211" s="40">
        <f t="shared" ref="E211:F211" si="64">SUM(E213+E217)</f>
        <v>2042.4640000000002</v>
      </c>
      <c r="F211" s="40">
        <f t="shared" si="64"/>
        <v>2061.6</v>
      </c>
      <c r="G211" s="181"/>
      <c r="H211" s="273"/>
      <c r="J211" s="273"/>
      <c r="K211" s="273"/>
    </row>
    <row r="212" spans="1:11" ht="15.75" x14ac:dyDescent="0.25">
      <c r="A212" s="143"/>
      <c r="B212" s="242" t="s">
        <v>129</v>
      </c>
      <c r="C212" s="199"/>
      <c r="D212" s="134"/>
      <c r="E212" s="228"/>
      <c r="F212" s="228"/>
      <c r="G212" s="181"/>
    </row>
    <row r="213" spans="1:11" ht="30" x14ac:dyDescent="0.2">
      <c r="A213" s="262" t="s">
        <v>276</v>
      </c>
      <c r="B213" s="354" t="s">
        <v>271</v>
      </c>
      <c r="C213" s="244" t="s">
        <v>272</v>
      </c>
      <c r="D213" s="137">
        <f t="shared" ref="D213:F213" si="65">SUM(D214:D216)</f>
        <v>2078.864</v>
      </c>
      <c r="E213" s="39">
        <f t="shared" si="65"/>
        <v>2042.4640000000002</v>
      </c>
      <c r="F213" s="39">
        <f t="shared" si="65"/>
        <v>2061.6</v>
      </c>
      <c r="G213" s="190"/>
    </row>
    <row r="214" spans="1:11" ht="15.6" customHeight="1" x14ac:dyDescent="0.2">
      <c r="A214" s="143" t="s">
        <v>277</v>
      </c>
      <c r="B214" s="245" t="s">
        <v>132</v>
      </c>
      <c r="C214" s="246"/>
      <c r="D214" s="134">
        <v>1978.3</v>
      </c>
      <c r="E214" s="37">
        <v>1941.9</v>
      </c>
      <c r="F214" s="37">
        <v>2045.6</v>
      </c>
      <c r="G214" s="190"/>
    </row>
    <row r="215" spans="1:11" ht="15.6" customHeight="1" x14ac:dyDescent="0.25">
      <c r="A215" s="143" t="s">
        <v>278</v>
      </c>
      <c r="B215" s="261" t="s">
        <v>377</v>
      </c>
      <c r="C215" s="246"/>
      <c r="D215" s="139">
        <v>84.563999999999993</v>
      </c>
      <c r="E215" s="37">
        <v>84.563999999999993</v>
      </c>
      <c r="F215" s="37"/>
      <c r="G215" s="190"/>
    </row>
    <row r="216" spans="1:11" ht="15.6" customHeight="1" x14ac:dyDescent="0.2">
      <c r="A216" s="143" t="s">
        <v>279</v>
      </c>
      <c r="B216" s="261" t="s">
        <v>135</v>
      </c>
      <c r="C216" s="246"/>
      <c r="D216" s="134">
        <v>16</v>
      </c>
      <c r="E216" s="134">
        <v>16</v>
      </c>
      <c r="F216" s="134">
        <v>16</v>
      </c>
      <c r="G216" s="190"/>
    </row>
    <row r="217" spans="1:11" ht="33" customHeight="1" x14ac:dyDescent="0.2">
      <c r="A217" s="260" t="s">
        <v>396</v>
      </c>
      <c r="B217" s="355" t="s">
        <v>232</v>
      </c>
      <c r="C217" s="246" t="s">
        <v>272</v>
      </c>
      <c r="D217" s="128">
        <f t="shared" ref="D217:F217" si="66">D218</f>
        <v>30</v>
      </c>
      <c r="E217" s="128">
        <f t="shared" si="66"/>
        <v>0</v>
      </c>
      <c r="F217" s="128">
        <f t="shared" si="66"/>
        <v>0</v>
      </c>
      <c r="G217" s="190"/>
    </row>
    <row r="218" spans="1:11" ht="15.6" customHeight="1" x14ac:dyDescent="0.2">
      <c r="A218" s="140" t="s">
        <v>397</v>
      </c>
      <c r="B218" s="263" t="s">
        <v>132</v>
      </c>
      <c r="C218" s="244"/>
      <c r="D218" s="135">
        <v>30</v>
      </c>
      <c r="E218" s="135"/>
      <c r="F218" s="135"/>
      <c r="G218" s="190"/>
    </row>
    <row r="219" spans="1:11" s="227" customFormat="1" ht="15.75" x14ac:dyDescent="0.25">
      <c r="A219" s="180" t="s">
        <v>110</v>
      </c>
      <c r="B219" s="126" t="s">
        <v>107</v>
      </c>
      <c r="C219" s="241"/>
      <c r="D219" s="126">
        <f t="shared" ref="D219:F219" si="67">SUM(D221)</f>
        <v>650.30000000000007</v>
      </c>
      <c r="E219" s="126">
        <f t="shared" si="67"/>
        <v>647.80000000000007</v>
      </c>
      <c r="F219" s="126">
        <f t="shared" si="67"/>
        <v>680.1</v>
      </c>
      <c r="G219" s="181"/>
    </row>
    <row r="220" spans="1:11" ht="15.75" x14ac:dyDescent="0.25">
      <c r="A220" s="143"/>
      <c r="B220" s="242" t="s">
        <v>129</v>
      </c>
      <c r="C220" s="199"/>
      <c r="D220" s="134"/>
      <c r="E220" s="134"/>
      <c r="F220" s="134"/>
      <c r="G220" s="181"/>
    </row>
    <row r="221" spans="1:11" ht="30" x14ac:dyDescent="0.2">
      <c r="A221" s="262" t="s">
        <v>281</v>
      </c>
      <c r="B221" s="354" t="s">
        <v>271</v>
      </c>
      <c r="C221" s="244" t="s">
        <v>272</v>
      </c>
      <c r="D221" s="137">
        <f t="shared" ref="D221:F221" si="68">SUM(D222:D223)</f>
        <v>650.30000000000007</v>
      </c>
      <c r="E221" s="137">
        <f t="shared" si="68"/>
        <v>647.80000000000007</v>
      </c>
      <c r="F221" s="137">
        <f t="shared" si="68"/>
        <v>680.1</v>
      </c>
      <c r="G221" s="190"/>
    </row>
    <row r="222" spans="1:11" ht="15" x14ac:dyDescent="0.2">
      <c r="A222" s="143" t="s">
        <v>282</v>
      </c>
      <c r="B222" s="245" t="s">
        <v>132</v>
      </c>
      <c r="C222" s="246"/>
      <c r="D222" s="134">
        <v>635.20000000000005</v>
      </c>
      <c r="E222" s="134">
        <v>632.70000000000005</v>
      </c>
      <c r="F222" s="134">
        <v>665</v>
      </c>
      <c r="G222" s="190"/>
    </row>
    <row r="223" spans="1:11" ht="15" x14ac:dyDescent="0.2">
      <c r="A223" s="140" t="s">
        <v>283</v>
      </c>
      <c r="B223" s="356" t="s">
        <v>135</v>
      </c>
      <c r="C223" s="320"/>
      <c r="D223" s="135">
        <v>15.1</v>
      </c>
      <c r="E223" s="135">
        <v>15.1</v>
      </c>
      <c r="F223" s="135">
        <v>15.1</v>
      </c>
      <c r="G223" s="190"/>
    </row>
    <row r="224" spans="1:11" ht="15.75" x14ac:dyDescent="0.25">
      <c r="A224" s="357" t="s">
        <v>112</v>
      </c>
      <c r="B224" s="126" t="s">
        <v>105</v>
      </c>
      <c r="C224" s="358"/>
      <c r="D224" s="126">
        <f t="shared" ref="D224:F224" si="69">SUM(D226)</f>
        <v>1676.2</v>
      </c>
      <c r="E224" s="126">
        <f t="shared" si="69"/>
        <v>1677.3000000000002</v>
      </c>
      <c r="F224" s="126">
        <f t="shared" si="69"/>
        <v>1757.5</v>
      </c>
      <c r="G224" s="181"/>
    </row>
    <row r="225" spans="1:7" ht="15.75" x14ac:dyDescent="0.25">
      <c r="A225" s="143"/>
      <c r="B225" s="242" t="s">
        <v>129</v>
      </c>
      <c r="C225" s="256"/>
      <c r="D225" s="134"/>
      <c r="E225" s="139"/>
      <c r="F225" s="139"/>
      <c r="G225" s="181"/>
    </row>
    <row r="226" spans="1:7" ht="30" x14ac:dyDescent="0.2">
      <c r="A226" s="359" t="s">
        <v>284</v>
      </c>
      <c r="B226" s="354" t="s">
        <v>271</v>
      </c>
      <c r="C226" s="244" t="s">
        <v>272</v>
      </c>
      <c r="D226" s="137">
        <f t="shared" ref="D226:F226" si="70">SUM(D227:D228)</f>
        <v>1676.2</v>
      </c>
      <c r="E226" s="137">
        <f t="shared" si="70"/>
        <v>1677.3000000000002</v>
      </c>
      <c r="F226" s="137">
        <f t="shared" si="70"/>
        <v>1757.5</v>
      </c>
      <c r="G226" s="190"/>
    </row>
    <row r="227" spans="1:7" ht="15" x14ac:dyDescent="0.2">
      <c r="A227" s="360" t="s">
        <v>285</v>
      </c>
      <c r="B227" s="245" t="s">
        <v>132</v>
      </c>
      <c r="C227" s="246"/>
      <c r="D227" s="134">
        <v>1245.2</v>
      </c>
      <c r="E227" s="134">
        <v>1234.7</v>
      </c>
      <c r="F227" s="134">
        <v>1293.0999999999999</v>
      </c>
      <c r="G227" s="190"/>
    </row>
    <row r="228" spans="1:7" ht="15" x14ac:dyDescent="0.2">
      <c r="A228" s="361" t="s">
        <v>286</v>
      </c>
      <c r="B228" s="362" t="s">
        <v>135</v>
      </c>
      <c r="C228" s="244"/>
      <c r="D228" s="135">
        <v>431</v>
      </c>
      <c r="E228" s="135">
        <v>442.6</v>
      </c>
      <c r="F228" s="135">
        <v>464.4</v>
      </c>
      <c r="G228" s="190"/>
    </row>
    <row r="229" spans="1:7" ht="15.75" x14ac:dyDescent="0.25">
      <c r="A229" s="357" t="s">
        <v>114</v>
      </c>
      <c r="B229" s="126" t="s">
        <v>568</v>
      </c>
      <c r="C229" s="363"/>
      <c r="D229" s="126">
        <f t="shared" ref="D229:F229" si="71">SUM(D231)</f>
        <v>464.2</v>
      </c>
      <c r="E229" s="126">
        <f t="shared" si="71"/>
        <v>459.5</v>
      </c>
      <c r="F229" s="126">
        <f t="shared" si="71"/>
        <v>481.7</v>
      </c>
      <c r="G229" s="181"/>
    </row>
    <row r="230" spans="1:7" ht="15.75" x14ac:dyDescent="0.25">
      <c r="A230" s="143"/>
      <c r="B230" s="242" t="s">
        <v>129</v>
      </c>
      <c r="C230" s="199"/>
      <c r="D230" s="134"/>
      <c r="E230" s="134"/>
      <c r="F230" s="134"/>
      <c r="G230" s="181"/>
    </row>
    <row r="231" spans="1:7" ht="30" x14ac:dyDescent="0.2">
      <c r="A231" s="359" t="s">
        <v>287</v>
      </c>
      <c r="B231" s="354" t="s">
        <v>271</v>
      </c>
      <c r="C231" s="244" t="s">
        <v>272</v>
      </c>
      <c r="D231" s="137">
        <f t="shared" ref="D231:F231" si="72">SUM(D232:D233)</f>
        <v>464.2</v>
      </c>
      <c r="E231" s="137">
        <f t="shared" si="72"/>
        <v>459.5</v>
      </c>
      <c r="F231" s="137">
        <f t="shared" si="72"/>
        <v>481.7</v>
      </c>
      <c r="G231" s="190"/>
    </row>
    <row r="232" spans="1:7" ht="15" x14ac:dyDescent="0.2">
      <c r="A232" s="360" t="s">
        <v>288</v>
      </c>
      <c r="B232" s="245" t="s">
        <v>132</v>
      </c>
      <c r="C232" s="246"/>
      <c r="D232" s="134">
        <v>460.5</v>
      </c>
      <c r="E232" s="134">
        <v>455.8</v>
      </c>
      <c r="F232" s="134">
        <v>478</v>
      </c>
      <c r="G232" s="190"/>
    </row>
    <row r="233" spans="1:7" ht="15" x14ac:dyDescent="0.2">
      <c r="A233" s="364" t="s">
        <v>289</v>
      </c>
      <c r="B233" s="263" t="s">
        <v>135</v>
      </c>
      <c r="C233" s="244"/>
      <c r="D233" s="135">
        <v>3.7</v>
      </c>
      <c r="E233" s="135">
        <v>3.7</v>
      </c>
      <c r="F233" s="135">
        <v>3.7</v>
      </c>
      <c r="G233" s="190"/>
    </row>
    <row r="234" spans="1:7" ht="15.75" x14ac:dyDescent="0.25">
      <c r="A234" s="180" t="s">
        <v>115</v>
      </c>
      <c r="B234" s="126" t="s">
        <v>113</v>
      </c>
      <c r="C234" s="365"/>
      <c r="D234" s="126">
        <f t="shared" ref="D234:F234" si="73">SUM(D236)</f>
        <v>622.4</v>
      </c>
      <c r="E234" s="126">
        <f t="shared" si="73"/>
        <v>629.1</v>
      </c>
      <c r="F234" s="126">
        <f t="shared" si="73"/>
        <v>661.5</v>
      </c>
      <c r="G234" s="181"/>
    </row>
    <row r="235" spans="1:7" ht="15.75" x14ac:dyDescent="0.25">
      <c r="A235" s="143"/>
      <c r="B235" s="242" t="s">
        <v>129</v>
      </c>
      <c r="C235" s="143"/>
      <c r="D235" s="134"/>
      <c r="E235" s="134"/>
      <c r="F235" s="134"/>
      <c r="G235" s="181"/>
    </row>
    <row r="236" spans="1:7" ht="30" x14ac:dyDescent="0.2">
      <c r="A236" s="262" t="s">
        <v>290</v>
      </c>
      <c r="B236" s="354" t="s">
        <v>271</v>
      </c>
      <c r="C236" s="257" t="s">
        <v>272</v>
      </c>
      <c r="D236" s="137">
        <f t="shared" ref="D236:F236" si="74">SUM(D237:D238)</f>
        <v>622.4</v>
      </c>
      <c r="E236" s="137">
        <f t="shared" si="74"/>
        <v>629.1</v>
      </c>
      <c r="F236" s="137">
        <f t="shared" si="74"/>
        <v>661.5</v>
      </c>
      <c r="G236" s="190"/>
    </row>
    <row r="237" spans="1:7" ht="15" x14ac:dyDescent="0.2">
      <c r="A237" s="143" t="s">
        <v>291</v>
      </c>
      <c r="B237" s="245" t="s">
        <v>132</v>
      </c>
      <c r="C237" s="259"/>
      <c r="D237" s="134">
        <v>615.4</v>
      </c>
      <c r="E237" s="134">
        <v>622.1</v>
      </c>
      <c r="F237" s="134">
        <v>654.5</v>
      </c>
      <c r="G237" s="190"/>
    </row>
    <row r="238" spans="1:7" ht="15" x14ac:dyDescent="0.2">
      <c r="A238" s="140" t="s">
        <v>292</v>
      </c>
      <c r="B238" s="263" t="s">
        <v>135</v>
      </c>
      <c r="C238" s="257"/>
      <c r="D238" s="135">
        <v>7</v>
      </c>
      <c r="E238" s="135">
        <v>7</v>
      </c>
      <c r="F238" s="135">
        <v>7</v>
      </c>
      <c r="G238" s="190"/>
    </row>
    <row r="239" spans="1:7" ht="15.75" x14ac:dyDescent="0.25">
      <c r="A239" s="180" t="s">
        <v>117</v>
      </c>
      <c r="B239" s="126" t="s">
        <v>566</v>
      </c>
      <c r="C239" s="363"/>
      <c r="D239" s="126">
        <f t="shared" ref="D239:F239" si="75">SUM(D241)</f>
        <v>690</v>
      </c>
      <c r="E239" s="126">
        <f t="shared" si="75"/>
        <v>632</v>
      </c>
      <c r="F239" s="126">
        <f t="shared" si="75"/>
        <v>657.7</v>
      </c>
      <c r="G239" s="181"/>
    </row>
    <row r="240" spans="1:7" ht="15.75" x14ac:dyDescent="0.25">
      <c r="A240" s="143"/>
      <c r="B240" s="242" t="s">
        <v>129</v>
      </c>
      <c r="C240" s="199"/>
      <c r="D240" s="134"/>
      <c r="E240" s="134"/>
      <c r="F240" s="134"/>
      <c r="G240" s="181"/>
    </row>
    <row r="241" spans="1:13" ht="30" x14ac:dyDescent="0.2">
      <c r="A241" s="262" t="s">
        <v>293</v>
      </c>
      <c r="B241" s="354" t="s">
        <v>271</v>
      </c>
      <c r="C241" s="244" t="s">
        <v>272</v>
      </c>
      <c r="D241" s="137">
        <f t="shared" ref="D241:F241" si="76">SUM(D242:D243)</f>
        <v>690</v>
      </c>
      <c r="E241" s="137">
        <f t="shared" si="76"/>
        <v>632</v>
      </c>
      <c r="F241" s="137">
        <f t="shared" si="76"/>
        <v>657.7</v>
      </c>
      <c r="G241" s="190"/>
    </row>
    <row r="242" spans="1:13" ht="15" x14ac:dyDescent="0.2">
      <c r="A242" s="134" t="s">
        <v>294</v>
      </c>
      <c r="B242" s="245" t="s">
        <v>132</v>
      </c>
      <c r="C242" s="246"/>
      <c r="D242" s="134">
        <v>663</v>
      </c>
      <c r="E242" s="134">
        <v>605</v>
      </c>
      <c r="F242" s="134">
        <v>630.70000000000005</v>
      </c>
      <c r="G242" s="190"/>
    </row>
    <row r="243" spans="1:13" ht="15" x14ac:dyDescent="0.2">
      <c r="A243" s="134" t="s">
        <v>295</v>
      </c>
      <c r="B243" s="261" t="s">
        <v>135</v>
      </c>
      <c r="C243" s="246"/>
      <c r="D243" s="134">
        <v>27</v>
      </c>
      <c r="E243" s="134">
        <v>27</v>
      </c>
      <c r="F243" s="134">
        <v>27</v>
      </c>
      <c r="G243" s="190"/>
    </row>
    <row r="244" spans="1:13" ht="15.75" x14ac:dyDescent="0.25">
      <c r="A244" s="224" t="s">
        <v>123</v>
      </c>
      <c r="B244" s="225" t="s">
        <v>116</v>
      </c>
      <c r="C244" s="366"/>
      <c r="D244" s="126">
        <f t="shared" ref="D244:F244" si="77">SUM(D246)</f>
        <v>735.7</v>
      </c>
      <c r="E244" s="126">
        <f t="shared" si="77"/>
        <v>709.5</v>
      </c>
      <c r="F244" s="126">
        <f t="shared" si="77"/>
        <v>754.9</v>
      </c>
      <c r="G244" s="181"/>
    </row>
    <row r="245" spans="1:13" ht="15.75" x14ac:dyDescent="0.25">
      <c r="A245" s="143"/>
      <c r="B245" s="242" t="s">
        <v>129</v>
      </c>
      <c r="C245" s="143"/>
      <c r="D245" s="134"/>
      <c r="E245" s="134"/>
      <c r="F245" s="134"/>
      <c r="G245" s="181"/>
    </row>
    <row r="246" spans="1:13" ht="30" x14ac:dyDescent="0.2">
      <c r="A246" s="262" t="s">
        <v>296</v>
      </c>
      <c r="B246" s="354" t="s">
        <v>271</v>
      </c>
      <c r="C246" s="257" t="s">
        <v>272</v>
      </c>
      <c r="D246" s="137">
        <f t="shared" ref="D246:F246" si="78">SUM(D247:D248)</f>
        <v>735.7</v>
      </c>
      <c r="E246" s="137">
        <f t="shared" si="78"/>
        <v>709.5</v>
      </c>
      <c r="F246" s="137">
        <f t="shared" si="78"/>
        <v>754.9</v>
      </c>
      <c r="G246" s="190"/>
    </row>
    <row r="247" spans="1:13" ht="15" x14ac:dyDescent="0.2">
      <c r="A247" s="143" t="s">
        <v>297</v>
      </c>
      <c r="B247" s="245" t="s">
        <v>132</v>
      </c>
      <c r="C247" s="259"/>
      <c r="D247" s="134">
        <v>731.7</v>
      </c>
      <c r="E247" s="134">
        <v>705.5</v>
      </c>
      <c r="F247" s="134">
        <v>750.9</v>
      </c>
      <c r="G247" s="190"/>
    </row>
    <row r="248" spans="1:13" ht="15" x14ac:dyDescent="0.2">
      <c r="A248" s="140" t="s">
        <v>298</v>
      </c>
      <c r="B248" s="263" t="s">
        <v>135</v>
      </c>
      <c r="C248" s="257"/>
      <c r="D248" s="138">
        <v>4</v>
      </c>
      <c r="E248" s="138">
        <v>4</v>
      </c>
      <c r="F248" s="138">
        <v>4</v>
      </c>
      <c r="G248" s="190"/>
      <c r="H248" s="273"/>
    </row>
    <row r="249" spans="1:13" ht="15.75" x14ac:dyDescent="0.25">
      <c r="A249" s="180" t="s">
        <v>119</v>
      </c>
      <c r="B249" s="126" t="s">
        <v>118</v>
      </c>
      <c r="C249" s="365"/>
      <c r="D249" s="126">
        <f t="shared" ref="D249:F249" si="79">SUM(D251)</f>
        <v>564.70000000000005</v>
      </c>
      <c r="E249" s="126">
        <f t="shared" si="79"/>
        <v>549.6</v>
      </c>
      <c r="F249" s="126">
        <f t="shared" si="79"/>
        <v>575.1</v>
      </c>
      <c r="G249" s="181"/>
    </row>
    <row r="250" spans="1:13" ht="15.75" x14ac:dyDescent="0.25">
      <c r="A250" s="143"/>
      <c r="B250" s="242" t="s">
        <v>129</v>
      </c>
      <c r="C250" s="143"/>
      <c r="D250" s="134"/>
      <c r="E250" s="134"/>
      <c r="F250" s="134"/>
      <c r="G250" s="181"/>
    </row>
    <row r="251" spans="1:13" ht="30" x14ac:dyDescent="0.2">
      <c r="A251" s="262" t="s">
        <v>299</v>
      </c>
      <c r="B251" s="354" t="s">
        <v>271</v>
      </c>
      <c r="C251" s="257" t="s">
        <v>272</v>
      </c>
      <c r="D251" s="137">
        <f t="shared" ref="D251:F251" si="80">SUM(D252:D253)</f>
        <v>564.70000000000005</v>
      </c>
      <c r="E251" s="137">
        <f t="shared" si="80"/>
        <v>549.6</v>
      </c>
      <c r="F251" s="137">
        <f t="shared" si="80"/>
        <v>575.1</v>
      </c>
      <c r="G251" s="190"/>
      <c r="I251" s="273"/>
    </row>
    <row r="252" spans="1:13" ht="15" x14ac:dyDescent="0.2">
      <c r="A252" s="143" t="s">
        <v>301</v>
      </c>
      <c r="B252" s="245" t="s">
        <v>132</v>
      </c>
      <c r="C252" s="259"/>
      <c r="D252" s="134">
        <v>548.70000000000005</v>
      </c>
      <c r="E252" s="134">
        <v>533.6</v>
      </c>
      <c r="F252" s="134">
        <v>559.1</v>
      </c>
      <c r="G252" s="190"/>
    </row>
    <row r="253" spans="1:13" ht="15" x14ac:dyDescent="0.2">
      <c r="A253" s="144" t="s">
        <v>302</v>
      </c>
      <c r="B253" s="351" t="s">
        <v>135</v>
      </c>
      <c r="C253" s="367"/>
      <c r="D253" s="138">
        <v>16</v>
      </c>
      <c r="E253" s="138">
        <v>16</v>
      </c>
      <c r="F253" s="127">
        <v>16</v>
      </c>
      <c r="G253" s="190"/>
      <c r="M253" s="273"/>
    </row>
    <row r="254" spans="1:13" ht="15.75" x14ac:dyDescent="0.25">
      <c r="A254" s="136" t="s">
        <v>303</v>
      </c>
      <c r="B254" s="317" t="s">
        <v>111</v>
      </c>
      <c r="C254" s="320"/>
      <c r="D254" s="136">
        <f>SUM(D256+D260)</f>
        <v>4127.3999999999996</v>
      </c>
      <c r="E254" s="207">
        <f t="shared" ref="E254:F254" si="81">SUM(E256)</f>
        <v>3815.6000000000004</v>
      </c>
      <c r="F254" s="529">
        <f t="shared" si="81"/>
        <v>3887.7</v>
      </c>
      <c r="G254" s="181"/>
    </row>
    <row r="255" spans="1:13" ht="15.75" x14ac:dyDescent="0.25">
      <c r="A255" s="134"/>
      <c r="B255" s="243" t="s">
        <v>129</v>
      </c>
      <c r="C255" s="256"/>
      <c r="D255" s="134"/>
      <c r="E255" s="209"/>
      <c r="F255" s="500"/>
      <c r="G255" s="181"/>
    </row>
    <row r="256" spans="1:13" ht="15" x14ac:dyDescent="0.2">
      <c r="A256" s="133" t="s">
        <v>305</v>
      </c>
      <c r="B256" s="368" t="s">
        <v>300</v>
      </c>
      <c r="C256" s="257" t="s">
        <v>272</v>
      </c>
      <c r="D256" s="137">
        <f>SUM(D257:D259)</f>
        <v>4028.2</v>
      </c>
      <c r="E256" s="212">
        <f t="shared" ref="E256:F256" si="82">SUM(E257:E259)</f>
        <v>3815.6000000000004</v>
      </c>
      <c r="F256" s="501">
        <f t="shared" si="82"/>
        <v>3887.7</v>
      </c>
      <c r="G256" s="190"/>
    </row>
    <row r="257" spans="1:19" ht="15" x14ac:dyDescent="0.2">
      <c r="A257" s="369" t="s">
        <v>307</v>
      </c>
      <c r="B257" s="370" t="s">
        <v>132</v>
      </c>
      <c r="C257" s="371"/>
      <c r="D257" s="523">
        <v>2138.5</v>
      </c>
      <c r="E257" s="299">
        <v>1955.9</v>
      </c>
      <c r="F257" s="502">
        <v>2028</v>
      </c>
      <c r="G257" s="190"/>
    </row>
    <row r="258" spans="1:19" ht="15.6" customHeight="1" x14ac:dyDescent="0.2">
      <c r="A258" s="372" t="s">
        <v>308</v>
      </c>
      <c r="B258" s="373" t="s">
        <v>135</v>
      </c>
      <c r="C258" s="374"/>
      <c r="D258" s="375">
        <v>1859.7</v>
      </c>
      <c r="E258" s="303">
        <v>1859.7</v>
      </c>
      <c r="F258" s="503">
        <v>1859.7</v>
      </c>
      <c r="G258" s="190"/>
    </row>
    <row r="259" spans="1:19" ht="15.6" customHeight="1" x14ac:dyDescent="0.2">
      <c r="A259" s="133" t="s">
        <v>632</v>
      </c>
      <c r="B259" s="263" t="s">
        <v>377</v>
      </c>
      <c r="C259" s="320"/>
      <c r="D259" s="133">
        <v>30</v>
      </c>
      <c r="E259" s="191"/>
      <c r="F259" s="504"/>
      <c r="G259" s="190"/>
    </row>
    <row r="260" spans="1:19" ht="33" customHeight="1" x14ac:dyDescent="0.2">
      <c r="A260" s="372" t="s">
        <v>633</v>
      </c>
      <c r="B260" s="376" t="s">
        <v>232</v>
      </c>
      <c r="C260" s="515" t="s">
        <v>272</v>
      </c>
      <c r="D260" s="524">
        <v>99.2</v>
      </c>
      <c r="E260" s="377"/>
      <c r="F260" s="505"/>
      <c r="G260" s="190"/>
    </row>
    <row r="261" spans="1:19" ht="15.6" customHeight="1" x14ac:dyDescent="0.2">
      <c r="A261" s="145" t="s">
        <v>634</v>
      </c>
      <c r="B261" s="378" t="s">
        <v>132</v>
      </c>
      <c r="C261" s="379"/>
      <c r="D261" s="145">
        <v>99.2</v>
      </c>
      <c r="E261" s="380"/>
      <c r="F261" s="506"/>
      <c r="G261" s="190"/>
    </row>
    <row r="262" spans="1:19" ht="15.6" customHeight="1" x14ac:dyDescent="0.25">
      <c r="A262" s="136" t="s">
        <v>312</v>
      </c>
      <c r="B262" s="381" t="s">
        <v>304</v>
      </c>
      <c r="C262" s="382"/>
      <c r="D262" s="136">
        <f t="shared" ref="D262:F262" si="83">SUM(D264,D268)</f>
        <v>1193.5</v>
      </c>
      <c r="E262" s="40">
        <f t="shared" si="83"/>
        <v>1154.1000000000001</v>
      </c>
      <c r="F262" s="40">
        <f t="shared" si="83"/>
        <v>1154.1000000000001</v>
      </c>
      <c r="G262" s="181"/>
    </row>
    <row r="263" spans="1:19" ht="15.6" customHeight="1" x14ac:dyDescent="0.25">
      <c r="A263" s="139"/>
      <c r="B263" s="243" t="s">
        <v>129</v>
      </c>
      <c r="C263" s="383"/>
      <c r="D263" s="134"/>
      <c r="E263" s="228"/>
      <c r="F263" s="228"/>
      <c r="G263" s="181"/>
    </row>
    <row r="264" spans="1:19" ht="30" x14ac:dyDescent="0.2">
      <c r="A264" s="311" t="s">
        <v>314</v>
      </c>
      <c r="B264" s="384" t="s">
        <v>232</v>
      </c>
      <c r="C264" s="257" t="s">
        <v>306</v>
      </c>
      <c r="D264" s="137">
        <f t="shared" ref="D264:F264" si="84">SUM(D265:D267)</f>
        <v>1130.5</v>
      </c>
      <c r="E264" s="137">
        <f t="shared" si="84"/>
        <v>1104.1000000000001</v>
      </c>
      <c r="F264" s="137">
        <f t="shared" si="84"/>
        <v>1104.1000000000001</v>
      </c>
      <c r="G264" s="190"/>
    </row>
    <row r="265" spans="1:19" ht="15" x14ac:dyDescent="0.2">
      <c r="A265" s="134" t="s">
        <v>315</v>
      </c>
      <c r="B265" s="314" t="s">
        <v>132</v>
      </c>
      <c r="C265" s="256"/>
      <c r="D265" s="134">
        <v>60</v>
      </c>
      <c r="E265" s="134">
        <v>27.7</v>
      </c>
      <c r="F265" s="134">
        <v>27.7</v>
      </c>
      <c r="G265" s="190"/>
    </row>
    <row r="266" spans="1:19" ht="15" x14ac:dyDescent="0.2">
      <c r="A266" s="133" t="s">
        <v>398</v>
      </c>
      <c r="B266" s="332" t="s">
        <v>658</v>
      </c>
      <c r="C266" s="320"/>
      <c r="D266" s="520">
        <v>1069.5</v>
      </c>
      <c r="E266" s="133">
        <v>1075.4000000000001</v>
      </c>
      <c r="F266" s="133">
        <v>1075.4000000000001</v>
      </c>
      <c r="G266" s="190"/>
    </row>
    <row r="267" spans="1:19" ht="15" x14ac:dyDescent="0.2">
      <c r="A267" s="143" t="s">
        <v>401</v>
      </c>
      <c r="B267" s="309" t="s">
        <v>135</v>
      </c>
      <c r="C267" s="243"/>
      <c r="D267" s="134">
        <v>1</v>
      </c>
      <c r="E267" s="134">
        <v>1</v>
      </c>
      <c r="F267" s="134">
        <v>1</v>
      </c>
      <c r="G267" s="190"/>
    </row>
    <row r="268" spans="1:19" ht="15" x14ac:dyDescent="0.2">
      <c r="A268" s="385" t="s">
        <v>399</v>
      </c>
      <c r="B268" s="386" t="s">
        <v>310</v>
      </c>
      <c r="C268" s="387" t="s">
        <v>311</v>
      </c>
      <c r="D268" s="128">
        <f t="shared" ref="D268:F268" si="85">SUM(D269)</f>
        <v>63</v>
      </c>
      <c r="E268" s="128">
        <f t="shared" si="85"/>
        <v>50</v>
      </c>
      <c r="F268" s="128">
        <f t="shared" si="85"/>
        <v>50</v>
      </c>
      <c r="G268" s="190"/>
    </row>
    <row r="269" spans="1:19" ht="15" x14ac:dyDescent="0.2">
      <c r="A269" s="388" t="s">
        <v>400</v>
      </c>
      <c r="B269" s="389" t="s">
        <v>132</v>
      </c>
      <c r="C269" s="390"/>
      <c r="D269" s="135">
        <v>63</v>
      </c>
      <c r="E269" s="135">
        <v>50</v>
      </c>
      <c r="F269" s="135">
        <v>50</v>
      </c>
      <c r="G269" s="190"/>
      <c r="S269" s="391"/>
    </row>
    <row r="270" spans="1:19" ht="15.75" x14ac:dyDescent="0.25">
      <c r="A270" s="136" t="s">
        <v>316</v>
      </c>
      <c r="B270" s="345" t="s">
        <v>313</v>
      </c>
      <c r="C270" s="257"/>
      <c r="D270" s="136">
        <f t="shared" ref="D270:F270" si="86">SUM(D272)</f>
        <v>230.7</v>
      </c>
      <c r="E270" s="136">
        <f t="shared" si="86"/>
        <v>251.3</v>
      </c>
      <c r="F270" s="136">
        <f t="shared" si="86"/>
        <v>273.3</v>
      </c>
      <c r="G270" s="181"/>
    </row>
    <row r="271" spans="1:19" ht="15.75" x14ac:dyDescent="0.25">
      <c r="A271" s="134"/>
      <c r="B271" s="256" t="s">
        <v>129</v>
      </c>
      <c r="C271" s="259" t="s">
        <v>233</v>
      </c>
      <c r="D271" s="134"/>
      <c r="E271" s="134"/>
      <c r="F271" s="134"/>
      <c r="G271" s="181"/>
    </row>
    <row r="272" spans="1:19" ht="30" x14ac:dyDescent="0.2">
      <c r="A272" s="295" t="s">
        <v>317</v>
      </c>
      <c r="B272" s="392" t="s">
        <v>232</v>
      </c>
      <c r="C272" s="259"/>
      <c r="D272" s="128">
        <f t="shared" ref="D272:F272" si="87">SUM(D273)</f>
        <v>230.7</v>
      </c>
      <c r="E272" s="128">
        <f t="shared" si="87"/>
        <v>251.3</v>
      </c>
      <c r="F272" s="128">
        <f t="shared" si="87"/>
        <v>273.3</v>
      </c>
      <c r="G272" s="190"/>
    </row>
    <row r="273" spans="1:8" ht="15" x14ac:dyDescent="0.2">
      <c r="A273" s="142" t="s">
        <v>318</v>
      </c>
      <c r="B273" s="344" t="s">
        <v>132</v>
      </c>
      <c r="C273" s="393"/>
      <c r="D273" s="135">
        <v>230.7</v>
      </c>
      <c r="E273" s="135">
        <v>251.3</v>
      </c>
      <c r="F273" s="135">
        <v>273.3</v>
      </c>
      <c r="G273" s="190"/>
    </row>
    <row r="274" spans="1:8" s="227" customFormat="1" ht="31.5" x14ac:dyDescent="0.25">
      <c r="A274" s="274" t="s">
        <v>340</v>
      </c>
      <c r="B274" s="394" t="s">
        <v>121</v>
      </c>
      <c r="C274" s="207"/>
      <c r="D274" s="136">
        <f>D276+D284+D300+D334+D340+D353+D396+D407+D411</f>
        <v>109527.023</v>
      </c>
      <c r="E274" s="136">
        <f>E276+E284+E300+E334+E340+E353+E396+E407+E411</f>
        <v>114965.804</v>
      </c>
      <c r="F274" s="136">
        <f>F276+F284+F300+F334+F340+F353+F396+F407+F411</f>
        <v>107804.80399999999</v>
      </c>
      <c r="G274" s="181"/>
    </row>
    <row r="275" spans="1:8" ht="15.75" x14ac:dyDescent="0.25">
      <c r="A275" s="134"/>
      <c r="B275" s="256" t="s">
        <v>129</v>
      </c>
      <c r="C275" s="143"/>
      <c r="D275" s="134"/>
      <c r="E275" s="139"/>
      <c r="F275" s="139"/>
      <c r="G275" s="181"/>
    </row>
    <row r="276" spans="1:8" ht="15" x14ac:dyDescent="0.2">
      <c r="A276" s="133" t="s">
        <v>342</v>
      </c>
      <c r="B276" s="329" t="s">
        <v>130</v>
      </c>
      <c r="C276" s="257" t="s">
        <v>131</v>
      </c>
      <c r="D276" s="137">
        <f>SUM(D277:D283)</f>
        <v>26041.200000000001</v>
      </c>
      <c r="E276" s="137">
        <f t="shared" ref="E276:F276" si="88">SUM(E277:E283)</f>
        <v>33124.5</v>
      </c>
      <c r="F276" s="137">
        <f t="shared" si="88"/>
        <v>26192.7</v>
      </c>
      <c r="G276" s="190"/>
    </row>
    <row r="277" spans="1:8" ht="15" x14ac:dyDescent="0.2">
      <c r="A277" s="395" t="s">
        <v>402</v>
      </c>
      <c r="B277" s="396" t="s">
        <v>132</v>
      </c>
      <c r="C277" s="397"/>
      <c r="D277" s="395">
        <f>11.5+150+186+827.8+885.1+5+32+59.7+3800+50+100+22.1+28+50+100+200+339+174.4+102+17.9+150+65+144.3+70+10+60+15+15+10+265.4+3114.1+120+40+20</f>
        <v>11239.3</v>
      </c>
      <c r="E277" s="395">
        <f>11.5+937.8+885.1+5+31.3+3800+30+100+22.1+28+50+100+200+1300+365.6+331.1+70+40+10+20+10+35+3311.4+125+50+205</f>
        <v>12073.9</v>
      </c>
      <c r="F277" s="395">
        <f>11.5+937.8+885.1+5+3800+30+100+22.1+28+50+100+200+1300+1655.7+325+80+70+250+10+70+70+3311.4+130+250+350</f>
        <v>14041.6</v>
      </c>
      <c r="G277" s="190"/>
    </row>
    <row r="278" spans="1:8" ht="36" customHeight="1" x14ac:dyDescent="0.2">
      <c r="A278" s="311" t="s">
        <v>403</v>
      </c>
      <c r="B278" s="263" t="s">
        <v>133</v>
      </c>
      <c r="C278" s="244"/>
      <c r="D278" s="133">
        <f>541.2+3564.6</f>
        <v>4105.8</v>
      </c>
      <c r="E278" s="398">
        <f>602.2+3849.8</f>
        <v>4452</v>
      </c>
      <c r="F278" s="398">
        <f>602.2+3849.8</f>
        <v>4452</v>
      </c>
      <c r="G278" s="190"/>
      <c r="H278" s="316"/>
    </row>
    <row r="279" spans="1:8" ht="15.6" customHeight="1" x14ac:dyDescent="0.2">
      <c r="A279" s="295" t="s">
        <v>404</v>
      </c>
      <c r="B279" s="261" t="s">
        <v>362</v>
      </c>
      <c r="C279" s="246"/>
      <c r="D279" s="134">
        <f>461.7+80</f>
        <v>541.70000000000005</v>
      </c>
      <c r="E279" s="134">
        <f>461.7+125</f>
        <v>586.70000000000005</v>
      </c>
      <c r="F279" s="134">
        <f>461.7+250+125+125</f>
        <v>961.7</v>
      </c>
      <c r="G279" s="190"/>
      <c r="H279" s="316"/>
    </row>
    <row r="280" spans="1:8" ht="45" customHeight="1" x14ac:dyDescent="0.2">
      <c r="A280" s="311" t="s">
        <v>405</v>
      </c>
      <c r="B280" s="263" t="s">
        <v>319</v>
      </c>
      <c r="C280" s="244"/>
      <c r="D280" s="127">
        <f>139+220+48.294+1.822+0.784+183.494+6.924+2.982+143.4+25.3+8.1+7+410.1+72.4+6808.6</f>
        <v>8078.2000000000007</v>
      </c>
      <c r="E280" s="127">
        <f>15.1+215.2+38+7671.3+331.1</f>
        <v>8270.7000000000007</v>
      </c>
      <c r="F280" s="127">
        <f>6.7+1655.7+325+250</f>
        <v>2237.4</v>
      </c>
      <c r="G280" s="190"/>
      <c r="H280" s="316"/>
    </row>
    <row r="281" spans="1:8" ht="32.25" customHeight="1" x14ac:dyDescent="0.2">
      <c r="A281" s="399" t="s">
        <v>406</v>
      </c>
      <c r="B281" s="400" t="s">
        <v>432</v>
      </c>
      <c r="C281" s="401"/>
      <c r="D281" s="134">
        <v>1176.2</v>
      </c>
      <c r="E281" s="402">
        <v>1241.2</v>
      </c>
      <c r="F281" s="402"/>
      <c r="G281" s="190"/>
      <c r="H281" s="316"/>
    </row>
    <row r="282" spans="1:8" ht="15" customHeight="1" x14ac:dyDescent="0.2">
      <c r="A282" s="399" t="s">
        <v>561</v>
      </c>
      <c r="B282" s="403" t="s">
        <v>367</v>
      </c>
      <c r="C282" s="404"/>
      <c r="D282" s="134">
        <v>900</v>
      </c>
      <c r="E282" s="194">
        <f>1000+3500</f>
        <v>4500</v>
      </c>
      <c r="F282" s="194">
        <v>3000</v>
      </c>
      <c r="G282" s="190"/>
      <c r="H282" s="316"/>
    </row>
    <row r="283" spans="1:8" ht="15" customHeight="1" x14ac:dyDescent="0.2">
      <c r="A283" s="295" t="s">
        <v>574</v>
      </c>
      <c r="B283" s="356" t="s">
        <v>372</v>
      </c>
      <c r="C283" s="236"/>
      <c r="D283" s="134"/>
      <c r="E283" s="134">
        <v>2000</v>
      </c>
      <c r="F283" s="134">
        <v>1500</v>
      </c>
      <c r="G283" s="190"/>
      <c r="H283" s="316"/>
    </row>
    <row r="284" spans="1:8" ht="30" x14ac:dyDescent="0.2">
      <c r="A284" s="399" t="s">
        <v>343</v>
      </c>
      <c r="B284" s="405" t="s">
        <v>243</v>
      </c>
      <c r="C284" s="236" t="s">
        <v>244</v>
      </c>
      <c r="D284" s="128">
        <f>SUM(D285+D292+D293+D297+D298+D299)</f>
        <v>4787.3</v>
      </c>
      <c r="E284" s="128">
        <f>SUM(E285+E292+E293+E297+E298)</f>
        <v>5825.9</v>
      </c>
      <c r="F284" s="128">
        <f>SUM(F285+F292+F293+F297+F298)</f>
        <v>6288.4000000000005</v>
      </c>
      <c r="G284" s="190"/>
      <c r="H284" s="273"/>
    </row>
    <row r="285" spans="1:8" ht="15" x14ac:dyDescent="0.2">
      <c r="A285" s="265" t="s">
        <v>407</v>
      </c>
      <c r="B285" s="406" t="s">
        <v>132</v>
      </c>
      <c r="C285" s="235"/>
      <c r="D285" s="133">
        <f>70+50+268+64.5+64.6+355.9+15+15+245+512.8+48.2+100+35.4+162.1+20+186.1+3.5</f>
        <v>2216.1</v>
      </c>
      <c r="E285" s="137">
        <f>80+70+300+766.9+5+15+170+50+305+1360+66.6+1819.2</f>
        <v>5007.7</v>
      </c>
      <c r="F285" s="137">
        <f>80+70+300+184.9+5+50+500+1500+490+2449.7</f>
        <v>5629.6</v>
      </c>
      <c r="G285" s="190"/>
    </row>
    <row r="286" spans="1:8" ht="12.75" customHeight="1" x14ac:dyDescent="0.2">
      <c r="A286" s="134"/>
      <c r="B286" s="256" t="s">
        <v>129</v>
      </c>
      <c r="C286" s="236"/>
      <c r="D286" s="134"/>
      <c r="E286" s="134"/>
      <c r="F286" s="134"/>
      <c r="G286" s="190"/>
    </row>
    <row r="287" spans="1:8" ht="15.6" customHeight="1" x14ac:dyDescent="0.2">
      <c r="A287" s="133" t="s">
        <v>408</v>
      </c>
      <c r="B287" s="287" t="s">
        <v>324</v>
      </c>
      <c r="C287" s="257"/>
      <c r="D287" s="133"/>
      <c r="E287" s="133"/>
      <c r="F287" s="133"/>
      <c r="G287" s="190"/>
    </row>
    <row r="288" spans="1:8" ht="15.6" customHeight="1" x14ac:dyDescent="0.2">
      <c r="A288" s="134" t="s">
        <v>409</v>
      </c>
      <c r="B288" s="243" t="s">
        <v>320</v>
      </c>
      <c r="C288" s="259"/>
      <c r="D288" s="134"/>
      <c r="E288" s="134"/>
      <c r="F288" s="134"/>
      <c r="G288" s="190"/>
    </row>
    <row r="289" spans="1:7" ht="15.6" customHeight="1" x14ac:dyDescent="0.2">
      <c r="A289" s="133" t="s">
        <v>430</v>
      </c>
      <c r="B289" s="287" t="s">
        <v>330</v>
      </c>
      <c r="C289" s="257"/>
      <c r="D289" s="133"/>
      <c r="E289" s="133"/>
      <c r="F289" s="133"/>
      <c r="G289" s="190"/>
    </row>
    <row r="290" spans="1:7" ht="15.6" customHeight="1" x14ac:dyDescent="0.2">
      <c r="A290" s="133" t="s">
        <v>573</v>
      </c>
      <c r="B290" s="256" t="s">
        <v>327</v>
      </c>
      <c r="C290" s="257"/>
      <c r="D290" s="133">
        <v>3.5</v>
      </c>
      <c r="E290" s="133"/>
      <c r="F290" s="133"/>
      <c r="G290" s="190"/>
    </row>
    <row r="291" spans="1:7" ht="15.6" customHeight="1" x14ac:dyDescent="0.2">
      <c r="A291" s="133" t="s">
        <v>600</v>
      </c>
      <c r="B291" s="287" t="s">
        <v>329</v>
      </c>
      <c r="C291" s="257"/>
      <c r="D291" s="133">
        <v>100</v>
      </c>
      <c r="E291" s="133"/>
      <c r="F291" s="133"/>
      <c r="G291" s="190"/>
    </row>
    <row r="292" spans="1:7" ht="15" x14ac:dyDescent="0.2">
      <c r="A292" s="134" t="s">
        <v>410</v>
      </c>
      <c r="B292" s="330" t="s">
        <v>658</v>
      </c>
      <c r="C292" s="259"/>
      <c r="D292" s="134">
        <f>407.3+3.5+289.4</f>
        <v>700.2</v>
      </c>
      <c r="E292" s="134">
        <f>243.3+212+3.5</f>
        <v>458.8</v>
      </c>
      <c r="F292" s="134">
        <f>243.3+212+3.5</f>
        <v>458.8</v>
      </c>
      <c r="G292" s="190"/>
    </row>
    <row r="293" spans="1:7" ht="48.6" customHeight="1" x14ac:dyDescent="0.2">
      <c r="A293" s="311" t="s">
        <v>411</v>
      </c>
      <c r="B293" s="332" t="s">
        <v>319</v>
      </c>
      <c r="C293" s="257"/>
      <c r="D293" s="133">
        <f>39+6.9+238.2+42.1+949.1</f>
        <v>1275.3</v>
      </c>
      <c r="E293" s="133">
        <f>51.2+78</f>
        <v>129.19999999999999</v>
      </c>
      <c r="F293" s="133"/>
      <c r="G293" s="190"/>
    </row>
    <row r="294" spans="1:7" ht="15.75" customHeight="1" x14ac:dyDescent="0.2">
      <c r="A294" s="295"/>
      <c r="B294" s="407" t="s">
        <v>129</v>
      </c>
      <c r="C294" s="259"/>
      <c r="D294" s="134"/>
      <c r="E294" s="134"/>
      <c r="F294" s="134"/>
      <c r="G294" s="190"/>
    </row>
    <row r="295" spans="1:7" ht="15.75" customHeight="1" x14ac:dyDescent="0.2">
      <c r="A295" s="311" t="s">
        <v>412</v>
      </c>
      <c r="B295" s="408" t="s">
        <v>324</v>
      </c>
      <c r="C295" s="257"/>
      <c r="D295" s="133">
        <v>48.5</v>
      </c>
      <c r="E295" s="133"/>
      <c r="F295" s="133"/>
      <c r="G295" s="190"/>
    </row>
    <row r="296" spans="1:7" ht="15.75" customHeight="1" x14ac:dyDescent="0.2">
      <c r="A296" s="311" t="s">
        <v>565</v>
      </c>
      <c r="B296" s="408" t="s">
        <v>330</v>
      </c>
      <c r="C296" s="257"/>
      <c r="D296" s="133">
        <f>28.5</f>
        <v>28.5</v>
      </c>
      <c r="E296" s="133">
        <f>51.2+78</f>
        <v>129.19999999999999</v>
      </c>
      <c r="F296" s="133"/>
      <c r="G296" s="190"/>
    </row>
    <row r="297" spans="1:7" ht="29.45" customHeight="1" x14ac:dyDescent="0.2">
      <c r="A297" s="295" t="s">
        <v>431</v>
      </c>
      <c r="B297" s="248" t="s">
        <v>432</v>
      </c>
      <c r="C297" s="259"/>
      <c r="D297" s="134">
        <v>395.7</v>
      </c>
      <c r="E297" s="134">
        <v>30.2</v>
      </c>
      <c r="F297" s="134"/>
      <c r="G297" s="190"/>
    </row>
    <row r="298" spans="1:7" ht="15.6" customHeight="1" x14ac:dyDescent="0.2">
      <c r="A298" s="295" t="s">
        <v>433</v>
      </c>
      <c r="B298" s="248" t="s">
        <v>557</v>
      </c>
      <c r="C298" s="259"/>
      <c r="D298" s="134"/>
      <c r="E298" s="134">
        <f>100+100</f>
        <v>200</v>
      </c>
      <c r="F298" s="134">
        <f>200</f>
        <v>200</v>
      </c>
      <c r="G298" s="190"/>
    </row>
    <row r="299" spans="1:7" ht="15.6" customHeight="1" x14ac:dyDescent="0.2">
      <c r="A299" s="295" t="s">
        <v>635</v>
      </c>
      <c r="B299" s="261" t="s">
        <v>367</v>
      </c>
      <c r="C299" s="259"/>
      <c r="D299" s="134">
        <v>200</v>
      </c>
      <c r="E299" s="134"/>
      <c r="F299" s="134"/>
      <c r="G299" s="190"/>
    </row>
    <row r="300" spans="1:7" ht="15.6" customHeight="1" x14ac:dyDescent="0.2">
      <c r="A300" s="133" t="s">
        <v>344</v>
      </c>
      <c r="B300" s="368" t="s">
        <v>310</v>
      </c>
      <c r="C300" s="409"/>
      <c r="D300" s="137">
        <f>D302+D303+D316+D319+D320+D321+D322+D323+D324+D333</f>
        <v>7758.5</v>
      </c>
      <c r="E300" s="137">
        <f>E302+E303+E316+E319+E320+E321+E322+E323+E324+E333</f>
        <v>7281.4</v>
      </c>
      <c r="F300" s="137">
        <f>F302+F303+F316+F319+F320+F321+F322+F323+F324+F333</f>
        <v>7426.4</v>
      </c>
      <c r="G300" s="190"/>
    </row>
    <row r="301" spans="1:7" ht="15" customHeight="1" x14ac:dyDescent="0.2">
      <c r="A301" s="134"/>
      <c r="B301" s="256" t="s">
        <v>321</v>
      </c>
      <c r="C301" s="410"/>
      <c r="D301" s="134"/>
      <c r="E301" s="134"/>
      <c r="F301" s="134"/>
      <c r="G301" s="190"/>
    </row>
    <row r="302" spans="1:7" ht="31.9" customHeight="1" x14ac:dyDescent="0.2">
      <c r="A302" s="311" t="s">
        <v>413</v>
      </c>
      <c r="B302" s="411" t="s">
        <v>322</v>
      </c>
      <c r="C302" s="412" t="s">
        <v>311</v>
      </c>
      <c r="D302" s="133">
        <v>752.8</v>
      </c>
      <c r="E302" s="133">
        <v>752.8</v>
      </c>
      <c r="F302" s="133">
        <v>752.8</v>
      </c>
      <c r="G302" s="190"/>
    </row>
    <row r="303" spans="1:7" ht="15.6" customHeight="1" x14ac:dyDescent="0.2">
      <c r="A303" s="134" t="s">
        <v>414</v>
      </c>
      <c r="B303" s="349" t="s">
        <v>323</v>
      </c>
      <c r="C303" s="410" t="s">
        <v>311</v>
      </c>
      <c r="D303" s="134">
        <f>6+100+12.8+7+20+2536.9+1.7</f>
        <v>2684.4</v>
      </c>
      <c r="E303" s="134">
        <f>6+100+50+30+2588.4</f>
        <v>2774.4</v>
      </c>
      <c r="F303" s="134">
        <f>6+100+200+30+2588.4</f>
        <v>2924.4</v>
      </c>
      <c r="G303" s="190"/>
    </row>
    <row r="304" spans="1:7" ht="15.6" customHeight="1" x14ac:dyDescent="0.2">
      <c r="A304" s="133"/>
      <c r="B304" s="320" t="s">
        <v>129</v>
      </c>
      <c r="C304" s="413"/>
      <c r="D304" s="133"/>
      <c r="E304" s="133"/>
      <c r="F304" s="133"/>
      <c r="G304" s="190"/>
    </row>
    <row r="305" spans="1:10" ht="15.6" customHeight="1" x14ac:dyDescent="0.2">
      <c r="A305" s="134" t="s">
        <v>415</v>
      </c>
      <c r="B305" s="256" t="s">
        <v>324</v>
      </c>
      <c r="C305" s="410"/>
      <c r="D305" s="134">
        <v>119.4</v>
      </c>
      <c r="E305" s="134">
        <v>109.1</v>
      </c>
      <c r="F305" s="134">
        <v>109.1</v>
      </c>
      <c r="G305" s="190"/>
      <c r="H305" s="273"/>
    </row>
    <row r="306" spans="1:10" ht="15.6" customHeight="1" x14ac:dyDescent="0.2">
      <c r="A306" s="133" t="s">
        <v>416</v>
      </c>
      <c r="B306" s="320" t="s">
        <v>325</v>
      </c>
      <c r="C306" s="413"/>
      <c r="D306" s="133">
        <v>151.30000000000001</v>
      </c>
      <c r="E306" s="133">
        <v>151.5</v>
      </c>
      <c r="F306" s="133">
        <v>151.5</v>
      </c>
      <c r="G306" s="190"/>
    </row>
    <row r="307" spans="1:10" ht="15.6" customHeight="1" x14ac:dyDescent="0.2">
      <c r="A307" s="134" t="s">
        <v>417</v>
      </c>
      <c r="B307" s="256" t="s">
        <v>320</v>
      </c>
      <c r="C307" s="410"/>
      <c r="D307" s="134">
        <v>237.5</v>
      </c>
      <c r="E307" s="134">
        <v>242.6</v>
      </c>
      <c r="F307" s="134">
        <v>242.6</v>
      </c>
      <c r="G307" s="190"/>
      <c r="H307" s="273"/>
      <c r="I307" s="273"/>
      <c r="J307" s="273"/>
    </row>
    <row r="308" spans="1:10" ht="15.6" customHeight="1" x14ac:dyDescent="0.2">
      <c r="A308" s="133" t="s">
        <v>418</v>
      </c>
      <c r="B308" s="320" t="s">
        <v>326</v>
      </c>
      <c r="C308" s="413"/>
      <c r="D308" s="133">
        <v>112.3</v>
      </c>
      <c r="E308" s="133">
        <v>113.7</v>
      </c>
      <c r="F308" s="133">
        <v>113.7</v>
      </c>
      <c r="G308" s="190"/>
    </row>
    <row r="309" spans="1:10" ht="15.6" customHeight="1" x14ac:dyDescent="0.2">
      <c r="A309" s="134" t="s">
        <v>419</v>
      </c>
      <c r="B309" s="256" t="s">
        <v>327</v>
      </c>
      <c r="C309" s="410"/>
      <c r="D309" s="134">
        <v>691.8</v>
      </c>
      <c r="E309" s="134">
        <v>691.8</v>
      </c>
      <c r="F309" s="134">
        <v>691.8</v>
      </c>
      <c r="G309" s="190"/>
    </row>
    <row r="310" spans="1:10" ht="15.6" customHeight="1" x14ac:dyDescent="0.2">
      <c r="A310" s="133" t="s">
        <v>420</v>
      </c>
      <c r="B310" s="320" t="s">
        <v>328</v>
      </c>
      <c r="C310" s="413"/>
      <c r="D310" s="133">
        <v>98</v>
      </c>
      <c r="E310" s="133">
        <v>98</v>
      </c>
      <c r="F310" s="133">
        <v>98</v>
      </c>
      <c r="G310" s="190"/>
    </row>
    <row r="311" spans="1:10" ht="15.6" customHeight="1" x14ac:dyDescent="0.2">
      <c r="A311" s="134" t="s">
        <v>421</v>
      </c>
      <c r="B311" s="256" t="s">
        <v>329</v>
      </c>
      <c r="C311" s="410"/>
      <c r="D311" s="134">
        <v>226.3</v>
      </c>
      <c r="E311" s="134">
        <v>241.1</v>
      </c>
      <c r="F311" s="134">
        <v>241.1</v>
      </c>
      <c r="G311" s="190"/>
    </row>
    <row r="312" spans="1:10" ht="15.6" customHeight="1" x14ac:dyDescent="0.2">
      <c r="A312" s="133" t="s">
        <v>422</v>
      </c>
      <c r="B312" s="320" t="s">
        <v>330</v>
      </c>
      <c r="C312" s="413"/>
      <c r="D312" s="133">
        <v>436.6</v>
      </c>
      <c r="E312" s="133">
        <v>460.5</v>
      </c>
      <c r="F312" s="133">
        <v>460.5</v>
      </c>
      <c r="G312" s="190"/>
    </row>
    <row r="313" spans="1:10" ht="15.6" customHeight="1" x14ac:dyDescent="0.2">
      <c r="A313" s="134" t="s">
        <v>423</v>
      </c>
      <c r="B313" s="256" t="s">
        <v>331</v>
      </c>
      <c r="C313" s="410"/>
      <c r="D313" s="134">
        <v>161.80000000000001</v>
      </c>
      <c r="E313" s="134">
        <v>173.5</v>
      </c>
      <c r="F313" s="134">
        <v>173.5</v>
      </c>
      <c r="G313" s="190"/>
    </row>
    <row r="314" spans="1:10" ht="15.6" customHeight="1" x14ac:dyDescent="0.2">
      <c r="A314" s="133" t="s">
        <v>424</v>
      </c>
      <c r="B314" s="320" t="s">
        <v>332</v>
      </c>
      <c r="C314" s="413"/>
      <c r="D314" s="133">
        <v>171.7</v>
      </c>
      <c r="E314" s="133">
        <v>174.7</v>
      </c>
      <c r="F314" s="133">
        <v>174.7</v>
      </c>
      <c r="G314" s="190"/>
    </row>
    <row r="315" spans="1:10" ht="15.6" customHeight="1" x14ac:dyDescent="0.2">
      <c r="A315" s="134" t="s">
        <v>425</v>
      </c>
      <c r="B315" s="256" t="s">
        <v>333</v>
      </c>
      <c r="C315" s="410"/>
      <c r="D315" s="134">
        <v>131.9</v>
      </c>
      <c r="E315" s="134">
        <v>131.9</v>
      </c>
      <c r="F315" s="134">
        <v>131.9</v>
      </c>
      <c r="G315" s="190"/>
      <c r="H315" s="273"/>
      <c r="I315" s="273"/>
      <c r="J315" s="273"/>
    </row>
    <row r="316" spans="1:10" ht="15.6" customHeight="1" x14ac:dyDescent="0.2">
      <c r="A316" s="133" t="s">
        <v>426</v>
      </c>
      <c r="B316" s="356" t="s">
        <v>135</v>
      </c>
      <c r="C316" s="320" t="s">
        <v>311</v>
      </c>
      <c r="D316" s="133">
        <f>7.2</f>
        <v>7.2</v>
      </c>
      <c r="E316" s="133">
        <f>7.2</f>
        <v>7.2</v>
      </c>
      <c r="F316" s="133">
        <f>7.2</f>
        <v>7.2</v>
      </c>
      <c r="G316" s="190"/>
    </row>
    <row r="317" spans="1:10" ht="15.6" customHeight="1" x14ac:dyDescent="0.2">
      <c r="A317" s="134"/>
      <c r="B317" s="256" t="s">
        <v>129</v>
      </c>
      <c r="C317" s="410"/>
      <c r="D317" s="134"/>
      <c r="E317" s="134"/>
      <c r="F317" s="134"/>
      <c r="G317" s="190"/>
    </row>
    <row r="318" spans="1:10" ht="15.6" customHeight="1" x14ac:dyDescent="0.2">
      <c r="A318" s="133" t="s">
        <v>427</v>
      </c>
      <c r="B318" s="320" t="s">
        <v>330</v>
      </c>
      <c r="C318" s="413"/>
      <c r="D318" s="133">
        <v>7.2</v>
      </c>
      <c r="E318" s="133">
        <v>7.2</v>
      </c>
      <c r="F318" s="133">
        <v>7.2</v>
      </c>
      <c r="G318" s="190"/>
    </row>
    <row r="319" spans="1:10" ht="30" customHeight="1" x14ac:dyDescent="0.2">
      <c r="A319" s="295" t="s">
        <v>428</v>
      </c>
      <c r="B319" s="248" t="s">
        <v>334</v>
      </c>
      <c r="C319" s="414" t="s">
        <v>311</v>
      </c>
      <c r="D319" s="134">
        <v>3430</v>
      </c>
      <c r="E319" s="134">
        <v>3430</v>
      </c>
      <c r="F319" s="134">
        <v>3430</v>
      </c>
      <c r="G319" s="190"/>
    </row>
    <row r="320" spans="1:10" ht="47.45" customHeight="1" x14ac:dyDescent="0.2">
      <c r="A320" s="311" t="s">
        <v>429</v>
      </c>
      <c r="B320" s="348" t="s">
        <v>381</v>
      </c>
      <c r="C320" s="415" t="s">
        <v>311</v>
      </c>
      <c r="D320" s="133">
        <f>307.3+39.5</f>
        <v>346.8</v>
      </c>
      <c r="E320" s="133"/>
      <c r="F320" s="133"/>
      <c r="G320" s="190"/>
    </row>
    <row r="321" spans="1:7" ht="45" customHeight="1" x14ac:dyDescent="0.2">
      <c r="A321" s="295" t="s">
        <v>434</v>
      </c>
      <c r="B321" s="248" t="s">
        <v>368</v>
      </c>
      <c r="C321" s="416" t="s">
        <v>311</v>
      </c>
      <c r="D321" s="134">
        <v>34</v>
      </c>
      <c r="E321" s="134">
        <v>30</v>
      </c>
      <c r="F321" s="134">
        <v>30</v>
      </c>
      <c r="G321" s="190"/>
    </row>
    <row r="322" spans="1:7" ht="30" customHeight="1" x14ac:dyDescent="0.2">
      <c r="A322" s="311" t="s">
        <v>435</v>
      </c>
      <c r="B322" s="348" t="s">
        <v>369</v>
      </c>
      <c r="C322" s="412" t="s">
        <v>311</v>
      </c>
      <c r="D322" s="133">
        <v>104.3</v>
      </c>
      <c r="E322" s="133">
        <v>30</v>
      </c>
      <c r="F322" s="133">
        <v>30</v>
      </c>
      <c r="G322" s="190"/>
    </row>
    <row r="323" spans="1:7" ht="19.149999999999999" customHeight="1" x14ac:dyDescent="0.2">
      <c r="A323" s="295" t="s">
        <v>436</v>
      </c>
      <c r="B323" s="261" t="s">
        <v>362</v>
      </c>
      <c r="C323" s="412" t="s">
        <v>311</v>
      </c>
      <c r="D323" s="133">
        <v>30</v>
      </c>
      <c r="E323" s="133">
        <v>30</v>
      </c>
      <c r="F323" s="133">
        <v>30</v>
      </c>
      <c r="G323" s="190"/>
    </row>
    <row r="324" spans="1:7" ht="15.6" customHeight="1" x14ac:dyDescent="0.2">
      <c r="A324" s="295" t="s">
        <v>437</v>
      </c>
      <c r="B324" s="417" t="s">
        <v>323</v>
      </c>
      <c r="C324" s="256" t="s">
        <v>147</v>
      </c>
      <c r="D324" s="134">
        <f>177+190</f>
        <v>367</v>
      </c>
      <c r="E324" s="134">
        <v>225</v>
      </c>
      <c r="F324" s="134">
        <v>220</v>
      </c>
      <c r="G324" s="190"/>
    </row>
    <row r="325" spans="1:7" ht="15.6" customHeight="1" x14ac:dyDescent="0.2">
      <c r="A325" s="295"/>
      <c r="B325" s="418" t="s">
        <v>129</v>
      </c>
      <c r="C325" s="242"/>
      <c r="D325" s="134"/>
      <c r="E325" s="133"/>
      <c r="F325" s="134"/>
      <c r="G325" s="190"/>
    </row>
    <row r="326" spans="1:7" ht="15.6" customHeight="1" x14ac:dyDescent="0.2">
      <c r="A326" s="311" t="s">
        <v>636</v>
      </c>
      <c r="B326" s="256" t="s">
        <v>324</v>
      </c>
      <c r="C326" s="242"/>
      <c r="D326" s="133">
        <v>12</v>
      </c>
      <c r="E326" s="127"/>
      <c r="F326" s="133"/>
      <c r="G326" s="190"/>
    </row>
    <row r="327" spans="1:7" ht="15.6" customHeight="1" x14ac:dyDescent="0.2">
      <c r="A327" s="295" t="s">
        <v>637</v>
      </c>
      <c r="B327" s="418" t="s">
        <v>327</v>
      </c>
      <c r="C327" s="320"/>
      <c r="D327" s="134">
        <v>100</v>
      </c>
      <c r="E327" s="134">
        <v>200</v>
      </c>
      <c r="F327" s="134">
        <v>200</v>
      </c>
      <c r="G327" s="190"/>
    </row>
    <row r="328" spans="1:7" ht="15.6" customHeight="1" x14ac:dyDescent="0.2">
      <c r="A328" s="311" t="s">
        <v>638</v>
      </c>
      <c r="B328" s="419" t="s">
        <v>328</v>
      </c>
      <c r="C328" s="256"/>
      <c r="D328" s="134">
        <v>5</v>
      </c>
      <c r="E328" s="134"/>
      <c r="F328" s="134"/>
      <c r="G328" s="190"/>
    </row>
    <row r="329" spans="1:7" ht="15.6" customHeight="1" x14ac:dyDescent="0.2">
      <c r="A329" s="331" t="s">
        <v>639</v>
      </c>
      <c r="B329" s="418" t="s">
        <v>330</v>
      </c>
      <c r="C329" s="320"/>
      <c r="D329" s="133">
        <v>10</v>
      </c>
      <c r="E329" s="133">
        <v>10</v>
      </c>
      <c r="F329" s="133">
        <v>10</v>
      </c>
      <c r="G329" s="190"/>
    </row>
    <row r="330" spans="1:7" ht="15.6" customHeight="1" x14ac:dyDescent="0.2">
      <c r="A330" s="331" t="s">
        <v>640</v>
      </c>
      <c r="B330" s="256" t="s">
        <v>331</v>
      </c>
      <c r="C330" s="537"/>
      <c r="D330" s="127">
        <v>190</v>
      </c>
      <c r="E330" s="134"/>
      <c r="F330" s="127"/>
      <c r="G330" s="190"/>
    </row>
    <row r="331" spans="1:7" ht="15.6" customHeight="1" x14ac:dyDescent="0.2">
      <c r="A331" s="331" t="s">
        <v>641</v>
      </c>
      <c r="B331" s="418" t="s">
        <v>332</v>
      </c>
      <c r="C331" s="537"/>
      <c r="D331" s="134">
        <v>30</v>
      </c>
      <c r="E331" s="133">
        <v>15</v>
      </c>
      <c r="F331" s="134">
        <v>10</v>
      </c>
      <c r="G331" s="190"/>
    </row>
    <row r="332" spans="1:7" ht="15.6" customHeight="1" x14ac:dyDescent="0.2">
      <c r="A332" s="295" t="s">
        <v>642</v>
      </c>
      <c r="B332" s="256" t="s">
        <v>333</v>
      </c>
      <c r="C332" s="242"/>
      <c r="D332" s="133">
        <v>20</v>
      </c>
      <c r="E332" s="134"/>
      <c r="F332" s="133"/>
      <c r="G332" s="190"/>
    </row>
    <row r="333" spans="1:7" ht="15.6" customHeight="1" x14ac:dyDescent="0.2">
      <c r="A333" s="295" t="s">
        <v>438</v>
      </c>
      <c r="B333" s="417" t="s">
        <v>135</v>
      </c>
      <c r="C333" s="256" t="s">
        <v>147</v>
      </c>
      <c r="D333" s="134">
        <v>2</v>
      </c>
      <c r="E333" s="134">
        <v>2</v>
      </c>
      <c r="F333" s="134">
        <v>2</v>
      </c>
      <c r="G333" s="190"/>
    </row>
    <row r="334" spans="1:7" ht="15.6" customHeight="1" x14ac:dyDescent="0.2">
      <c r="A334" s="134" t="s">
        <v>345</v>
      </c>
      <c r="B334" s="421" t="s">
        <v>229</v>
      </c>
      <c r="C334" s="422" t="s">
        <v>230</v>
      </c>
      <c r="D334" s="128">
        <f>SUM(D335:D339)</f>
        <v>4350.3000000000011</v>
      </c>
      <c r="E334" s="128">
        <f t="shared" ref="E334" si="89">SUM(E335:E339)</f>
        <v>2316.5</v>
      </c>
      <c r="F334" s="128">
        <f>SUM(F335:F339)</f>
        <v>787.7</v>
      </c>
      <c r="G334" s="190"/>
    </row>
    <row r="335" spans="1:7" ht="15.6" customHeight="1" x14ac:dyDescent="0.2">
      <c r="A335" s="133" t="s">
        <v>439</v>
      </c>
      <c r="B335" s="356" t="s">
        <v>335</v>
      </c>
      <c r="C335" s="423"/>
      <c r="D335" s="133">
        <f>30+50+12+120+160+108.2+349.7+60+65.7+29.1</f>
        <v>984.7</v>
      </c>
      <c r="E335" s="133">
        <f>30+55+12+108.2+160+29.1</f>
        <v>394.3</v>
      </c>
      <c r="F335" s="133">
        <f>30+60+12+108.2+360</f>
        <v>570.20000000000005</v>
      </c>
      <c r="G335" s="190"/>
    </row>
    <row r="336" spans="1:7" ht="31.15" customHeight="1" x14ac:dyDescent="0.2">
      <c r="A336" s="295" t="s">
        <v>440</v>
      </c>
      <c r="B336" s="309" t="s">
        <v>322</v>
      </c>
      <c r="C336" s="422"/>
      <c r="D336" s="134">
        <v>117.5</v>
      </c>
      <c r="E336" s="134">
        <v>117.5</v>
      </c>
      <c r="F336" s="134">
        <v>117.5</v>
      </c>
      <c r="G336" s="190"/>
    </row>
    <row r="337" spans="1:8" ht="45.6" customHeight="1" x14ac:dyDescent="0.2">
      <c r="A337" s="295" t="s">
        <v>441</v>
      </c>
      <c r="B337" s="248" t="s">
        <v>280</v>
      </c>
      <c r="C337" s="422"/>
      <c r="D337" s="134">
        <f>175.2+31+28.8+5.1+172.4+30.5+114.5+20.2+274.6+1555.6+165+154.3+27.3</f>
        <v>2754.5000000000005</v>
      </c>
      <c r="E337" s="134">
        <f>175.2+31+15+2.7+11.9+2.1+138+782.2+165+154.3+27.3</f>
        <v>1504.6999999999998</v>
      </c>
      <c r="F337" s="134"/>
      <c r="G337" s="190"/>
    </row>
    <row r="338" spans="1:8" ht="33" customHeight="1" x14ac:dyDescent="0.2">
      <c r="A338" s="295" t="s">
        <v>643</v>
      </c>
      <c r="B338" s="251" t="s">
        <v>369</v>
      </c>
      <c r="C338" s="538"/>
      <c r="D338" s="133">
        <v>34.6</v>
      </c>
      <c r="E338" s="134"/>
      <c r="F338" s="134"/>
      <c r="G338" s="190"/>
    </row>
    <row r="339" spans="1:8" ht="33" customHeight="1" x14ac:dyDescent="0.2">
      <c r="A339" s="295" t="s">
        <v>644</v>
      </c>
      <c r="B339" s="248" t="s">
        <v>432</v>
      </c>
      <c r="C339" s="423"/>
      <c r="D339" s="127">
        <v>459</v>
      </c>
      <c r="E339" s="134">
        <v>300</v>
      </c>
      <c r="F339" s="133">
        <v>100</v>
      </c>
      <c r="G339" s="190"/>
    </row>
    <row r="340" spans="1:8" ht="37.5" customHeight="1" x14ac:dyDescent="0.2">
      <c r="A340" s="331" t="s">
        <v>346</v>
      </c>
      <c r="B340" s="424" t="s">
        <v>239</v>
      </c>
      <c r="C340" s="539"/>
      <c r="D340" s="128">
        <f>SUM(D342:D352)</f>
        <v>12168.906000000001</v>
      </c>
      <c r="E340" s="137">
        <f>SUM(E342:E352)</f>
        <v>15982.306</v>
      </c>
      <c r="F340" s="128">
        <f>SUM(F342:F352)</f>
        <v>19016.106000000003</v>
      </c>
      <c r="G340" s="190"/>
    </row>
    <row r="341" spans="1:8" ht="15.6" customHeight="1" x14ac:dyDescent="0.2">
      <c r="A341" s="134"/>
      <c r="B341" s="256" t="s">
        <v>321</v>
      </c>
      <c r="C341" s="426"/>
      <c r="D341" s="134"/>
      <c r="E341" s="128"/>
      <c r="F341" s="128"/>
      <c r="G341" s="190"/>
    </row>
    <row r="342" spans="1:8" ht="15.6" customHeight="1" x14ac:dyDescent="0.2">
      <c r="A342" s="133" t="s">
        <v>442</v>
      </c>
      <c r="B342" s="356" t="s">
        <v>323</v>
      </c>
      <c r="C342" s="427" t="s">
        <v>272</v>
      </c>
      <c r="D342" s="133">
        <f>190+94.8+150+53.8</f>
        <v>488.6</v>
      </c>
      <c r="E342" s="133">
        <f>190+150+20.5</f>
        <v>360.5</v>
      </c>
      <c r="F342" s="133">
        <f>190+150</f>
        <v>340</v>
      </c>
      <c r="G342" s="190"/>
    </row>
    <row r="343" spans="1:8" ht="15.6" customHeight="1" x14ac:dyDescent="0.2">
      <c r="A343" s="134" t="s">
        <v>443</v>
      </c>
      <c r="B343" s="349" t="s">
        <v>323</v>
      </c>
      <c r="C343" s="428" t="s">
        <v>48</v>
      </c>
      <c r="D343" s="134">
        <f>319+240+2006.1+12+32+40+112.4+8+2200+40+45+2+122.1+50+10+90+180.5+22.5</f>
        <v>5531.6</v>
      </c>
      <c r="E343" s="134">
        <f>319+240+2226.1+12+32+60+112.4+8+2200+40+45+2+122.1+50+90+482.2+22.5</f>
        <v>6063.3</v>
      </c>
      <c r="F343" s="134">
        <f>319+240+2226.1+12+32+80+112.4+8+2200+40+45+2+122.1+50+90+2058.6+22.5</f>
        <v>7659.7000000000007</v>
      </c>
      <c r="G343" s="190"/>
    </row>
    <row r="344" spans="1:8" ht="15.6" customHeight="1" x14ac:dyDescent="0.2">
      <c r="A344" s="311" t="s">
        <v>444</v>
      </c>
      <c r="B344" s="356" t="s">
        <v>657</v>
      </c>
      <c r="C344" s="427" t="s">
        <v>48</v>
      </c>
      <c r="D344" s="133">
        <f>403.8+1617+3.7+1950+50.6+76.9</f>
        <v>4102</v>
      </c>
      <c r="E344" s="133">
        <f>403.8+1617+3.7+2570+50.6+76.9</f>
        <v>4722</v>
      </c>
      <c r="F344" s="133">
        <f>403.8+1617+3.7+2827+50.6+76.9</f>
        <v>4979</v>
      </c>
      <c r="G344" s="190"/>
    </row>
    <row r="345" spans="1:8" ht="15.6" customHeight="1" x14ac:dyDescent="0.2">
      <c r="A345" s="134" t="s">
        <v>445</v>
      </c>
      <c r="B345" s="349" t="s">
        <v>135</v>
      </c>
      <c r="C345" s="428" t="s">
        <v>48</v>
      </c>
      <c r="D345" s="134">
        <v>26</v>
      </c>
      <c r="E345" s="134">
        <v>26</v>
      </c>
      <c r="F345" s="134">
        <v>26</v>
      </c>
      <c r="G345" s="190"/>
    </row>
    <row r="346" spans="1:8" ht="15.6" customHeight="1" x14ac:dyDescent="0.2">
      <c r="A346" s="133" t="s">
        <v>446</v>
      </c>
      <c r="B346" s="164" t="s">
        <v>370</v>
      </c>
      <c r="C346" s="541" t="s">
        <v>48</v>
      </c>
      <c r="D346" s="133">
        <v>2.5</v>
      </c>
      <c r="E346" s="133"/>
      <c r="F346" s="133"/>
      <c r="G346" s="190"/>
    </row>
    <row r="347" spans="1:8" ht="46.5" customHeight="1" x14ac:dyDescent="0.2">
      <c r="A347" s="134" t="s">
        <v>447</v>
      </c>
      <c r="B347" s="248" t="s">
        <v>280</v>
      </c>
      <c r="C347" s="427" t="s">
        <v>272</v>
      </c>
      <c r="D347" s="134"/>
      <c r="E347" s="134">
        <v>74.599999999999994</v>
      </c>
      <c r="F347" s="134"/>
      <c r="G347" s="190"/>
    </row>
    <row r="348" spans="1:8" ht="48.6" customHeight="1" x14ac:dyDescent="0.2">
      <c r="A348" s="311" t="s">
        <v>448</v>
      </c>
      <c r="B348" s="248" t="s">
        <v>280</v>
      </c>
      <c r="C348" s="429" t="s">
        <v>48</v>
      </c>
      <c r="D348" s="134">
        <f>200.4+50+1025</f>
        <v>1275.4000000000001</v>
      </c>
      <c r="E348" s="134">
        <f>66.8+50+2492.8</f>
        <v>2609.6000000000004</v>
      </c>
      <c r="F348" s="134">
        <f>63.5+50+2642.6</f>
        <v>2756.1</v>
      </c>
      <c r="G348" s="190"/>
    </row>
    <row r="349" spans="1:8" ht="15.75" customHeight="1" x14ac:dyDescent="0.25">
      <c r="A349" s="295" t="s">
        <v>449</v>
      </c>
      <c r="B349" s="430" t="s">
        <v>375</v>
      </c>
      <c r="C349" s="431" t="s">
        <v>48</v>
      </c>
      <c r="D349" s="133">
        <f>40+54+41.6+102+265.306</f>
        <v>502.90599999999995</v>
      </c>
      <c r="E349" s="133">
        <f>40+70+41.6+118.9+265.306</f>
        <v>535.80600000000004</v>
      </c>
      <c r="F349" s="133">
        <f>40+90+41.6+118.9+265.306</f>
        <v>555.80600000000004</v>
      </c>
      <c r="G349" s="190"/>
      <c r="H349" s="102"/>
    </row>
    <row r="350" spans="1:8" ht="15.75" customHeight="1" x14ac:dyDescent="0.2">
      <c r="A350" s="295" t="s">
        <v>474</v>
      </c>
      <c r="B350" s="261" t="s">
        <v>375</v>
      </c>
      <c r="C350" s="432" t="s">
        <v>272</v>
      </c>
      <c r="D350" s="134">
        <v>49.6</v>
      </c>
      <c r="E350" s="134">
        <v>49.6</v>
      </c>
      <c r="F350" s="134">
        <v>49.6</v>
      </c>
      <c r="G350" s="190"/>
    </row>
    <row r="351" spans="1:8" ht="31.15" customHeight="1" x14ac:dyDescent="0.2">
      <c r="A351" s="295" t="s">
        <v>645</v>
      </c>
      <c r="B351" s="417" t="s">
        <v>432</v>
      </c>
      <c r="C351" s="433" t="s">
        <v>48</v>
      </c>
      <c r="D351" s="134">
        <f>190.3</f>
        <v>190.3</v>
      </c>
      <c r="E351" s="134">
        <f>440.9</f>
        <v>440.9</v>
      </c>
      <c r="F351" s="134">
        <f>449.9</f>
        <v>449.9</v>
      </c>
      <c r="G351" s="190"/>
    </row>
    <row r="352" spans="1:8" ht="20.25" customHeight="1" x14ac:dyDescent="0.2">
      <c r="A352" s="295" t="s">
        <v>646</v>
      </c>
      <c r="B352" s="356" t="s">
        <v>367</v>
      </c>
      <c r="C352" s="433" t="s">
        <v>48</v>
      </c>
      <c r="D352" s="134"/>
      <c r="E352" s="134">
        <v>1100</v>
      </c>
      <c r="F352" s="134">
        <v>2200</v>
      </c>
      <c r="G352" s="190"/>
    </row>
    <row r="353" spans="1:9" ht="30.75" customHeight="1" x14ac:dyDescent="0.2">
      <c r="A353" s="295" t="s">
        <v>347</v>
      </c>
      <c r="B353" s="434" t="s">
        <v>146</v>
      </c>
      <c r="C353" s="426"/>
      <c r="D353" s="128">
        <f>D355+D368+D381+D382+D385+D386+D387+D388+D389+D390+D391+D392+D393+D394+D395</f>
        <v>24536.2</v>
      </c>
      <c r="E353" s="128">
        <f>E355+E368+E381+E382+E385+E386+E387+E388+E389+E390+E391+E392+E393+E394+E395</f>
        <v>21613.200000000004</v>
      </c>
      <c r="F353" s="128">
        <f>F355+F368+F381+F382+F385+F386+F387+F388+F389+F390+F391+F392+F393+F394+F395</f>
        <v>18814.400000000001</v>
      </c>
      <c r="G353" s="190"/>
    </row>
    <row r="354" spans="1:9" ht="15.6" customHeight="1" x14ac:dyDescent="0.2">
      <c r="A354" s="133"/>
      <c r="B354" s="320" t="s">
        <v>321</v>
      </c>
      <c r="C354" s="425"/>
      <c r="D354" s="133"/>
      <c r="E354" s="137"/>
      <c r="F354" s="137"/>
      <c r="G354" s="190"/>
    </row>
    <row r="355" spans="1:9" ht="15.6" customHeight="1" x14ac:dyDescent="0.2">
      <c r="A355" s="134" t="s">
        <v>450</v>
      </c>
      <c r="B355" s="349" t="s">
        <v>323</v>
      </c>
      <c r="C355" s="428" t="s">
        <v>244</v>
      </c>
      <c r="D355" s="134">
        <f>1950+260.8+70+2671.1+916+10+15+65+225.4+35+15+95+506.6+4.2+221.3+88+380+60+100+50</f>
        <v>7738.4</v>
      </c>
      <c r="E355" s="134">
        <f>1950+400+50+3627.4+2023.3+10+35+65+4.5+50+2000+200+100+100+140</f>
        <v>10755.2</v>
      </c>
      <c r="F355" s="134">
        <f>1950+400+50+2295.9+1465+10+145+65+50+2000+200+100+145</f>
        <v>8875.9</v>
      </c>
      <c r="G355" s="190"/>
    </row>
    <row r="356" spans="1:9" ht="15.6" customHeight="1" x14ac:dyDescent="0.2">
      <c r="A356" s="134"/>
      <c r="B356" s="256" t="s">
        <v>129</v>
      </c>
      <c r="C356" s="427"/>
      <c r="D356" s="133"/>
      <c r="E356" s="133"/>
      <c r="F356" s="133"/>
      <c r="G356" s="190"/>
      <c r="I356" s="435"/>
    </row>
    <row r="357" spans="1:9" ht="15.6" customHeight="1" x14ac:dyDescent="0.2">
      <c r="A357" s="133" t="s">
        <v>598</v>
      </c>
      <c r="B357" s="320" t="s">
        <v>324</v>
      </c>
      <c r="C357" s="436"/>
      <c r="D357" s="375">
        <v>63.9</v>
      </c>
      <c r="E357" s="375">
        <v>63.9</v>
      </c>
      <c r="F357" s="375">
        <v>63.9</v>
      </c>
      <c r="G357" s="190"/>
      <c r="I357" s="435"/>
    </row>
    <row r="358" spans="1:9" ht="15.6" customHeight="1" x14ac:dyDescent="0.2">
      <c r="A358" s="134" t="s">
        <v>599</v>
      </c>
      <c r="B358" s="256" t="s">
        <v>325</v>
      </c>
      <c r="C358" s="436"/>
      <c r="D358" s="375">
        <v>136.80000000000001</v>
      </c>
      <c r="E358" s="375">
        <v>136.80000000000001</v>
      </c>
      <c r="F358" s="375">
        <v>136.80000000000001</v>
      </c>
      <c r="G358" s="190"/>
      <c r="I358" s="435"/>
    </row>
    <row r="359" spans="1:9" ht="15.6" customHeight="1" x14ac:dyDescent="0.2">
      <c r="A359" s="133" t="s">
        <v>602</v>
      </c>
      <c r="B359" s="320" t="s">
        <v>320</v>
      </c>
      <c r="C359" s="530"/>
      <c r="D359" s="438">
        <v>195.9</v>
      </c>
      <c r="E359" s="438">
        <v>195.9</v>
      </c>
      <c r="F359" s="438">
        <v>195.9</v>
      </c>
      <c r="G359" s="190"/>
      <c r="I359" s="435"/>
    </row>
    <row r="360" spans="1:9" ht="15.6" customHeight="1" x14ac:dyDescent="0.2">
      <c r="A360" s="134" t="s">
        <v>604</v>
      </c>
      <c r="B360" s="256" t="s">
        <v>326</v>
      </c>
      <c r="C360" s="436"/>
      <c r="D360" s="375">
        <v>89.4</v>
      </c>
      <c r="E360" s="375">
        <v>89.4</v>
      </c>
      <c r="F360" s="375">
        <v>89.4</v>
      </c>
      <c r="G360" s="190"/>
      <c r="I360" s="435"/>
    </row>
    <row r="361" spans="1:9" ht="15.6" customHeight="1" x14ac:dyDescent="0.2">
      <c r="A361" s="133" t="s">
        <v>647</v>
      </c>
      <c r="B361" s="320" t="s">
        <v>327</v>
      </c>
      <c r="C361" s="436"/>
      <c r="D361" s="375">
        <v>254.3</v>
      </c>
      <c r="E361" s="375">
        <v>254.3</v>
      </c>
      <c r="F361" s="375">
        <v>254.3</v>
      </c>
      <c r="G361" s="190"/>
      <c r="I361" s="435"/>
    </row>
    <row r="362" spans="1:9" ht="15.6" customHeight="1" x14ac:dyDescent="0.2">
      <c r="A362" s="134" t="s">
        <v>648</v>
      </c>
      <c r="B362" s="256" t="s">
        <v>328</v>
      </c>
      <c r="C362" s="436"/>
      <c r="D362" s="375">
        <v>45.1</v>
      </c>
      <c r="E362" s="375">
        <v>45.1</v>
      </c>
      <c r="F362" s="375">
        <v>45.1</v>
      </c>
      <c r="G362" s="190"/>
      <c r="I362" s="435"/>
    </row>
    <row r="363" spans="1:9" ht="15.6" customHeight="1" x14ac:dyDescent="0.2">
      <c r="A363" s="133" t="s">
        <v>649</v>
      </c>
      <c r="B363" s="320" t="s">
        <v>329</v>
      </c>
      <c r="C363" s="436"/>
      <c r="D363" s="375">
        <v>193.3</v>
      </c>
      <c r="E363" s="375">
        <v>193.3</v>
      </c>
      <c r="F363" s="375">
        <v>193.3</v>
      </c>
      <c r="G363" s="190"/>
      <c r="I363" s="435"/>
    </row>
    <row r="364" spans="1:9" ht="15.6" customHeight="1" x14ac:dyDescent="0.2">
      <c r="A364" s="134" t="s">
        <v>650</v>
      </c>
      <c r="B364" s="256" t="s">
        <v>330</v>
      </c>
      <c r="C364" s="436"/>
      <c r="D364" s="375">
        <f>270.4+81.7</f>
        <v>352.09999999999997</v>
      </c>
      <c r="E364" s="375">
        <f>270.4+10</f>
        <v>280.39999999999998</v>
      </c>
      <c r="F364" s="375">
        <v>270.39999999999998</v>
      </c>
      <c r="G364" s="190"/>
      <c r="I364" s="439"/>
    </row>
    <row r="365" spans="1:9" ht="15.6" customHeight="1" x14ac:dyDescent="0.2">
      <c r="A365" s="133" t="s">
        <v>651</v>
      </c>
      <c r="B365" s="320" t="s">
        <v>331</v>
      </c>
      <c r="C365" s="436"/>
      <c r="D365" s="375">
        <f>353.2+15</f>
        <v>368.2</v>
      </c>
      <c r="E365" s="375">
        <v>353.2</v>
      </c>
      <c r="F365" s="375">
        <v>353.2</v>
      </c>
      <c r="G365" s="190"/>
    </row>
    <row r="366" spans="1:9" ht="15.6" customHeight="1" x14ac:dyDescent="0.2">
      <c r="A366" s="134" t="s">
        <v>652</v>
      </c>
      <c r="B366" s="256" t="s">
        <v>332</v>
      </c>
      <c r="C366" s="436"/>
      <c r="D366" s="375">
        <v>148.6</v>
      </c>
      <c r="E366" s="375">
        <v>148.6</v>
      </c>
      <c r="F366" s="375">
        <v>148.6</v>
      </c>
      <c r="G366" s="190"/>
    </row>
    <row r="367" spans="1:9" ht="15.6" customHeight="1" x14ac:dyDescent="0.2">
      <c r="A367" s="133" t="s">
        <v>653</v>
      </c>
      <c r="B367" s="540" t="s">
        <v>333</v>
      </c>
      <c r="C367" s="436"/>
      <c r="D367" s="375">
        <v>199.1</v>
      </c>
      <c r="E367" s="375">
        <v>199.1</v>
      </c>
      <c r="F367" s="375">
        <v>199.1</v>
      </c>
      <c r="G367" s="190"/>
    </row>
    <row r="368" spans="1:9" ht="15.6" customHeight="1" x14ac:dyDescent="0.2">
      <c r="A368" s="134" t="s">
        <v>451</v>
      </c>
      <c r="B368" s="356" t="s">
        <v>323</v>
      </c>
      <c r="C368" s="427" t="s">
        <v>147</v>
      </c>
      <c r="D368" s="133">
        <f>150+200+1200+465+120</f>
        <v>2135</v>
      </c>
      <c r="E368" s="133">
        <f>150+200+1300+558.1+120</f>
        <v>2328.1</v>
      </c>
      <c r="F368" s="133">
        <f>150+200+1300+669.6+120</f>
        <v>2439.6</v>
      </c>
      <c r="G368" s="190"/>
    </row>
    <row r="369" spans="1:10" ht="15.6" customHeight="1" x14ac:dyDescent="0.2">
      <c r="A369" s="134"/>
      <c r="B369" s="256" t="s">
        <v>129</v>
      </c>
      <c r="C369" s="428"/>
      <c r="D369" s="134"/>
      <c r="E369" s="134"/>
      <c r="F369" s="134"/>
      <c r="G369" s="190"/>
      <c r="I369" s="439"/>
    </row>
    <row r="370" spans="1:10" ht="15.6" customHeight="1" x14ac:dyDescent="0.2">
      <c r="A370" s="133" t="s">
        <v>452</v>
      </c>
      <c r="B370" s="320" t="s">
        <v>324</v>
      </c>
      <c r="C370" s="427"/>
      <c r="D370" s="133">
        <v>7.2</v>
      </c>
      <c r="E370" s="133">
        <v>8.6</v>
      </c>
      <c r="F370" s="133">
        <v>10.4</v>
      </c>
      <c r="G370" s="190"/>
    </row>
    <row r="371" spans="1:10" ht="15.6" customHeight="1" x14ac:dyDescent="0.2">
      <c r="A371" s="134" t="s">
        <v>453</v>
      </c>
      <c r="B371" s="256" t="s">
        <v>325</v>
      </c>
      <c r="C371" s="428"/>
      <c r="D371" s="134">
        <v>18.2</v>
      </c>
      <c r="E371" s="134">
        <v>21.9</v>
      </c>
      <c r="F371" s="134">
        <v>26.3</v>
      </c>
      <c r="G371" s="190"/>
    </row>
    <row r="372" spans="1:10" ht="15.6" customHeight="1" x14ac:dyDescent="0.2">
      <c r="A372" s="133" t="s">
        <v>454</v>
      </c>
      <c r="B372" s="320" t="s">
        <v>320</v>
      </c>
      <c r="C372" s="427"/>
      <c r="D372" s="133">
        <v>25.9</v>
      </c>
      <c r="E372" s="133">
        <v>31.1</v>
      </c>
      <c r="F372" s="133">
        <v>37.299999999999997</v>
      </c>
      <c r="G372" s="190"/>
    </row>
    <row r="373" spans="1:10" ht="15.6" customHeight="1" x14ac:dyDescent="0.2">
      <c r="A373" s="134" t="s">
        <v>455</v>
      </c>
      <c r="B373" s="256" t="s">
        <v>326</v>
      </c>
      <c r="C373" s="428"/>
      <c r="D373" s="134">
        <v>17.600000000000001</v>
      </c>
      <c r="E373" s="134">
        <v>21.2</v>
      </c>
      <c r="F373" s="134">
        <v>25.4</v>
      </c>
      <c r="G373" s="190"/>
    </row>
    <row r="374" spans="1:10" ht="15.6" customHeight="1" x14ac:dyDescent="0.2">
      <c r="A374" s="133" t="s">
        <v>456</v>
      </c>
      <c r="B374" s="320" t="s">
        <v>327</v>
      </c>
      <c r="C374" s="427"/>
      <c r="D374" s="133">
        <v>164</v>
      </c>
      <c r="E374" s="133">
        <v>196.8</v>
      </c>
      <c r="F374" s="133">
        <v>236.2</v>
      </c>
      <c r="G374" s="190"/>
      <c r="H374" s="273"/>
      <c r="I374" s="273"/>
      <c r="J374" s="273"/>
    </row>
    <row r="375" spans="1:10" ht="15.6" customHeight="1" x14ac:dyDescent="0.2">
      <c r="A375" s="134" t="s">
        <v>457</v>
      </c>
      <c r="B375" s="256" t="s">
        <v>328</v>
      </c>
      <c r="C375" s="428"/>
      <c r="D375" s="134">
        <v>14.6</v>
      </c>
      <c r="E375" s="134">
        <v>17.600000000000001</v>
      </c>
      <c r="F375" s="134">
        <v>21.1</v>
      </c>
      <c r="G375" s="190"/>
      <c r="I375" s="435"/>
    </row>
    <row r="376" spans="1:10" ht="15.6" customHeight="1" x14ac:dyDescent="0.2">
      <c r="A376" s="133" t="s">
        <v>458</v>
      </c>
      <c r="B376" s="320" t="s">
        <v>329</v>
      </c>
      <c r="C376" s="427"/>
      <c r="D376" s="133">
        <v>38.4</v>
      </c>
      <c r="E376" s="133">
        <v>46.1</v>
      </c>
      <c r="F376" s="133">
        <v>55.3</v>
      </c>
      <c r="G376" s="190"/>
      <c r="I376" s="435"/>
    </row>
    <row r="377" spans="1:10" ht="15.6" customHeight="1" x14ac:dyDescent="0.2">
      <c r="A377" s="134" t="s">
        <v>459</v>
      </c>
      <c r="B377" s="256" t="s">
        <v>330</v>
      </c>
      <c r="C377" s="428"/>
      <c r="D377" s="134">
        <v>62.8</v>
      </c>
      <c r="E377" s="134">
        <v>75.3</v>
      </c>
      <c r="F377" s="134">
        <v>90.4</v>
      </c>
      <c r="G377" s="190"/>
      <c r="I377" s="435"/>
    </row>
    <row r="378" spans="1:10" ht="15.6" customHeight="1" x14ac:dyDescent="0.2">
      <c r="A378" s="133" t="s">
        <v>460</v>
      </c>
      <c r="B378" s="320" t="s">
        <v>331</v>
      </c>
      <c r="C378" s="427"/>
      <c r="D378" s="133">
        <v>49.3</v>
      </c>
      <c r="E378" s="133">
        <v>59.2</v>
      </c>
      <c r="F378" s="38">
        <v>71</v>
      </c>
      <c r="G378" s="190"/>
      <c r="I378" s="435"/>
    </row>
    <row r="379" spans="1:10" ht="15.6" customHeight="1" x14ac:dyDescent="0.2">
      <c r="A379" s="134" t="s">
        <v>461</v>
      </c>
      <c r="B379" s="256" t="s">
        <v>332</v>
      </c>
      <c r="C379" s="428"/>
      <c r="D379" s="134">
        <v>31.5</v>
      </c>
      <c r="E379" s="134">
        <v>37.799999999999997</v>
      </c>
      <c r="F379" s="37">
        <v>45.2</v>
      </c>
      <c r="G379" s="190"/>
      <c r="I379" s="435"/>
    </row>
    <row r="380" spans="1:10" ht="15.6" customHeight="1" x14ac:dyDescent="0.2">
      <c r="A380" s="133" t="s">
        <v>462</v>
      </c>
      <c r="B380" s="320" t="s">
        <v>333</v>
      </c>
      <c r="C380" s="427"/>
      <c r="D380" s="133">
        <v>35.5</v>
      </c>
      <c r="E380" s="133">
        <v>42.5</v>
      </c>
      <c r="F380" s="38">
        <v>51</v>
      </c>
      <c r="G380" s="190"/>
      <c r="H380" s="273"/>
      <c r="I380" s="435"/>
    </row>
    <row r="381" spans="1:10" ht="49.9" customHeight="1" x14ac:dyDescent="0.2">
      <c r="A381" s="295" t="s">
        <v>463</v>
      </c>
      <c r="B381" s="417" t="s">
        <v>336</v>
      </c>
      <c r="C381" s="429" t="s">
        <v>244</v>
      </c>
      <c r="D381" s="134">
        <v>3798</v>
      </c>
      <c r="E381" s="134">
        <v>3798</v>
      </c>
      <c r="F381" s="134">
        <v>3798</v>
      </c>
      <c r="G381" s="190"/>
      <c r="I381" s="435"/>
    </row>
    <row r="382" spans="1:10" ht="15.6" customHeight="1" x14ac:dyDescent="0.2">
      <c r="A382" s="311" t="s">
        <v>464</v>
      </c>
      <c r="B382" s="348" t="s">
        <v>323</v>
      </c>
      <c r="C382" s="431" t="s">
        <v>311</v>
      </c>
      <c r="D382" s="133">
        <f>33.5+1580.9+117.8+140+241.7+25.7</f>
        <v>2139.6</v>
      </c>
      <c r="E382" s="133">
        <f>605+140+1026.5+25.7</f>
        <v>1797.2</v>
      </c>
      <c r="F382" s="38">
        <f>1408+140+1010+25.7</f>
        <v>2583.6999999999998</v>
      </c>
      <c r="G382" s="190"/>
      <c r="I382" s="435"/>
    </row>
    <row r="383" spans="1:10" ht="15.6" customHeight="1" x14ac:dyDescent="0.2">
      <c r="A383" s="295"/>
      <c r="B383" s="440" t="s">
        <v>129</v>
      </c>
      <c r="C383" s="429"/>
      <c r="D383" s="134"/>
      <c r="E383" s="134"/>
      <c r="F383" s="134"/>
      <c r="G383" s="190"/>
      <c r="I383" s="439"/>
    </row>
    <row r="384" spans="1:10" ht="15.6" customHeight="1" x14ac:dyDescent="0.2">
      <c r="A384" s="295" t="s">
        <v>478</v>
      </c>
      <c r="B384" s="256" t="s">
        <v>326</v>
      </c>
      <c r="C384" s="429"/>
      <c r="D384" s="134">
        <v>33.5</v>
      </c>
      <c r="E384" s="134"/>
      <c r="F384" s="134"/>
      <c r="G384" s="190"/>
    </row>
    <row r="385" spans="1:12" ht="31.9" customHeight="1" x14ac:dyDescent="0.2">
      <c r="A385" s="311" t="s">
        <v>465</v>
      </c>
      <c r="B385" s="348" t="s">
        <v>432</v>
      </c>
      <c r="C385" s="431" t="s">
        <v>244</v>
      </c>
      <c r="D385" s="133">
        <f>97.2</f>
        <v>97.2</v>
      </c>
      <c r="E385" s="133">
        <v>149.1</v>
      </c>
      <c r="F385" s="133"/>
      <c r="G385" s="190"/>
      <c r="H385" s="273"/>
      <c r="I385" s="273"/>
      <c r="J385" s="273"/>
      <c r="K385" s="273"/>
      <c r="L385" s="273"/>
    </row>
    <row r="386" spans="1:12" ht="15.6" customHeight="1" x14ac:dyDescent="0.2">
      <c r="A386" s="295" t="s">
        <v>466</v>
      </c>
      <c r="B386" s="349" t="s">
        <v>135</v>
      </c>
      <c r="C386" s="429" t="s">
        <v>244</v>
      </c>
      <c r="D386" s="134">
        <f>31.2+395+7.2</f>
        <v>433.4</v>
      </c>
      <c r="E386" s="134">
        <f>610+7.2</f>
        <v>617.20000000000005</v>
      </c>
      <c r="F386" s="134">
        <f>610+7.2</f>
        <v>617.20000000000005</v>
      </c>
      <c r="G386" s="190"/>
      <c r="H386" s="273"/>
      <c r="I386" s="273"/>
      <c r="J386" s="273"/>
    </row>
    <row r="387" spans="1:12" ht="15.6" customHeight="1" x14ac:dyDescent="0.2">
      <c r="A387" s="311" t="s">
        <v>467</v>
      </c>
      <c r="B387" s="349" t="s">
        <v>135</v>
      </c>
      <c r="C387" s="431" t="s">
        <v>311</v>
      </c>
      <c r="D387" s="133">
        <f>100+280.5+3.3</f>
        <v>383.8</v>
      </c>
      <c r="E387" s="133">
        <v>200</v>
      </c>
      <c r="F387" s="133">
        <v>200</v>
      </c>
      <c r="G387" s="190"/>
      <c r="H387" s="273"/>
      <c r="I387" s="435"/>
      <c r="J387" s="273"/>
    </row>
    <row r="388" spans="1:12" ht="15.6" customHeight="1" x14ac:dyDescent="0.2">
      <c r="A388" s="295" t="s">
        <v>468</v>
      </c>
      <c r="B388" s="349" t="s">
        <v>371</v>
      </c>
      <c r="C388" s="429" t="s">
        <v>311</v>
      </c>
      <c r="D388" s="134">
        <v>196.7</v>
      </c>
      <c r="E388" s="134"/>
      <c r="F388" s="134"/>
      <c r="G388" s="190"/>
      <c r="H388" s="273"/>
      <c r="I388" s="435"/>
      <c r="J388" s="273"/>
    </row>
    <row r="389" spans="1:12" ht="15.6" customHeight="1" x14ac:dyDescent="0.2">
      <c r="A389" s="311" t="s">
        <v>475</v>
      </c>
      <c r="B389" s="356" t="s">
        <v>367</v>
      </c>
      <c r="C389" s="429" t="s">
        <v>311</v>
      </c>
      <c r="D389" s="134">
        <v>100</v>
      </c>
      <c r="E389" s="134"/>
      <c r="F389" s="134"/>
      <c r="G389" s="190"/>
      <c r="H389" s="273"/>
      <c r="I389" s="435"/>
      <c r="J389" s="273"/>
    </row>
    <row r="390" spans="1:12" ht="15.6" customHeight="1" x14ac:dyDescent="0.2">
      <c r="A390" s="295" t="s">
        <v>477</v>
      </c>
      <c r="B390" s="356" t="s">
        <v>375</v>
      </c>
      <c r="C390" s="431" t="s">
        <v>339</v>
      </c>
      <c r="D390" s="134">
        <v>1159</v>
      </c>
      <c r="E390" s="133"/>
      <c r="F390" s="133"/>
      <c r="G390" s="190"/>
      <c r="H390" s="273"/>
      <c r="I390" s="435"/>
      <c r="J390" s="273"/>
    </row>
    <row r="391" spans="1:12" ht="15.6" customHeight="1" x14ac:dyDescent="0.2">
      <c r="A391" s="295" t="s">
        <v>479</v>
      </c>
      <c r="B391" s="349" t="s">
        <v>375</v>
      </c>
      <c r="C391" s="429" t="s">
        <v>244</v>
      </c>
      <c r="D391" s="525"/>
      <c r="E391" s="134">
        <v>1200</v>
      </c>
      <c r="F391" s="134">
        <v>300</v>
      </c>
      <c r="G391" s="190"/>
      <c r="H391" s="273"/>
      <c r="I391" s="435"/>
      <c r="J391" s="273"/>
    </row>
    <row r="392" spans="1:12" ht="43.9" customHeight="1" x14ac:dyDescent="0.2">
      <c r="A392" s="295" t="s">
        <v>569</v>
      </c>
      <c r="B392" s="417" t="s">
        <v>280</v>
      </c>
      <c r="C392" s="429" t="s">
        <v>244</v>
      </c>
      <c r="D392" s="134">
        <f>645.7+751.4+959.8</f>
        <v>2356.8999999999996</v>
      </c>
      <c r="E392" s="134">
        <v>768.4</v>
      </c>
      <c r="F392" s="134"/>
      <c r="G392" s="190"/>
      <c r="H392" s="273"/>
      <c r="I392" s="435"/>
      <c r="J392" s="273"/>
    </row>
    <row r="393" spans="1:12" ht="24" customHeight="1" x14ac:dyDescent="0.2">
      <c r="A393" s="295" t="s">
        <v>597</v>
      </c>
      <c r="B393" s="349" t="s">
        <v>371</v>
      </c>
      <c r="C393" s="429" t="s">
        <v>244</v>
      </c>
      <c r="D393" s="134">
        <v>104.8</v>
      </c>
      <c r="E393" s="143"/>
      <c r="F393" s="134"/>
      <c r="G393" s="190"/>
      <c r="H393" s="273"/>
      <c r="I393" s="435"/>
      <c r="J393" s="273"/>
    </row>
    <row r="394" spans="1:12" ht="21" customHeight="1" x14ac:dyDescent="0.2">
      <c r="A394" s="295" t="s">
        <v>654</v>
      </c>
      <c r="B394" s="245" t="s">
        <v>372</v>
      </c>
      <c r="C394" s="429" t="s">
        <v>244</v>
      </c>
      <c r="D394" s="134">
        <v>1493.4</v>
      </c>
      <c r="E394" s="143"/>
      <c r="F394" s="134"/>
      <c r="G394" s="190"/>
      <c r="H394" s="273"/>
      <c r="I394" s="435"/>
      <c r="J394" s="273"/>
    </row>
    <row r="395" spans="1:12" ht="19.5" customHeight="1" x14ac:dyDescent="0.2">
      <c r="A395" s="295" t="s">
        <v>655</v>
      </c>
      <c r="B395" s="356" t="s">
        <v>367</v>
      </c>
      <c r="C395" s="429" t="s">
        <v>244</v>
      </c>
      <c r="D395" s="134">
        <f>1200+1200</f>
        <v>2400</v>
      </c>
      <c r="E395" s="143"/>
      <c r="F395" s="134"/>
      <c r="G395" s="190"/>
      <c r="H395" s="273"/>
      <c r="I395" s="435"/>
      <c r="J395" s="273"/>
    </row>
    <row r="396" spans="1:12" ht="34.9" customHeight="1" x14ac:dyDescent="0.2">
      <c r="A396" s="295" t="s">
        <v>348</v>
      </c>
      <c r="B396" s="392" t="s">
        <v>271</v>
      </c>
      <c r="C396" s="441" t="s">
        <v>272</v>
      </c>
      <c r="D396" s="128">
        <f>SUM(D398+D404+D405)</f>
        <v>2452.1999999999998</v>
      </c>
      <c r="E396" s="189">
        <f>SUM(E398+E404+E405+E406)</f>
        <v>4213.7</v>
      </c>
      <c r="F396" s="128">
        <f>SUM(F398+F404+F405+F406)</f>
        <v>4313.3999999999996</v>
      </c>
      <c r="G396" s="190"/>
      <c r="I396" s="435"/>
    </row>
    <row r="397" spans="1:12" ht="15.6" customHeight="1" x14ac:dyDescent="0.2">
      <c r="A397" s="133"/>
      <c r="B397" s="320" t="s">
        <v>321</v>
      </c>
      <c r="C397" s="442"/>
      <c r="D397" s="133"/>
      <c r="E397" s="137"/>
      <c r="F397" s="137"/>
      <c r="G397" s="190"/>
      <c r="I397" s="435"/>
    </row>
    <row r="398" spans="1:12" ht="15.6" customHeight="1" x14ac:dyDescent="0.2">
      <c r="A398" s="134" t="s">
        <v>469</v>
      </c>
      <c r="B398" s="349" t="s">
        <v>323</v>
      </c>
      <c r="C398" s="441"/>
      <c r="D398" s="134">
        <f>200+70+25+5+50+224.8+83.1+200+110+65+4.5+58.8+130+30+12+154.6+159+32.4+35+3</f>
        <v>1652.2</v>
      </c>
      <c r="E398" s="134">
        <f>200+70+50+50+300+1518+387.5+50+135+70+4.5+65+100+5+150+259+24.7+15+5</f>
        <v>3458.7</v>
      </c>
      <c r="F398" s="134">
        <f>200+70+50+50+300+1896.2+75+4.5+65+300+5+150+150+22.7+5</f>
        <v>3343.3999999999996</v>
      </c>
      <c r="G398" s="190"/>
      <c r="I398" s="435"/>
    </row>
    <row r="399" spans="1:12" ht="15.6" customHeight="1" x14ac:dyDescent="0.2">
      <c r="A399" s="133"/>
      <c r="B399" s="320" t="s">
        <v>129</v>
      </c>
      <c r="C399" s="442"/>
      <c r="D399" s="133"/>
      <c r="E399" s="133"/>
      <c r="F399" s="133"/>
      <c r="G399" s="190"/>
      <c r="I399" s="435"/>
    </row>
    <row r="400" spans="1:12" ht="15.6" customHeight="1" x14ac:dyDescent="0.2">
      <c r="A400" s="134" t="s">
        <v>472</v>
      </c>
      <c r="B400" s="256" t="s">
        <v>327</v>
      </c>
      <c r="C400" s="542"/>
      <c r="D400" s="134">
        <v>25</v>
      </c>
      <c r="E400" s="134"/>
      <c r="F400" s="134"/>
      <c r="G400" s="190"/>
    </row>
    <row r="401" spans="1:9" ht="15.6" customHeight="1" x14ac:dyDescent="0.2">
      <c r="A401" s="133" t="s">
        <v>473</v>
      </c>
      <c r="B401" s="256" t="s">
        <v>330</v>
      </c>
      <c r="C401" s="441"/>
      <c r="D401" s="134">
        <v>30</v>
      </c>
      <c r="E401" s="134">
        <v>15</v>
      </c>
      <c r="F401" s="134"/>
      <c r="G401" s="190"/>
    </row>
    <row r="402" spans="1:9" ht="15.6" customHeight="1" x14ac:dyDescent="0.2">
      <c r="A402" s="127" t="s">
        <v>476</v>
      </c>
      <c r="B402" s="320" t="s">
        <v>332</v>
      </c>
      <c r="C402" s="542"/>
      <c r="D402" s="133">
        <f>5+12</f>
        <v>17</v>
      </c>
      <c r="E402" s="133"/>
      <c r="F402" s="133"/>
      <c r="G402" s="190"/>
      <c r="I402" s="435"/>
    </row>
    <row r="403" spans="1:9" ht="15.6" customHeight="1" x14ac:dyDescent="0.2">
      <c r="A403" s="127" t="s">
        <v>601</v>
      </c>
      <c r="B403" s="242" t="s">
        <v>333</v>
      </c>
      <c r="C403" s="442"/>
      <c r="D403" s="127">
        <v>3</v>
      </c>
      <c r="E403" s="127"/>
      <c r="F403" s="127"/>
      <c r="G403" s="190"/>
      <c r="I403" s="435"/>
    </row>
    <row r="404" spans="1:9" ht="15.6" customHeight="1" x14ac:dyDescent="0.2">
      <c r="A404" s="127" t="s">
        <v>562</v>
      </c>
      <c r="B404" s="356" t="s">
        <v>367</v>
      </c>
      <c r="C404" s="543"/>
      <c r="D404" s="127">
        <v>800</v>
      </c>
      <c r="E404" s="127"/>
      <c r="F404" s="127"/>
      <c r="G404" s="190"/>
      <c r="I404" s="435"/>
    </row>
    <row r="405" spans="1:9" ht="46.9" customHeight="1" x14ac:dyDescent="0.2">
      <c r="A405" s="127" t="s">
        <v>563</v>
      </c>
      <c r="B405" s="417" t="s">
        <v>280</v>
      </c>
      <c r="C405" s="543"/>
      <c r="D405" s="134"/>
      <c r="E405" s="127">
        <v>755</v>
      </c>
      <c r="F405" s="134">
        <v>470</v>
      </c>
      <c r="G405" s="190"/>
      <c r="I405" s="435"/>
    </row>
    <row r="406" spans="1:9" ht="23.25" customHeight="1" x14ac:dyDescent="0.2">
      <c r="A406" s="134" t="s">
        <v>656</v>
      </c>
      <c r="B406" s="443" t="s">
        <v>372</v>
      </c>
      <c r="C406" s="542"/>
      <c r="D406" s="133"/>
      <c r="E406" s="134"/>
      <c r="F406" s="133">
        <v>500</v>
      </c>
      <c r="G406" s="190"/>
      <c r="I406" s="435"/>
    </row>
    <row r="407" spans="1:9" ht="15.6" customHeight="1" x14ac:dyDescent="0.2">
      <c r="A407" s="444" t="s">
        <v>349</v>
      </c>
      <c r="B407" s="445" t="s">
        <v>300</v>
      </c>
      <c r="C407" s="441"/>
      <c r="D407" s="128">
        <f>SUM(D409:D410)</f>
        <v>3501.3999999999996</v>
      </c>
      <c r="E407" s="128">
        <f>SUM(E409:E410)</f>
        <v>2106.1999999999998</v>
      </c>
      <c r="F407" s="128">
        <f>SUM(F409:F410)</f>
        <v>2081.1999999999998</v>
      </c>
      <c r="G407" s="190"/>
      <c r="I407" s="435"/>
    </row>
    <row r="408" spans="1:9" ht="15.6" customHeight="1" x14ac:dyDescent="0.2">
      <c r="A408" s="446"/>
      <c r="B408" s="320" t="s">
        <v>321</v>
      </c>
      <c r="C408" s="442"/>
      <c r="D408" s="133"/>
      <c r="E408" s="137"/>
      <c r="F408" s="137"/>
      <c r="G408" s="190"/>
      <c r="I408" s="435"/>
    </row>
    <row r="409" spans="1:9" ht="15.6" customHeight="1" x14ac:dyDescent="0.2">
      <c r="A409" s="444" t="s">
        <v>470</v>
      </c>
      <c r="B409" s="349" t="s">
        <v>323</v>
      </c>
      <c r="C409" s="441" t="s">
        <v>272</v>
      </c>
      <c r="D409" s="134">
        <f>1280+20+387.2+1272</f>
        <v>2959.2</v>
      </c>
      <c r="E409" s="134">
        <f>1330+20+100+75</f>
        <v>1525</v>
      </c>
      <c r="F409" s="134">
        <f>1380+20+100</f>
        <v>1500</v>
      </c>
      <c r="G409" s="190"/>
      <c r="I409" s="435"/>
    </row>
    <row r="410" spans="1:9" ht="15.6" customHeight="1" x14ac:dyDescent="0.2">
      <c r="A410" s="447" t="s">
        <v>471</v>
      </c>
      <c r="B410" s="356" t="s">
        <v>323</v>
      </c>
      <c r="C410" s="442" t="s">
        <v>131</v>
      </c>
      <c r="D410" s="134">
        <f>494+48.2</f>
        <v>542.20000000000005</v>
      </c>
      <c r="E410" s="133">
        <f>531+50.2</f>
        <v>581.20000000000005</v>
      </c>
      <c r="F410" s="133">
        <f>531+50.2</f>
        <v>581.20000000000005</v>
      </c>
      <c r="G410" s="190"/>
      <c r="I410" s="435"/>
    </row>
    <row r="411" spans="1:9" ht="33" customHeight="1" x14ac:dyDescent="0.2">
      <c r="A411" s="448" t="s">
        <v>350</v>
      </c>
      <c r="B411" s="310" t="s">
        <v>232</v>
      </c>
      <c r="C411" s="544"/>
      <c r="D411" s="137">
        <f>D413+D449+D453+D454+D467+D468+D469+D470+D475+D478+D483+D484</f>
        <v>23931.017000000003</v>
      </c>
      <c r="E411" s="128">
        <f t="shared" ref="E411:F411" si="90">E413+E449+E453+E454+E467+E468+E469+E470+E475+E478+E483+E484</f>
        <v>22502.098000000002</v>
      </c>
      <c r="F411" s="128">
        <f t="shared" si="90"/>
        <v>22884.497999999996</v>
      </c>
      <c r="G411" s="190"/>
      <c r="I411" s="435"/>
    </row>
    <row r="412" spans="1:9" ht="15.75" customHeight="1" x14ac:dyDescent="0.2">
      <c r="A412" s="450"/>
      <c r="B412" s="256" t="s">
        <v>321</v>
      </c>
      <c r="C412" s="451"/>
      <c r="D412" s="134"/>
      <c r="E412" s="128"/>
      <c r="F412" s="128"/>
      <c r="G412" s="190"/>
      <c r="I412" s="435"/>
    </row>
    <row r="413" spans="1:9" ht="15.75" customHeight="1" x14ac:dyDescent="0.2">
      <c r="A413" s="452" t="s">
        <v>480</v>
      </c>
      <c r="B413" s="195"/>
      <c r="C413" s="427" t="s">
        <v>233</v>
      </c>
      <c r="D413" s="133">
        <f>D415+D416</f>
        <v>14668.505999999999</v>
      </c>
      <c r="E413" s="133">
        <f t="shared" ref="E413:F413" si="91">E415+E416</f>
        <v>12330.005999999999</v>
      </c>
      <c r="F413" s="133">
        <f t="shared" si="91"/>
        <v>12446.105999999996</v>
      </c>
      <c r="G413" s="190"/>
      <c r="I413" s="435"/>
    </row>
    <row r="414" spans="1:9" ht="15.75" customHeight="1" x14ac:dyDescent="0.2">
      <c r="A414" s="450"/>
      <c r="B414" s="256" t="s">
        <v>129</v>
      </c>
      <c r="C414" s="451"/>
      <c r="D414" s="134"/>
      <c r="E414" s="134"/>
      <c r="F414" s="134"/>
      <c r="G414" s="190"/>
      <c r="I414" s="435"/>
    </row>
    <row r="415" spans="1:9" ht="15.75" customHeight="1" x14ac:dyDescent="0.2">
      <c r="A415" s="452" t="s">
        <v>481</v>
      </c>
      <c r="B415" s="356" t="s">
        <v>337</v>
      </c>
      <c r="C415" s="449"/>
      <c r="D415" s="308">
        <f>279.7+278.9+58.2+442.3</f>
        <v>1059.0999999999999</v>
      </c>
      <c r="E415" s="133">
        <v>1134.0999999999999</v>
      </c>
      <c r="F415" s="133">
        <v>1212.4000000000001</v>
      </c>
      <c r="G415" s="190"/>
      <c r="I415" s="435"/>
    </row>
    <row r="416" spans="1:9" ht="15.75" customHeight="1" x14ac:dyDescent="0.2">
      <c r="A416" s="444" t="s">
        <v>482</v>
      </c>
      <c r="B416" s="349" t="s">
        <v>338</v>
      </c>
      <c r="C416" s="451"/>
      <c r="D416" s="134">
        <f>D418+D431+D441+D446+D447+D448</f>
        <v>13609.405999999999</v>
      </c>
      <c r="E416" s="215">
        <f>E418+E431+E441+E446+E447+E448</f>
        <v>11195.905999999999</v>
      </c>
      <c r="F416" s="215">
        <f>F418+F431+F441+F446+F447+F448</f>
        <v>11233.705999999996</v>
      </c>
      <c r="G416" s="190"/>
      <c r="I416" s="435"/>
    </row>
    <row r="417" spans="1:9" ht="15.75" customHeight="1" x14ac:dyDescent="0.2">
      <c r="A417" s="446"/>
      <c r="B417" s="320" t="s">
        <v>321</v>
      </c>
      <c r="C417" s="449"/>
      <c r="D417" s="133"/>
      <c r="E417" s="133"/>
      <c r="F417" s="133"/>
      <c r="G417" s="190"/>
      <c r="I417" s="435"/>
    </row>
    <row r="418" spans="1:9" ht="15.75" customHeight="1" x14ac:dyDescent="0.2">
      <c r="A418" s="444" t="s">
        <v>483</v>
      </c>
      <c r="B418" s="349" t="s">
        <v>323</v>
      </c>
      <c r="C418" s="451"/>
      <c r="D418" s="134">
        <f>6584.1+1964.1+300+46.4+41.4+116.9+50.5+46.6+160+44+46.8+3+348+574+50+100+75.3+50+33+70</f>
        <v>10704.099999999999</v>
      </c>
      <c r="E418" s="134">
        <f>7000.1+2105+250+60+46+131.9+61.7+51.2+160+44+46.8+3+100+50+100+75.3+50+100+84+50</f>
        <v>10569</v>
      </c>
      <c r="F418" s="134">
        <f>7354.2+2260.8+250+66.8+50.9+146.9+72.9+55.7+160+44+46.8+3+100+50+100+75.3+50+64.8</f>
        <v>10952.099999999997</v>
      </c>
      <c r="G418" s="190"/>
      <c r="I418" s="435"/>
    </row>
    <row r="419" spans="1:9" ht="15.75" customHeight="1" x14ac:dyDescent="0.2">
      <c r="A419" s="446"/>
      <c r="B419" s="320" t="s">
        <v>129</v>
      </c>
      <c r="C419" s="449"/>
      <c r="D419" s="133"/>
      <c r="E419" s="133"/>
      <c r="F419" s="133"/>
      <c r="G419" s="190"/>
      <c r="I419" s="435"/>
    </row>
    <row r="420" spans="1:9" ht="15.75" customHeight="1" x14ac:dyDescent="0.2">
      <c r="A420" s="444" t="s">
        <v>484</v>
      </c>
      <c r="B420" s="256" t="s">
        <v>324</v>
      </c>
      <c r="C420" s="451"/>
      <c r="D420" s="134">
        <v>179.8</v>
      </c>
      <c r="E420" s="134">
        <v>177.1</v>
      </c>
      <c r="F420" s="134">
        <v>189.4</v>
      </c>
      <c r="G420" s="190"/>
    </row>
    <row r="421" spans="1:9" ht="15.75" customHeight="1" x14ac:dyDescent="0.2">
      <c r="A421" s="452" t="s">
        <v>485</v>
      </c>
      <c r="B421" s="320" t="s">
        <v>325</v>
      </c>
      <c r="C421" s="449"/>
      <c r="D421" s="133">
        <v>208.2</v>
      </c>
      <c r="E421" s="133">
        <v>225.1</v>
      </c>
      <c r="F421" s="133">
        <v>242</v>
      </c>
      <c r="G421" s="190"/>
    </row>
    <row r="422" spans="1:9" ht="15.75" customHeight="1" x14ac:dyDescent="0.2">
      <c r="A422" s="444" t="s">
        <v>486</v>
      </c>
      <c r="B422" s="256" t="s">
        <v>320</v>
      </c>
      <c r="C422" s="451"/>
      <c r="D422" s="134">
        <f>197.6+70</f>
        <v>267.60000000000002</v>
      </c>
      <c r="E422" s="134">
        <v>213.6</v>
      </c>
      <c r="F422" s="134">
        <v>229.6</v>
      </c>
      <c r="G422" s="190"/>
      <c r="I422" s="435"/>
    </row>
    <row r="423" spans="1:9" ht="15.75" customHeight="1" x14ac:dyDescent="0.2">
      <c r="A423" s="452" t="s">
        <v>487</v>
      </c>
      <c r="B423" s="320" t="s">
        <v>326</v>
      </c>
      <c r="C423" s="449"/>
      <c r="D423" s="133">
        <v>144.69999999999999</v>
      </c>
      <c r="E423" s="133">
        <v>156.9</v>
      </c>
      <c r="F423" s="133">
        <v>169.1</v>
      </c>
      <c r="G423" s="190"/>
      <c r="I423" s="435"/>
    </row>
    <row r="424" spans="1:9" ht="15.75" customHeight="1" x14ac:dyDescent="0.2">
      <c r="A424" s="444" t="s">
        <v>488</v>
      </c>
      <c r="B424" s="256" t="s">
        <v>327</v>
      </c>
      <c r="C424" s="451"/>
      <c r="D424" s="134">
        <f>140.5+32.1</f>
        <v>172.6</v>
      </c>
      <c r="E424" s="134">
        <f>153.3+35.3</f>
        <v>188.60000000000002</v>
      </c>
      <c r="F424" s="134">
        <f>166.1+38.4</f>
        <v>204.5</v>
      </c>
      <c r="G424" s="190"/>
      <c r="H424" s="273"/>
      <c r="I424" s="435"/>
    </row>
    <row r="425" spans="1:9" ht="15.75" customHeight="1" x14ac:dyDescent="0.2">
      <c r="A425" s="452" t="s">
        <v>489</v>
      </c>
      <c r="B425" s="320" t="s">
        <v>328</v>
      </c>
      <c r="C425" s="449"/>
      <c r="D425" s="133">
        <v>128.30000000000001</v>
      </c>
      <c r="E425" s="133">
        <f>138+50</f>
        <v>188</v>
      </c>
      <c r="F425" s="133">
        <v>147.6</v>
      </c>
      <c r="G425" s="190"/>
      <c r="I425" s="435"/>
    </row>
    <row r="426" spans="1:9" ht="15.75" customHeight="1" x14ac:dyDescent="0.2">
      <c r="A426" s="444" t="s">
        <v>490</v>
      </c>
      <c r="B426" s="256" t="s">
        <v>329</v>
      </c>
      <c r="C426" s="451"/>
      <c r="D426" s="134">
        <v>152.5</v>
      </c>
      <c r="E426" s="134">
        <v>164.2</v>
      </c>
      <c r="F426" s="134">
        <v>175.9</v>
      </c>
      <c r="G426" s="190"/>
      <c r="I426" s="435"/>
    </row>
    <row r="427" spans="1:9" ht="15.75" customHeight="1" x14ac:dyDescent="0.2">
      <c r="A427" s="452" t="s">
        <v>491</v>
      </c>
      <c r="B427" s="320" t="s">
        <v>330</v>
      </c>
      <c r="C427" s="453"/>
      <c r="D427" s="133">
        <f>191.8+14.5</f>
        <v>206.3</v>
      </c>
      <c r="E427" s="133">
        <f>206+15.9</f>
        <v>221.9</v>
      </c>
      <c r="F427" s="133">
        <f>220.1+17.3</f>
        <v>237.4</v>
      </c>
      <c r="G427" s="190"/>
      <c r="I427" s="435"/>
    </row>
    <row r="428" spans="1:9" ht="15.75" customHeight="1" x14ac:dyDescent="0.2">
      <c r="A428" s="444" t="s">
        <v>492</v>
      </c>
      <c r="B428" s="256" t="s">
        <v>331</v>
      </c>
      <c r="C428" s="454"/>
      <c r="D428" s="134">
        <v>251.9</v>
      </c>
      <c r="E428" s="134">
        <v>271.89999999999998</v>
      </c>
      <c r="F428" s="134">
        <v>291.89999999999998</v>
      </c>
      <c r="G428" s="190"/>
      <c r="I428" s="435"/>
    </row>
    <row r="429" spans="1:9" ht="15.75" customHeight="1" x14ac:dyDescent="0.2">
      <c r="A429" s="452" t="s">
        <v>493</v>
      </c>
      <c r="B429" s="320" t="s">
        <v>332</v>
      </c>
      <c r="C429" s="453"/>
      <c r="D429" s="133">
        <v>171.8</v>
      </c>
      <c r="E429" s="133">
        <v>186.1</v>
      </c>
      <c r="F429" s="133">
        <v>200.4</v>
      </c>
      <c r="G429" s="190"/>
      <c r="I429" s="435"/>
    </row>
    <row r="430" spans="1:9" ht="15.75" customHeight="1" x14ac:dyDescent="0.2">
      <c r="A430" s="444" t="s">
        <v>494</v>
      </c>
      <c r="B430" s="256" t="s">
        <v>333</v>
      </c>
      <c r="C430" s="454"/>
      <c r="D430" s="134">
        <v>197</v>
      </c>
      <c r="E430" s="134">
        <v>212.8</v>
      </c>
      <c r="F430" s="134">
        <v>228.7</v>
      </c>
      <c r="G430" s="190"/>
      <c r="H430" s="273"/>
      <c r="I430" s="435"/>
    </row>
    <row r="431" spans="1:9" ht="15.75" customHeight="1" x14ac:dyDescent="0.2">
      <c r="A431" s="452" t="s">
        <v>495</v>
      </c>
      <c r="B431" s="356" t="s">
        <v>659</v>
      </c>
      <c r="C431" s="455"/>
      <c r="D431" s="133">
        <f>1.23+24.7+22.9+9+35.9+66.456+5.92+0.7+7.4</f>
        <v>174.20599999999996</v>
      </c>
      <c r="E431" s="133">
        <f>1.23+24.7+22.9+9+35.9+66.456+5.92+0.7+7.4</f>
        <v>174.20599999999996</v>
      </c>
      <c r="F431" s="133">
        <f>1.23+24.7+22.9+9+35.9+66.456+5.92+0.7+7.4</f>
        <v>174.20599999999996</v>
      </c>
      <c r="G431" s="190"/>
    </row>
    <row r="432" spans="1:9" ht="15.75" customHeight="1" x14ac:dyDescent="0.2">
      <c r="A432" s="450"/>
      <c r="B432" s="256" t="s">
        <v>129</v>
      </c>
      <c r="C432" s="456"/>
      <c r="D432" s="134"/>
      <c r="E432" s="134"/>
      <c r="F432" s="134"/>
      <c r="G432" s="190"/>
    </row>
    <row r="433" spans="1:12" ht="15.75" customHeight="1" x14ac:dyDescent="0.2">
      <c r="A433" s="452" t="s">
        <v>496</v>
      </c>
      <c r="B433" s="320" t="s">
        <v>324</v>
      </c>
      <c r="C433" s="455"/>
      <c r="D433" s="133">
        <v>0.2</v>
      </c>
      <c r="E433" s="133">
        <v>0.2</v>
      </c>
      <c r="F433" s="133">
        <v>0.2</v>
      </c>
      <c r="G433" s="190"/>
      <c r="I433" s="435"/>
    </row>
    <row r="434" spans="1:12" ht="15.75" customHeight="1" x14ac:dyDescent="0.2">
      <c r="A434" s="444" t="s">
        <v>497</v>
      </c>
      <c r="B434" s="256" t="s">
        <v>325</v>
      </c>
      <c r="C434" s="456"/>
      <c r="D434" s="134">
        <v>2.8</v>
      </c>
      <c r="E434" s="134">
        <v>2.8</v>
      </c>
      <c r="F434" s="134">
        <v>2.8</v>
      </c>
      <c r="G434" s="190"/>
      <c r="I434" s="435"/>
    </row>
    <row r="435" spans="1:12" ht="15.75" customHeight="1" x14ac:dyDescent="0.2">
      <c r="A435" s="452" t="s">
        <v>498</v>
      </c>
      <c r="B435" s="320" t="s">
        <v>326</v>
      </c>
      <c r="C435" s="425"/>
      <c r="D435" s="133">
        <v>0.1</v>
      </c>
      <c r="E435" s="133">
        <v>0.1</v>
      </c>
      <c r="F435" s="133">
        <v>0.1</v>
      </c>
      <c r="G435" s="190"/>
      <c r="I435" s="435"/>
    </row>
    <row r="436" spans="1:12" ht="15.75" customHeight="1" x14ac:dyDescent="0.2">
      <c r="A436" s="444" t="s">
        <v>499</v>
      </c>
      <c r="B436" s="256" t="s">
        <v>328</v>
      </c>
      <c r="C436" s="426"/>
      <c r="D436" s="134">
        <v>0.1</v>
      </c>
      <c r="E436" s="134">
        <v>0.1</v>
      </c>
      <c r="F436" s="134">
        <v>0.1</v>
      </c>
      <c r="G436" s="190"/>
      <c r="H436" s="273"/>
      <c r="I436" s="435"/>
    </row>
    <row r="437" spans="1:12" ht="15.75" customHeight="1" x14ac:dyDescent="0.2">
      <c r="A437" s="452" t="s">
        <v>500</v>
      </c>
      <c r="B437" s="320" t="s">
        <v>329</v>
      </c>
      <c r="C437" s="425"/>
      <c r="D437" s="134">
        <v>1.7</v>
      </c>
      <c r="E437" s="134">
        <v>1.7</v>
      </c>
      <c r="F437" s="134">
        <v>1.7</v>
      </c>
      <c r="G437" s="190"/>
      <c r="I437" s="435"/>
    </row>
    <row r="438" spans="1:12" ht="15.75" customHeight="1" x14ac:dyDescent="0.2">
      <c r="A438" s="444" t="s">
        <v>501</v>
      </c>
      <c r="B438" s="256" t="s">
        <v>331</v>
      </c>
      <c r="C438" s="426"/>
      <c r="D438" s="134">
        <v>1.5</v>
      </c>
      <c r="E438" s="134">
        <v>1.5</v>
      </c>
      <c r="F438" s="134">
        <v>1.5</v>
      </c>
      <c r="G438" s="190"/>
      <c r="I438" s="435"/>
    </row>
    <row r="439" spans="1:12" ht="15.75" customHeight="1" x14ac:dyDescent="0.2">
      <c r="A439" s="452" t="s">
        <v>502</v>
      </c>
      <c r="B439" s="320" t="s">
        <v>332</v>
      </c>
      <c r="C439" s="425"/>
      <c r="D439" s="133">
        <v>0.4</v>
      </c>
      <c r="E439" s="133">
        <v>0.4</v>
      </c>
      <c r="F439" s="133">
        <v>0.4</v>
      </c>
      <c r="G439" s="190"/>
      <c r="I439" s="435"/>
    </row>
    <row r="440" spans="1:12" ht="15.75" customHeight="1" x14ac:dyDescent="0.2">
      <c r="A440" s="444" t="s">
        <v>503</v>
      </c>
      <c r="B440" s="256" t="s">
        <v>333</v>
      </c>
      <c r="C440" s="426"/>
      <c r="D440" s="134">
        <v>0.6</v>
      </c>
      <c r="E440" s="134">
        <v>0.6</v>
      </c>
      <c r="F440" s="134">
        <v>0.6</v>
      </c>
      <c r="G440" s="190"/>
      <c r="H440" s="273"/>
      <c r="I440" s="435"/>
    </row>
    <row r="441" spans="1:12" ht="15.75" customHeight="1" x14ac:dyDescent="0.2">
      <c r="A441" s="452" t="s">
        <v>504</v>
      </c>
      <c r="B441" s="356" t="s">
        <v>135</v>
      </c>
      <c r="C441" s="449"/>
      <c r="D441" s="133">
        <f>12.1+2.3+93</f>
        <v>107.4</v>
      </c>
      <c r="E441" s="133">
        <f t="shared" ref="E441:F441" si="92">12.1+2.3+93</f>
        <v>107.4</v>
      </c>
      <c r="F441" s="133">
        <f t="shared" si="92"/>
        <v>107.4</v>
      </c>
      <c r="G441" s="190"/>
      <c r="I441" s="435"/>
      <c r="J441" s="439"/>
      <c r="K441" s="439"/>
      <c r="L441" s="439"/>
    </row>
    <row r="442" spans="1:12" ht="15.75" customHeight="1" x14ac:dyDescent="0.2">
      <c r="A442" s="450"/>
      <c r="B442" s="256" t="s">
        <v>129</v>
      </c>
      <c r="C442" s="451"/>
      <c r="D442" s="134"/>
      <c r="E442" s="134"/>
      <c r="F442" s="134"/>
      <c r="G442" s="190"/>
    </row>
    <row r="443" spans="1:12" ht="15.75" customHeight="1" x14ac:dyDescent="0.2">
      <c r="A443" s="452" t="s">
        <v>505</v>
      </c>
      <c r="B443" s="320" t="s">
        <v>328</v>
      </c>
      <c r="C443" s="449"/>
      <c r="D443" s="133">
        <v>0.3</v>
      </c>
      <c r="E443" s="133">
        <v>0.3</v>
      </c>
      <c r="F443" s="133">
        <v>0.3</v>
      </c>
      <c r="G443" s="190"/>
    </row>
    <row r="444" spans="1:12" ht="15.75" customHeight="1" x14ac:dyDescent="0.2">
      <c r="A444" s="457" t="s">
        <v>570</v>
      </c>
      <c r="B444" s="458" t="s">
        <v>331</v>
      </c>
      <c r="C444" s="451"/>
      <c r="D444" s="134">
        <v>1.3</v>
      </c>
      <c r="E444" s="134">
        <v>1.3</v>
      </c>
      <c r="F444" s="134">
        <v>1.3</v>
      </c>
      <c r="G444" s="190"/>
    </row>
    <row r="445" spans="1:12" ht="15.75" customHeight="1" x14ac:dyDescent="0.2">
      <c r="A445" s="452" t="s">
        <v>506</v>
      </c>
      <c r="B445" s="320" t="s">
        <v>332</v>
      </c>
      <c r="C445" s="449"/>
      <c r="D445" s="133">
        <v>0.7</v>
      </c>
      <c r="E445" s="133">
        <v>0.7</v>
      </c>
      <c r="F445" s="133">
        <v>0.7</v>
      </c>
      <c r="G445" s="190"/>
      <c r="H445" s="273"/>
      <c r="I445" s="435"/>
    </row>
    <row r="446" spans="1:12" ht="47.25" customHeight="1" x14ac:dyDescent="0.2">
      <c r="A446" s="459" t="s">
        <v>507</v>
      </c>
      <c r="B446" s="460" t="s">
        <v>280</v>
      </c>
      <c r="C446" s="461"/>
      <c r="D446" s="526">
        <f>1777.9+45.8</f>
        <v>1823.7</v>
      </c>
      <c r="E446" s="462">
        <f>195.3+150</f>
        <v>345.3</v>
      </c>
      <c r="F446" s="507"/>
      <c r="G446" s="190"/>
      <c r="H446" s="273"/>
      <c r="I446" s="435"/>
    </row>
    <row r="447" spans="1:12" ht="15.6" customHeight="1" x14ac:dyDescent="0.2">
      <c r="A447" s="463" t="s">
        <v>556</v>
      </c>
      <c r="B447" s="464" t="s">
        <v>557</v>
      </c>
      <c r="C447" s="465"/>
      <c r="D447" s="375">
        <v>200</v>
      </c>
      <c r="E447" s="437"/>
      <c r="F447" s="437"/>
      <c r="G447" s="190"/>
      <c r="H447" s="273"/>
      <c r="I447" s="435"/>
    </row>
    <row r="448" spans="1:12" ht="15.6" customHeight="1" x14ac:dyDescent="0.2">
      <c r="A448" s="447" t="s">
        <v>564</v>
      </c>
      <c r="B448" s="356" t="s">
        <v>367</v>
      </c>
      <c r="C448" s="449"/>
      <c r="D448" s="133">
        <v>600</v>
      </c>
      <c r="E448" s="38"/>
      <c r="F448" s="38"/>
      <c r="G448" s="190"/>
      <c r="H448" s="273"/>
      <c r="I448" s="435"/>
    </row>
    <row r="449" spans="1:11" ht="15.75" customHeight="1" x14ac:dyDescent="0.2">
      <c r="A449" s="444" t="s">
        <v>508</v>
      </c>
      <c r="B449" s="428"/>
      <c r="C449" s="428" t="s">
        <v>339</v>
      </c>
      <c r="D449" s="134">
        <f>D451+D452</f>
        <v>268.7</v>
      </c>
      <c r="E449" s="134">
        <f t="shared" ref="E449:F449" si="93">E451+E452</f>
        <v>237.1</v>
      </c>
      <c r="F449" s="134">
        <f t="shared" si="93"/>
        <v>251.6</v>
      </c>
      <c r="G449" s="190"/>
      <c r="I449" s="435"/>
    </row>
    <row r="450" spans="1:11" ht="15.75" customHeight="1" x14ac:dyDescent="0.2">
      <c r="A450" s="452"/>
      <c r="B450" s="320" t="s">
        <v>129</v>
      </c>
      <c r="C450" s="427"/>
      <c r="D450" s="133"/>
      <c r="E450" s="38"/>
      <c r="F450" s="38"/>
      <c r="G450" s="190"/>
      <c r="I450" s="435"/>
    </row>
    <row r="451" spans="1:11" ht="15.75" customHeight="1" x14ac:dyDescent="0.2">
      <c r="A451" s="444" t="s">
        <v>509</v>
      </c>
      <c r="B451" s="349" t="s">
        <v>658</v>
      </c>
      <c r="C451" s="451"/>
      <c r="D451" s="134">
        <f>85.9+85.1</f>
        <v>171</v>
      </c>
      <c r="E451" s="134">
        <f t="shared" ref="E451:F451" si="94">85.9+85.1</f>
        <v>171</v>
      </c>
      <c r="F451" s="134">
        <f t="shared" si="94"/>
        <v>171</v>
      </c>
      <c r="G451" s="190"/>
      <c r="I451" s="435"/>
    </row>
    <row r="452" spans="1:11" ht="15.6" customHeight="1" x14ac:dyDescent="0.2">
      <c r="A452" s="452" t="s">
        <v>510</v>
      </c>
      <c r="B452" s="356" t="s">
        <v>323</v>
      </c>
      <c r="C452" s="449"/>
      <c r="D452" s="133">
        <f>27.6+70.1</f>
        <v>97.699999999999989</v>
      </c>
      <c r="E452" s="38">
        <f>22.2+43.9</f>
        <v>66.099999999999994</v>
      </c>
      <c r="F452" s="38">
        <f>26.7+53.9</f>
        <v>80.599999999999994</v>
      </c>
      <c r="G452" s="190"/>
      <c r="I452" s="435"/>
    </row>
    <row r="453" spans="1:11" ht="15.6" customHeight="1" x14ac:dyDescent="0.2">
      <c r="A453" s="444" t="s">
        <v>511</v>
      </c>
      <c r="B453" s="349" t="s">
        <v>323</v>
      </c>
      <c r="C453" s="429" t="s">
        <v>306</v>
      </c>
      <c r="D453" s="134">
        <v>150</v>
      </c>
      <c r="E453" s="134">
        <v>161</v>
      </c>
      <c r="F453" s="134">
        <v>161</v>
      </c>
      <c r="G453" s="190"/>
    </row>
    <row r="454" spans="1:11" ht="15.6" customHeight="1" x14ac:dyDescent="0.2">
      <c r="A454" s="452" t="s">
        <v>512</v>
      </c>
      <c r="B454" s="356"/>
      <c r="C454" s="427" t="s">
        <v>244</v>
      </c>
      <c r="D454" s="133">
        <f t="shared" ref="D454:F454" si="95">D456+D457+D466</f>
        <v>3001.8920000000003</v>
      </c>
      <c r="E454" s="265">
        <f t="shared" si="95"/>
        <v>3265.4920000000002</v>
      </c>
      <c r="F454" s="265">
        <f t="shared" si="95"/>
        <v>3534.0920000000001</v>
      </c>
      <c r="G454" s="190"/>
    </row>
    <row r="455" spans="1:11" ht="15.6" customHeight="1" x14ac:dyDescent="0.2">
      <c r="A455" s="450"/>
      <c r="B455" s="256" t="s">
        <v>129</v>
      </c>
      <c r="C455" s="428"/>
      <c r="D455" s="134"/>
      <c r="E455" s="134"/>
      <c r="F455" s="134"/>
      <c r="G455" s="190"/>
      <c r="I455" s="435"/>
    </row>
    <row r="456" spans="1:11" ht="15.6" customHeight="1" x14ac:dyDescent="0.2">
      <c r="A456" s="452" t="s">
        <v>513</v>
      </c>
      <c r="B456" s="356" t="s">
        <v>323</v>
      </c>
      <c r="C456" s="466"/>
      <c r="D456" s="133">
        <f>2073.5+257+237.4+42+50+16</f>
        <v>2675.9</v>
      </c>
      <c r="E456" s="133">
        <f>2278.5+288.6+269.4+42+50+16</f>
        <v>2944.5</v>
      </c>
      <c r="F456" s="133">
        <f>2483.6+320.2+301.3+42+50+16</f>
        <v>3213.1</v>
      </c>
      <c r="G456" s="190"/>
      <c r="I456" s="435"/>
    </row>
    <row r="457" spans="1:11" ht="15.6" customHeight="1" x14ac:dyDescent="0.2">
      <c r="A457" s="444" t="s">
        <v>514</v>
      </c>
      <c r="B457" s="349" t="s">
        <v>658</v>
      </c>
      <c r="C457" s="467"/>
      <c r="D457" s="134">
        <f>233.5+87.492</f>
        <v>320.99200000000002</v>
      </c>
      <c r="E457" s="134">
        <f t="shared" ref="E457:F457" si="96">233.5+87.492</f>
        <v>320.99200000000002</v>
      </c>
      <c r="F457" s="134">
        <f t="shared" si="96"/>
        <v>320.99200000000002</v>
      </c>
      <c r="G457" s="190"/>
      <c r="I457" s="435"/>
    </row>
    <row r="458" spans="1:11" ht="12.75" customHeight="1" x14ac:dyDescent="0.2">
      <c r="A458" s="446"/>
      <c r="B458" s="320" t="s">
        <v>129</v>
      </c>
      <c r="C458" s="466"/>
      <c r="D458" s="133"/>
      <c r="E458" s="133"/>
      <c r="F458" s="133"/>
      <c r="G458" s="190"/>
      <c r="I458" s="435"/>
    </row>
    <row r="459" spans="1:11" ht="12.75" customHeight="1" x14ac:dyDescent="0.2">
      <c r="A459" s="444" t="s">
        <v>515</v>
      </c>
      <c r="B459" s="256" t="s">
        <v>324</v>
      </c>
      <c r="C459" s="467"/>
      <c r="D459" s="134">
        <v>11.9</v>
      </c>
      <c r="E459" s="134">
        <v>11.9</v>
      </c>
      <c r="F459" s="134">
        <v>11.9</v>
      </c>
      <c r="G459" s="190"/>
      <c r="I459" s="435"/>
    </row>
    <row r="460" spans="1:11" ht="15.75" customHeight="1" x14ac:dyDescent="0.2">
      <c r="A460" s="452" t="s">
        <v>529</v>
      </c>
      <c r="B460" s="320" t="s">
        <v>320</v>
      </c>
      <c r="C460" s="466"/>
      <c r="D460" s="133">
        <v>25.5</v>
      </c>
      <c r="E460" s="133">
        <v>25.5</v>
      </c>
      <c r="F460" s="133">
        <v>25.5</v>
      </c>
      <c r="G460" s="190"/>
      <c r="I460" s="435"/>
    </row>
    <row r="461" spans="1:11" ht="15.75" customHeight="1" x14ac:dyDescent="0.2">
      <c r="A461" s="444" t="s">
        <v>516</v>
      </c>
      <c r="B461" s="256" t="s">
        <v>328</v>
      </c>
      <c r="C461" s="467"/>
      <c r="D461" s="134">
        <v>27.9</v>
      </c>
      <c r="E461" s="134">
        <v>27.9</v>
      </c>
      <c r="F461" s="134">
        <v>27.9</v>
      </c>
      <c r="G461" s="190"/>
      <c r="H461" s="273"/>
      <c r="I461" s="435"/>
      <c r="J461" s="273"/>
      <c r="K461" s="273"/>
    </row>
    <row r="462" spans="1:11" ht="15.75" customHeight="1" x14ac:dyDescent="0.2">
      <c r="A462" s="452" t="s">
        <v>517</v>
      </c>
      <c r="B462" s="320" t="s">
        <v>330</v>
      </c>
      <c r="C462" s="427"/>
      <c r="D462" s="133">
        <v>23.7</v>
      </c>
      <c r="E462" s="133">
        <v>23.7</v>
      </c>
      <c r="F462" s="133">
        <v>23.7</v>
      </c>
      <c r="G462" s="190"/>
      <c r="H462" s="273"/>
      <c r="I462" s="435"/>
    </row>
    <row r="463" spans="1:11" ht="15.75" customHeight="1" x14ac:dyDescent="0.2">
      <c r="A463" s="444" t="s">
        <v>518</v>
      </c>
      <c r="B463" s="256" t="s">
        <v>331</v>
      </c>
      <c r="C463" s="428"/>
      <c r="D463" s="134">
        <v>28.4</v>
      </c>
      <c r="E463" s="134">
        <v>28.4</v>
      </c>
      <c r="F463" s="134">
        <v>28.4</v>
      </c>
      <c r="G463" s="190"/>
      <c r="I463" s="435"/>
    </row>
    <row r="464" spans="1:11" ht="15.75" customHeight="1" x14ac:dyDescent="0.2">
      <c r="A464" s="452" t="s">
        <v>519</v>
      </c>
      <c r="B464" s="320" t="s">
        <v>332</v>
      </c>
      <c r="C464" s="427"/>
      <c r="D464" s="133">
        <v>24.2</v>
      </c>
      <c r="E464" s="133">
        <v>24.2</v>
      </c>
      <c r="F464" s="133">
        <v>24.2</v>
      </c>
      <c r="G464" s="190"/>
    </row>
    <row r="465" spans="1:13" ht="15.75" customHeight="1" x14ac:dyDescent="0.2">
      <c r="A465" s="444" t="s">
        <v>520</v>
      </c>
      <c r="B465" s="256" t="s">
        <v>333</v>
      </c>
      <c r="C465" s="428"/>
      <c r="D465" s="134">
        <v>25.2</v>
      </c>
      <c r="E465" s="134">
        <v>25.2</v>
      </c>
      <c r="F465" s="134">
        <v>25.2</v>
      </c>
      <c r="I465" s="273"/>
    </row>
    <row r="466" spans="1:13" ht="15.75" customHeight="1" x14ac:dyDescent="0.2">
      <c r="A466" s="452" t="s">
        <v>521</v>
      </c>
      <c r="B466" s="245" t="s">
        <v>555</v>
      </c>
      <c r="C466" s="427"/>
      <c r="D466" s="133">
        <v>5</v>
      </c>
      <c r="E466" s="133"/>
      <c r="F466" s="133"/>
    </row>
    <row r="467" spans="1:13" ht="15.75" customHeight="1" x14ac:dyDescent="0.2">
      <c r="A467" s="444" t="s">
        <v>522</v>
      </c>
      <c r="B467" s="356" t="s">
        <v>323</v>
      </c>
      <c r="C467" s="545" t="s">
        <v>311</v>
      </c>
      <c r="D467" s="127">
        <v>43.2</v>
      </c>
      <c r="E467" s="127">
        <v>47.5</v>
      </c>
      <c r="F467" s="134">
        <v>51.7</v>
      </c>
    </row>
    <row r="468" spans="1:13" ht="15.75" customHeight="1" x14ac:dyDescent="0.2">
      <c r="A468" s="452" t="s">
        <v>523</v>
      </c>
      <c r="B468" s="245" t="s">
        <v>323</v>
      </c>
      <c r="C468" s="541" t="s">
        <v>147</v>
      </c>
      <c r="D468" s="134">
        <f>60+20</f>
        <v>80</v>
      </c>
      <c r="E468" s="134">
        <f t="shared" ref="E468:F468" si="97">60+20</f>
        <v>80</v>
      </c>
      <c r="F468" s="133">
        <f t="shared" si="97"/>
        <v>80</v>
      </c>
      <c r="L468" s="190"/>
      <c r="M468" s="273"/>
    </row>
    <row r="469" spans="1:13" ht="15.75" customHeight="1" x14ac:dyDescent="0.2">
      <c r="A469" s="444" t="s">
        <v>524</v>
      </c>
      <c r="B469" s="349" t="s">
        <v>323</v>
      </c>
      <c r="C469" s="428" t="s">
        <v>230</v>
      </c>
      <c r="D469" s="134">
        <v>118.3</v>
      </c>
      <c r="E469" s="134">
        <v>129.9</v>
      </c>
      <c r="F469" s="134">
        <v>141.6</v>
      </c>
      <c r="L469" s="190"/>
    </row>
    <row r="470" spans="1:13" ht="15.75" customHeight="1" x14ac:dyDescent="0.2">
      <c r="A470" s="452" t="s">
        <v>661</v>
      </c>
      <c r="B470" s="356"/>
      <c r="C470" s="427" t="s">
        <v>272</v>
      </c>
      <c r="D470" s="133">
        <f t="shared" ref="D470:F470" si="98">SUM(D471:D474)</f>
        <v>1099.2000000000003</v>
      </c>
      <c r="E470" s="265">
        <f t="shared" si="98"/>
        <v>933.3</v>
      </c>
      <c r="F470" s="265">
        <f t="shared" si="98"/>
        <v>1052</v>
      </c>
      <c r="L470" s="190"/>
    </row>
    <row r="471" spans="1:13" ht="15.75" customHeight="1" x14ac:dyDescent="0.2">
      <c r="A471" s="444" t="s">
        <v>662</v>
      </c>
      <c r="B471" s="349" t="s">
        <v>323</v>
      </c>
      <c r="C471" s="428"/>
      <c r="D471" s="134">
        <f>189.5+215+184.1+10</f>
        <v>598.6</v>
      </c>
      <c r="E471" s="134">
        <f>208.3+215+500+10</f>
        <v>933.3</v>
      </c>
      <c r="F471" s="134">
        <f>227+215+600+10</f>
        <v>1052</v>
      </c>
      <c r="L471" s="190"/>
    </row>
    <row r="472" spans="1:13" ht="15.75" customHeight="1" x14ac:dyDescent="0.2">
      <c r="A472" s="452" t="s">
        <v>663</v>
      </c>
      <c r="B472" s="356" t="s">
        <v>372</v>
      </c>
      <c r="C472" s="427"/>
      <c r="D472" s="133">
        <v>460.8</v>
      </c>
      <c r="E472" s="133"/>
      <c r="F472" s="133"/>
      <c r="L472" s="190"/>
    </row>
    <row r="473" spans="1:13" ht="15.75" customHeight="1" x14ac:dyDescent="0.2">
      <c r="A473" s="444" t="s">
        <v>664</v>
      </c>
      <c r="B473" s="349" t="s">
        <v>375</v>
      </c>
      <c r="C473" s="428"/>
      <c r="D473" s="134">
        <v>8.4</v>
      </c>
      <c r="E473" s="134"/>
      <c r="F473" s="134"/>
      <c r="L473" s="190"/>
    </row>
    <row r="474" spans="1:13" ht="58.5" customHeight="1" x14ac:dyDescent="0.2">
      <c r="A474" s="447" t="s">
        <v>665</v>
      </c>
      <c r="B474" s="420" t="s">
        <v>280</v>
      </c>
      <c r="C474" s="427"/>
      <c r="D474" s="133">
        <v>31.4</v>
      </c>
      <c r="E474" s="133"/>
      <c r="F474" s="133"/>
      <c r="L474" s="190"/>
    </row>
    <row r="475" spans="1:13" ht="15.75" customHeight="1" x14ac:dyDescent="0.2">
      <c r="A475" s="444" t="s">
        <v>525</v>
      </c>
      <c r="B475" s="349"/>
      <c r="C475" s="428" t="s">
        <v>131</v>
      </c>
      <c r="D475" s="134">
        <f t="shared" ref="D475:F475" si="99">D476+D477</f>
        <v>533</v>
      </c>
      <c r="E475" s="215">
        <f t="shared" si="99"/>
        <v>580.5</v>
      </c>
      <c r="F475" s="215">
        <f t="shared" si="99"/>
        <v>628</v>
      </c>
      <c r="G475" s="190"/>
      <c r="L475" s="190"/>
    </row>
    <row r="476" spans="1:13" ht="15.75" customHeight="1" x14ac:dyDescent="0.2">
      <c r="A476" s="452" t="s">
        <v>526</v>
      </c>
      <c r="B476" s="356" t="s">
        <v>323</v>
      </c>
      <c r="C476" s="427"/>
      <c r="D476" s="133">
        <f>453+50</f>
        <v>503</v>
      </c>
      <c r="E476" s="133">
        <f>500.5+50</f>
        <v>550.5</v>
      </c>
      <c r="F476" s="133">
        <f>548+50</f>
        <v>598</v>
      </c>
      <c r="G476" s="190"/>
      <c r="I476" s="435"/>
      <c r="L476" s="190"/>
    </row>
    <row r="477" spans="1:13" ht="15.75" customHeight="1" x14ac:dyDescent="0.2">
      <c r="A477" s="448" t="s">
        <v>527</v>
      </c>
      <c r="B477" s="349" t="s">
        <v>309</v>
      </c>
      <c r="C477" s="428"/>
      <c r="D477" s="134">
        <v>30</v>
      </c>
      <c r="E477" s="134">
        <v>30</v>
      </c>
      <c r="F477" s="134">
        <v>30</v>
      </c>
      <c r="G477" s="190"/>
      <c r="I477" s="435"/>
      <c r="L477" s="190"/>
    </row>
    <row r="478" spans="1:13" ht="15.75" customHeight="1" x14ac:dyDescent="0.2">
      <c r="A478" s="452" t="s">
        <v>528</v>
      </c>
      <c r="B478" s="356"/>
      <c r="C478" s="427" t="s">
        <v>48</v>
      </c>
      <c r="D478" s="133">
        <f>SUM(D480:D482)</f>
        <v>904.81899999999996</v>
      </c>
      <c r="E478" s="265">
        <f>SUM(E480:E482)</f>
        <v>1146.9000000000001</v>
      </c>
      <c r="F478" s="265">
        <f>SUM(F480:F482)</f>
        <v>1167.2</v>
      </c>
      <c r="G478" s="190"/>
      <c r="I478" s="435"/>
    </row>
    <row r="479" spans="1:13" ht="15.75" customHeight="1" x14ac:dyDescent="0.2">
      <c r="A479" s="444"/>
      <c r="B479" s="256" t="s">
        <v>129</v>
      </c>
      <c r="C479" s="428"/>
      <c r="D479" s="134"/>
      <c r="E479" s="134"/>
      <c r="F479" s="134"/>
      <c r="G479" s="190"/>
      <c r="I479" s="435"/>
    </row>
    <row r="480" spans="1:13" ht="15.75" customHeight="1" x14ac:dyDescent="0.2">
      <c r="A480" s="452" t="s">
        <v>530</v>
      </c>
      <c r="B480" s="356" t="s">
        <v>323</v>
      </c>
      <c r="C480" s="541"/>
      <c r="D480" s="134">
        <f>15.4+764.5+21.9</f>
        <v>801.8</v>
      </c>
      <c r="E480" s="133">
        <f>12.2+1005.4+26.3</f>
        <v>1043.9000000000001</v>
      </c>
      <c r="F480" s="133">
        <f>15.8+1096.2+30.8</f>
        <v>1142.8</v>
      </c>
      <c r="G480" s="190"/>
      <c r="I480" s="435"/>
    </row>
    <row r="481" spans="1:12" ht="15.75" customHeight="1" x14ac:dyDescent="0.2">
      <c r="A481" s="444" t="s">
        <v>531</v>
      </c>
      <c r="B481" s="261" t="s">
        <v>375</v>
      </c>
      <c r="C481" s="427"/>
      <c r="D481" s="133">
        <v>24.419</v>
      </c>
      <c r="E481" s="134">
        <v>24.4</v>
      </c>
      <c r="F481" s="134">
        <v>24.4</v>
      </c>
      <c r="G481" s="190"/>
      <c r="I481" s="435"/>
    </row>
    <row r="482" spans="1:12" ht="48" customHeight="1" x14ac:dyDescent="0.2">
      <c r="A482" s="448" t="s">
        <v>532</v>
      </c>
      <c r="B482" s="417" t="s">
        <v>280</v>
      </c>
      <c r="C482" s="428"/>
      <c r="D482" s="134">
        <f>16.3+4.8+26.7+4.4+19.8+6.6</f>
        <v>78.599999999999994</v>
      </c>
      <c r="E482" s="134">
        <f>16.3+4.8+26.7+4.4+19.8+6.6</f>
        <v>78.599999999999994</v>
      </c>
      <c r="F482" s="134"/>
      <c r="G482" s="190"/>
      <c r="I482" s="435"/>
    </row>
    <row r="483" spans="1:12" ht="15.75" customHeight="1" x14ac:dyDescent="0.2">
      <c r="A483" s="444" t="s">
        <v>533</v>
      </c>
      <c r="B483" s="417" t="s">
        <v>374</v>
      </c>
      <c r="C483" s="422" t="s">
        <v>233</v>
      </c>
      <c r="D483" s="134">
        <v>2763.4</v>
      </c>
      <c r="E483" s="134">
        <v>3265.4</v>
      </c>
      <c r="F483" s="134">
        <v>3031.2</v>
      </c>
      <c r="G483" s="190"/>
      <c r="I483" s="435"/>
    </row>
    <row r="484" spans="1:12" ht="15.75" customHeight="1" thickBot="1" x14ac:dyDescent="0.25">
      <c r="A484" s="447" t="s">
        <v>534</v>
      </c>
      <c r="B484" s="468" t="s">
        <v>373</v>
      </c>
      <c r="C484" s="442" t="s">
        <v>233</v>
      </c>
      <c r="D484" s="133">
        <v>300</v>
      </c>
      <c r="E484" s="133">
        <v>325</v>
      </c>
      <c r="F484" s="133">
        <v>340</v>
      </c>
      <c r="G484" s="190"/>
    </row>
    <row r="485" spans="1:12" ht="18.75" customHeight="1" thickBot="1" x14ac:dyDescent="0.3">
      <c r="A485" s="469" t="s">
        <v>351</v>
      </c>
      <c r="B485" s="470" t="s">
        <v>341</v>
      </c>
      <c r="C485" s="471"/>
      <c r="D485" s="146">
        <f>SUM(D8+D15+D23+D30+D36+D43+D50+D56+D62+D68+D74+D80+D86+D92+D98+D105+D111+D117+D123+D129+D135+D141+D149+D159+D164+D169+D175+D185+D191+D198+D204+D211+D219+D224+D229+D234+D239+D244+D249+D254+D262+D270+D274)</f>
        <v>201345.255</v>
      </c>
      <c r="E485" s="146">
        <f>SUM(E8+E15+E23+E30+E36+E43+E50+E56+E62+E68+E74+E80+E86+E92+E98+E105+E111+E117+E123+E129+E135+E141+E149+E159+E164+E169+E175+E185+E191+E198+E204+E211+E219+E224+E229+E234+E239+E244+E249+E254+E262+E270+E274)</f>
        <v>212514.14800000004</v>
      </c>
      <c r="F485" s="146">
        <f>SUM(F8+F15+F23+F30+F36+F43+F50+F56+F62+F68+F74+F80+F86+F92+F98+F105+F111+F117+F123+F129+F135+F141+F149+F159+F164+F169+F175+F185+F191+F198+F204+F211+F219+F224+F229+F234+F239+F244+F249+F254+F262+F270+F274)</f>
        <v>205403.40400000004</v>
      </c>
      <c r="G485" s="181"/>
      <c r="H485" s="289"/>
      <c r="I485" s="289"/>
      <c r="J485" s="289"/>
      <c r="K485" s="289"/>
      <c r="L485" s="289"/>
    </row>
    <row r="486" spans="1:12" ht="15.6" customHeight="1" x14ac:dyDescent="0.25">
      <c r="A486" s="133"/>
      <c r="B486" s="287" t="s">
        <v>129</v>
      </c>
      <c r="C486" s="472"/>
      <c r="D486" s="133"/>
      <c r="E486" s="136"/>
      <c r="F486" s="136"/>
      <c r="G486" s="181"/>
      <c r="I486" s="435"/>
    </row>
    <row r="487" spans="1:12" ht="15.6" customHeight="1" x14ac:dyDescent="0.25">
      <c r="A487" s="134" t="s">
        <v>535</v>
      </c>
      <c r="B487" s="314" t="s">
        <v>323</v>
      </c>
      <c r="C487" s="473"/>
      <c r="D487" s="134">
        <f>D11+D18+D26+D33+D39+D46+D53+D59+D65+D71+D77+D83+D89+D95+D101+D108+D114+D120+D126+D132+D138+D144+D148+D152+D158+D162+D167+D172+D178+D184+D188+D194+D201+D207+D214+D218+D222+D227+D232+D237+D242+D247+D252+D257+D265+D273+D277+D285+D303+D324+D335+D342+D343+D355+D368+D382+D398+D409+D410+D415+D418+D452+D453+D456+D467+D468+D469+D471+D476+D480+D483+D484+D269+D261</f>
        <v>106311.99999999996</v>
      </c>
      <c r="E487" s="134">
        <f t="shared" ref="E487:F487" si="100">E11+E18+E26+E33+E39+E46+E53+E59+E65+E71+E77+E83+E89+E95+E101+E108+E114+E120+E126+E132+E138+E144+E148+E152+E158+E162+E167+E172+E178+E184+E188+E194+E201+E207+E214+E218+E222+E227+E232+E237+E242+E247+E252+E257+E265+E273+E277+E285+E303+E324+E335+E342+E343+E355+E368+E382+E398+E409+E410+E415+E418+E452+E453+E456+E467+E468+E469+E471+E476+E480+E483+E484+E269+E261</f>
        <v>114578</v>
      </c>
      <c r="F487" s="134">
        <f t="shared" si="100"/>
        <v>120888.99999999997</v>
      </c>
      <c r="G487" s="190"/>
      <c r="H487" s="273"/>
      <c r="I487" s="273"/>
      <c r="J487" s="273"/>
      <c r="K487" s="273"/>
    </row>
    <row r="488" spans="1:12" ht="31.5" customHeight="1" x14ac:dyDescent="0.25">
      <c r="A488" s="311" t="s">
        <v>536</v>
      </c>
      <c r="B488" s="263" t="s">
        <v>133</v>
      </c>
      <c r="C488" s="472"/>
      <c r="D488" s="133">
        <f>SUM(D12+D19+D27+D34+D40+D47+D54+D60+D66+D72+D78+D84+D90+D96+D104+D109+D115+D121+D127+D133+D139+D145+D163+D278)</f>
        <v>38347.80000000001</v>
      </c>
      <c r="E488" s="133">
        <f>SUM(E12+E19+E27+E34+E40+E47+E54+E60+E66+E72+E78+E84+E90+E96+E104+E109+E115+E121+E127+E133+E139+E145+E163+E278)</f>
        <v>41415.599999999991</v>
      </c>
      <c r="F488" s="133">
        <f>SUM(F12+F19+F27+F34+F40+F47+F54+F60+F66+F72+F78+F84+F90+F96+F104+F109+F115+F121+F127+F133+F139+F145+F163+F278)</f>
        <v>41415.599999999991</v>
      </c>
      <c r="G488" s="190"/>
      <c r="H488" s="273"/>
      <c r="I488" s="435"/>
      <c r="J488" s="273"/>
    </row>
    <row r="489" spans="1:12" ht="15.75" customHeight="1" x14ac:dyDescent="0.25">
      <c r="A489" s="295" t="s">
        <v>537</v>
      </c>
      <c r="B489" s="314" t="s">
        <v>657</v>
      </c>
      <c r="C489" s="473"/>
      <c r="D489" s="134">
        <f>D179+D195+D266+D292+D344+D431+D451+D457+D477</f>
        <v>8280.098</v>
      </c>
      <c r="E489" s="134">
        <f t="shared" ref="E489:F489" si="101">E179+E195+E266+E292+E344+E431+E451+E457+E477</f>
        <v>8682.398000000001</v>
      </c>
      <c r="F489" s="134">
        <f t="shared" si="101"/>
        <v>8939.398000000001</v>
      </c>
      <c r="G489" s="190"/>
      <c r="H489" s="273"/>
      <c r="I489" s="435"/>
    </row>
    <row r="490" spans="1:12" ht="31.9" customHeight="1" x14ac:dyDescent="0.25">
      <c r="A490" s="311" t="s">
        <v>538</v>
      </c>
      <c r="B490" s="348" t="s">
        <v>382</v>
      </c>
      <c r="C490" s="472"/>
      <c r="D490" s="133">
        <f>D208</f>
        <v>295.10000000000002</v>
      </c>
      <c r="E490" s="133">
        <f>E208</f>
        <v>309.5</v>
      </c>
      <c r="F490" s="133">
        <f>F208</f>
        <v>324.7</v>
      </c>
      <c r="G490" s="190"/>
      <c r="I490" s="435"/>
    </row>
    <row r="491" spans="1:12" ht="31.9" customHeight="1" x14ac:dyDescent="0.25">
      <c r="A491" s="295" t="s">
        <v>539</v>
      </c>
      <c r="B491" s="248" t="s">
        <v>140</v>
      </c>
      <c r="C491" s="473"/>
      <c r="D491" s="134">
        <f>D20</f>
        <v>147.80000000000001</v>
      </c>
      <c r="E491" s="134">
        <f>E20</f>
        <v>147.80000000000001</v>
      </c>
      <c r="F491" s="134">
        <f>F20</f>
        <v>147.80000000000001</v>
      </c>
      <c r="G491" s="190"/>
      <c r="H491" s="474"/>
      <c r="I491" s="435"/>
    </row>
    <row r="492" spans="1:12" ht="16.5" customHeight="1" x14ac:dyDescent="0.25">
      <c r="A492" s="311" t="s">
        <v>540</v>
      </c>
      <c r="B492" s="251" t="s">
        <v>375</v>
      </c>
      <c r="C492" s="472"/>
      <c r="D492" s="133">
        <f>D13+D21+D28+D41+D48+D103+D153+D190+D197+D203+D215+D259+D279+D323+D349+D350+D390+D391+D473+D481</f>
        <v>2893.0569999999998</v>
      </c>
      <c r="E492" s="133">
        <f t="shared" ref="E492:F492" si="102">E13+E21+E28+E41+E48+E103+E153+E190+E197+E203+E215+E259+E279+E323+E349+E350+E390+E391+E473+E481</f>
        <v>2973.35</v>
      </c>
      <c r="F492" s="133">
        <f t="shared" si="102"/>
        <v>2346.2060000000001</v>
      </c>
      <c r="G492" s="190"/>
      <c r="H492" s="474"/>
      <c r="I492" s="435"/>
    </row>
    <row r="493" spans="1:12" ht="43.9" customHeight="1" x14ac:dyDescent="0.25">
      <c r="A493" s="295" t="s">
        <v>541</v>
      </c>
      <c r="B493" s="261" t="s">
        <v>336</v>
      </c>
      <c r="C493" s="473"/>
      <c r="D493" s="134">
        <f>D381</f>
        <v>3798</v>
      </c>
      <c r="E493" s="134">
        <f>E381</f>
        <v>3798</v>
      </c>
      <c r="F493" s="134">
        <f>F381</f>
        <v>3798</v>
      </c>
      <c r="G493" s="190"/>
      <c r="H493" s="474"/>
      <c r="I493" s="435"/>
    </row>
    <row r="494" spans="1:12" ht="21" customHeight="1" x14ac:dyDescent="0.25">
      <c r="A494" s="311" t="s">
        <v>542</v>
      </c>
      <c r="B494" s="164" t="s">
        <v>135</v>
      </c>
      <c r="C494" s="472"/>
      <c r="D494" s="133">
        <f>SUM(D14+D22+D29+D35+D42+D49+D55+D61+D67+D73+D79+D85+D91+D97+D102+D110+D116+D122+D128+D134+D140+D146+D154+D168+D173+D180+D189+D196+D202+D209+D216+D223+D228+D233+D238+D243+D248+D253+D258+D267+D316+D333+D345+D386+D387+D441)</f>
        <v>8748.4</v>
      </c>
      <c r="E494" s="133">
        <f>SUM(E14+E22+E29+E35+E42+E49+E55+E61+E67+E73+E79+E85+E91+E97+E102+E110+E116+E122+E128+E134+E140+E146+E154+E168+E173+E180+E189+E196+E202+E209+E216+E223+E228+E233+E238+E243+E248+E253+E258+E267+E316+E333+E345+E386+E387+E441)</f>
        <v>8841.5</v>
      </c>
      <c r="F494" s="133">
        <f>SUM(F14+F22+F29+F35+F42+F49+F55+F61+F67+F73+F79+F85+F91+F97+F102+F110+F116+F122+F128+F134+F140+F146+F154+F168+F173+F180+F189+F196+F202+F209+F216+F223+F228+F233+F238+F243+F248+F253+F258+F267+F316+F333+F345+F386+F387+F441)</f>
        <v>8900.5999999999985</v>
      </c>
      <c r="G494" s="190"/>
      <c r="H494" s="273"/>
      <c r="I494" s="435"/>
    </row>
    <row r="495" spans="1:12" ht="30" customHeight="1" x14ac:dyDescent="0.25">
      <c r="A495" s="475" t="s">
        <v>543</v>
      </c>
      <c r="B495" s="330" t="s">
        <v>322</v>
      </c>
      <c r="C495" s="473"/>
      <c r="D495" s="134">
        <f>D156+D181+D302+D336</f>
        <v>931</v>
      </c>
      <c r="E495" s="134">
        <f>E156+E181+E302+E336</f>
        <v>931</v>
      </c>
      <c r="F495" s="134">
        <f>F156+F181+F302+F336</f>
        <v>931</v>
      </c>
      <c r="G495" s="190"/>
    </row>
    <row r="496" spans="1:12" ht="19.5" customHeight="1" x14ac:dyDescent="0.25">
      <c r="A496" s="311" t="s">
        <v>544</v>
      </c>
      <c r="B496" s="356" t="s">
        <v>555</v>
      </c>
      <c r="C496" s="472"/>
      <c r="D496" s="133">
        <f t="shared" ref="D496:F496" si="103">D466</f>
        <v>5</v>
      </c>
      <c r="E496" s="133">
        <f t="shared" si="103"/>
        <v>0</v>
      </c>
      <c r="F496" s="133">
        <f t="shared" si="103"/>
        <v>0</v>
      </c>
      <c r="G496" s="190"/>
    </row>
    <row r="497" spans="1:11" ht="46.9" customHeight="1" x14ac:dyDescent="0.25">
      <c r="A497" s="295" t="s">
        <v>545</v>
      </c>
      <c r="B497" s="261" t="s">
        <v>280</v>
      </c>
      <c r="C497" s="476"/>
      <c r="D497" s="134">
        <f>D174+D182+D210+D280+D293+D320+D337+D347+D348+D392+D405+D446+D474+D482</f>
        <v>18207.5</v>
      </c>
      <c r="E497" s="134">
        <f>E174+E182+E210+E280+E293+E320+E337+E347+E348+E392+E405+E446+E474+E482</f>
        <v>17385.600000000002</v>
      </c>
      <c r="F497" s="134">
        <f>F174+F182+F210+F280+F293+F320+F337+F347+F348+F392+F405+F446+F474+F482</f>
        <v>6271.2000000000007</v>
      </c>
      <c r="G497" s="190"/>
      <c r="H497" s="477"/>
    </row>
    <row r="498" spans="1:11" ht="31.15" customHeight="1" x14ac:dyDescent="0.25">
      <c r="A498" s="311" t="s">
        <v>546</v>
      </c>
      <c r="B498" s="263" t="s">
        <v>334</v>
      </c>
      <c r="C498" s="478"/>
      <c r="D498" s="133">
        <f>D319</f>
        <v>3430</v>
      </c>
      <c r="E498" s="133">
        <f>E319</f>
        <v>3430</v>
      </c>
      <c r="F498" s="133">
        <f>F319</f>
        <v>3430</v>
      </c>
      <c r="G498" s="190"/>
    </row>
    <row r="499" spans="1:11" ht="29.25" customHeight="1" x14ac:dyDescent="0.25">
      <c r="A499" s="295" t="s">
        <v>547</v>
      </c>
      <c r="B499" s="261" t="s">
        <v>432</v>
      </c>
      <c r="C499" s="476"/>
      <c r="D499" s="134">
        <f>D281+D297+D339+D351+D385</f>
        <v>2318.4</v>
      </c>
      <c r="E499" s="134">
        <f>E281+E297+E339+E351+E385</f>
        <v>2161.4</v>
      </c>
      <c r="F499" s="134">
        <f>F281+F297+F339+F351+F385</f>
        <v>549.9</v>
      </c>
      <c r="G499" s="190"/>
    </row>
    <row r="500" spans="1:11" ht="15.6" customHeight="1" x14ac:dyDescent="0.25">
      <c r="A500" s="311" t="s">
        <v>548</v>
      </c>
      <c r="B500" s="263" t="s">
        <v>557</v>
      </c>
      <c r="C500" s="478"/>
      <c r="D500" s="133">
        <f>D298+D447</f>
        <v>200</v>
      </c>
      <c r="E500" s="133">
        <f>E298+E447</f>
        <v>200</v>
      </c>
      <c r="F500" s="133">
        <f>F298+F447</f>
        <v>200</v>
      </c>
      <c r="G500" s="190"/>
      <c r="H500" s="273"/>
      <c r="I500" s="273"/>
      <c r="J500" s="273"/>
    </row>
    <row r="501" spans="1:11" ht="43.15" customHeight="1" x14ac:dyDescent="0.25">
      <c r="A501" s="295" t="s">
        <v>549</v>
      </c>
      <c r="B501" s="248" t="s">
        <v>368</v>
      </c>
      <c r="C501" s="476"/>
      <c r="D501" s="134">
        <f>D321</f>
        <v>34</v>
      </c>
      <c r="E501" s="134">
        <f>E321</f>
        <v>30</v>
      </c>
      <c r="F501" s="134">
        <f>F321</f>
        <v>30</v>
      </c>
      <c r="G501" s="190"/>
      <c r="H501" s="273"/>
      <c r="I501" s="273"/>
      <c r="J501" s="273"/>
    </row>
    <row r="502" spans="1:11" ht="30.75" customHeight="1" x14ac:dyDescent="0.25">
      <c r="A502" s="479" t="s">
        <v>550</v>
      </c>
      <c r="B502" s="480" t="s">
        <v>369</v>
      </c>
      <c r="C502" s="478"/>
      <c r="D502" s="133">
        <f>D322+D338</f>
        <v>138.9</v>
      </c>
      <c r="E502" s="133">
        <f>E322+E338</f>
        <v>30</v>
      </c>
      <c r="F502" s="133">
        <f>F322+F338</f>
        <v>30</v>
      </c>
      <c r="G502" s="190"/>
      <c r="H502" s="273"/>
      <c r="I502" s="273"/>
      <c r="J502" s="273"/>
    </row>
    <row r="503" spans="1:11" ht="17.25" customHeight="1" x14ac:dyDescent="0.25">
      <c r="A503" s="399" t="s">
        <v>551</v>
      </c>
      <c r="B503" s="481" t="s">
        <v>376</v>
      </c>
      <c r="C503" s="476"/>
      <c r="D503" s="134">
        <f>D346+D388+D393</f>
        <v>304</v>
      </c>
      <c r="E503" s="134">
        <f t="shared" ref="E503:F503" si="104">E346+E388+E393</f>
        <v>0</v>
      </c>
      <c r="F503" s="134">
        <f t="shared" si="104"/>
        <v>0</v>
      </c>
      <c r="G503" s="190"/>
      <c r="H503" s="273"/>
      <c r="I503" s="273"/>
      <c r="J503" s="273"/>
    </row>
    <row r="504" spans="1:11" ht="15.75" customHeight="1" x14ac:dyDescent="0.25">
      <c r="A504" s="399" t="s">
        <v>552</v>
      </c>
      <c r="B504" s="546" t="s">
        <v>372</v>
      </c>
      <c r="C504" s="547"/>
      <c r="D504" s="134">
        <f>D283+D394+D406+D472</f>
        <v>1954.2</v>
      </c>
      <c r="E504" s="134">
        <f t="shared" ref="E504:F504" si="105">E283+E394+E406+E472</f>
        <v>2000</v>
      </c>
      <c r="F504" s="134">
        <f t="shared" si="105"/>
        <v>2000</v>
      </c>
      <c r="G504" s="190"/>
      <c r="H504" s="273"/>
      <c r="I504" s="273"/>
      <c r="J504" s="273"/>
    </row>
    <row r="505" spans="1:11" ht="15" customHeight="1" thickBot="1" x14ac:dyDescent="0.3">
      <c r="A505" s="482" t="s">
        <v>553</v>
      </c>
      <c r="B505" s="483" t="s">
        <v>367</v>
      </c>
      <c r="C505" s="484"/>
      <c r="D505" s="527">
        <f>D282+D299+D352+D389+D404+D395+D448</f>
        <v>5000</v>
      </c>
      <c r="E505" s="527">
        <f t="shared" ref="E505:F505" si="106">E282+E299+E352+E389+E404+E395+E448</f>
        <v>5600</v>
      </c>
      <c r="F505" s="527">
        <f t="shared" si="106"/>
        <v>5200</v>
      </c>
      <c r="G505" s="190"/>
      <c r="H505" s="273"/>
      <c r="I505" s="273"/>
      <c r="J505" s="273"/>
    </row>
    <row r="506" spans="1:11" ht="15.75" x14ac:dyDescent="0.25">
      <c r="A506" s="133"/>
      <c r="B506" s="485" t="s">
        <v>129</v>
      </c>
      <c r="C506" s="478"/>
      <c r="D506" s="133"/>
      <c r="E506" s="133"/>
      <c r="F506" s="133"/>
      <c r="G506" s="190"/>
      <c r="H506" s="273"/>
      <c r="I506" s="273"/>
      <c r="J506" s="273"/>
    </row>
    <row r="507" spans="1:11" ht="15.6" customHeight="1" x14ac:dyDescent="0.2">
      <c r="A507" s="134" t="s">
        <v>352</v>
      </c>
      <c r="B507" s="189" t="s">
        <v>130</v>
      </c>
      <c r="C507" s="259"/>
      <c r="D507" s="128">
        <f>D10+D17+D25+D32+D38+D45+D52+D58+D64+D70+D76+D82+D88+D94+D100+D107+D113+D119+D125+D131+D137+D143+D151+D161+D276</f>
        <v>91261.3</v>
      </c>
      <c r="E507" s="128">
        <f>E10+E17+E25+E32+E38+E45+E52+E58+E64+E70+E76+E82+E88+E94+E100+E107+E113+E119+E125+E131+E137+E143+E151+E161+E276</f>
        <v>101567.7</v>
      </c>
      <c r="F507" s="128">
        <f>F10+F17+F25+F32+F38+F45+F52+F58+F64+F70+F76+F82+F88+F94+F100+F107+F113+F119+F125+F131+F137+F143+F151+F161+F276</f>
        <v>95980.9</v>
      </c>
      <c r="G507" s="190"/>
      <c r="H507" s="486"/>
      <c r="I507" s="195"/>
      <c r="J507" s="195"/>
      <c r="K507" s="195"/>
    </row>
    <row r="508" spans="1:11" ht="29.45" customHeight="1" x14ac:dyDescent="0.2">
      <c r="A508" s="311" t="s">
        <v>353</v>
      </c>
      <c r="B508" s="487" t="s">
        <v>243</v>
      </c>
      <c r="C508" s="244"/>
      <c r="D508" s="137">
        <f>D147+D171+D284</f>
        <v>5486.9000000000005</v>
      </c>
      <c r="E508" s="137">
        <f>E171+E284</f>
        <v>6374.2999999999993</v>
      </c>
      <c r="F508" s="137">
        <f>F171+F284</f>
        <v>6783.0000000000009</v>
      </c>
      <c r="G508" s="488"/>
      <c r="H508" s="273"/>
      <c r="I508" s="273"/>
      <c r="J508" s="273"/>
    </row>
    <row r="509" spans="1:11" ht="15.6" customHeight="1" x14ac:dyDescent="0.2">
      <c r="A509" s="134" t="s">
        <v>354</v>
      </c>
      <c r="B509" s="128" t="s">
        <v>310</v>
      </c>
      <c r="C509" s="410"/>
      <c r="D509" s="128">
        <f>D268+D300</f>
        <v>7821.5</v>
      </c>
      <c r="E509" s="128">
        <f>E268+E300</f>
        <v>7331.4</v>
      </c>
      <c r="F509" s="128">
        <f>F268+F300</f>
        <v>7476.4</v>
      </c>
      <c r="G509" s="190"/>
      <c r="H509" s="489"/>
      <c r="I509" s="489"/>
      <c r="J509" s="489"/>
    </row>
    <row r="510" spans="1:11" ht="16.149999999999999" customHeight="1" x14ac:dyDescent="0.2">
      <c r="A510" s="133" t="s">
        <v>355</v>
      </c>
      <c r="B510" s="276" t="s">
        <v>229</v>
      </c>
      <c r="C510" s="423"/>
      <c r="D510" s="137">
        <f>D155+D177+D334</f>
        <v>6107.5000000000018</v>
      </c>
      <c r="E510" s="137">
        <f>E155+E177+E334</f>
        <v>4117</v>
      </c>
      <c r="F510" s="137">
        <f>F155+F177+F334</f>
        <v>2616.6999999999998</v>
      </c>
      <c r="G510" s="190"/>
      <c r="H510" s="273"/>
      <c r="I510" s="273"/>
      <c r="J510" s="273"/>
      <c r="K510" s="273"/>
    </row>
    <row r="511" spans="1:11" ht="30" customHeight="1" x14ac:dyDescent="0.2">
      <c r="A511" s="295" t="s">
        <v>356</v>
      </c>
      <c r="B511" s="490" t="s">
        <v>239</v>
      </c>
      <c r="C511" s="426"/>
      <c r="D511" s="128">
        <f>D166+D183+D187+D193+D200+D206+D340</f>
        <v>21965.374000000003</v>
      </c>
      <c r="E511" s="128">
        <f>E166+E183+E187+E193+E200+E206+E340</f>
        <v>28821.786</v>
      </c>
      <c r="F511" s="128">
        <f>F166+F183+F187+F193+F200+F206+F340</f>
        <v>30137.506000000001</v>
      </c>
      <c r="G511" s="190"/>
      <c r="H511" s="273"/>
      <c r="I511" s="489"/>
      <c r="J511" s="489"/>
    </row>
    <row r="512" spans="1:11" ht="33" customHeight="1" x14ac:dyDescent="0.2">
      <c r="A512" s="311" t="s">
        <v>357</v>
      </c>
      <c r="B512" s="491" t="s">
        <v>146</v>
      </c>
      <c r="C512" s="425"/>
      <c r="D512" s="137">
        <f t="shared" ref="D512:F512" si="107">D353</f>
        <v>24536.2</v>
      </c>
      <c r="E512" s="137">
        <f t="shared" si="107"/>
        <v>21613.200000000004</v>
      </c>
      <c r="F512" s="137">
        <f t="shared" si="107"/>
        <v>18814.400000000001</v>
      </c>
      <c r="G512" s="190"/>
      <c r="H512" s="489"/>
      <c r="I512" s="489"/>
      <c r="J512" s="489"/>
      <c r="K512" s="489"/>
    </row>
    <row r="513" spans="1:10" ht="30" x14ac:dyDescent="0.2">
      <c r="A513" s="295" t="s">
        <v>358</v>
      </c>
      <c r="B513" s="310" t="s">
        <v>271</v>
      </c>
      <c r="C513" s="441"/>
      <c r="D513" s="128">
        <f>D213+D221+D226+D231+D236+D241+D246+D251+D396</f>
        <v>9934.5639999999985</v>
      </c>
      <c r="E513" s="128">
        <f>E213+E221+E226+E231+E236+E241+E246+E251+E396</f>
        <v>11560.964</v>
      </c>
      <c r="F513" s="128">
        <f>F213+F221+F226+F231+F236+F241+F246+F251+F396</f>
        <v>11943.5</v>
      </c>
      <c r="G513" s="190"/>
      <c r="H513" s="489"/>
      <c r="I513" s="489"/>
      <c r="J513" s="489"/>
    </row>
    <row r="514" spans="1:10" ht="15" x14ac:dyDescent="0.2">
      <c r="A514" s="134" t="s">
        <v>359</v>
      </c>
      <c r="B514" s="128" t="s">
        <v>300</v>
      </c>
      <c r="C514" s="422"/>
      <c r="D514" s="128">
        <f>D256+D407</f>
        <v>7529.5999999999995</v>
      </c>
      <c r="E514" s="128">
        <f>E256+E407</f>
        <v>5921.8</v>
      </c>
      <c r="F514" s="128">
        <f>F256+F407</f>
        <v>5968.9</v>
      </c>
      <c r="G514" s="190"/>
      <c r="H514" s="489"/>
      <c r="I514" s="489"/>
      <c r="J514" s="489"/>
    </row>
    <row r="515" spans="1:10" ht="34.5" customHeight="1" x14ac:dyDescent="0.2">
      <c r="A515" s="324" t="s">
        <v>554</v>
      </c>
      <c r="B515" s="492" t="s">
        <v>232</v>
      </c>
      <c r="C515" s="493"/>
      <c r="D515" s="528">
        <f>D157+D217+D260+D264+D272+D411</f>
        <v>26702.317000000003</v>
      </c>
      <c r="E515" s="528">
        <f>E157+E217+E260+E264+E272+E411</f>
        <v>25205.998000000003</v>
      </c>
      <c r="F515" s="528">
        <f>F157+F217+F260+F264+F272+F411</f>
        <v>25682.097999999998</v>
      </c>
      <c r="G515" s="488"/>
      <c r="H515" s="489"/>
      <c r="I515" s="489"/>
      <c r="J515" s="489"/>
    </row>
    <row r="516" spans="1:10" ht="15.75" x14ac:dyDescent="0.25">
      <c r="A516" s="494"/>
      <c r="B516" s="495"/>
      <c r="C516" s="494"/>
      <c r="E516" s="477"/>
      <c r="F516" s="477"/>
    </row>
    <row r="517" spans="1:10" ht="15.75" x14ac:dyDescent="0.25">
      <c r="A517" s="494"/>
      <c r="B517" s="494" t="s">
        <v>567</v>
      </c>
      <c r="C517" s="494"/>
    </row>
    <row r="518" spans="1:10" ht="15.75" x14ac:dyDescent="0.25">
      <c r="A518" s="494"/>
      <c r="B518" s="494"/>
      <c r="C518" s="494"/>
    </row>
    <row r="519" spans="1:10" ht="15.75" x14ac:dyDescent="0.25">
      <c r="A519" s="494"/>
      <c r="B519" s="494"/>
      <c r="C519" s="494"/>
    </row>
    <row r="520" spans="1:10" x14ac:dyDescent="0.2">
      <c r="A520" s="496"/>
      <c r="B520" s="496"/>
      <c r="C520" s="496"/>
    </row>
    <row r="521" spans="1:10" x14ac:dyDescent="0.2">
      <c r="A521" s="496"/>
      <c r="B521" s="496"/>
      <c r="C521" s="496"/>
    </row>
    <row r="522" spans="1:10" x14ac:dyDescent="0.2">
      <c r="A522" s="496"/>
      <c r="B522" s="496"/>
      <c r="C522" s="496"/>
    </row>
    <row r="523" spans="1:10" x14ac:dyDescent="0.2">
      <c r="A523" s="496"/>
      <c r="B523" s="496"/>
      <c r="C523" s="496"/>
    </row>
    <row r="524" spans="1:10" x14ac:dyDescent="0.2">
      <c r="A524" s="496"/>
      <c r="B524" s="496"/>
      <c r="C524" s="496"/>
    </row>
    <row r="525" spans="1:10" x14ac:dyDescent="0.2">
      <c r="A525" s="496"/>
      <c r="B525" s="496"/>
      <c r="C525" s="496"/>
    </row>
    <row r="526" spans="1:10" x14ac:dyDescent="0.2">
      <c r="A526" s="496"/>
      <c r="B526" s="496"/>
      <c r="C526" s="496"/>
    </row>
    <row r="527" spans="1:10" x14ac:dyDescent="0.2">
      <c r="A527" s="496"/>
      <c r="B527" s="496"/>
      <c r="C527" s="496"/>
    </row>
    <row r="528" spans="1:10" x14ac:dyDescent="0.2">
      <c r="A528" s="496"/>
      <c r="B528" s="496"/>
      <c r="C528" s="496"/>
    </row>
    <row r="529" spans="1:3" x14ac:dyDescent="0.2">
      <c r="A529" s="496"/>
      <c r="B529" s="496"/>
      <c r="C529" s="496"/>
    </row>
    <row r="530" spans="1:3" x14ac:dyDescent="0.2">
      <c r="A530" s="496"/>
      <c r="B530" s="496"/>
      <c r="C530" s="496"/>
    </row>
    <row r="531" spans="1:3" x14ac:dyDescent="0.2">
      <c r="A531" s="496"/>
      <c r="B531" s="496"/>
      <c r="C531" s="496"/>
    </row>
    <row r="532" spans="1:3" x14ac:dyDescent="0.2">
      <c r="A532" s="496"/>
      <c r="B532" s="496"/>
      <c r="C532" s="496"/>
    </row>
    <row r="533" spans="1:3" x14ac:dyDescent="0.2">
      <c r="A533" s="496"/>
      <c r="B533" s="496"/>
      <c r="C533" s="496"/>
    </row>
    <row r="534" spans="1:3" x14ac:dyDescent="0.2">
      <c r="A534" s="496"/>
      <c r="B534" s="496"/>
      <c r="C534" s="496"/>
    </row>
    <row r="535" spans="1:3" x14ac:dyDescent="0.2">
      <c r="A535" s="496"/>
      <c r="B535" s="496"/>
      <c r="C535" s="496"/>
    </row>
    <row r="536" spans="1:3" x14ac:dyDescent="0.2">
      <c r="A536" s="496"/>
      <c r="B536" s="496"/>
      <c r="C536" s="496"/>
    </row>
    <row r="537" spans="1:3" x14ac:dyDescent="0.2">
      <c r="A537" s="496"/>
      <c r="B537" s="496"/>
      <c r="C537" s="496"/>
    </row>
  </sheetData>
  <mergeCells count="2">
    <mergeCell ref="D2:F2"/>
    <mergeCell ref="A4:F4"/>
  </mergeCells>
  <conditionalFormatting sqref="E486:F486 H485:J485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H488 J48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landscape" horizontalDpi="4294967293" verticalDpi="4294967293" r:id="rId1"/>
  <headerFooter differentFirst="1"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5B1E9E2AFD3240A9563EFF15ED8DA5" ma:contentTypeVersion="2" ma:contentTypeDescription="Kurkite naują dokumentą." ma:contentTypeScope="" ma:versionID="25121123e11c6d5b1fc0ca471cc81554">
  <xsd:schema xmlns:xsd="http://www.w3.org/2001/XMLSchema" xmlns:xs="http://www.w3.org/2001/XMLSchema" xmlns:p="http://schemas.microsoft.com/office/2006/metadata/properties" xmlns:ns2="a5a4c12e-f368-4730-839e-ddeaee63f466" targetNamespace="http://schemas.microsoft.com/office/2006/metadata/properties" ma:root="true" ma:fieldsID="8677147af2750b192ad457dd6207d708" ns2:_="">
    <xsd:import namespace="a5a4c12e-f368-4730-839e-ddeaee63f4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4c12e-f368-4730-839e-ddeaee63f4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82BB38-CCB4-4964-9EFC-AF58CBFBBE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27A44D-0727-428D-816F-963DD4429A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4c12e-f368-4730-839e-ddeaee63f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57BEED-E7FB-4F06-AC11-EEE84F13122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Gailiuvienė</dc:creator>
  <cp:keywords/>
  <dc:description/>
  <cp:lastModifiedBy>Irena Gailiuvienė</cp:lastModifiedBy>
  <cp:revision/>
  <cp:lastPrinted>2026-01-15T11:49:05Z</cp:lastPrinted>
  <dcterms:created xsi:type="dcterms:W3CDTF">2022-01-05T07:13:39Z</dcterms:created>
  <dcterms:modified xsi:type="dcterms:W3CDTF">2026-01-15T11:54:46Z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0x010100FE5B1E9E2AFD3240A9563EFF15ED8DA5</vt:lpwstr>
  </property>
</Properties>
</file>