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4\Vdiskas\Strateginio planavimo ir projektu valdymo skyrius\Bendras Strateginis\1 VARDAI\Vaidos\STRATEG PLANAVIMAS\SVP 2026-2028 m\2026-2028 SVP DETALIZACIJA\SVP Detalizacija 2026 03 30 MV-393\"/>
    </mc:Choice>
  </mc:AlternateContent>
  <xr:revisionPtr revIDLastSave="0" documentId="13_ncr:1_{C5653DBE-E387-4E4C-9549-6CDB0C8E52C4}" xr6:coauthVersionLast="47" xr6:coauthVersionMax="47" xr10:uidLastSave="{00000000-0000-0000-0000-000000000000}"/>
  <bookViews>
    <workbookView xWindow="-120" yWindow="-120" windowWidth="29040" windowHeight="15720" firstSheet="1" activeTab="1" xr2:uid="{B1FE42B9-94AD-44E8-8352-2DD42A396A83}"/>
  </bookViews>
  <sheets>
    <sheet name="Vykd " sheetId="1" r:id="rId1"/>
    <sheet name="Det" sheetId="3" r:id="rId2"/>
    <sheet name="Skaičiuoklė" sheetId="23" state="hidden" r:id="rId3"/>
  </sheets>
  <definedNames>
    <definedName name="_xlnm._FilterDatabase" localSheetId="1" hidden="1">Det!$A$3:$P$391</definedName>
    <definedName name="_Hlk213834883">#REF!</definedName>
    <definedName name="OLE_LINK1">#REF!</definedName>
    <definedName name="_xlnm.Print_Area" localSheetId="1">Det!$A$1:$P$391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13" i="3" l="1"/>
  <c r="J1813" i="3"/>
  <c r="I1813" i="3"/>
  <c r="H1813" i="3"/>
  <c r="J1811" i="3"/>
  <c r="H1811" i="3"/>
  <c r="K1810" i="3"/>
  <c r="J1810" i="3"/>
  <c r="I1810" i="3"/>
  <c r="H1810" i="3"/>
  <c r="J1809" i="3"/>
  <c r="H1809" i="3"/>
  <c r="K1808" i="3"/>
  <c r="J1808" i="3"/>
  <c r="H1808" i="3"/>
  <c r="K1806" i="3"/>
  <c r="J1806" i="3"/>
  <c r="I1806" i="3"/>
  <c r="H1806" i="3"/>
  <c r="K1805" i="3"/>
  <c r="J1805" i="3"/>
  <c r="I1805" i="3"/>
  <c r="H1805" i="3"/>
  <c r="K1804" i="3"/>
  <c r="J1804" i="3"/>
  <c r="I1804" i="3"/>
  <c r="H1804" i="3"/>
  <c r="K1802" i="3"/>
  <c r="J1802" i="3"/>
  <c r="I1802" i="3"/>
  <c r="H1802" i="3"/>
  <c r="K1801" i="3"/>
  <c r="J1801" i="3"/>
  <c r="I1801" i="3"/>
  <c r="H1801" i="3"/>
  <c r="K1800" i="3"/>
  <c r="J1800" i="3"/>
  <c r="I1800" i="3"/>
  <c r="H1800" i="3"/>
  <c r="K1799" i="3"/>
  <c r="J1799" i="3"/>
  <c r="H1799" i="3"/>
  <c r="K1797" i="3"/>
  <c r="J1797" i="3"/>
  <c r="K1796" i="3"/>
  <c r="J1796" i="3"/>
  <c r="K1792" i="3"/>
  <c r="J1792" i="3"/>
  <c r="I1792" i="3"/>
  <c r="H1792" i="3"/>
  <c r="K1789" i="3"/>
  <c r="J1789" i="3"/>
  <c r="J1788" i="3"/>
  <c r="I1788" i="3"/>
  <c r="H1788" i="3"/>
  <c r="I1787" i="3"/>
  <c r="I1808" i="3" s="1"/>
  <c r="K1786" i="3"/>
  <c r="K1788" i="3" s="1"/>
  <c r="K1785" i="3"/>
  <c r="J1785" i="3"/>
  <c r="I1785" i="3"/>
  <c r="H1785" i="3"/>
  <c r="K1783" i="3"/>
  <c r="J1783" i="3"/>
  <c r="I1783" i="3"/>
  <c r="H1783" i="3"/>
  <c r="K1780" i="3"/>
  <c r="J1780" i="3"/>
  <c r="I1780" i="3"/>
  <c r="H1780" i="3"/>
  <c r="K1776" i="3"/>
  <c r="J1776" i="3"/>
  <c r="I1776" i="3"/>
  <c r="H1776" i="3"/>
  <c r="K1774" i="3"/>
  <c r="J1774" i="3"/>
  <c r="I1772" i="3"/>
  <c r="I1797" i="3" s="1"/>
  <c r="H1772" i="3"/>
  <c r="H1797" i="3" s="1"/>
  <c r="I1769" i="3"/>
  <c r="I1774" i="3" s="1"/>
  <c r="K1768" i="3"/>
  <c r="J1768" i="3"/>
  <c r="H1768" i="3"/>
  <c r="I1767" i="3"/>
  <c r="I1768" i="3" s="1"/>
  <c r="K1766" i="3"/>
  <c r="J1766" i="3"/>
  <c r="I1766" i="3"/>
  <c r="H1766" i="3"/>
  <c r="K1764" i="3"/>
  <c r="J1764" i="3"/>
  <c r="I1764" i="3"/>
  <c r="H1764" i="3"/>
  <c r="K1760" i="3"/>
  <c r="J1760" i="3"/>
  <c r="I1760" i="3"/>
  <c r="H1760" i="3"/>
  <c r="K1756" i="3"/>
  <c r="J1756" i="3"/>
  <c r="K1755" i="3"/>
  <c r="J1755" i="3"/>
  <c r="I1755" i="3"/>
  <c r="H1755" i="3"/>
  <c r="K1754" i="3"/>
  <c r="J1754" i="3"/>
  <c r="I1754" i="3"/>
  <c r="K1753" i="3"/>
  <c r="J1753" i="3"/>
  <c r="I1753" i="3"/>
  <c r="H1753" i="3"/>
  <c r="K1752" i="3"/>
  <c r="J1752" i="3"/>
  <c r="I1752" i="3"/>
  <c r="H1752" i="3"/>
  <c r="K1751" i="3"/>
  <c r="J1751" i="3"/>
  <c r="I1751" i="3"/>
  <c r="H1751" i="3"/>
  <c r="K1750" i="3"/>
  <c r="J1750" i="3"/>
  <c r="I1750" i="3"/>
  <c r="H1750" i="3"/>
  <c r="K1749" i="3"/>
  <c r="J1749" i="3"/>
  <c r="I1749" i="3"/>
  <c r="H1749" i="3"/>
  <c r="J1748" i="3"/>
  <c r="J1757" i="3" s="1"/>
  <c r="I1748" i="3"/>
  <c r="H1748" i="3"/>
  <c r="K1746" i="3"/>
  <c r="J1746" i="3"/>
  <c r="I1746" i="3"/>
  <c r="H1746" i="3"/>
  <c r="K1744" i="3"/>
  <c r="J1744" i="3"/>
  <c r="I1744" i="3"/>
  <c r="H1744" i="3"/>
  <c r="K1740" i="3"/>
  <c r="J1740" i="3"/>
  <c r="I1740" i="3"/>
  <c r="H1740" i="3"/>
  <c r="K1738" i="3"/>
  <c r="J1738" i="3"/>
  <c r="I1738" i="3"/>
  <c r="H1738" i="3"/>
  <c r="K1736" i="3"/>
  <c r="J1736" i="3"/>
  <c r="I1736" i="3"/>
  <c r="H1736" i="3"/>
  <c r="K1734" i="3"/>
  <c r="J1734" i="3"/>
  <c r="I1734" i="3"/>
  <c r="H1734" i="3"/>
  <c r="I1730" i="3"/>
  <c r="I1713" i="3" s="1"/>
  <c r="I1718" i="3" s="1"/>
  <c r="K1729" i="3"/>
  <c r="J1729" i="3"/>
  <c r="I1729" i="3"/>
  <c r="H1729" i="3"/>
  <c r="K1727" i="3"/>
  <c r="J1727" i="3"/>
  <c r="I1727" i="3"/>
  <c r="H1727" i="3"/>
  <c r="K1725" i="3"/>
  <c r="J1725" i="3"/>
  <c r="I1725" i="3"/>
  <c r="H1725" i="3"/>
  <c r="K1722" i="3"/>
  <c r="J1722" i="3"/>
  <c r="I1722" i="3"/>
  <c r="H1722" i="3"/>
  <c r="K1720" i="3"/>
  <c r="J1720" i="3"/>
  <c r="I1719" i="3"/>
  <c r="I1720" i="3" s="1"/>
  <c r="H1719" i="3"/>
  <c r="H1720" i="3" s="1"/>
  <c r="K1717" i="3"/>
  <c r="J1717" i="3"/>
  <c r="I1717" i="3"/>
  <c r="H1717" i="3"/>
  <c r="K1716" i="3"/>
  <c r="J1716" i="3"/>
  <c r="I1716" i="3"/>
  <c r="H1716" i="3"/>
  <c r="K1715" i="3"/>
  <c r="J1715" i="3"/>
  <c r="I1715" i="3"/>
  <c r="H1715" i="3"/>
  <c r="K1714" i="3"/>
  <c r="J1714" i="3"/>
  <c r="J1718" i="3" s="1"/>
  <c r="I1714" i="3"/>
  <c r="H1714" i="3"/>
  <c r="K1713" i="3"/>
  <c r="K1718" i="3" s="1"/>
  <c r="J1713" i="3"/>
  <c r="H1713" i="3"/>
  <c r="H1718" i="3" s="1"/>
  <c r="K1711" i="3"/>
  <c r="J1711" i="3"/>
  <c r="I1711" i="3"/>
  <c r="H1711" i="3"/>
  <c r="K1709" i="3"/>
  <c r="J1709" i="3"/>
  <c r="I1709" i="3"/>
  <c r="H1709" i="3"/>
  <c r="J1707" i="3"/>
  <c r="K1706" i="3"/>
  <c r="K1707" i="3" s="1"/>
  <c r="J1706" i="3"/>
  <c r="I1706" i="3"/>
  <c r="I1707" i="3" s="1"/>
  <c r="H1706" i="3"/>
  <c r="H1707" i="3" s="1"/>
  <c r="K1705" i="3"/>
  <c r="J1705" i="3"/>
  <c r="I1705" i="3"/>
  <c r="H1705" i="3"/>
  <c r="K1702" i="3"/>
  <c r="J1702" i="3"/>
  <c r="I1702" i="3"/>
  <c r="H1702" i="3"/>
  <c r="H1701" i="3"/>
  <c r="K1700" i="3"/>
  <c r="J1700" i="3"/>
  <c r="I1700" i="3"/>
  <c r="H1700" i="3"/>
  <c r="K1697" i="3"/>
  <c r="J1697" i="3"/>
  <c r="I1697" i="3"/>
  <c r="H1697" i="3"/>
  <c r="K1694" i="3"/>
  <c r="J1694" i="3"/>
  <c r="I1694" i="3"/>
  <c r="H1694" i="3"/>
  <c r="K1692" i="3"/>
  <c r="J1692" i="3"/>
  <c r="I1692" i="3"/>
  <c r="H1692" i="3"/>
  <c r="K1689" i="3"/>
  <c r="J1689" i="3"/>
  <c r="I1689" i="3"/>
  <c r="H1689" i="3"/>
  <c r="K1687" i="3"/>
  <c r="J1687" i="3"/>
  <c r="I1687" i="3"/>
  <c r="H1687" i="3"/>
  <c r="K1685" i="3"/>
  <c r="J1685" i="3"/>
  <c r="I1685" i="3"/>
  <c r="H1685" i="3"/>
  <c r="H1684" i="3"/>
  <c r="K1683" i="3"/>
  <c r="J1683" i="3"/>
  <c r="I1683" i="3"/>
  <c r="H1683" i="3"/>
  <c r="K1680" i="3"/>
  <c r="J1680" i="3"/>
  <c r="I1680" i="3"/>
  <c r="H1680" i="3"/>
  <c r="K1678" i="3"/>
  <c r="J1678" i="3"/>
  <c r="H1678" i="3"/>
  <c r="I1677" i="3"/>
  <c r="I1678" i="3" s="1"/>
  <c r="H1676" i="3"/>
  <c r="K1675" i="3"/>
  <c r="J1675" i="3"/>
  <c r="I1675" i="3"/>
  <c r="H1675" i="3"/>
  <c r="H1672" i="3"/>
  <c r="K1670" i="3"/>
  <c r="J1670" i="3"/>
  <c r="I1670" i="3"/>
  <c r="H1670" i="3"/>
  <c r="K1669" i="3"/>
  <c r="K1671" i="3" s="1"/>
  <c r="J1669" i="3"/>
  <c r="I1669" i="3"/>
  <c r="H1669" i="3"/>
  <c r="K1668" i="3"/>
  <c r="J1668" i="3"/>
  <c r="J1671" i="3" s="1"/>
  <c r="I1668" i="3"/>
  <c r="I1671" i="3" s="1"/>
  <c r="H1668" i="3"/>
  <c r="H1671" i="3" s="1"/>
  <c r="K1649" i="3"/>
  <c r="J1649" i="3"/>
  <c r="I1649" i="3"/>
  <c r="H1649" i="3"/>
  <c r="K1646" i="3"/>
  <c r="J1646" i="3"/>
  <c r="I1646" i="3"/>
  <c r="H1644" i="3"/>
  <c r="H1646" i="3" s="1"/>
  <c r="K1639" i="3"/>
  <c r="J1639" i="3"/>
  <c r="H1639" i="3"/>
  <c r="I1635" i="3"/>
  <c r="I1639" i="3" s="1"/>
  <c r="K1634" i="3"/>
  <c r="J1634" i="3"/>
  <c r="I1634" i="3"/>
  <c r="H1634" i="3"/>
  <c r="K1614" i="3"/>
  <c r="J1614" i="3"/>
  <c r="I1614" i="3"/>
  <c r="H1610" i="3"/>
  <c r="H1567" i="3" s="1"/>
  <c r="H1578" i="3" s="1"/>
  <c r="K1609" i="3"/>
  <c r="J1609" i="3"/>
  <c r="I1609" i="3"/>
  <c r="H1606" i="3"/>
  <c r="H1609" i="3" s="1"/>
  <c r="K1605" i="3"/>
  <c r="J1605" i="3"/>
  <c r="I1605" i="3"/>
  <c r="H1605" i="3"/>
  <c r="K1602" i="3"/>
  <c r="J1602" i="3"/>
  <c r="I1602" i="3"/>
  <c r="H1602" i="3"/>
  <c r="K1598" i="3"/>
  <c r="J1598" i="3"/>
  <c r="I1598" i="3"/>
  <c r="H1598" i="3"/>
  <c r="K1594" i="3"/>
  <c r="J1594" i="3"/>
  <c r="I1594" i="3"/>
  <c r="H1594" i="3"/>
  <c r="H1593" i="3"/>
  <c r="K1589" i="3"/>
  <c r="J1589" i="3"/>
  <c r="I1589" i="3"/>
  <c r="H1589" i="3"/>
  <c r="K1585" i="3"/>
  <c r="J1585" i="3"/>
  <c r="H1585" i="3"/>
  <c r="I1583" i="3"/>
  <c r="I1585" i="3" s="1"/>
  <c r="K1581" i="3"/>
  <c r="J1581" i="3"/>
  <c r="I1581" i="3"/>
  <c r="H1581" i="3"/>
  <c r="K1577" i="3"/>
  <c r="J1577" i="3"/>
  <c r="I1577" i="3"/>
  <c r="H1577" i="3"/>
  <c r="K1576" i="3"/>
  <c r="J1576" i="3"/>
  <c r="I1576" i="3"/>
  <c r="H1576" i="3"/>
  <c r="K1575" i="3"/>
  <c r="K1809" i="3" s="1"/>
  <c r="J1575" i="3"/>
  <c r="I1575" i="3"/>
  <c r="I1809" i="3" s="1"/>
  <c r="H1575" i="3"/>
  <c r="K1574" i="3"/>
  <c r="J1574" i="3"/>
  <c r="I1574" i="3"/>
  <c r="H1574" i="3"/>
  <c r="K1571" i="3"/>
  <c r="K1811" i="3" s="1"/>
  <c r="J1571" i="3"/>
  <c r="I1571" i="3"/>
  <c r="I1811" i="3" s="1"/>
  <c r="H1571" i="3"/>
  <c r="K1570" i="3"/>
  <c r="J1570" i="3"/>
  <c r="I1570" i="3"/>
  <c r="H1570" i="3"/>
  <c r="K1569" i="3"/>
  <c r="J1569" i="3"/>
  <c r="I1569" i="3"/>
  <c r="H1569" i="3"/>
  <c r="K1568" i="3"/>
  <c r="J1568" i="3"/>
  <c r="H1568" i="3"/>
  <c r="H1796" i="3" s="1"/>
  <c r="K1567" i="3"/>
  <c r="J1567" i="3"/>
  <c r="I1567" i="3"/>
  <c r="K1566" i="3"/>
  <c r="J1566" i="3"/>
  <c r="I1566" i="3"/>
  <c r="H1566" i="3"/>
  <c r="K1565" i="3"/>
  <c r="K1578" i="3" s="1"/>
  <c r="H1565" i="3"/>
  <c r="K1564" i="3"/>
  <c r="J1564" i="3"/>
  <c r="H1564" i="3"/>
  <c r="I1559" i="3"/>
  <c r="I1528" i="3" s="1"/>
  <c r="I1546" i="3"/>
  <c r="I1564" i="3" s="1"/>
  <c r="K1544" i="3"/>
  <c r="J1544" i="3"/>
  <c r="H1544" i="3"/>
  <c r="I1534" i="3"/>
  <c r="I1530" i="3"/>
  <c r="I1544" i="3" s="1"/>
  <c r="K1528" i="3"/>
  <c r="J1528" i="3"/>
  <c r="H1528" i="3"/>
  <c r="K1527" i="3"/>
  <c r="J1527" i="3"/>
  <c r="J1529" i="3" s="1"/>
  <c r="I1527" i="3"/>
  <c r="H1527" i="3"/>
  <c r="H1529" i="3" s="1"/>
  <c r="K1520" i="3"/>
  <c r="K1795" i="3" s="1"/>
  <c r="J1520" i="3"/>
  <c r="J1795" i="3" s="1"/>
  <c r="I1520" i="3"/>
  <c r="I1795" i="3" s="1"/>
  <c r="H1520" i="3"/>
  <c r="H1795" i="3" s="1"/>
  <c r="K1519" i="3"/>
  <c r="K1521" i="3" s="1"/>
  <c r="J1519" i="3"/>
  <c r="J1521" i="3" s="1"/>
  <c r="I1519" i="3"/>
  <c r="I1521" i="3" s="1"/>
  <c r="H1519" i="3"/>
  <c r="H1521" i="3" s="1"/>
  <c r="K1515" i="3"/>
  <c r="J1515" i="3"/>
  <c r="H1515" i="3"/>
  <c r="K1514" i="3"/>
  <c r="J1514" i="3"/>
  <c r="H1514" i="3"/>
  <c r="K1513" i="3"/>
  <c r="J1513" i="3"/>
  <c r="I1513" i="3"/>
  <c r="H1513" i="3"/>
  <c r="K1512" i="3"/>
  <c r="J1512" i="3"/>
  <c r="H1512" i="3"/>
  <c r="K1511" i="3"/>
  <c r="J1511" i="3"/>
  <c r="I1511" i="3"/>
  <c r="H1511" i="3"/>
  <c r="K1508" i="3"/>
  <c r="J1508" i="3"/>
  <c r="I1508" i="3"/>
  <c r="H1508" i="3"/>
  <c r="K1507" i="3"/>
  <c r="J1507" i="3"/>
  <c r="I1507" i="3"/>
  <c r="H1507" i="3"/>
  <c r="H1506" i="3"/>
  <c r="H1516" i="3" s="1"/>
  <c r="K1504" i="3"/>
  <c r="J1504" i="3"/>
  <c r="H1504" i="3"/>
  <c r="I1502" i="3"/>
  <c r="I1501" i="3"/>
  <c r="I1512" i="3" s="1"/>
  <c r="I1499" i="3"/>
  <c r="I1515" i="3" s="1"/>
  <c r="I1498" i="3"/>
  <c r="I1514" i="3" s="1"/>
  <c r="K1496" i="3"/>
  <c r="J1496" i="3"/>
  <c r="I1496" i="3"/>
  <c r="H1496" i="3"/>
  <c r="K1493" i="3"/>
  <c r="J1493" i="3"/>
  <c r="H1492" i="3"/>
  <c r="I1491" i="3"/>
  <c r="I1493" i="3" s="1"/>
  <c r="I1486" i="3" s="1"/>
  <c r="H1491" i="3"/>
  <c r="H1493" i="3" s="1"/>
  <c r="H1486" i="3" s="1"/>
  <c r="K1490" i="3"/>
  <c r="K1486" i="3" s="1"/>
  <c r="J1490" i="3"/>
  <c r="I1490" i="3"/>
  <c r="H1490" i="3"/>
  <c r="I1489" i="3"/>
  <c r="J1486" i="3"/>
  <c r="K1484" i="3"/>
  <c r="J1484" i="3"/>
  <c r="H1484" i="3"/>
  <c r="I1482" i="3"/>
  <c r="I1484" i="3" s="1"/>
  <c r="K1481" i="3"/>
  <c r="J1481" i="3"/>
  <c r="I1481" i="3"/>
  <c r="H1481" i="3"/>
  <c r="K1479" i="3"/>
  <c r="J1479" i="3"/>
  <c r="I1479" i="3"/>
  <c r="H1479" i="3"/>
  <c r="K1477" i="3"/>
  <c r="J1477" i="3"/>
  <c r="I1477" i="3"/>
  <c r="H1477" i="3"/>
  <c r="K1475" i="3"/>
  <c r="J1475" i="3"/>
  <c r="H1475" i="3"/>
  <c r="I1473" i="3"/>
  <c r="I1475" i="3" s="1"/>
  <c r="K1472" i="3"/>
  <c r="J1472" i="3"/>
  <c r="I1472" i="3"/>
  <c r="H1472" i="3"/>
  <c r="K1469" i="3"/>
  <c r="J1469" i="3"/>
  <c r="I1469" i="3"/>
  <c r="H1469" i="3"/>
  <c r="K1466" i="3"/>
  <c r="J1466" i="3"/>
  <c r="H1466" i="3"/>
  <c r="I1464" i="3"/>
  <c r="I1466" i="3" s="1"/>
  <c r="J1463" i="3"/>
  <c r="J1505" i="3" s="1"/>
  <c r="H1463" i="3"/>
  <c r="H1505" i="3" s="1"/>
  <c r="H1517" i="3" s="1"/>
  <c r="K1460" i="3"/>
  <c r="K1463" i="3" s="1"/>
  <c r="K1505" i="3" s="1"/>
  <c r="J1460" i="3"/>
  <c r="J1506" i="3" s="1"/>
  <c r="J1516" i="3" s="1"/>
  <c r="I1460" i="3"/>
  <c r="I1463" i="3" s="1"/>
  <c r="K1456" i="3"/>
  <c r="J1456" i="3"/>
  <c r="H1456" i="3"/>
  <c r="K1455" i="3"/>
  <c r="J1455" i="3"/>
  <c r="I1455" i="3"/>
  <c r="H1455" i="3"/>
  <c r="K1454" i="3"/>
  <c r="J1454" i="3"/>
  <c r="I1454" i="3"/>
  <c r="H1454" i="3"/>
  <c r="K1452" i="3"/>
  <c r="J1452" i="3"/>
  <c r="I1452" i="3"/>
  <c r="H1452" i="3"/>
  <c r="K1450" i="3"/>
  <c r="J1450" i="3"/>
  <c r="I1450" i="3"/>
  <c r="H1450" i="3"/>
  <c r="K1449" i="3"/>
  <c r="J1449" i="3"/>
  <c r="H1449" i="3"/>
  <c r="K1448" i="3"/>
  <c r="J1448" i="3"/>
  <c r="I1448" i="3"/>
  <c r="H1448" i="3"/>
  <c r="K1445" i="3"/>
  <c r="J1445" i="3"/>
  <c r="I1445" i="3"/>
  <c r="I1440" i="3" s="1"/>
  <c r="H1443" i="3"/>
  <c r="H1445" i="3" s="1"/>
  <c r="H1440" i="3" s="1"/>
  <c r="K1440" i="3"/>
  <c r="J1440" i="3"/>
  <c r="K1439" i="3"/>
  <c r="I1439" i="3"/>
  <c r="H1439" i="3"/>
  <c r="J1435" i="3"/>
  <c r="J1439" i="3" s="1"/>
  <c r="I1435" i="3"/>
  <c r="H1435" i="3"/>
  <c r="K1429" i="3"/>
  <c r="H1429" i="3"/>
  <c r="J1428" i="3"/>
  <c r="J1429" i="3" s="1"/>
  <c r="J1405" i="3" s="1"/>
  <c r="I1428" i="3"/>
  <c r="I1429" i="3" s="1"/>
  <c r="K1425" i="3"/>
  <c r="J1425" i="3"/>
  <c r="H1425" i="3"/>
  <c r="I1424" i="3"/>
  <c r="I1425" i="3" s="1"/>
  <c r="K1423" i="3"/>
  <c r="J1423" i="3"/>
  <c r="I1423" i="3"/>
  <c r="H1423" i="3"/>
  <c r="J1421" i="3"/>
  <c r="H1419" i="3"/>
  <c r="H1415" i="3"/>
  <c r="H1421" i="3" s="1"/>
  <c r="I1413" i="3"/>
  <c r="I1421" i="3" s="1"/>
  <c r="H1413" i="3"/>
  <c r="K1411" i="3"/>
  <c r="K1421" i="3" s="1"/>
  <c r="K1405" i="3" s="1"/>
  <c r="K1409" i="3"/>
  <c r="J1409" i="3"/>
  <c r="I1409" i="3"/>
  <c r="H1409" i="3"/>
  <c r="K1404" i="3"/>
  <c r="J1404" i="3"/>
  <c r="I1404" i="3"/>
  <c r="K1403" i="3"/>
  <c r="J1403" i="3"/>
  <c r="I1403" i="3"/>
  <c r="H1403" i="3"/>
  <c r="K1401" i="3"/>
  <c r="J1401" i="3"/>
  <c r="I1401" i="3"/>
  <c r="H1401" i="3"/>
  <c r="H1400" i="3"/>
  <c r="K1398" i="3"/>
  <c r="J1398" i="3"/>
  <c r="I1398" i="3"/>
  <c r="H1398" i="3"/>
  <c r="K1393" i="3"/>
  <c r="J1393" i="3"/>
  <c r="I1393" i="3"/>
  <c r="H1393" i="3"/>
  <c r="K1392" i="3"/>
  <c r="K1390" i="3"/>
  <c r="J1390" i="3"/>
  <c r="I1390" i="3"/>
  <c r="H1390" i="3"/>
  <c r="K1387" i="3"/>
  <c r="K1399" i="3" s="1"/>
  <c r="J1387" i="3"/>
  <c r="J1399" i="3" s="1"/>
  <c r="I1387" i="3"/>
  <c r="I1399" i="3" s="1"/>
  <c r="H1387" i="3"/>
  <c r="K1384" i="3"/>
  <c r="J1384" i="3"/>
  <c r="K1383" i="3"/>
  <c r="J1383" i="3"/>
  <c r="I1383" i="3"/>
  <c r="H1383" i="3"/>
  <c r="H1367" i="3" s="1"/>
  <c r="J1381" i="3"/>
  <c r="I1381" i="3"/>
  <c r="K1380" i="3"/>
  <c r="J1380" i="3"/>
  <c r="I1380" i="3"/>
  <c r="I1367" i="3" s="1"/>
  <c r="H1380" i="3"/>
  <c r="K1377" i="3"/>
  <c r="K1367" i="3" s="1"/>
  <c r="J1377" i="3"/>
  <c r="J1367" i="3" s="1"/>
  <c r="I1377" i="3"/>
  <c r="H1377" i="3"/>
  <c r="I1371" i="3"/>
  <c r="K1365" i="3"/>
  <c r="K1355" i="3" s="1"/>
  <c r="J1365" i="3"/>
  <c r="I1365" i="3"/>
  <c r="H1365" i="3"/>
  <c r="K1363" i="3"/>
  <c r="J1363" i="3"/>
  <c r="I1363" i="3"/>
  <c r="H1359" i="3"/>
  <c r="H1363" i="3" s="1"/>
  <c r="H1358" i="3"/>
  <c r="K1357" i="3"/>
  <c r="J1357" i="3"/>
  <c r="I1357" i="3"/>
  <c r="I1355" i="3" s="1"/>
  <c r="H1357" i="3"/>
  <c r="H1355" i="3" s="1"/>
  <c r="H1356" i="3"/>
  <c r="H1447" i="3" s="1"/>
  <c r="H1457" i="3" s="1"/>
  <c r="J1355" i="3"/>
  <c r="K1354" i="3"/>
  <c r="J1354" i="3"/>
  <c r="I1354" i="3"/>
  <c r="H1354" i="3"/>
  <c r="K1352" i="3"/>
  <c r="J1352" i="3"/>
  <c r="H1352" i="3"/>
  <c r="K1350" i="3"/>
  <c r="J1350" i="3"/>
  <c r="I1350" i="3"/>
  <c r="I1352" i="3" s="1"/>
  <c r="J1349" i="3"/>
  <c r="I1349" i="3"/>
  <c r="H1349" i="3"/>
  <c r="K1346" i="3"/>
  <c r="K1349" i="3" s="1"/>
  <c r="J1346" i="3"/>
  <c r="I1346" i="3"/>
  <c r="K1345" i="3"/>
  <c r="J1345" i="3"/>
  <c r="I1345" i="3"/>
  <c r="H1345" i="3"/>
  <c r="K1343" i="3"/>
  <c r="J1343" i="3"/>
  <c r="I1343" i="3"/>
  <c r="J1342" i="3"/>
  <c r="I1342" i="3"/>
  <c r="H1342" i="3"/>
  <c r="K1340" i="3"/>
  <c r="K1342" i="3" s="1"/>
  <c r="J1340" i="3"/>
  <c r="I1340" i="3"/>
  <c r="I1339" i="3"/>
  <c r="H1339" i="3"/>
  <c r="K1337" i="3"/>
  <c r="K1339" i="3" s="1"/>
  <c r="J1337" i="3"/>
  <c r="J1339" i="3" s="1"/>
  <c r="I1337" i="3"/>
  <c r="H1336" i="3"/>
  <c r="K1334" i="3"/>
  <c r="K1336" i="3" s="1"/>
  <c r="J1334" i="3"/>
  <c r="J1336" i="3" s="1"/>
  <c r="I1334" i="3"/>
  <c r="I1336" i="3" s="1"/>
  <c r="H1333" i="3"/>
  <c r="K1331" i="3"/>
  <c r="K1333" i="3" s="1"/>
  <c r="J1331" i="3"/>
  <c r="J1333" i="3" s="1"/>
  <c r="I1331" i="3"/>
  <c r="I1333" i="3" s="1"/>
  <c r="K1330" i="3"/>
  <c r="J1330" i="3"/>
  <c r="I1330" i="3"/>
  <c r="H1330" i="3"/>
  <c r="J1327" i="3"/>
  <c r="J1324" i="3" s="1"/>
  <c r="H1327" i="3"/>
  <c r="H1446" i="3" s="1"/>
  <c r="K1325" i="3"/>
  <c r="K1447" i="3" s="1"/>
  <c r="K1457" i="3" s="1"/>
  <c r="J1325" i="3"/>
  <c r="J1447" i="3" s="1"/>
  <c r="J1457" i="3" s="1"/>
  <c r="I1325" i="3"/>
  <c r="I1447" i="3" s="1"/>
  <c r="I1457" i="3" s="1"/>
  <c r="K1320" i="3"/>
  <c r="J1320" i="3"/>
  <c r="I1320" i="3"/>
  <c r="K1319" i="3"/>
  <c r="J1319" i="3"/>
  <c r="I1319" i="3"/>
  <c r="H1319" i="3"/>
  <c r="K1318" i="3"/>
  <c r="J1318" i="3"/>
  <c r="I1318" i="3"/>
  <c r="H1318" i="3"/>
  <c r="H1317" i="3"/>
  <c r="I1315" i="3"/>
  <c r="K1313" i="3"/>
  <c r="J1313" i="3"/>
  <c r="I1313" i="3"/>
  <c r="H1313" i="3"/>
  <c r="I1311" i="3"/>
  <c r="H1311" i="3"/>
  <c r="K1310" i="3"/>
  <c r="J1310" i="3"/>
  <c r="I1310" i="3"/>
  <c r="H1310" i="3"/>
  <c r="I1309" i="3"/>
  <c r="H1309" i="3"/>
  <c r="K1302" i="3"/>
  <c r="J1302" i="3"/>
  <c r="I1302" i="3"/>
  <c r="H1302" i="3"/>
  <c r="H1298" i="3"/>
  <c r="J1295" i="3"/>
  <c r="I1294" i="3"/>
  <c r="H1292" i="3"/>
  <c r="I1290" i="3"/>
  <c r="I1285" i="3" s="1"/>
  <c r="I1269" i="3" s="1"/>
  <c r="H1290" i="3"/>
  <c r="H1285" i="3" s="1"/>
  <c r="H1269" i="3" s="1"/>
  <c r="K1285" i="3"/>
  <c r="K1269" i="3" s="1"/>
  <c r="J1285" i="3"/>
  <c r="J1269" i="3" s="1"/>
  <c r="I1284" i="3"/>
  <c r="K1274" i="3"/>
  <c r="J1274" i="3"/>
  <c r="I1274" i="3"/>
  <c r="H1274" i="3"/>
  <c r="K1271" i="3"/>
  <c r="J1271" i="3"/>
  <c r="I1271" i="3"/>
  <c r="H1271" i="3"/>
  <c r="K1270" i="3"/>
  <c r="J1270" i="3"/>
  <c r="I1270" i="3"/>
  <c r="H1270" i="3"/>
  <c r="H1264" i="3"/>
  <c r="I1261" i="3"/>
  <c r="H1261" i="3"/>
  <c r="J1258" i="3"/>
  <c r="I1256" i="3"/>
  <c r="H1256" i="3"/>
  <c r="K1250" i="3"/>
  <c r="J1250" i="3"/>
  <c r="J1239" i="3" s="1"/>
  <c r="J1244" i="3" s="1"/>
  <c r="H1248" i="3"/>
  <c r="H1241" i="3" s="1"/>
  <c r="H1316" i="3" s="1"/>
  <c r="K1243" i="3"/>
  <c r="J1243" i="3"/>
  <c r="I1243" i="3"/>
  <c r="H1243" i="3"/>
  <c r="K1242" i="3"/>
  <c r="J1242" i="3"/>
  <c r="I1242" i="3"/>
  <c r="H1242" i="3"/>
  <c r="K1241" i="3"/>
  <c r="K1316" i="3" s="1"/>
  <c r="J1241" i="3"/>
  <c r="J1316" i="3" s="1"/>
  <c r="I1241" i="3"/>
  <c r="I1316" i="3" s="1"/>
  <c r="K1240" i="3"/>
  <c r="J1240" i="3"/>
  <c r="I1240" i="3"/>
  <c r="H1240" i="3"/>
  <c r="K1239" i="3"/>
  <c r="K1244" i="3" s="1"/>
  <c r="I1239" i="3"/>
  <c r="I1244" i="3" s="1"/>
  <c r="H1239" i="3"/>
  <c r="H1244" i="3" s="1"/>
  <c r="K1236" i="3"/>
  <c r="J1236" i="3"/>
  <c r="I1236" i="3"/>
  <c r="H1236" i="3"/>
  <c r="K1234" i="3"/>
  <c r="J1234" i="3"/>
  <c r="I1234" i="3"/>
  <c r="H1234" i="3"/>
  <c r="K1232" i="3"/>
  <c r="H1232" i="3"/>
  <c r="J1231" i="3"/>
  <c r="J1232" i="3" s="1"/>
  <c r="I1231" i="3"/>
  <c r="I1232" i="3" s="1"/>
  <c r="K1230" i="3"/>
  <c r="J1230" i="3"/>
  <c r="I1230" i="3"/>
  <c r="H1230" i="3"/>
  <c r="J1229" i="3"/>
  <c r="K1228" i="3"/>
  <c r="J1228" i="3"/>
  <c r="H1228" i="3"/>
  <c r="I1226" i="3"/>
  <c r="I1228" i="3" s="1"/>
  <c r="H1225" i="3"/>
  <c r="H1222" i="3" s="1"/>
  <c r="K1223" i="3"/>
  <c r="K1225" i="3" s="1"/>
  <c r="K1222" i="3" s="1"/>
  <c r="J1223" i="3"/>
  <c r="J1225" i="3" s="1"/>
  <c r="I1223" i="3"/>
  <c r="I1225" i="3" s="1"/>
  <c r="I1222" i="3" s="1"/>
  <c r="K1221" i="3"/>
  <c r="J1221" i="3"/>
  <c r="I1221" i="3"/>
  <c r="H1221" i="3"/>
  <c r="K1220" i="3"/>
  <c r="J1220" i="3"/>
  <c r="I1220" i="3"/>
  <c r="H1220" i="3"/>
  <c r="K1219" i="3"/>
  <c r="J1219" i="3"/>
  <c r="H1219" i="3"/>
  <c r="K1217" i="3"/>
  <c r="J1217" i="3"/>
  <c r="I1217" i="3"/>
  <c r="H1215" i="3"/>
  <c r="H1217" i="3" s="1"/>
  <c r="I1212" i="3"/>
  <c r="I1211" i="3"/>
  <c r="I1210" i="3"/>
  <c r="I1207" i="3" s="1"/>
  <c r="K1208" i="3"/>
  <c r="K1207" i="3" s="1"/>
  <c r="J1208" i="3"/>
  <c r="I1208" i="3"/>
  <c r="J1207" i="3"/>
  <c r="H1207" i="3"/>
  <c r="K1206" i="3"/>
  <c r="J1206" i="3"/>
  <c r="I1206" i="3"/>
  <c r="H1206" i="3"/>
  <c r="K1203" i="3"/>
  <c r="J1203" i="3"/>
  <c r="I1203" i="3"/>
  <c r="H1203" i="3"/>
  <c r="H1197" i="3"/>
  <c r="H1196" i="3"/>
  <c r="H1189" i="3" s="1"/>
  <c r="H1195" i="3"/>
  <c r="H1191" i="3"/>
  <c r="H1190" i="3"/>
  <c r="K1189" i="3"/>
  <c r="J1189" i="3"/>
  <c r="I1189" i="3"/>
  <c r="J1187" i="3"/>
  <c r="J1183" i="3" s="1"/>
  <c r="J1184" i="3" s="1"/>
  <c r="I1187" i="3"/>
  <c r="H1184" i="3"/>
  <c r="K1183" i="3"/>
  <c r="K1184" i="3" s="1"/>
  <c r="I1183" i="3"/>
  <c r="I1184" i="3" s="1"/>
  <c r="H1183" i="3"/>
  <c r="H1176" i="3"/>
  <c r="K1175" i="3"/>
  <c r="K1177" i="3" s="1"/>
  <c r="J1175" i="3"/>
  <c r="J1177" i="3" s="1"/>
  <c r="I1175" i="3"/>
  <c r="H1175" i="3"/>
  <c r="K1174" i="3"/>
  <c r="J1174" i="3"/>
  <c r="I1174" i="3"/>
  <c r="I1177" i="3" s="1"/>
  <c r="H1174" i="3"/>
  <c r="H1177" i="3" s="1"/>
  <c r="I1169" i="3"/>
  <c r="I1165" i="3" s="1"/>
  <c r="I1167" i="3" s="1"/>
  <c r="K1166" i="3"/>
  <c r="J1166" i="3"/>
  <c r="I1166" i="3"/>
  <c r="H1166" i="3"/>
  <c r="K1165" i="3"/>
  <c r="K1167" i="3" s="1"/>
  <c r="J1165" i="3"/>
  <c r="J1167" i="3" s="1"/>
  <c r="H1165" i="3"/>
  <c r="H1167" i="3" s="1"/>
  <c r="K1162" i="3"/>
  <c r="J1162" i="3"/>
  <c r="I1162" i="3"/>
  <c r="H1162" i="3"/>
  <c r="K1160" i="3"/>
  <c r="J1160" i="3"/>
  <c r="I1160" i="3"/>
  <c r="H1160" i="3"/>
  <c r="K1156" i="3"/>
  <c r="J1156" i="3"/>
  <c r="I1156" i="3"/>
  <c r="H1156" i="3"/>
  <c r="K1153" i="3"/>
  <c r="J1153" i="3"/>
  <c r="I1153" i="3"/>
  <c r="H1153" i="3"/>
  <c r="I1143" i="3"/>
  <c r="H1141" i="3"/>
  <c r="I1140" i="3"/>
  <c r="I1138" i="3"/>
  <c r="I1092" i="3" s="1"/>
  <c r="H1133" i="3"/>
  <c r="H1087" i="3" s="1"/>
  <c r="H1132" i="3"/>
  <c r="I1120" i="3"/>
  <c r="J1112" i="3"/>
  <c r="J1110" i="3"/>
  <c r="J1107" i="3"/>
  <c r="J1105" i="3"/>
  <c r="J1092" i="3" s="1"/>
  <c r="K1104" i="3"/>
  <c r="K1085" i="3" s="1"/>
  <c r="J1104" i="3"/>
  <c r="J1085" i="3" s="1"/>
  <c r="J1099" i="3"/>
  <c r="I1099" i="3"/>
  <c r="I1098" i="3"/>
  <c r="K1092" i="3"/>
  <c r="H1092" i="3"/>
  <c r="K1091" i="3"/>
  <c r="J1091" i="3"/>
  <c r="I1091" i="3"/>
  <c r="H1091" i="3"/>
  <c r="K1090" i="3"/>
  <c r="J1090" i="3"/>
  <c r="I1090" i="3"/>
  <c r="H1090" i="3"/>
  <c r="K1089" i="3"/>
  <c r="J1089" i="3"/>
  <c r="I1089" i="3"/>
  <c r="H1089" i="3"/>
  <c r="K1088" i="3"/>
  <c r="J1088" i="3"/>
  <c r="I1088" i="3"/>
  <c r="H1088" i="3"/>
  <c r="K1087" i="3"/>
  <c r="J1087" i="3"/>
  <c r="I1087" i="3"/>
  <c r="K1086" i="3"/>
  <c r="K1309" i="3" s="1"/>
  <c r="J1086" i="3"/>
  <c r="J1309" i="3" s="1"/>
  <c r="I1086" i="3"/>
  <c r="H1086" i="3"/>
  <c r="I1085" i="3"/>
  <c r="I1308" i="3" s="1"/>
  <c r="H1085" i="3"/>
  <c r="H1308" i="3" s="1"/>
  <c r="K1083" i="3"/>
  <c r="K1022" i="3" s="1"/>
  <c r="J1083" i="3"/>
  <c r="K1078" i="3"/>
  <c r="J1078" i="3"/>
  <c r="I1078" i="3"/>
  <c r="I1077" i="3"/>
  <c r="I1076" i="3"/>
  <c r="I1071" i="3"/>
  <c r="I1066" i="3" s="1"/>
  <c r="I1070" i="3"/>
  <c r="I1065" i="3" s="1"/>
  <c r="K1066" i="3"/>
  <c r="K1314" i="3" s="1"/>
  <c r="J1066" i="3"/>
  <c r="J1314" i="3" s="1"/>
  <c r="H1066" i="3"/>
  <c r="H1314" i="3" s="1"/>
  <c r="K1065" i="3"/>
  <c r="J1065" i="3"/>
  <c r="H1065" i="3"/>
  <c r="H1021" i="3" s="1"/>
  <c r="I1061" i="3"/>
  <c r="I1060" i="3"/>
  <c r="I1051" i="3"/>
  <c r="J1049" i="3"/>
  <c r="I1049" i="3"/>
  <c r="I1048" i="3"/>
  <c r="I1043" i="3"/>
  <c r="I1041" i="3"/>
  <c r="I1039" i="3"/>
  <c r="I1037" i="3"/>
  <c r="J1035" i="3"/>
  <c r="I1035" i="3"/>
  <c r="H1035" i="3"/>
  <c r="K1028" i="3"/>
  <c r="J1028" i="3"/>
  <c r="I1028" i="3"/>
  <c r="H1028" i="3"/>
  <c r="K1027" i="3"/>
  <c r="K1311" i="3" s="1"/>
  <c r="J1027" i="3"/>
  <c r="J1311" i="3" s="1"/>
  <c r="I1027" i="3"/>
  <c r="H1027" i="3"/>
  <c r="K1026" i="3"/>
  <c r="J1026" i="3"/>
  <c r="H1026" i="3"/>
  <c r="K1025" i="3"/>
  <c r="J1025" i="3"/>
  <c r="I1025" i="3"/>
  <c r="H1025" i="3"/>
  <c r="K1024" i="3"/>
  <c r="K1317" i="3" s="1"/>
  <c r="J1024" i="3"/>
  <c r="J1317" i="3" s="1"/>
  <c r="I1024" i="3"/>
  <c r="I1317" i="3" s="1"/>
  <c r="H1024" i="3"/>
  <c r="J1022" i="3"/>
  <c r="I1022" i="3"/>
  <c r="H1022" i="3"/>
  <c r="K1021" i="3"/>
  <c r="J1021" i="3"/>
  <c r="K1018" i="3"/>
  <c r="J1018" i="3"/>
  <c r="I1018" i="3"/>
  <c r="H1016" i="3"/>
  <c r="H1018" i="3" s="1"/>
  <c r="K1015" i="3"/>
  <c r="J1015" i="3"/>
  <c r="I1015" i="3"/>
  <c r="H1015" i="3"/>
  <c r="K1013" i="3"/>
  <c r="J1013" i="3"/>
  <c r="I1013" i="3"/>
  <c r="K1012" i="3"/>
  <c r="J1012" i="3"/>
  <c r="I1012" i="3"/>
  <c r="H1012" i="3"/>
  <c r="K1009" i="3"/>
  <c r="J1009" i="3"/>
  <c r="I1009" i="3"/>
  <c r="H1009" i="3"/>
  <c r="K1006" i="3"/>
  <c r="J1006" i="3"/>
  <c r="I1006" i="3"/>
  <c r="H1006" i="3"/>
  <c r="K1003" i="3"/>
  <c r="J1003" i="3"/>
  <c r="I1003" i="3"/>
  <c r="H1003" i="3"/>
  <c r="K1000" i="3"/>
  <c r="J1000" i="3"/>
  <c r="I1000" i="3"/>
  <c r="H1000" i="3"/>
  <c r="K997" i="3"/>
  <c r="J997" i="3"/>
  <c r="I997" i="3"/>
  <c r="H997" i="3"/>
  <c r="K994" i="3"/>
  <c r="J994" i="3"/>
  <c r="I994" i="3"/>
  <c r="H994" i="3"/>
  <c r="I992" i="3"/>
  <c r="K991" i="3"/>
  <c r="J991" i="3"/>
  <c r="I991" i="3"/>
  <c r="H991" i="3"/>
  <c r="K988" i="3"/>
  <c r="J988" i="3"/>
  <c r="I988" i="3"/>
  <c r="H988" i="3"/>
  <c r="K985" i="3"/>
  <c r="J985" i="3"/>
  <c r="I985" i="3"/>
  <c r="H985" i="3"/>
  <c r="K982" i="3"/>
  <c r="J982" i="3"/>
  <c r="I982" i="3"/>
  <c r="H982" i="3"/>
  <c r="K978" i="3"/>
  <c r="J978" i="3"/>
  <c r="I978" i="3"/>
  <c r="H978" i="3"/>
  <c r="K977" i="3"/>
  <c r="K979" i="3" s="1"/>
  <c r="J977" i="3"/>
  <c r="J979" i="3" s="1"/>
  <c r="I977" i="3"/>
  <c r="I979" i="3" s="1"/>
  <c r="H977" i="3"/>
  <c r="H979" i="3" s="1"/>
  <c r="K972" i="3"/>
  <c r="J972" i="3"/>
  <c r="I972" i="3"/>
  <c r="H972" i="3"/>
  <c r="K971" i="3"/>
  <c r="J971" i="3"/>
  <c r="I971" i="3"/>
  <c r="H971" i="3"/>
  <c r="K970" i="3"/>
  <c r="J970" i="3"/>
  <c r="I970" i="3"/>
  <c r="H970" i="3"/>
  <c r="K969" i="3"/>
  <c r="J969" i="3"/>
  <c r="I969" i="3"/>
  <c r="H969" i="3"/>
  <c r="K968" i="3"/>
  <c r="J968" i="3"/>
  <c r="I968" i="3"/>
  <c r="H968" i="3"/>
  <c r="K967" i="3"/>
  <c r="J967" i="3"/>
  <c r="I967" i="3"/>
  <c r="K966" i="3"/>
  <c r="J966" i="3"/>
  <c r="I966" i="3"/>
  <c r="H966" i="3"/>
  <c r="K965" i="3"/>
  <c r="J965" i="3"/>
  <c r="I965" i="3"/>
  <c r="H965" i="3"/>
  <c r="K964" i="3"/>
  <c r="I964" i="3"/>
  <c r="K963" i="3"/>
  <c r="H963" i="3"/>
  <c r="K962" i="3"/>
  <c r="J962" i="3"/>
  <c r="I962" i="3"/>
  <c r="H962" i="3"/>
  <c r="K961" i="3"/>
  <c r="J961" i="3"/>
  <c r="H961" i="3"/>
  <c r="K960" i="3"/>
  <c r="J960" i="3"/>
  <c r="I960" i="3"/>
  <c r="H960" i="3"/>
  <c r="H959" i="3"/>
  <c r="K957" i="3"/>
  <c r="H957" i="3"/>
  <c r="J956" i="3"/>
  <c r="J957" i="3" s="1"/>
  <c r="I956" i="3"/>
  <c r="I957" i="3" s="1"/>
  <c r="I944" i="3" s="1"/>
  <c r="K954" i="3"/>
  <c r="J954" i="3"/>
  <c r="I954" i="3"/>
  <c r="H954" i="3"/>
  <c r="K951" i="3"/>
  <c r="I951" i="3"/>
  <c r="H951" i="3"/>
  <c r="J950" i="3"/>
  <c r="J951" i="3" s="1"/>
  <c r="J944" i="3" s="1"/>
  <c r="K949" i="3"/>
  <c r="J949" i="3"/>
  <c r="I949" i="3"/>
  <c r="H949" i="3"/>
  <c r="K947" i="3"/>
  <c r="J947" i="3"/>
  <c r="I947" i="3"/>
  <c r="H947" i="3"/>
  <c r="K942" i="3"/>
  <c r="J942" i="3"/>
  <c r="I942" i="3"/>
  <c r="H942" i="3"/>
  <c r="K937" i="3"/>
  <c r="J937" i="3"/>
  <c r="I937" i="3"/>
  <c r="H937" i="3"/>
  <c r="K932" i="3"/>
  <c r="J932" i="3"/>
  <c r="I929" i="3"/>
  <c r="I932" i="3" s="1"/>
  <c r="I926" i="3" s="1"/>
  <c r="H929" i="3"/>
  <c r="H932" i="3" s="1"/>
  <c r="K925" i="3"/>
  <c r="J925" i="3"/>
  <c r="I925" i="3"/>
  <c r="H925" i="3"/>
  <c r="I921" i="3"/>
  <c r="H921" i="3"/>
  <c r="K919" i="3"/>
  <c r="K921" i="3" s="1"/>
  <c r="K887" i="3" s="1"/>
  <c r="J919" i="3"/>
  <c r="J921" i="3" s="1"/>
  <c r="K918" i="3"/>
  <c r="I918" i="3"/>
  <c r="H918" i="3"/>
  <c r="J917" i="3"/>
  <c r="J918" i="3" s="1"/>
  <c r="I917" i="3"/>
  <c r="J916" i="3"/>
  <c r="J964" i="3" s="1"/>
  <c r="I915" i="3"/>
  <c r="K914" i="3"/>
  <c r="J914" i="3"/>
  <c r="I914" i="3"/>
  <c r="H914" i="3"/>
  <c r="K911" i="3"/>
  <c r="J911" i="3"/>
  <c r="I911" i="3"/>
  <c r="H911" i="3"/>
  <c r="K908" i="3"/>
  <c r="J908" i="3"/>
  <c r="I908" i="3"/>
  <c r="H908" i="3"/>
  <c r="K905" i="3"/>
  <c r="J905" i="3"/>
  <c r="I905" i="3"/>
  <c r="H905" i="3"/>
  <c r="K901" i="3"/>
  <c r="J901" i="3"/>
  <c r="I901" i="3"/>
  <c r="H901" i="3"/>
  <c r="K898" i="3"/>
  <c r="J898" i="3"/>
  <c r="I898" i="3"/>
  <c r="H898" i="3"/>
  <c r="K895" i="3"/>
  <c r="J895" i="3"/>
  <c r="I895" i="3"/>
  <c r="I887" i="3" s="1"/>
  <c r="H895" i="3"/>
  <c r="K886" i="3"/>
  <c r="J886" i="3"/>
  <c r="I886" i="3"/>
  <c r="H886" i="3"/>
  <c r="K882" i="3"/>
  <c r="J882" i="3"/>
  <c r="H882" i="3"/>
  <c r="I880" i="3"/>
  <c r="I882" i="3" s="1"/>
  <c r="K879" i="3"/>
  <c r="J879" i="3"/>
  <c r="I879" i="3"/>
  <c r="H879" i="3"/>
  <c r="I877" i="3"/>
  <c r="I963" i="3" s="1"/>
  <c r="K876" i="3"/>
  <c r="J876" i="3"/>
  <c r="I876" i="3"/>
  <c r="H876" i="3"/>
  <c r="K872" i="3"/>
  <c r="J872" i="3"/>
  <c r="I872" i="3"/>
  <c r="H872" i="3"/>
  <c r="K864" i="3"/>
  <c r="J864" i="3"/>
  <c r="I864" i="3"/>
  <c r="H864" i="3"/>
  <c r="K862" i="3"/>
  <c r="J862" i="3"/>
  <c r="I862" i="3"/>
  <c r="H862" i="3"/>
  <c r="K860" i="3"/>
  <c r="J860" i="3"/>
  <c r="I860" i="3"/>
  <c r="H860" i="3"/>
  <c r="K857" i="3"/>
  <c r="J857" i="3"/>
  <c r="J852" i="3" s="1"/>
  <c r="I855" i="3"/>
  <c r="I857" i="3" s="1"/>
  <c r="I852" i="3" s="1"/>
  <c r="H855" i="3"/>
  <c r="H857" i="3" s="1"/>
  <c r="K851" i="3"/>
  <c r="J851" i="3"/>
  <c r="I851" i="3"/>
  <c r="H851" i="3"/>
  <c r="K847" i="3"/>
  <c r="J847" i="3"/>
  <c r="I847" i="3"/>
  <c r="H847" i="3"/>
  <c r="K843" i="3"/>
  <c r="J843" i="3"/>
  <c r="I843" i="3"/>
  <c r="H843" i="3"/>
  <c r="K840" i="3"/>
  <c r="J840" i="3"/>
  <c r="H840" i="3"/>
  <c r="I839" i="3"/>
  <c r="I840" i="3" s="1"/>
  <c r="I838" i="3"/>
  <c r="H833" i="3"/>
  <c r="K832" i="3"/>
  <c r="K833" i="3" s="1"/>
  <c r="J832" i="3"/>
  <c r="J833" i="3" s="1"/>
  <c r="I832" i="3"/>
  <c r="I833" i="3" s="1"/>
  <c r="K831" i="3"/>
  <c r="J831" i="3"/>
  <c r="I831" i="3"/>
  <c r="H829" i="3"/>
  <c r="H831" i="3" s="1"/>
  <c r="K828" i="3"/>
  <c r="J828" i="3"/>
  <c r="I828" i="3"/>
  <c r="H828" i="3"/>
  <c r="K824" i="3"/>
  <c r="J824" i="3"/>
  <c r="I824" i="3"/>
  <c r="H823" i="3"/>
  <c r="H964" i="3" s="1"/>
  <c r="K819" i="3"/>
  <c r="J819" i="3"/>
  <c r="I819" i="3"/>
  <c r="H819" i="3"/>
  <c r="I811" i="3"/>
  <c r="H811" i="3"/>
  <c r="K807" i="3"/>
  <c r="K811" i="3" s="1"/>
  <c r="J807" i="3"/>
  <c r="J811" i="3" s="1"/>
  <c r="I807" i="3"/>
  <c r="H806" i="3"/>
  <c r="K800" i="3"/>
  <c r="K806" i="3" s="1"/>
  <c r="J800" i="3"/>
  <c r="J806" i="3" s="1"/>
  <c r="I800" i="3"/>
  <c r="I806" i="3" s="1"/>
  <c r="I799" i="3" s="1"/>
  <c r="K797" i="3"/>
  <c r="J797" i="3"/>
  <c r="I797" i="3"/>
  <c r="H797" i="3"/>
  <c r="K794" i="3"/>
  <c r="J794" i="3"/>
  <c r="I794" i="3"/>
  <c r="H794" i="3"/>
  <c r="K791" i="3"/>
  <c r="J791" i="3"/>
  <c r="H791" i="3"/>
  <c r="I790" i="3"/>
  <c r="I961" i="3" s="1"/>
  <c r="K788" i="3"/>
  <c r="K786" i="3" s="1"/>
  <c r="J788" i="3"/>
  <c r="J786" i="3" s="1"/>
  <c r="I788" i="3"/>
  <c r="H788" i="3"/>
  <c r="K785" i="3"/>
  <c r="J785" i="3"/>
  <c r="I785" i="3"/>
  <c r="H784" i="3"/>
  <c r="H785" i="3" s="1"/>
  <c r="K783" i="3"/>
  <c r="J783" i="3"/>
  <c r="I783" i="3"/>
  <c r="H783" i="3"/>
  <c r="K779" i="3"/>
  <c r="J779" i="3"/>
  <c r="H779" i="3"/>
  <c r="I778" i="3"/>
  <c r="I779" i="3" s="1"/>
  <c r="K774" i="3"/>
  <c r="J774" i="3"/>
  <c r="I774" i="3"/>
  <c r="H774" i="3"/>
  <c r="K771" i="3"/>
  <c r="J771" i="3"/>
  <c r="I771" i="3"/>
  <c r="H771" i="3"/>
  <c r="K769" i="3"/>
  <c r="J769" i="3"/>
  <c r="I768" i="3"/>
  <c r="I769" i="3" s="1"/>
  <c r="H768" i="3"/>
  <c r="H769" i="3" s="1"/>
  <c r="K767" i="3"/>
  <c r="J767" i="3"/>
  <c r="I767" i="3"/>
  <c r="H767" i="3"/>
  <c r="K760" i="3"/>
  <c r="H760" i="3"/>
  <c r="K758" i="3"/>
  <c r="J758" i="3"/>
  <c r="I758" i="3"/>
  <c r="H758" i="3"/>
  <c r="K757" i="3"/>
  <c r="J757" i="3"/>
  <c r="I757" i="3"/>
  <c r="H757" i="3"/>
  <c r="K756" i="3"/>
  <c r="J756" i="3"/>
  <c r="I756" i="3"/>
  <c r="H756" i="3"/>
  <c r="K755" i="3"/>
  <c r="H755" i="3"/>
  <c r="K754" i="3"/>
  <c r="J754" i="3"/>
  <c r="H754" i="3"/>
  <c r="K752" i="3"/>
  <c r="J752" i="3"/>
  <c r="I752" i="3"/>
  <c r="K751" i="3"/>
  <c r="J751" i="3"/>
  <c r="H751" i="3"/>
  <c r="K750" i="3"/>
  <c r="J750" i="3"/>
  <c r="H750" i="3"/>
  <c r="K749" i="3"/>
  <c r="J749" i="3"/>
  <c r="I749" i="3"/>
  <c r="H749" i="3"/>
  <c r="K745" i="3"/>
  <c r="J745" i="3"/>
  <c r="I745" i="3"/>
  <c r="H745" i="3"/>
  <c r="K742" i="3"/>
  <c r="J742" i="3"/>
  <c r="I742" i="3"/>
  <c r="H742" i="3"/>
  <c r="K739" i="3"/>
  <c r="J739" i="3"/>
  <c r="I739" i="3"/>
  <c r="H739" i="3"/>
  <c r="K737" i="3"/>
  <c r="J737" i="3"/>
  <c r="H737" i="3"/>
  <c r="J731" i="3"/>
  <c r="J760" i="3" s="1"/>
  <c r="I731" i="3"/>
  <c r="I760" i="3" s="1"/>
  <c r="K730" i="3"/>
  <c r="J730" i="3"/>
  <c r="I730" i="3"/>
  <c r="I729" i="3"/>
  <c r="I754" i="3" s="1"/>
  <c r="I728" i="3"/>
  <c r="I737" i="3" s="1"/>
  <c r="K725" i="3"/>
  <c r="J725" i="3"/>
  <c r="I725" i="3"/>
  <c r="H725" i="3"/>
  <c r="K722" i="3"/>
  <c r="J722" i="3"/>
  <c r="I722" i="3"/>
  <c r="H721" i="3"/>
  <c r="H722" i="3" s="1"/>
  <c r="H719" i="3"/>
  <c r="J715" i="3"/>
  <c r="I715" i="3"/>
  <c r="K714" i="3"/>
  <c r="K747" i="3" s="1"/>
  <c r="J714" i="3"/>
  <c r="J719" i="3" s="1"/>
  <c r="I714" i="3"/>
  <c r="K710" i="3"/>
  <c r="J710" i="3"/>
  <c r="I710" i="3"/>
  <c r="H710" i="3"/>
  <c r="K704" i="3"/>
  <c r="J704" i="3"/>
  <c r="I704" i="3"/>
  <c r="H704" i="3"/>
  <c r="J703" i="3"/>
  <c r="K702" i="3"/>
  <c r="J702" i="3"/>
  <c r="I701" i="3"/>
  <c r="I702" i="3" s="1"/>
  <c r="H701" i="3"/>
  <c r="K699" i="3"/>
  <c r="J699" i="3"/>
  <c r="I699" i="3"/>
  <c r="H699" i="3"/>
  <c r="K697" i="3"/>
  <c r="J697" i="3"/>
  <c r="I697" i="3"/>
  <c r="H697" i="3"/>
  <c r="K694" i="3"/>
  <c r="J694" i="3"/>
  <c r="I694" i="3"/>
  <c r="H694" i="3"/>
  <c r="K692" i="3"/>
  <c r="H692" i="3"/>
  <c r="J690" i="3"/>
  <c r="J755" i="3" s="1"/>
  <c r="I690" i="3"/>
  <c r="K689" i="3"/>
  <c r="J689" i="3"/>
  <c r="I689" i="3"/>
  <c r="H689" i="3"/>
  <c r="K686" i="3"/>
  <c r="J686" i="3"/>
  <c r="I686" i="3"/>
  <c r="H686" i="3"/>
  <c r="K683" i="3"/>
  <c r="J683" i="3"/>
  <c r="I683" i="3"/>
  <c r="H683" i="3"/>
  <c r="K679" i="3"/>
  <c r="J679" i="3"/>
  <c r="I677" i="3"/>
  <c r="I751" i="3" s="1"/>
  <c r="H675" i="3"/>
  <c r="H679" i="3" s="1"/>
  <c r="I674" i="3"/>
  <c r="K673" i="3"/>
  <c r="J673" i="3"/>
  <c r="H673" i="3"/>
  <c r="I671" i="3"/>
  <c r="I673" i="3" s="1"/>
  <c r="K670" i="3"/>
  <c r="J670" i="3"/>
  <c r="I670" i="3"/>
  <c r="H670" i="3"/>
  <c r="K668" i="3"/>
  <c r="J668" i="3"/>
  <c r="I668" i="3"/>
  <c r="H668" i="3"/>
  <c r="J664" i="3"/>
  <c r="H662" i="3"/>
  <c r="H752" i="3" s="1"/>
  <c r="K661" i="3"/>
  <c r="K753" i="3" s="1"/>
  <c r="J661" i="3"/>
  <c r="J753" i="3" s="1"/>
  <c r="I661" i="3"/>
  <c r="I753" i="3" s="1"/>
  <c r="H661" i="3"/>
  <c r="H753" i="3" s="1"/>
  <c r="K660" i="3"/>
  <c r="K748" i="3" s="1"/>
  <c r="J660" i="3"/>
  <c r="J748" i="3" s="1"/>
  <c r="I660" i="3"/>
  <c r="I748" i="3" s="1"/>
  <c r="H660" i="3"/>
  <c r="I659" i="3"/>
  <c r="I664" i="3" s="1"/>
  <c r="K658" i="3"/>
  <c r="J658" i="3"/>
  <c r="I658" i="3"/>
  <c r="H658" i="3"/>
  <c r="K654" i="3"/>
  <c r="J654" i="3"/>
  <c r="I654" i="3"/>
  <c r="H654" i="3"/>
  <c r="K652" i="3"/>
  <c r="J652" i="3"/>
  <c r="I652" i="3"/>
  <c r="H652" i="3"/>
  <c r="K644" i="3"/>
  <c r="J644" i="3"/>
  <c r="I644" i="3"/>
  <c r="H644" i="3"/>
  <c r="K643" i="3"/>
  <c r="J643" i="3"/>
  <c r="I643" i="3"/>
  <c r="H643" i="3"/>
  <c r="K642" i="3"/>
  <c r="J642" i="3"/>
  <c r="I642" i="3"/>
  <c r="K641" i="3"/>
  <c r="J641" i="3"/>
  <c r="I641" i="3"/>
  <c r="H641" i="3"/>
  <c r="K640" i="3"/>
  <c r="J640" i="3"/>
  <c r="I640" i="3"/>
  <c r="H640" i="3"/>
  <c r="K639" i="3"/>
  <c r="J639" i="3"/>
  <c r="I639" i="3"/>
  <c r="H639" i="3"/>
  <c r="K638" i="3"/>
  <c r="J638" i="3"/>
  <c r="I638" i="3"/>
  <c r="H638" i="3"/>
  <c r="K637" i="3"/>
  <c r="J637" i="3"/>
  <c r="I637" i="3"/>
  <c r="H637" i="3"/>
  <c r="K636" i="3"/>
  <c r="J636" i="3"/>
  <c r="H636" i="3"/>
  <c r="K635" i="3"/>
  <c r="J635" i="3"/>
  <c r="J645" i="3" s="1"/>
  <c r="K633" i="3"/>
  <c r="J633" i="3"/>
  <c r="J634" i="3" s="1"/>
  <c r="J646" i="3" s="1"/>
  <c r="I633" i="3"/>
  <c r="H633" i="3"/>
  <c r="J632" i="3"/>
  <c r="I632" i="3"/>
  <c r="K631" i="3"/>
  <c r="J631" i="3"/>
  <c r="I631" i="3"/>
  <c r="H631" i="3"/>
  <c r="K628" i="3"/>
  <c r="J628" i="3"/>
  <c r="H628" i="3"/>
  <c r="I622" i="3"/>
  <c r="I621" i="3"/>
  <c r="I628" i="3" s="1"/>
  <c r="P617" i="3"/>
  <c r="K617" i="3"/>
  <c r="J617" i="3"/>
  <c r="I617" i="3"/>
  <c r="H617" i="3"/>
  <c r="H618" i="3" s="1"/>
  <c r="K615" i="3"/>
  <c r="K618" i="3" s="1"/>
  <c r="J615" i="3"/>
  <c r="I615" i="3"/>
  <c r="H615" i="3"/>
  <c r="K613" i="3"/>
  <c r="J613" i="3"/>
  <c r="I613" i="3"/>
  <c r="H613" i="3"/>
  <c r="P611" i="3"/>
  <c r="K611" i="3"/>
  <c r="J611" i="3"/>
  <c r="I611" i="3"/>
  <c r="H611" i="3"/>
  <c r="K608" i="3"/>
  <c r="J608" i="3"/>
  <c r="I608" i="3"/>
  <c r="H608" i="3"/>
  <c r="K606" i="3"/>
  <c r="J606" i="3"/>
  <c r="I606" i="3"/>
  <c r="H606" i="3"/>
  <c r="K604" i="3"/>
  <c r="J604" i="3"/>
  <c r="I604" i="3"/>
  <c r="H604" i="3"/>
  <c r="K602" i="3"/>
  <c r="J602" i="3"/>
  <c r="I602" i="3"/>
  <c r="H602" i="3"/>
  <c r="K600" i="3"/>
  <c r="J600" i="3"/>
  <c r="I600" i="3"/>
  <c r="H600" i="3"/>
  <c r="P598" i="3"/>
  <c r="K598" i="3"/>
  <c r="J598" i="3"/>
  <c r="I598" i="3"/>
  <c r="H598" i="3"/>
  <c r="P596" i="3"/>
  <c r="K596" i="3"/>
  <c r="J596" i="3"/>
  <c r="H596" i="3"/>
  <c r="I595" i="3"/>
  <c r="I635" i="3" s="1"/>
  <c r="K593" i="3"/>
  <c r="J593" i="3"/>
  <c r="I593" i="3"/>
  <c r="H592" i="3"/>
  <c r="H635" i="3" s="1"/>
  <c r="H591" i="3"/>
  <c r="H593" i="3" s="1"/>
  <c r="J590" i="3"/>
  <c r="I590" i="3"/>
  <c r="H590" i="3"/>
  <c r="K588" i="3"/>
  <c r="K585" i="3" s="1"/>
  <c r="J588" i="3"/>
  <c r="J585" i="3" s="1"/>
  <c r="I588" i="3"/>
  <c r="H588" i="3"/>
  <c r="K584" i="3"/>
  <c r="J584" i="3"/>
  <c r="I584" i="3"/>
  <c r="H584" i="3"/>
  <c r="K582" i="3"/>
  <c r="J582" i="3"/>
  <c r="I582" i="3"/>
  <c r="H582" i="3"/>
  <c r="K577" i="3"/>
  <c r="J577" i="3"/>
  <c r="I577" i="3"/>
  <c r="H576" i="3"/>
  <c r="H577" i="3" s="1"/>
  <c r="H568" i="3" s="1"/>
  <c r="K575" i="3"/>
  <c r="J575" i="3"/>
  <c r="I575" i="3"/>
  <c r="H575" i="3"/>
  <c r="K573" i="3"/>
  <c r="K568" i="3" s="1"/>
  <c r="J573" i="3"/>
  <c r="H573" i="3"/>
  <c r="I569" i="3"/>
  <c r="I573" i="3" s="1"/>
  <c r="I568" i="3" s="1"/>
  <c r="K564" i="3"/>
  <c r="J564" i="3"/>
  <c r="I564" i="3"/>
  <c r="H564" i="3"/>
  <c r="K563" i="3"/>
  <c r="J563" i="3"/>
  <c r="I563" i="3"/>
  <c r="H563" i="3"/>
  <c r="K562" i="3"/>
  <c r="J562" i="3"/>
  <c r="I562" i="3"/>
  <c r="H562" i="3"/>
  <c r="K560" i="3"/>
  <c r="J560" i="3"/>
  <c r="I560" i="3"/>
  <c r="H560" i="3"/>
  <c r="K557" i="3"/>
  <c r="J557" i="3"/>
  <c r="I557" i="3"/>
  <c r="H557" i="3"/>
  <c r="K556" i="3"/>
  <c r="J556" i="3"/>
  <c r="I556" i="3"/>
  <c r="H556" i="3"/>
  <c r="K555" i="3"/>
  <c r="J555" i="3"/>
  <c r="I555" i="3"/>
  <c r="H555" i="3"/>
  <c r="J547" i="3"/>
  <c r="I547" i="3"/>
  <c r="H547" i="3"/>
  <c r="K546" i="3"/>
  <c r="K547" i="3" s="1"/>
  <c r="J546" i="3"/>
  <c r="I546" i="3"/>
  <c r="H546" i="3"/>
  <c r="J545" i="3"/>
  <c r="I545" i="3"/>
  <c r="I538" i="3" s="1"/>
  <c r="I539" i="3" s="1"/>
  <c r="I537" i="3" s="1"/>
  <c r="I544" i="3"/>
  <c r="K540" i="3"/>
  <c r="K538" i="3" s="1"/>
  <c r="K539" i="3" s="1"/>
  <c r="K537" i="3" s="1"/>
  <c r="J540" i="3"/>
  <c r="J538" i="3" s="1"/>
  <c r="J539" i="3" s="1"/>
  <c r="J537" i="3" s="1"/>
  <c r="I540" i="3"/>
  <c r="H538" i="3"/>
  <c r="H539" i="3" s="1"/>
  <c r="H537" i="3" s="1"/>
  <c r="I535" i="3"/>
  <c r="H535" i="3"/>
  <c r="H534" i="3"/>
  <c r="H531" i="3"/>
  <c r="I529" i="3"/>
  <c r="K525" i="3"/>
  <c r="J525" i="3"/>
  <c r="I525" i="3"/>
  <c r="H525" i="3"/>
  <c r="K524" i="3"/>
  <c r="K526" i="3" s="1"/>
  <c r="J524" i="3"/>
  <c r="J526" i="3" s="1"/>
  <c r="I524" i="3"/>
  <c r="I523" i="3"/>
  <c r="I522" i="3"/>
  <c r="J520" i="3"/>
  <c r="I520" i="3"/>
  <c r="H519" i="3"/>
  <c r="K516" i="3"/>
  <c r="J516" i="3"/>
  <c r="I516" i="3"/>
  <c r="H516" i="3"/>
  <c r="K515" i="3"/>
  <c r="J515" i="3"/>
  <c r="H515" i="3"/>
  <c r="H517" i="3" s="1"/>
  <c r="K513" i="3"/>
  <c r="J513" i="3"/>
  <c r="J509" i="3" s="1"/>
  <c r="I513" i="3"/>
  <c r="H513" i="3"/>
  <c r="K511" i="3"/>
  <c r="J511" i="3"/>
  <c r="I511" i="3"/>
  <c r="H511" i="3"/>
  <c r="H509" i="3" s="1"/>
  <c r="H510" i="3"/>
  <c r="K509" i="3"/>
  <c r="I509" i="3"/>
  <c r="K507" i="3"/>
  <c r="J507" i="3"/>
  <c r="I507" i="3"/>
  <c r="H507" i="3"/>
  <c r="K505" i="3"/>
  <c r="J505" i="3"/>
  <c r="I505" i="3"/>
  <c r="H505" i="3"/>
  <c r="K503" i="3"/>
  <c r="J503" i="3"/>
  <c r="I503" i="3"/>
  <c r="H503" i="3"/>
  <c r="K500" i="3"/>
  <c r="J500" i="3"/>
  <c r="I500" i="3"/>
  <c r="H500" i="3"/>
  <c r="H499" i="3"/>
  <c r="H455" i="3" s="1"/>
  <c r="H459" i="3" s="1"/>
  <c r="K496" i="3"/>
  <c r="J496" i="3"/>
  <c r="H496" i="3"/>
  <c r="I494" i="3"/>
  <c r="I496" i="3" s="1"/>
  <c r="K493" i="3"/>
  <c r="H493" i="3"/>
  <c r="J490" i="3"/>
  <c r="J493" i="3" s="1"/>
  <c r="I490" i="3"/>
  <c r="I493" i="3" s="1"/>
  <c r="K489" i="3"/>
  <c r="J489" i="3"/>
  <c r="I489" i="3"/>
  <c r="H489" i="3"/>
  <c r="I488" i="3"/>
  <c r="K484" i="3"/>
  <c r="J484" i="3"/>
  <c r="H484" i="3"/>
  <c r="I483" i="3"/>
  <c r="I482" i="3"/>
  <c r="I484" i="3" s="1"/>
  <c r="K480" i="3"/>
  <c r="J480" i="3"/>
  <c r="I480" i="3"/>
  <c r="H480" i="3"/>
  <c r="K476" i="3"/>
  <c r="J476" i="3"/>
  <c r="I476" i="3"/>
  <c r="H476" i="3"/>
  <c r="K471" i="3"/>
  <c r="J471" i="3"/>
  <c r="H471" i="3"/>
  <c r="I469" i="3"/>
  <c r="I471" i="3" s="1"/>
  <c r="K468" i="3"/>
  <c r="J468" i="3"/>
  <c r="I468" i="3"/>
  <c r="H468" i="3"/>
  <c r="K466" i="3"/>
  <c r="J466" i="3"/>
  <c r="I466" i="3"/>
  <c r="H466" i="3"/>
  <c r="K464" i="3"/>
  <c r="J464" i="3"/>
  <c r="I464" i="3"/>
  <c r="H464" i="3"/>
  <c r="K462" i="3"/>
  <c r="J462" i="3"/>
  <c r="H462" i="3"/>
  <c r="I460" i="3"/>
  <c r="I455" i="3" s="1"/>
  <c r="I459" i="3" s="1"/>
  <c r="K458" i="3"/>
  <c r="J458" i="3"/>
  <c r="I458" i="3"/>
  <c r="H458" i="3"/>
  <c r="K457" i="3"/>
  <c r="J457" i="3"/>
  <c r="I457" i="3"/>
  <c r="H457" i="3"/>
  <c r="K456" i="3"/>
  <c r="J456" i="3"/>
  <c r="I456" i="3"/>
  <c r="H456" i="3"/>
  <c r="K455" i="3"/>
  <c r="H454" i="3"/>
  <c r="K453" i="3"/>
  <c r="J453" i="3"/>
  <c r="I453" i="3"/>
  <c r="H453" i="3"/>
  <c r="H451" i="3"/>
  <c r="K449" i="3"/>
  <c r="J449" i="3"/>
  <c r="J451" i="3" s="1"/>
  <c r="I449" i="3"/>
  <c r="I451" i="3" s="1"/>
  <c r="K447" i="3"/>
  <c r="J447" i="3"/>
  <c r="I447" i="3"/>
  <c r="H447" i="3"/>
  <c r="K438" i="3"/>
  <c r="K439" i="3" s="1"/>
  <c r="K437" i="3" s="1"/>
  <c r="J438" i="3"/>
  <c r="J439" i="3" s="1"/>
  <c r="J437" i="3" s="1"/>
  <c r="I438" i="3"/>
  <c r="I439" i="3" s="1"/>
  <c r="I437" i="3" s="1"/>
  <c r="H438" i="3"/>
  <c r="H439" i="3" s="1"/>
  <c r="K436" i="3"/>
  <c r="J436" i="3"/>
  <c r="I436" i="3"/>
  <c r="H436" i="3"/>
  <c r="K431" i="3"/>
  <c r="J431" i="3"/>
  <c r="I431" i="3"/>
  <c r="H431" i="3"/>
  <c r="H424" i="3"/>
  <c r="H422" i="3"/>
  <c r="I421" i="3"/>
  <c r="I399" i="3" s="1"/>
  <c r="I559" i="3" s="1"/>
  <c r="H421" i="3"/>
  <c r="J416" i="3"/>
  <c r="J399" i="3" s="1"/>
  <c r="I411" i="3"/>
  <c r="H410" i="3"/>
  <c r="H409" i="3"/>
  <c r="H408" i="3"/>
  <c r="I407" i="3"/>
  <c r="H406" i="3"/>
  <c r="H405" i="3"/>
  <c r="H400" i="3" s="1"/>
  <c r="K400" i="3"/>
  <c r="J400" i="3"/>
  <c r="I400" i="3"/>
  <c r="K399" i="3"/>
  <c r="H399" i="3"/>
  <c r="H559" i="3" s="1"/>
  <c r="K396" i="3"/>
  <c r="J396" i="3"/>
  <c r="I396" i="3"/>
  <c r="H396" i="3"/>
  <c r="I395" i="3"/>
  <c r="K394" i="3"/>
  <c r="J394" i="3"/>
  <c r="I394" i="3"/>
  <c r="H394" i="3"/>
  <c r="I393" i="3"/>
  <c r="H1757" i="3" l="1"/>
  <c r="H1793" i="3" s="1"/>
  <c r="H1815" i="3" s="1"/>
  <c r="I1529" i="3"/>
  <c r="K1793" i="3"/>
  <c r="K1794" i="3"/>
  <c r="K1814" i="3" s="1"/>
  <c r="I1565" i="3"/>
  <c r="H1756" i="3"/>
  <c r="H1794" i="3"/>
  <c r="H1814" i="3" s="1"/>
  <c r="J1565" i="3"/>
  <c r="I1756" i="3"/>
  <c r="I1757" i="3" s="1"/>
  <c r="I1794" i="3"/>
  <c r="I1799" i="3"/>
  <c r="I1568" i="3"/>
  <c r="I1796" i="3" s="1"/>
  <c r="K1748" i="3"/>
  <c r="K1757" i="3" s="1"/>
  <c r="H1774" i="3"/>
  <c r="K1529" i="3"/>
  <c r="H1614" i="3"/>
  <c r="J1517" i="3"/>
  <c r="I1504" i="3"/>
  <c r="I1505" i="3" s="1"/>
  <c r="I1517" i="3" s="1"/>
  <c r="I1506" i="3"/>
  <c r="I1516" i="3" s="1"/>
  <c r="K1506" i="3"/>
  <c r="K1516" i="3" s="1"/>
  <c r="K1517" i="3" s="1"/>
  <c r="H1405" i="3"/>
  <c r="I1405" i="3"/>
  <c r="J1446" i="3"/>
  <c r="J1458" i="3" s="1"/>
  <c r="H1458" i="3"/>
  <c r="H1324" i="3"/>
  <c r="I1327" i="3"/>
  <c r="K1327" i="3"/>
  <c r="J1222" i="3"/>
  <c r="J1272" i="3"/>
  <c r="J1307" i="3"/>
  <c r="K1308" i="3"/>
  <c r="K1093" i="3"/>
  <c r="K1068" i="3"/>
  <c r="K1272" i="3"/>
  <c r="K1307" i="3"/>
  <c r="H1272" i="3"/>
  <c r="H1307" i="3"/>
  <c r="I1021" i="3"/>
  <c r="I1067" i="3"/>
  <c r="I1314" i="3"/>
  <c r="I1026" i="3"/>
  <c r="I1272" i="3"/>
  <c r="I1307" i="3"/>
  <c r="J1308" i="3"/>
  <c r="J1093" i="3"/>
  <c r="H1315" i="3"/>
  <c r="J1067" i="3"/>
  <c r="J1068" i="3" s="1"/>
  <c r="I1093" i="3"/>
  <c r="I1219" i="3"/>
  <c r="J1315" i="3"/>
  <c r="H1067" i="3"/>
  <c r="K1067" i="3"/>
  <c r="K1315" i="3"/>
  <c r="H1093" i="3"/>
  <c r="H1320" i="3"/>
  <c r="H967" i="3"/>
  <c r="K554" i="3"/>
  <c r="H524" i="3"/>
  <c r="H526" i="3" s="1"/>
  <c r="H594" i="3"/>
  <c r="J618" i="3"/>
  <c r="K634" i="3"/>
  <c r="J747" i="3"/>
  <c r="J761" i="3" s="1"/>
  <c r="H973" i="3"/>
  <c r="I554" i="3"/>
  <c r="I565" i="3" s="1"/>
  <c r="J455" i="3"/>
  <c r="J459" i="3" s="1"/>
  <c r="H554" i="3"/>
  <c r="H565" i="3" s="1"/>
  <c r="J568" i="3"/>
  <c r="I596" i="3"/>
  <c r="I594" i="3" s="1"/>
  <c r="J958" i="3"/>
  <c r="K799" i="3"/>
  <c r="H852" i="3"/>
  <c r="J926" i="3"/>
  <c r="K958" i="3"/>
  <c r="J594" i="3"/>
  <c r="J517" i="3"/>
  <c r="K594" i="3"/>
  <c r="K645" i="3"/>
  <c r="H664" i="3"/>
  <c r="I755" i="3"/>
  <c r="H747" i="3"/>
  <c r="K852" i="3"/>
  <c r="H926" i="3"/>
  <c r="K944" i="3"/>
  <c r="K459" i="3"/>
  <c r="H585" i="3"/>
  <c r="K559" i="3"/>
  <c r="K517" i="3"/>
  <c r="I585" i="3"/>
  <c r="I679" i="3"/>
  <c r="I719" i="3"/>
  <c r="I700" i="3" s="1"/>
  <c r="I791" i="3"/>
  <c r="I786" i="3" s="1"/>
  <c r="J554" i="3"/>
  <c r="H437" i="3"/>
  <c r="J454" i="3"/>
  <c r="I515" i="3"/>
  <c r="I517" i="3" s="1"/>
  <c r="H748" i="3"/>
  <c r="H944" i="3"/>
  <c r="K454" i="3"/>
  <c r="I526" i="3"/>
  <c r="H786" i="3"/>
  <c r="H887" i="3"/>
  <c r="K926" i="3"/>
  <c r="J799" i="3"/>
  <c r="J887" i="3"/>
  <c r="H799" i="3"/>
  <c r="H764" i="3"/>
  <c r="H958" i="3"/>
  <c r="H974" i="3" s="1"/>
  <c r="I959" i="3"/>
  <c r="I973" i="3" s="1"/>
  <c r="J959" i="3"/>
  <c r="J973" i="3" s="1"/>
  <c r="J974" i="3" s="1"/>
  <c r="J963" i="3"/>
  <c r="H824" i="3"/>
  <c r="K959" i="3"/>
  <c r="K973" i="3" s="1"/>
  <c r="K974" i="3" s="1"/>
  <c r="I764" i="3"/>
  <c r="J764" i="3"/>
  <c r="K764" i="3"/>
  <c r="K700" i="3"/>
  <c r="K761" i="3"/>
  <c r="H761" i="3"/>
  <c r="H648" i="3"/>
  <c r="J700" i="3"/>
  <c r="K664" i="3"/>
  <c r="K648" i="3" s="1"/>
  <c r="I750" i="3"/>
  <c r="H702" i="3"/>
  <c r="H700" i="3" s="1"/>
  <c r="I692" i="3"/>
  <c r="I747" i="3"/>
  <c r="J692" i="3"/>
  <c r="J648" i="3" s="1"/>
  <c r="K719" i="3"/>
  <c r="I634" i="3"/>
  <c r="H634" i="3"/>
  <c r="H642" i="3"/>
  <c r="H645" i="3" s="1"/>
  <c r="I636" i="3"/>
  <c r="I645" i="3" s="1"/>
  <c r="H514" i="3"/>
  <c r="J514" i="3"/>
  <c r="J401" i="3"/>
  <c r="J398" i="3" s="1"/>
  <c r="J559" i="3"/>
  <c r="J565" i="3" s="1"/>
  <c r="K514" i="3"/>
  <c r="I514" i="3"/>
  <c r="I462" i="3"/>
  <c r="I454" i="3" s="1"/>
  <c r="K451" i="3"/>
  <c r="K553" i="3" s="1"/>
  <c r="H401" i="3"/>
  <c r="H398" i="3" s="1"/>
  <c r="I401" i="3"/>
  <c r="I398" i="3" s="1"/>
  <c r="K401" i="3"/>
  <c r="K398" i="3" s="1"/>
  <c r="I357" i="3"/>
  <c r="I356" i="3"/>
  <c r="I355" i="3"/>
  <c r="K1815" i="3" l="1"/>
  <c r="I1814" i="3"/>
  <c r="J1578" i="3"/>
  <c r="J1793" i="3" s="1"/>
  <c r="J1815" i="3" s="1"/>
  <c r="J1794" i="3"/>
  <c r="J1814" i="3" s="1"/>
  <c r="I1578" i="3"/>
  <c r="I1793" i="3" s="1"/>
  <c r="I1815" i="3" s="1"/>
  <c r="K1324" i="3"/>
  <c r="K1446" i="3"/>
  <c r="K1458" i="3" s="1"/>
  <c r="I1446" i="3"/>
  <c r="I1458" i="3" s="1"/>
  <c r="I1324" i="3"/>
  <c r="K1312" i="3"/>
  <c r="K1029" i="3"/>
  <c r="K1030" i="3" s="1"/>
  <c r="I1312" i="3"/>
  <c r="I1029" i="3"/>
  <c r="I1030" i="3" s="1"/>
  <c r="H1312" i="3"/>
  <c r="H1029" i="3"/>
  <c r="H1030" i="3" s="1"/>
  <c r="H1321" i="3"/>
  <c r="I1306" i="3"/>
  <c r="I1322" i="3" s="1"/>
  <c r="I1321" i="3"/>
  <c r="K1321" i="3"/>
  <c r="I1068" i="3"/>
  <c r="H1068" i="3"/>
  <c r="J1312" i="3"/>
  <c r="J1321" i="3" s="1"/>
  <c r="J1029" i="3"/>
  <c r="J1030" i="3" s="1"/>
  <c r="K1306" i="3"/>
  <c r="I618" i="3"/>
  <c r="K646" i="3"/>
  <c r="I746" i="3"/>
  <c r="K565" i="3"/>
  <c r="K566" i="3"/>
  <c r="K746" i="3"/>
  <c r="K762" i="3" s="1"/>
  <c r="J746" i="3"/>
  <c r="J762" i="3" s="1"/>
  <c r="I958" i="3"/>
  <c r="I974" i="3" s="1"/>
  <c r="I648" i="3"/>
  <c r="I761" i="3"/>
  <c r="I762" i="3" s="1"/>
  <c r="H746" i="3"/>
  <c r="H762" i="3" s="1"/>
  <c r="H646" i="3"/>
  <c r="I646" i="3"/>
  <c r="J553" i="3"/>
  <c r="J566" i="3" s="1"/>
  <c r="I553" i="3"/>
  <c r="I566" i="3" s="1"/>
  <c r="H553" i="3"/>
  <c r="H566" i="3" s="1"/>
  <c r="K1322" i="3" l="1"/>
  <c r="J1306" i="3"/>
  <c r="J1322" i="3" s="1"/>
  <c r="H1306" i="3"/>
  <c r="H1322" i="3" s="1"/>
  <c r="I181" i="3" l="1"/>
  <c r="I234" i="3"/>
  <c r="I229" i="3"/>
  <c r="I162" i="3"/>
  <c r="I147" i="3"/>
  <c r="I139" i="3"/>
  <c r="I131" i="3"/>
  <c r="I123" i="3"/>
  <c r="I115" i="3"/>
  <c r="I155" i="3"/>
  <c r="I107" i="3"/>
  <c r="I99" i="3"/>
  <c r="I91" i="3"/>
  <c r="I84" i="3"/>
  <c r="I76" i="3"/>
  <c r="I68" i="3"/>
  <c r="I61" i="3"/>
  <c r="I12" i="3"/>
  <c r="I21" i="3"/>
  <c r="I28" i="3"/>
  <c r="I52" i="3"/>
  <c r="I45" i="3"/>
  <c r="I262" i="3"/>
  <c r="I36" i="3"/>
  <c r="I387" i="3"/>
  <c r="I296" i="3"/>
  <c r="I289" i="3"/>
  <c r="I291" i="3"/>
  <c r="I294" i="3"/>
  <c r="I273" i="3"/>
  <c r="I281" i="3"/>
  <c r="I277" i="3"/>
  <c r="I286" i="3"/>
  <c r="I284" i="3"/>
  <c r="I283" i="3"/>
  <c r="I282" i="3"/>
  <c r="I280" i="3"/>
  <c r="I279" i="3"/>
  <c r="I272" i="3"/>
  <c r="I274" i="3"/>
  <c r="I216" i="3" l="1"/>
  <c r="I215" i="3"/>
  <c r="I183" i="3"/>
  <c r="I203" i="3"/>
  <c r="I310" i="3"/>
  <c r="I311" i="3"/>
  <c r="I322" i="3"/>
  <c r="I323" i="3"/>
  <c r="J322" i="3"/>
  <c r="J303" i="3" s="1"/>
  <c r="J323" i="3"/>
  <c r="J300" i="3" s="1"/>
  <c r="I341" i="3"/>
  <c r="J341" i="3"/>
  <c r="K331" i="3"/>
  <c r="K383" i="3" s="1"/>
  <c r="K330" i="3"/>
  <c r="J331" i="3"/>
  <c r="J383" i="3" s="1"/>
  <c r="J330" i="3"/>
  <c r="I334" i="3"/>
  <c r="K334" i="3"/>
  <c r="J334" i="3"/>
  <c r="I383" i="3"/>
  <c r="H383" i="3"/>
  <c r="K215" i="3"/>
  <c r="J215" i="3"/>
  <c r="K300" i="3"/>
  <c r="H300" i="3"/>
  <c r="J377" i="3"/>
  <c r="K377" i="3"/>
  <c r="I305" i="3"/>
  <c r="K305" i="3"/>
  <c r="H305" i="3"/>
  <c r="J384" i="3"/>
  <c r="K384" i="3"/>
  <c r="H384" i="3"/>
  <c r="K303" i="3"/>
  <c r="H303" i="3"/>
  <c r="I278" i="3"/>
  <c r="I293" i="3"/>
  <c r="I290" i="3"/>
  <c r="I276" i="3"/>
  <c r="I275" i="3"/>
  <c r="I288" i="3"/>
  <c r="I287" i="3"/>
  <c r="I285" i="3"/>
  <c r="I381" i="3"/>
  <c r="K381" i="3"/>
  <c r="H381" i="3"/>
  <c r="J332" i="3"/>
  <c r="H334" i="3"/>
  <c r="K259" i="3"/>
  <c r="J259" i="3"/>
  <c r="I259" i="3"/>
  <c r="I223" i="3"/>
  <c r="I225" i="3" s="1"/>
  <c r="J225" i="3"/>
  <c r="K225" i="3"/>
  <c r="H225" i="3"/>
  <c r="J305" i="3" l="1"/>
  <c r="J381" i="3"/>
  <c r="I301" i="3" l="1"/>
  <c r="J301" i="3"/>
  <c r="K301" i="3"/>
  <c r="J358" i="3"/>
  <c r="J344" i="3"/>
  <c r="K344" i="3"/>
  <c r="K353" i="3"/>
  <c r="K369" i="3"/>
  <c r="J367" i="3"/>
  <c r="I333" i="3"/>
  <c r="H333" i="3"/>
  <c r="J333" i="3"/>
  <c r="J304" i="3"/>
  <c r="K304" i="3"/>
  <c r="H304" i="3"/>
  <c r="K187" i="3"/>
  <c r="J187" i="3"/>
  <c r="I187" i="3"/>
  <c r="K146" i="3"/>
  <c r="J146" i="3"/>
  <c r="I146" i="3"/>
  <c r="K83" i="3"/>
  <c r="J83" i="3"/>
  <c r="I83" i="3"/>
  <c r="K156" i="3"/>
  <c r="J156" i="3"/>
  <c r="I156" i="3"/>
  <c r="K67" i="3"/>
  <c r="J67" i="3"/>
  <c r="I67" i="3"/>
  <c r="K11" i="3"/>
  <c r="J11" i="3"/>
  <c r="I11" i="3"/>
  <c r="K59" i="3"/>
  <c r="J59" i="3"/>
  <c r="I59" i="3"/>
  <c r="K226" i="3"/>
  <c r="J226" i="3"/>
  <c r="I226" i="3"/>
  <c r="K231" i="3"/>
  <c r="J231" i="3"/>
  <c r="I231" i="3"/>
  <c r="K138" i="3"/>
  <c r="J138" i="3"/>
  <c r="I138" i="3"/>
  <c r="K122" i="3"/>
  <c r="J122" i="3"/>
  <c r="I122" i="3"/>
  <c r="K130" i="3"/>
  <c r="J130" i="3"/>
  <c r="I130" i="3"/>
  <c r="K114" i="3"/>
  <c r="J114" i="3"/>
  <c r="I114" i="3"/>
  <c r="K106" i="3"/>
  <c r="J106" i="3"/>
  <c r="I106" i="3"/>
  <c r="K98" i="3"/>
  <c r="J98" i="3"/>
  <c r="I98" i="3"/>
  <c r="K90" i="3"/>
  <c r="J90" i="3"/>
  <c r="I90" i="3"/>
  <c r="K75" i="3"/>
  <c r="J75" i="3"/>
  <c r="I75" i="3"/>
  <c r="K19" i="3"/>
  <c r="J19" i="3"/>
  <c r="I19" i="3"/>
  <c r="K27" i="3"/>
  <c r="J27" i="3"/>
  <c r="I27" i="3"/>
  <c r="K43" i="3"/>
  <c r="J43" i="3"/>
  <c r="I43" i="3"/>
  <c r="K35" i="3"/>
  <c r="K51" i="3"/>
  <c r="J51" i="3"/>
  <c r="I51" i="3"/>
  <c r="J35" i="3"/>
  <c r="I35" i="3"/>
  <c r="J365" i="3"/>
  <c r="I376" i="3"/>
  <c r="J376" i="3"/>
  <c r="K376" i="3"/>
  <c r="K363" i="3"/>
  <c r="I308" i="3"/>
  <c r="I307" i="3"/>
  <c r="J337" i="3"/>
  <c r="K337" i="3"/>
  <c r="I367" i="3"/>
  <c r="I363" i="3"/>
  <c r="I347" i="3"/>
  <c r="I348" i="3"/>
  <c r="I375" i="3" l="1"/>
  <c r="J375" i="3"/>
  <c r="K375" i="3"/>
  <c r="I300" i="3"/>
  <c r="I377" i="3"/>
  <c r="I384" i="3"/>
  <c r="I303" i="3"/>
  <c r="I358" i="3"/>
  <c r="I365" i="3"/>
  <c r="K365" i="3"/>
  <c r="I344" i="3"/>
  <c r="K333" i="3"/>
  <c r="K358" i="3"/>
  <c r="I337" i="3"/>
  <c r="K299" i="3"/>
  <c r="I304" i="3"/>
  <c r="J299" i="3"/>
  <c r="I389" i="3" l="1"/>
  <c r="J389" i="3"/>
  <c r="K389" i="3"/>
  <c r="I388" i="3"/>
  <c r="J388" i="3"/>
  <c r="K388" i="3"/>
  <c r="J387" i="3"/>
  <c r="K387" i="3"/>
  <c r="K386" i="3"/>
  <c r="I386" i="3"/>
  <c r="J386" i="3"/>
  <c r="I380" i="3"/>
  <c r="J380" i="3"/>
  <c r="K380" i="3"/>
  <c r="I379" i="3"/>
  <c r="J379" i="3"/>
  <c r="K379" i="3"/>
  <c r="I378" i="3"/>
  <c r="J378" i="3"/>
  <c r="K378" i="3"/>
  <c r="I302" i="3"/>
  <c r="J302" i="3"/>
  <c r="K302" i="3"/>
  <c r="I373" i="3"/>
  <c r="J373" i="3"/>
  <c r="K373" i="3"/>
  <c r="J362" i="3"/>
  <c r="K362" i="3"/>
  <c r="J340" i="3"/>
  <c r="K340" i="3"/>
  <c r="K324" i="3"/>
  <c r="J320" i="3"/>
  <c r="K320" i="3"/>
  <c r="K315" i="3"/>
  <c r="I329" i="3"/>
  <c r="J329" i="3"/>
  <c r="K329" i="3"/>
  <c r="I309" i="3"/>
  <c r="J309" i="3"/>
  <c r="K309" i="3"/>
  <c r="I297" i="3"/>
  <c r="J297" i="3"/>
  <c r="K297" i="3"/>
  <c r="I270" i="3"/>
  <c r="J270" i="3"/>
  <c r="K270" i="3"/>
  <c r="I265" i="3"/>
  <c r="J265" i="3"/>
  <c r="K265" i="3"/>
  <c r="I263" i="3"/>
  <c r="J263" i="3"/>
  <c r="K263" i="3"/>
  <c r="I257" i="3"/>
  <c r="J257" i="3"/>
  <c r="K257" i="3"/>
  <c r="I249" i="3"/>
  <c r="J249" i="3"/>
  <c r="K249" i="3"/>
  <c r="I246" i="3"/>
  <c r="J246" i="3"/>
  <c r="K246" i="3"/>
  <c r="I242" i="3"/>
  <c r="J242" i="3"/>
  <c r="K242" i="3"/>
  <c r="I240" i="3"/>
  <c r="J240" i="3"/>
  <c r="K240" i="3"/>
  <c r="I238" i="3"/>
  <c r="J238" i="3"/>
  <c r="K238" i="3"/>
  <c r="I235" i="3"/>
  <c r="J235" i="3"/>
  <c r="K235" i="3"/>
  <c r="I230" i="3"/>
  <c r="J230" i="3"/>
  <c r="K230" i="3"/>
  <c r="I221" i="3"/>
  <c r="J221" i="3"/>
  <c r="K221" i="3"/>
  <c r="I213" i="3"/>
  <c r="J213" i="3"/>
  <c r="K213" i="3"/>
  <c r="I209" i="3"/>
  <c r="J209" i="3"/>
  <c r="K209" i="3"/>
  <c r="I206" i="3"/>
  <c r="J206" i="3"/>
  <c r="K206" i="3"/>
  <c r="I202" i="3"/>
  <c r="J202" i="3"/>
  <c r="K202" i="3"/>
  <c r="I200" i="3"/>
  <c r="J200" i="3"/>
  <c r="K200" i="3"/>
  <c r="I195" i="3"/>
  <c r="J195" i="3"/>
  <c r="K195" i="3"/>
  <c r="I192" i="3"/>
  <c r="J192" i="3"/>
  <c r="K192" i="3"/>
  <c r="I188" i="3"/>
  <c r="J188" i="3"/>
  <c r="K188" i="3"/>
  <c r="I186" i="3"/>
  <c r="J186" i="3"/>
  <c r="K186" i="3"/>
  <c r="I182" i="3"/>
  <c r="J182" i="3"/>
  <c r="K182" i="3"/>
  <c r="I178" i="3"/>
  <c r="J178" i="3"/>
  <c r="K178" i="3"/>
  <c r="I171" i="3"/>
  <c r="J171" i="3"/>
  <c r="K171" i="3"/>
  <c r="I167" i="3"/>
  <c r="J167" i="3"/>
  <c r="K167" i="3"/>
  <c r="I165" i="3"/>
  <c r="J165" i="3"/>
  <c r="K165" i="3"/>
  <c r="H165" i="3"/>
  <c r="I158" i="3"/>
  <c r="J158" i="3"/>
  <c r="K158" i="3"/>
  <c r="I150" i="3"/>
  <c r="J150" i="3"/>
  <c r="K150" i="3"/>
  <c r="I142" i="3"/>
  <c r="J142" i="3"/>
  <c r="K142" i="3"/>
  <c r="I134" i="3"/>
  <c r="J134" i="3"/>
  <c r="K134" i="3"/>
  <c r="I126" i="3"/>
  <c r="J126" i="3"/>
  <c r="K126" i="3"/>
  <c r="I118" i="3"/>
  <c r="J118" i="3"/>
  <c r="K118" i="3"/>
  <c r="I110" i="3"/>
  <c r="J110" i="3"/>
  <c r="K110" i="3"/>
  <c r="I102" i="3"/>
  <c r="J102" i="3"/>
  <c r="K102" i="3"/>
  <c r="I94" i="3"/>
  <c r="J94" i="3"/>
  <c r="K94" i="3"/>
  <c r="I87" i="3"/>
  <c r="J87" i="3"/>
  <c r="K87" i="3"/>
  <c r="I79" i="3"/>
  <c r="J79" i="3"/>
  <c r="K79" i="3"/>
  <c r="I71" i="3"/>
  <c r="J71" i="3"/>
  <c r="K71" i="3"/>
  <c r="I63" i="3"/>
  <c r="J63" i="3"/>
  <c r="K63" i="3"/>
  <c r="I55" i="3"/>
  <c r="J55" i="3"/>
  <c r="K55" i="3"/>
  <c r="I47" i="3"/>
  <c r="J47" i="3"/>
  <c r="K47" i="3"/>
  <c r="I39" i="3"/>
  <c r="J39" i="3"/>
  <c r="K39" i="3"/>
  <c r="I31" i="3"/>
  <c r="J31" i="3"/>
  <c r="K31" i="3"/>
  <c r="I23" i="3"/>
  <c r="J23" i="3"/>
  <c r="K23" i="3"/>
  <c r="I15" i="3"/>
  <c r="J15" i="3"/>
  <c r="K15" i="3"/>
  <c r="H309" i="3"/>
  <c r="H373" i="3"/>
  <c r="H315" i="3"/>
  <c r="H263" i="3"/>
  <c r="H158" i="3"/>
  <c r="H150" i="3"/>
  <c r="H142" i="3"/>
  <c r="H134" i="3"/>
  <c r="H126" i="3"/>
  <c r="H118" i="3"/>
  <c r="H110" i="3"/>
  <c r="H102" i="3"/>
  <c r="H94" i="3"/>
  <c r="H87" i="3"/>
  <c r="H79" i="3"/>
  <c r="H71" i="3"/>
  <c r="H63" i="3"/>
  <c r="H55" i="3"/>
  <c r="H47" i="3"/>
  <c r="H39" i="3"/>
  <c r="H31" i="3"/>
  <c r="H23" i="3"/>
  <c r="H386" i="3"/>
  <c r="H15" i="3"/>
  <c r="H220" i="3"/>
  <c r="H219" i="3"/>
  <c r="H209" i="3"/>
  <c r="H388" i="3"/>
  <c r="H324" i="3"/>
  <c r="H363" i="3"/>
  <c r="H329" i="3"/>
  <c r="H265" i="3"/>
  <c r="H257" i="3"/>
  <c r="H245" i="3"/>
  <c r="H244" i="3"/>
  <c r="H242" i="3"/>
  <c r="H240" i="3"/>
  <c r="H238" i="3"/>
  <c r="H213" i="3"/>
  <c r="H202" i="3"/>
  <c r="H199" i="3"/>
  <c r="H198" i="3"/>
  <c r="H197" i="3"/>
  <c r="H182" i="3"/>
  <c r="H167" i="3"/>
  <c r="H375" i="3" l="1"/>
  <c r="H377" i="3"/>
  <c r="H178" i="3"/>
  <c r="H301" i="3"/>
  <c r="H344" i="3"/>
  <c r="H365" i="3"/>
  <c r="H337" i="3"/>
  <c r="K214" i="3"/>
  <c r="J214" i="3"/>
  <c r="K267" i="3"/>
  <c r="J267" i="3"/>
  <c r="I267" i="3"/>
  <c r="K271" i="3"/>
  <c r="J271" i="3"/>
  <c r="I271" i="3"/>
  <c r="H299" i="3"/>
  <c r="H376" i="3"/>
  <c r="I299" i="3"/>
  <c r="I362" i="3"/>
  <c r="I324" i="3"/>
  <c r="J315" i="3"/>
  <c r="H358" i="3"/>
  <c r="H340" i="3"/>
  <c r="I315" i="3"/>
  <c r="K298" i="3"/>
  <c r="J324" i="3"/>
  <c r="I340" i="3"/>
  <c r="K374" i="3"/>
  <c r="K258" i="3"/>
  <c r="K7" i="3"/>
  <c r="J222" i="3"/>
  <c r="H258" i="3"/>
  <c r="I258" i="3"/>
  <c r="J258" i="3"/>
  <c r="H320" i="3"/>
  <c r="K390" i="3"/>
  <c r="H387" i="3"/>
  <c r="H380" i="3"/>
  <c r="H171" i="3"/>
  <c r="H186" i="3"/>
  <c r="H188" i="3"/>
  <c r="H192" i="3"/>
  <c r="H195" i="3"/>
  <c r="H200" i="3"/>
  <c r="H206" i="3"/>
  <c r="H221" i="3"/>
  <c r="I214" i="3"/>
  <c r="H230" i="3"/>
  <c r="H246" i="3"/>
  <c r="H249" i="3"/>
  <c r="H270" i="3"/>
  <c r="H297" i="3"/>
  <c r="H389" i="3"/>
  <c r="H378" i="3"/>
  <c r="H379" i="3"/>
  <c r="I222" i="3"/>
  <c r="K222" i="3"/>
  <c r="H362" i="3"/>
  <c r="H235" i="3"/>
  <c r="H302" i="3"/>
  <c r="H214" i="3" l="1"/>
  <c r="J298" i="3"/>
  <c r="H267" i="3"/>
  <c r="H298" i="3"/>
  <c r="J374" i="3"/>
  <c r="H374" i="3"/>
  <c r="I320" i="3"/>
  <c r="J390" i="3"/>
  <c r="H222" i="3"/>
  <c r="H271" i="3"/>
  <c r="H7" i="3"/>
  <c r="I7" i="3"/>
  <c r="J7" i="3"/>
  <c r="H390" i="3"/>
  <c r="I298" i="3" l="1"/>
  <c r="I374" i="3"/>
  <c r="I390" i="3"/>
  <c r="H391" i="3" l="1"/>
  <c r="I391" i="3"/>
  <c r="J391" i="3"/>
  <c r="K391" i="3"/>
</calcChain>
</file>

<file path=xl/sharedStrings.xml><?xml version="1.0" encoding="utf-8"?>
<sst xmlns="http://schemas.openxmlformats.org/spreadsheetml/2006/main" count="8133" uniqueCount="2542">
  <si>
    <t>Priemonės vykdytojas</t>
  </si>
  <si>
    <t>Vykdytojo kodas</t>
  </si>
  <si>
    <t>Santrumpa</t>
  </si>
  <si>
    <t>Klaipėdos rajono savivaldybės administracija</t>
  </si>
  <si>
    <t>KRSA</t>
  </si>
  <si>
    <t>Architektūros ir teritorijų planavimo skyrius</t>
  </si>
  <si>
    <t>ATPS</t>
  </si>
  <si>
    <t>Bendrųjų reikalų skyrius</t>
  </si>
  <si>
    <t>BRS</t>
  </si>
  <si>
    <t>Biudžeto ir ekonomikos skyrius</t>
  </si>
  <si>
    <t>BES</t>
  </si>
  <si>
    <t>Centralizuotas vidaus audito skyrius</t>
  </si>
  <si>
    <t>CVAS</t>
  </si>
  <si>
    <t>Centrinė buhalterija</t>
  </si>
  <si>
    <t>CB</t>
  </si>
  <si>
    <t>Sveikatos ir socialinės apsaugos skyrius</t>
  </si>
  <si>
    <t>SSAS</t>
  </si>
  <si>
    <t>VšĮ Klaipėdos rajono savivaldybės Gargždų ligoninė</t>
  </si>
  <si>
    <t>7.1</t>
  </si>
  <si>
    <t>-*</t>
  </si>
  <si>
    <t>VšĮ Klaipėdos rajono savivaldybės Gargždų pirminės sveikatos priežiūros centras</t>
  </si>
  <si>
    <t>7.2</t>
  </si>
  <si>
    <t>VšĮ Klaipėdos rajono savivaldybės Priekulės pirminės sveikatos priežiūros centras</t>
  </si>
  <si>
    <t>7.3</t>
  </si>
  <si>
    <t>VšĮ Klaipėdos rajono savivaldybės Paupių pirminės sveikatos priežiūros centras</t>
  </si>
  <si>
    <t>7.4</t>
  </si>
  <si>
    <t>BĮ Klaipėdos rajono savivaldybės visuomenės sveikatos biuras</t>
  </si>
  <si>
    <t>7.5</t>
  </si>
  <si>
    <t>BĮ Klaipėdos rajono paramos šeimai centras</t>
  </si>
  <si>
    <t>7.6</t>
  </si>
  <si>
    <t>BĮ Gargždų socialinių paslaugų centras</t>
  </si>
  <si>
    <t>7.7</t>
  </si>
  <si>
    <t>BĮ Priekulės socialinių paslaugų centras</t>
  </si>
  <si>
    <t>7.8</t>
  </si>
  <si>
    <t>Viliaus Gaigalaičio globos namai</t>
  </si>
  <si>
    <t>7.9</t>
  </si>
  <si>
    <t>VšĮ Klaipėdos rajono savivaldybės sveikatos centras</t>
  </si>
  <si>
    <t>7.10</t>
  </si>
  <si>
    <t>Kultūros skyrius</t>
  </si>
  <si>
    <t>KS</t>
  </si>
  <si>
    <t>Jono Lankučio viešoji biblioteka</t>
  </si>
  <si>
    <t>8.1</t>
  </si>
  <si>
    <t>Klaipėdos rajono etninės kultūros centras</t>
  </si>
  <si>
    <t>8.2</t>
  </si>
  <si>
    <t>Gargždų krašto muziejus</t>
  </si>
  <si>
    <t>8.3</t>
  </si>
  <si>
    <t>BĮ Gargždų kultūros centras</t>
  </si>
  <si>
    <t>8.4</t>
  </si>
  <si>
    <t>BĮ Kretingalės kultūros centras</t>
  </si>
  <si>
    <t>8.5</t>
  </si>
  <si>
    <t>BĮ Priekulės meno ir kultūros centras</t>
  </si>
  <si>
    <t>8.6</t>
  </si>
  <si>
    <t>BĮ Veiviržėnų kultūros centras</t>
  </si>
  <si>
    <t>8.7</t>
  </si>
  <si>
    <t>BĮ Vėžaičių kultūros centras</t>
  </si>
  <si>
    <t>8.8</t>
  </si>
  <si>
    <t>Statybos ir kelių priežiūros skyrius</t>
  </si>
  <si>
    <t>SKPS</t>
  </si>
  <si>
    <t>Infrastruktūros plėtros skyrius</t>
  </si>
  <si>
    <t>9.1</t>
  </si>
  <si>
    <t>IPS</t>
  </si>
  <si>
    <t>AB „Klaipėdos vanduo“</t>
  </si>
  <si>
    <t>9.2</t>
  </si>
  <si>
    <t>UAB „Klaipėdos rajono energija“ </t>
  </si>
  <si>
    <t>9.3</t>
  </si>
  <si>
    <t>Strateginio planavimo ir projektų valdymo skyrius</t>
  </si>
  <si>
    <t>SPPVS</t>
  </si>
  <si>
    <t>Švietimo ir sporto skyrius</t>
  </si>
  <si>
    <t>ŠSS</t>
  </si>
  <si>
    <t>Gargždų „Minijos“ progimnazija</t>
  </si>
  <si>
    <t>11.1</t>
  </si>
  <si>
    <t>Gargždų „Kranto“ progimnazija</t>
  </si>
  <si>
    <t>11.2</t>
  </si>
  <si>
    <t>Gargždų „Vaivorykštės“ gimnazija</t>
  </si>
  <si>
    <t>11.3</t>
  </si>
  <si>
    <t>Priekulės Ievos Simonaitytės gimnazija</t>
  </si>
  <si>
    <t>11.4</t>
  </si>
  <si>
    <t>Veiviržėnų Jurgio Šaulio gimnazija</t>
  </si>
  <si>
    <t>11.5</t>
  </si>
  <si>
    <t>Endriejavo pagrindinė mokykla</t>
  </si>
  <si>
    <t>11.6</t>
  </si>
  <si>
    <t>Agluonėnų mokykla-darželis</t>
  </si>
  <si>
    <t>11.7</t>
  </si>
  <si>
    <t>Dituvos A. T. Kuršaičio pagrindinė mokykla</t>
  </si>
  <si>
    <t>11.8</t>
  </si>
  <si>
    <t>Dovilų pagrindinė mokykla</t>
  </si>
  <si>
    <t>11.9</t>
  </si>
  <si>
    <t>Ketvergių pagrindinė mokykla</t>
  </si>
  <si>
    <t>11.10</t>
  </si>
  <si>
    <t>Kretingalės pagrindinė mokykla</t>
  </si>
  <si>
    <t>11.11</t>
  </si>
  <si>
    <t>Plikių Ievos Labutytės pagrindinė mokykla</t>
  </si>
  <si>
    <t>11.12</t>
  </si>
  <si>
    <t>Vėžaičių pagrindinė mokykla</t>
  </si>
  <si>
    <t>11.13</t>
  </si>
  <si>
    <t>Gargždų lopšelis-darželis „Ąžuoliukas“</t>
  </si>
  <si>
    <t>11.14</t>
  </si>
  <si>
    <t>Gargždų lopšelis-darželis „Gintarėlis“</t>
  </si>
  <si>
    <t>11.15</t>
  </si>
  <si>
    <t>Gargždų lopšelis-darželis „Saulutė“</t>
  </si>
  <si>
    <t>11.16</t>
  </si>
  <si>
    <t>Gargždų lopšelis-darželis „Naminukas“</t>
  </si>
  <si>
    <t>11.17</t>
  </si>
  <si>
    <t>Priekulės vaikų lopšelis-darželis</t>
  </si>
  <si>
    <t>11.18</t>
  </si>
  <si>
    <t>Gargždų muzikos mokykla</t>
  </si>
  <si>
    <t>11.19</t>
  </si>
  <si>
    <t>Vaikų ir jaunimo laisvalaikio centras</t>
  </si>
  <si>
    <t>11.20</t>
  </si>
  <si>
    <t>Klaipėdos rajono švietimo centras</t>
  </si>
  <si>
    <t>11.21</t>
  </si>
  <si>
    <t>Pedagoginė psichologinė tarnyba</t>
  </si>
  <si>
    <t>11.22</t>
  </si>
  <si>
    <t>Slengių mokykla-daugiafunkcinis centras</t>
  </si>
  <si>
    <t>11.23</t>
  </si>
  <si>
    <t>BĮ Sporto centras</t>
  </si>
  <si>
    <t>11.24</t>
  </si>
  <si>
    <t>VšĮ „Gargždų futbolas“</t>
  </si>
  <si>
    <t>11.25</t>
  </si>
  <si>
    <t>Buriavimo mokykla „Žiemys“</t>
  </si>
  <si>
    <t>11.26</t>
  </si>
  <si>
    <t>Klaipėdos rajono "Saulės" mokykla</t>
  </si>
  <si>
    <t>11.27</t>
  </si>
  <si>
    <t xml:space="preserve">Teisės ir personalo skyrius </t>
  </si>
  <si>
    <t>TPS</t>
  </si>
  <si>
    <t>Viešosios tvarkos skyrius</t>
  </si>
  <si>
    <t>VTS</t>
  </si>
  <si>
    <t xml:space="preserve">Viešųjų pirkimų skyrius </t>
  </si>
  <si>
    <t>VPS</t>
  </si>
  <si>
    <t>Viešųjų ryšių ir bendradarbiavimo skyrius</t>
  </si>
  <si>
    <t>VRBS</t>
  </si>
  <si>
    <t>BĮ Klaipėdos rajono turizmo informacijos centras</t>
  </si>
  <si>
    <t>15.1</t>
  </si>
  <si>
    <t>Vyriausioji specialistė (jaunimo reikalų koordinatorė)</t>
  </si>
  <si>
    <t>JRK</t>
  </si>
  <si>
    <t>Gargždų atviras jaunimo centras</t>
  </si>
  <si>
    <t>16.1</t>
  </si>
  <si>
    <t>Vyriausioji specialistė (tarpinstitucinio bendradarbiavimo koordinatorė)</t>
  </si>
  <si>
    <t>TIBK</t>
  </si>
  <si>
    <t>Komunalinio ūkio ir aplinkosaugos skyrius</t>
  </si>
  <si>
    <t>KUAS</t>
  </si>
  <si>
    <t>VšĮ Gargždų švara</t>
  </si>
  <si>
    <t>18.1</t>
  </si>
  <si>
    <t>Agluonėnų seniūnija</t>
  </si>
  <si>
    <t>Dauparų-Kvietinių seniūnija</t>
  </si>
  <si>
    <t>Dovilų seniūnija</t>
  </si>
  <si>
    <t>Endriejavo seniūnija</t>
  </si>
  <si>
    <t>Gargždų seniūnija</t>
  </si>
  <si>
    <t>Judrėnų seniūnija</t>
  </si>
  <si>
    <t>Kretingalės seniūnija</t>
  </si>
  <si>
    <t>Priekulės seniūnija</t>
  </si>
  <si>
    <t>Sendvario seniūnija</t>
  </si>
  <si>
    <t>Veiviržėnų seniūnija</t>
  </si>
  <si>
    <t>Vėžaičių seniūnija</t>
  </si>
  <si>
    <t>Klaipėdos rajono priešgaisrinė tarnyba</t>
  </si>
  <si>
    <t>UAB „Gargždų turgus“</t>
  </si>
  <si>
    <t>Žemės ūkio skyrius</t>
  </si>
  <si>
    <t>ŽŪS</t>
  </si>
  <si>
    <t>Paslaugų ir civilinės metrikacijos skyrius</t>
  </si>
  <si>
    <t>PCMS</t>
  </si>
  <si>
    <t>Informacinių technologijų skyrius</t>
  </si>
  <si>
    <t>ITS</t>
  </si>
  <si>
    <t>Patarėjas (už korupcijai atsparios aplinkos kūrimą atsakingas asmuo)</t>
  </si>
  <si>
    <t>KAAK</t>
  </si>
  <si>
    <t>Turto valdymo skyrius</t>
  </si>
  <si>
    <t>TVS</t>
  </si>
  <si>
    <t>Patarėja (lygių galimybių koordinatorė)</t>
  </si>
  <si>
    <t>LGK</t>
  </si>
  <si>
    <t>Žemėtvarkos, geodezijos ir GIS skyrius</t>
  </si>
  <si>
    <t>ŽGGS</t>
  </si>
  <si>
    <t>-* nenaudojama santrumpa, naudojamas pilnas pavadinimas</t>
  </si>
  <si>
    <t>Programos Nr.</t>
  </si>
  <si>
    <t>SVP priemonės numeris</t>
  </si>
  <si>
    <t>Priemonės kodas detalizacijoje</t>
  </si>
  <si>
    <t>Priemonės pavadinimas</t>
  </si>
  <si>
    <t>Atsakingo kodas</t>
  </si>
  <si>
    <t>Kodas biudžete</t>
  </si>
  <si>
    <t>Finansavimo šaltinis</t>
  </si>
  <si>
    <t>2025 m. faktas</t>
  </si>
  <si>
    <t>2026 m.</t>
  </si>
  <si>
    <t>2027 m.</t>
  </si>
  <si>
    <t>2028 m.</t>
  </si>
  <si>
    <t>Požymis</t>
  </si>
  <si>
    <r>
      <t>Seniūnijos teritorija (</t>
    </r>
    <r>
      <rPr>
        <i/>
        <sz val="8"/>
        <rFont val="Arial"/>
        <family val="2"/>
        <charset val="186"/>
      </rPr>
      <t>be įstaigų</t>
    </r>
    <r>
      <rPr>
        <sz val="8"/>
        <rFont val="Arial"/>
        <family val="2"/>
        <charset val="186"/>
      </rPr>
      <t>)</t>
    </r>
  </si>
  <si>
    <t>1-1 Uždavinys: Užtikrinti ugdymo programų įgyvendinimą, jų įvairovę</t>
  </si>
  <si>
    <t>1-1-1</t>
  </si>
  <si>
    <t>Įgyvendinti bendruosius ugdymo planus, užtikrinti tinkamą ugdymo (si) aplinką rajono formaliojo švietimo įstaigoms</t>
  </si>
  <si>
    <t>1-1-1-1</t>
  </si>
  <si>
    <r>
      <t xml:space="preserve">Bendrųjų ugdymo planų, ikimokyklinio ir priešmokyklinio ugdymo programos įgyvendinimas  bei tinkamos ugdymo aplinkos užtikrinimas </t>
    </r>
    <r>
      <rPr>
        <b/>
        <sz val="8"/>
        <rFont val="Arial"/>
        <family val="2"/>
        <charset val="186"/>
      </rPr>
      <t xml:space="preserve">Gargždų „Minijos“ progimnazijoje </t>
    </r>
  </si>
  <si>
    <t>1.1.1.7.</t>
  </si>
  <si>
    <t>ML</t>
  </si>
  <si>
    <t>ML (UK)</t>
  </si>
  <si>
    <t>ML(SL)</t>
  </si>
  <si>
    <t>SB</t>
  </si>
  <si>
    <t>I</t>
  </si>
  <si>
    <t>VBD</t>
  </si>
  <si>
    <t>S</t>
  </si>
  <si>
    <t>VBD(UK)</t>
  </si>
  <si>
    <t>Iš viso</t>
  </si>
  <si>
    <t>1-1-1-2</t>
  </si>
  <si>
    <r>
      <t xml:space="preserve">Bendrųjų ugdymo planų   įgyvendinimas  bei tinkamos ugdymo aplinkos užtikrinimas </t>
    </r>
    <r>
      <rPr>
        <b/>
        <sz val="8"/>
        <rFont val="Arial"/>
        <family val="2"/>
        <charset val="186"/>
      </rPr>
      <t>Gargždų „Kranto“ progimnazijoje</t>
    </r>
  </si>
  <si>
    <t>1.1.1.8.</t>
  </si>
  <si>
    <t>VBD (UK)</t>
  </si>
  <si>
    <t>1-1-1-3</t>
  </si>
  <si>
    <r>
      <t xml:space="preserve">Bendrųjų ugdymo planų, ikimokyklinio ir priešmokyklinio ugdymo programos įgyvendinimas  bei tinkamos ugdymo aplinkos užtikrinimas </t>
    </r>
    <r>
      <rPr>
        <b/>
        <sz val="8"/>
        <rFont val="Arial"/>
        <family val="2"/>
        <charset val="186"/>
      </rPr>
      <t xml:space="preserve">Endriejavo pagrindinėje mokykloje </t>
    </r>
  </si>
  <si>
    <t>1.1.1.9.</t>
  </si>
  <si>
    <t>1-1-1-4</t>
  </si>
  <si>
    <r>
      <t xml:space="preserve">Bendrųjų ugdymo planų įgyvendinimas  bei tinkamos ugdymo aplinkos užtikrinimas </t>
    </r>
    <r>
      <rPr>
        <b/>
        <sz val="8"/>
        <rFont val="Arial"/>
        <family val="2"/>
        <charset val="186"/>
      </rPr>
      <t>Gargždų „Vaivorykštės“ gimnazijoje</t>
    </r>
  </si>
  <si>
    <t>1.1.1.10.</t>
  </si>
  <si>
    <t>1-1-1-5</t>
  </si>
  <si>
    <r>
      <t xml:space="preserve">Bendrųjų ugdymo planų, ikimokyklinio ir priešmokyklinio ugdymo programos įgyvendinimas  bei tinkamos ugdymo aplinkos užtikrinimas </t>
    </r>
    <r>
      <rPr>
        <b/>
        <sz val="8"/>
        <rFont val="Arial"/>
        <family val="2"/>
        <charset val="186"/>
      </rPr>
      <t>Priekulės I.Simonaitytės gimnazijoje</t>
    </r>
  </si>
  <si>
    <t>1.1.1.11.</t>
  </si>
  <si>
    <t>1-1-1-6</t>
  </si>
  <si>
    <r>
      <t>Bendrųjų ugdymo planų, ikimokyklinio ir priešmokyklinio ugdymo programos įgyvendinimas  bei tinkamos ugdymo aplinkos užtikrinimas</t>
    </r>
    <r>
      <rPr>
        <b/>
        <sz val="8"/>
        <rFont val="Arial"/>
        <family val="2"/>
        <charset val="186"/>
      </rPr>
      <t xml:space="preserve"> Veiviržėnų Jurgio Šaulio gimnazijoje</t>
    </r>
  </si>
  <si>
    <t>1.1.1.12.</t>
  </si>
  <si>
    <t>1-1-1-7</t>
  </si>
  <si>
    <r>
      <t xml:space="preserve">Bendrųjų ugdymo planų įgyvendinimas bei tinkamos ugdymo aplinkos užtikrinimas </t>
    </r>
    <r>
      <rPr>
        <b/>
        <sz val="8"/>
        <rFont val="Arial"/>
        <family val="2"/>
        <charset val="186"/>
      </rPr>
      <t>Agluonėnų mokykloje-darželyje</t>
    </r>
  </si>
  <si>
    <t>1.1.1.13.</t>
  </si>
  <si>
    <t>1-1-1-8</t>
  </si>
  <si>
    <r>
      <t xml:space="preserve">Bendrųjų ugdymo planų, ikimokyklinio ir priešmokyklinio ugdymo programos įgyvendinimas bei tinkamos ugdymo aplinkos užtikrinimas </t>
    </r>
    <r>
      <rPr>
        <b/>
        <sz val="8"/>
        <rFont val="Arial"/>
        <family val="2"/>
        <charset val="186"/>
      </rPr>
      <t>Dituvos Aleksandro Teodoro Kuršaičio pagrindinėje mokykloje</t>
    </r>
  </si>
  <si>
    <t>1.1.1.14.</t>
  </si>
  <si>
    <t>1-1-1-9</t>
  </si>
  <si>
    <r>
      <t xml:space="preserve">Bendrųjų ugdymo planų įgyvendinimas bei tinkamos ugdymo aplinkos užtikrinimas </t>
    </r>
    <r>
      <rPr>
        <b/>
        <sz val="8"/>
        <rFont val="Arial"/>
        <family val="2"/>
        <charset val="186"/>
      </rPr>
      <t>Dovilų  pagrindinėje mokykloje</t>
    </r>
  </si>
  <si>
    <t>1.1.1.15.</t>
  </si>
  <si>
    <t>1-1-1-10</t>
  </si>
  <si>
    <r>
      <t xml:space="preserve">Bendrųjų ugdymo planų, ikimokyklinio ir priešmokyklinio ugdymo programos įgyvendinimas bei tinkamos ugdymo aplinkos užtikrinimas </t>
    </r>
    <r>
      <rPr>
        <b/>
        <sz val="8"/>
        <rFont val="Arial"/>
        <family val="2"/>
        <charset val="186"/>
      </rPr>
      <t>Ketvergių pagrindinėje mokykloje</t>
    </r>
  </si>
  <si>
    <t>1.1.1.18.</t>
  </si>
  <si>
    <t>1-1-1-11</t>
  </si>
  <si>
    <r>
      <t xml:space="preserve">Bendrųjų ugdymo planų, ikimokyklinio ir priešmokyklinio ugdymo programos įgyvendinimas bei tinkamos ugdymo aplinkos užtikrinimas </t>
    </r>
    <r>
      <rPr>
        <b/>
        <sz val="8"/>
        <rFont val="Arial"/>
        <family val="2"/>
        <charset val="186"/>
      </rPr>
      <t>Kretingalės pagrindinėje mokykloje</t>
    </r>
  </si>
  <si>
    <t>1.1.1.19.</t>
  </si>
  <si>
    <t>1-1-1-12</t>
  </si>
  <si>
    <r>
      <t xml:space="preserve">Bendrųjų ugdymo planų, ikimokyklinio ir priešmokyklinio ugdymo programos įgyvendinimas bei tinkamos ugdymo aplinkos užtikrinimas </t>
    </r>
    <r>
      <rPr>
        <b/>
        <sz val="8"/>
        <rFont val="Arial"/>
        <family val="2"/>
        <charset val="186"/>
      </rPr>
      <t>Plikių I. Labutytės pagrindinėje mokykloje</t>
    </r>
  </si>
  <si>
    <t>1.1.1.22.</t>
  </si>
  <si>
    <t>1-1-1-13</t>
  </si>
  <si>
    <r>
      <t xml:space="preserve">Bendrųjų ugdymo planų, ikimokyklinio ir priešmokyklinio ugdymo programos įgyven-dinimas bei tinkamos ugdymo aplinkos užtikrinimas </t>
    </r>
    <r>
      <rPr>
        <b/>
        <sz val="8"/>
        <rFont val="Arial"/>
        <family val="2"/>
        <charset val="186"/>
      </rPr>
      <t>Vėžaičių pagrindinėje mokykloje</t>
    </r>
  </si>
  <si>
    <t>1.1.1.24.</t>
  </si>
  <si>
    <t>1-1-1-14</t>
  </si>
  <si>
    <r>
      <t xml:space="preserve">Ikimokyklinio ir priešmokyklinio ugdymo programų įgyvendinimas bei tinkamos ugdymo aplinkos užtikrinimas </t>
    </r>
    <r>
      <rPr>
        <b/>
        <sz val="8"/>
        <rFont val="Arial"/>
        <family val="2"/>
        <charset val="186"/>
      </rPr>
      <t>Gargždų lopšelyje -darželyje „Ąžuoliukas“</t>
    </r>
  </si>
  <si>
    <t>1.1.1.26.</t>
  </si>
  <si>
    <t>1-1-1-15</t>
  </si>
  <si>
    <r>
      <t xml:space="preserve">Ikimokyklinio ir priešmokyklinio ugdymų programų įgyvendinimas bei tinkamos ugdymo aplinkos užtikrinimas </t>
    </r>
    <r>
      <rPr>
        <b/>
        <sz val="8"/>
        <rFont val="Arial"/>
        <family val="2"/>
        <charset val="186"/>
      </rPr>
      <t>Gargždų lopšelyje - darželyje „Gintarėlis“</t>
    </r>
  </si>
  <si>
    <t>1.1.1.27.</t>
  </si>
  <si>
    <t>1-1-1-16</t>
  </si>
  <si>
    <r>
      <t xml:space="preserve">Ikimokyklinio ir priešmokyklinio ugdymų programų įgyvendinimas bei tinkamos ugdymo aplinkos užtikrinimas </t>
    </r>
    <r>
      <rPr>
        <b/>
        <sz val="8"/>
        <rFont val="Arial"/>
        <family val="2"/>
        <charset val="186"/>
      </rPr>
      <t>Gargždų lopšelyje - darželyje „Saulutė“</t>
    </r>
  </si>
  <si>
    <t>1.1.1.28.</t>
  </si>
  <si>
    <t>1-1-1-17</t>
  </si>
  <si>
    <r>
      <t xml:space="preserve">Ikimokyklinio ir priešmokyklinio ugdymų programų įgyvendinimas bei tinkamos ugdymo aplinkos užtikrinimas </t>
    </r>
    <r>
      <rPr>
        <b/>
        <sz val="8"/>
        <rFont val="Arial"/>
        <family val="2"/>
        <charset val="186"/>
      </rPr>
      <t xml:space="preserve">Gargždų lopšelyje - darželyje „Naminukas“ </t>
    </r>
  </si>
  <si>
    <t>1.1.1.29.</t>
  </si>
  <si>
    <t>1-1-1-18</t>
  </si>
  <si>
    <r>
      <t>Ikimokyklinio ir priešmokyklinio ugdymų programų įgyvendinimas bei tinkamos ugdymo aplinkos užtikrinimas</t>
    </r>
    <r>
      <rPr>
        <b/>
        <sz val="8"/>
        <rFont val="Arial"/>
        <family val="2"/>
        <charset val="186"/>
      </rPr>
      <t xml:space="preserve"> Priekulės lopšelyje - darželyje</t>
    </r>
  </si>
  <si>
    <t>1.1.1.33.</t>
  </si>
  <si>
    <t>ML(UK)</t>
  </si>
  <si>
    <t>1-1-1-19</t>
  </si>
  <si>
    <r>
      <t xml:space="preserve">Ikimokyklinio ir priešmokyklinio ugdymų programų įgyvendinimas bei tinkamos ugdymo aplinkos užtikrinimas </t>
    </r>
    <r>
      <rPr>
        <b/>
        <sz val="8"/>
        <rFont val="Arial"/>
        <family val="2"/>
        <charset val="186"/>
      </rPr>
      <t>Slengių mokykloje daugiafunkciame centre</t>
    </r>
  </si>
  <si>
    <t>1.1.1.36.</t>
  </si>
  <si>
    <t>1-1-1-20</t>
  </si>
  <si>
    <r>
      <rPr>
        <sz val="8"/>
        <color rgb="FF000000"/>
        <rFont val="Arial"/>
        <family val="2"/>
        <charset val="186"/>
      </rPr>
      <t xml:space="preserve">Ikimokyklinio ir priešmokyklinio ugdymų programų įgyvendinimas bei tinkamos ugdymo aplinkos užtikrinimas </t>
    </r>
    <r>
      <rPr>
        <b/>
        <sz val="8"/>
        <color rgb="FF000000"/>
        <rFont val="Arial"/>
        <family val="2"/>
        <charset val="186"/>
      </rPr>
      <t>Sendvario</t>
    </r>
    <r>
      <rPr>
        <sz val="8"/>
        <color rgb="FF000000"/>
        <rFont val="Arial"/>
        <family val="2"/>
        <charset val="186"/>
      </rPr>
      <t xml:space="preserve"> "</t>
    </r>
    <r>
      <rPr>
        <b/>
        <sz val="8"/>
        <color rgb="FF000000"/>
        <rFont val="Arial"/>
        <family val="2"/>
        <charset val="186"/>
      </rPr>
      <t>Saulės" mokykloje</t>
    </r>
  </si>
  <si>
    <t>1.1.1.44.</t>
  </si>
  <si>
    <t>1-1-1-21</t>
  </si>
  <si>
    <t>Metų mokytojo vardo premijos skyrimas ir Tarptautinės mokytojo dienos renginio organizavimas</t>
  </si>
  <si>
    <t>11</t>
  </si>
  <si>
    <t>1.1.3.4.</t>
  </si>
  <si>
    <t>NN</t>
  </si>
  <si>
    <t>1-1-1-23</t>
  </si>
  <si>
    <t>"Tūkstantmečio mokyklų" programos projekto įgyvendinimas</t>
  </si>
  <si>
    <t>11, 9</t>
  </si>
  <si>
    <t>1.1.1.43</t>
  </si>
  <si>
    <t>ES</t>
  </si>
  <si>
    <t>PS</t>
  </si>
  <si>
    <t>VBES</t>
  </si>
  <si>
    <t>1-1-1-24</t>
  </si>
  <si>
    <t>Įtraukusis ugdymas Klaipėdos rajono ugdymo įstaigose</t>
  </si>
  <si>
    <t>9</t>
  </si>
  <si>
    <t>1.1.3.19.</t>
  </si>
  <si>
    <t>NK</t>
  </si>
  <si>
    <t>Gargždų</t>
  </si>
  <si>
    <t>11.14-11.17, 11.18</t>
  </si>
  <si>
    <t>1-1-1-25</t>
  </si>
  <si>
    <r>
      <rPr>
        <b/>
        <sz val="8"/>
        <color rgb="FF000000"/>
        <rFont val="Arial"/>
        <family val="2"/>
        <charset val="186"/>
      </rPr>
      <t xml:space="preserve">Pedagoginės psichologinės tarnybos </t>
    </r>
    <r>
      <rPr>
        <sz val="8"/>
        <color rgb="FF000000"/>
        <rFont val="Arial"/>
        <family val="2"/>
        <charset val="186"/>
      </rPr>
      <t>veiklos užtikrinimas</t>
    </r>
  </si>
  <si>
    <t>1.1.4.1.</t>
  </si>
  <si>
    <t>1-1-1-26</t>
  </si>
  <si>
    <t>Mokinių vežimo į ugdymo įstaigas finansavimas</t>
  </si>
  <si>
    <t>1.1.5.1.</t>
  </si>
  <si>
    <t>LK</t>
  </si>
  <si>
    <t>1-1-1-27</t>
  </si>
  <si>
    <t>Švietimo įstaigų elektros ir kuro išlaidų, šildymo  finansavimas</t>
  </si>
  <si>
    <t>1.1.5.4</t>
  </si>
  <si>
    <t>1-1-1-28</t>
  </si>
  <si>
    <t>Projekto "Mokinių įvairovei atvirų grupių, klasių sudarymas ir ugdymo organizavimas jose" įgyvendinimas</t>
  </si>
  <si>
    <t>1.1.3.20.</t>
  </si>
  <si>
    <t>1-1-1-29</t>
  </si>
  <si>
    <t>Projekto „Ankstyvojo ugdymo užtikrinimas vaikams iš socialinę riziką patiriančių šeimų“ įgyvendinimas</t>
  </si>
  <si>
    <t>1.1.3.21.</t>
  </si>
  <si>
    <t>1-1-1-30</t>
  </si>
  <si>
    <t>Lėšos išeitinėms išmokoms ir kitoms su darbo santykiais susijusioms išmokoms ir kompensacijoms mokėti</t>
  </si>
  <si>
    <t>1.4.4.31.</t>
  </si>
  <si>
    <t>1-1-1-31</t>
  </si>
  <si>
    <t>Klaipėdos rajono savivaldybės administracijos vaiko gerovės komisijos darbo užtikrinimas</t>
  </si>
  <si>
    <t>1.1.3.22.</t>
  </si>
  <si>
    <t>1-1-1-32</t>
  </si>
  <si>
    <t>Projekto „Švietimo pagalbos ir
koordinuotai teikiamų paslaugų modelio
diegimas ir sklaida “ įgyvendinimas</t>
  </si>
  <si>
    <t xml:space="preserve">1.1.3.23. </t>
  </si>
  <si>
    <t>1-1-1-33</t>
  </si>
  <si>
    <t>Projekto "Ugdymo priemonės mokykloms" įgyvendinimas</t>
  </si>
  <si>
    <t>1.1.3.24.</t>
  </si>
  <si>
    <t>1-1-1-34</t>
  </si>
  <si>
    <t>Visos dienos mokyklos paslaugų prieinamumo didinimas Klaipėdos rajono savivaldybėje</t>
  </si>
  <si>
    <t>1.1.3.25.</t>
  </si>
  <si>
    <t>1-1-2</t>
  </si>
  <si>
    <t xml:space="preserve">Atsiskaitymas už  vaikų ugdymą Klaipėdos miesto savivaldybės ir privačiose ikimokyklinėse ir bendrojo ugdymo įstaigose </t>
  </si>
  <si>
    <t>1.4.4.30.</t>
  </si>
  <si>
    <t>1-1-3</t>
  </si>
  <si>
    <t>Sudaryti sąlygas tenkinti mokinių pažinimo, ugdymosi ir saviraiškos poreikius</t>
  </si>
  <si>
    <t>1-1-3-1</t>
  </si>
  <si>
    <t>Mokinių, pasiekusių  geriausių rezultatų  ugdyme apdovanojimui ir  konkursų, olimpiadų, dainų švenčių išlaidų kompensavimui</t>
  </si>
  <si>
    <t>1.1.2.2.</t>
  </si>
  <si>
    <t>1-1-3-2</t>
  </si>
  <si>
    <r>
      <rPr>
        <sz val="8"/>
        <color rgb="FF000000"/>
        <rFont val="Arial"/>
        <family val="2"/>
        <charset val="186"/>
      </rPr>
      <t xml:space="preserve">Neformaliojo ugdymo programų įgyvendinimas ir tinkamos aplinkos užtikrinimas </t>
    </r>
    <r>
      <rPr>
        <b/>
        <sz val="8"/>
        <color rgb="FF000000"/>
        <rFont val="Arial"/>
        <family val="2"/>
        <charset val="186"/>
      </rPr>
      <t xml:space="preserve"> Gargždų muzikos mokykloje </t>
    </r>
  </si>
  <si>
    <t>1.1.2.3.</t>
  </si>
  <si>
    <t>1-1-3-3</t>
  </si>
  <si>
    <r>
      <rPr>
        <sz val="8"/>
        <color rgb="FF000000"/>
        <rFont val="Arial"/>
        <family val="2"/>
        <charset val="186"/>
      </rPr>
      <t xml:space="preserve">Neformaliojo ugdymo programų įgyvendinimas ir tinkamos aplinkos užtikrinimas </t>
    </r>
    <r>
      <rPr>
        <b/>
        <sz val="8"/>
        <color rgb="FF000000"/>
        <rFont val="Arial"/>
        <family val="2"/>
        <charset val="186"/>
      </rPr>
      <t xml:space="preserve"> Gargždų vaikų ir jaunimo  laisvalaikio centre</t>
    </r>
  </si>
  <si>
    <t>1.1.2.5.</t>
  </si>
  <si>
    <t>1-1-3-4</t>
  </si>
  <si>
    <t>Neformaliojo vaikų švietimo programos įgyvendinimas</t>
  </si>
  <si>
    <t>1.2.1.5.</t>
  </si>
  <si>
    <t>1-1-3-5</t>
  </si>
  <si>
    <t>Vaikų vasaros poilsio programų įgyvendinimas</t>
  </si>
  <si>
    <t>1.1.3.5.</t>
  </si>
  <si>
    <t>1-1-3-6</t>
  </si>
  <si>
    <t>Neformaliojo suaugusiųjų švietimo programų finansavimas</t>
  </si>
  <si>
    <t>1.1.3.3.</t>
  </si>
  <si>
    <t>1-1-3-7</t>
  </si>
  <si>
    <t>Neformaliojo vaikų švietimo elektroninės apskaitos sistemos ir ekosistemos atsiskaitymams negrynaisiais pinigais mokyklų valgyklose kūrimas</t>
  </si>
  <si>
    <t>1.1.3.13.</t>
  </si>
  <si>
    <t>1-1-3-8</t>
  </si>
  <si>
    <t>Mokinių verslumo ir finansinio raštingumo projektų iniciatyvų skatinimas švietimo įstaigose</t>
  </si>
  <si>
    <t>1.1.3.14.</t>
  </si>
  <si>
    <t>1-1-3-9</t>
  </si>
  <si>
    <t>Projektas "Karjeros specialistų tinklo vystymas"</t>
  </si>
  <si>
    <t xml:space="preserve">11
</t>
  </si>
  <si>
    <t>1.1.3.18.</t>
  </si>
  <si>
    <t>1-1-4</t>
  </si>
  <si>
    <t>Sudaryti sąlygas gyventojams Klaipėdos rajono švietimo centre tenkinti pažinimo poreikius, tobulinti įgytą kvalifikaciją</t>
  </si>
  <si>
    <t>1-1-4-1</t>
  </si>
  <si>
    <r>
      <rPr>
        <b/>
        <sz val="8"/>
        <color rgb="FF000000"/>
        <rFont val="Arial"/>
        <family val="2"/>
        <charset val="186"/>
      </rPr>
      <t xml:space="preserve">Klaipėdos rajono švietimo centro </t>
    </r>
    <r>
      <rPr>
        <sz val="8"/>
        <color rgb="FF000000"/>
        <rFont val="Arial"/>
        <family val="2"/>
        <charset val="186"/>
      </rPr>
      <t>veiklos užtikrinimas</t>
    </r>
  </si>
  <si>
    <t>1.4.1.6.</t>
  </si>
  <si>
    <t>1-1-4-2</t>
  </si>
  <si>
    <t>Pedagogų rengimo, perkvalifikavimo, jaunųjų pedagogų pritraukimo ir mokytojo prestižo didinimo dalinis finansavimas</t>
  </si>
  <si>
    <t>1.1.3.17.</t>
  </si>
  <si>
    <t xml:space="preserve">1-2 Uždavinys: Modernizuoti švietimo įstaigas, atnaujinti jų turimą turtą </t>
  </si>
  <si>
    <t>1-2-1</t>
  </si>
  <si>
    <t>Švietimo įstaigoms autobusų pirkimas</t>
  </si>
  <si>
    <t>1.1.5.2.</t>
  </si>
  <si>
    <t>iš viso</t>
  </si>
  <si>
    <t>1-2-2</t>
  </si>
  <si>
    <t>Švietimo įstaigų patalpų remontas, mokyklinių autobusų remontas, buitinės, organizacinės technikos, mokymo priemonių įsigijimas</t>
  </si>
  <si>
    <t>1.4.4.28.</t>
  </si>
  <si>
    <t>Gargždų "Minijos" progimnazija</t>
  </si>
  <si>
    <t>Gargždų "Kranto" progimnazija</t>
  </si>
  <si>
    <t>Gargždų "Vaivorykštės" gimnazija</t>
  </si>
  <si>
    <t>Priekulės I.Simonaitytės gimnazija</t>
  </si>
  <si>
    <t>Veiviržėnų J. Šaulio gimnazija</t>
  </si>
  <si>
    <t>Dituvos  A.T.Kuršaičio pagr. mokykla</t>
  </si>
  <si>
    <t>Dovilų pagr. mokykla</t>
  </si>
  <si>
    <t>Ketvergių pagr. mokykla</t>
  </si>
  <si>
    <t>Kretingalės pagr. mokykla</t>
  </si>
  <si>
    <t>Plikių I. Labutytės mokykla</t>
  </si>
  <si>
    <t>Vėžaičių pagr. mokykla</t>
  </si>
  <si>
    <t>Garg.l.d. "Ąžuoliukas"</t>
  </si>
  <si>
    <t>Garg.l.d. "Gintarėlis"</t>
  </si>
  <si>
    <t>Garg.l.d. "Saulutė"</t>
  </si>
  <si>
    <t>Garg.l.d. "Naminukas"</t>
  </si>
  <si>
    <t>11.18.</t>
  </si>
  <si>
    <t>Priekulės lopšelis-darželis</t>
  </si>
  <si>
    <t>Vaikų jaunimo ir laisvalaikio centras</t>
  </si>
  <si>
    <t>Švietimo centras</t>
  </si>
  <si>
    <t>Sendvario "Saulės" mokykla</t>
  </si>
  <si>
    <t>1-2-3</t>
  </si>
  <si>
    <t>Ugdymo įstaigų modernizavimas ir plėtra:</t>
  </si>
  <si>
    <t>VBM</t>
  </si>
  <si>
    <t>SL(ES)</t>
  </si>
  <si>
    <t>SL</t>
  </si>
  <si>
    <t>1-2-3-1</t>
  </si>
  <si>
    <r>
      <t>Darželio statyba Jurgaičių ir Juodžemių g. (</t>
    </r>
    <r>
      <rPr>
        <b/>
        <sz val="8"/>
        <rFont val="Arial"/>
        <family val="2"/>
        <charset val="186"/>
      </rPr>
      <t>Mazūriškės</t>
    </r>
    <r>
      <rPr>
        <sz val="8"/>
        <rFont val="Arial"/>
        <family val="2"/>
        <charset val="186"/>
      </rPr>
      <t xml:space="preserve">) sankryžoje esančiame laisvame sklype </t>
    </r>
  </si>
  <si>
    <t>1.3.3.4.</t>
  </si>
  <si>
    <t>PV</t>
  </si>
  <si>
    <t>Sendvario</t>
  </si>
  <si>
    <t>1-2-3-2</t>
  </si>
  <si>
    <r>
      <rPr>
        <b/>
        <sz val="8"/>
        <rFont val="Arial"/>
        <family val="2"/>
        <charset val="186"/>
      </rPr>
      <t>Ketvergių</t>
    </r>
    <r>
      <rPr>
        <sz val="8"/>
        <rFont val="Arial"/>
        <family val="2"/>
        <charset val="186"/>
      </rPr>
      <t xml:space="preserve"> </t>
    </r>
    <r>
      <rPr>
        <b/>
        <sz val="8"/>
        <rFont val="Arial"/>
        <family val="2"/>
        <charset val="186"/>
      </rPr>
      <t>pagrindinės mokyklos priestato</t>
    </r>
    <r>
      <rPr>
        <sz val="8"/>
        <rFont val="Arial"/>
        <family val="2"/>
        <charset val="186"/>
      </rPr>
      <t xml:space="preserve"> projektavimas ir statyba</t>
    </r>
  </si>
  <si>
    <t>Dovilų</t>
  </si>
  <si>
    <t>1-2-3-3</t>
  </si>
  <si>
    <r>
      <t>Darželio</t>
    </r>
    <r>
      <rPr>
        <b/>
        <sz val="8"/>
        <rFont val="Arial"/>
        <family val="2"/>
        <charset val="186"/>
      </rPr>
      <t xml:space="preserve"> Dercekliuose</t>
    </r>
    <r>
      <rPr>
        <sz val="8"/>
        <rFont val="Arial"/>
        <family val="2"/>
        <charset val="186"/>
      </rPr>
      <t xml:space="preserve"> projekto parengimas ir ranga</t>
    </r>
  </si>
  <si>
    <t>Priekulės</t>
  </si>
  <si>
    <t>1-2-3-4</t>
  </si>
  <si>
    <r>
      <rPr>
        <sz val="8"/>
        <color rgb="FF000000"/>
        <rFont val="Arial"/>
        <family val="2"/>
        <charset val="186"/>
      </rPr>
      <t xml:space="preserve">Lopšelio-darželio statyba </t>
    </r>
    <r>
      <rPr>
        <b/>
        <sz val="8"/>
        <color rgb="FF000000"/>
        <rFont val="Arial"/>
        <family val="2"/>
        <charset val="186"/>
      </rPr>
      <t>Karaliaus Mindaugo g. 36, Gargžduose</t>
    </r>
  </si>
  <si>
    <t>1-2-3-5</t>
  </si>
  <si>
    <r>
      <rPr>
        <b/>
        <sz val="8"/>
        <rFont val="Arial"/>
        <family val="2"/>
        <charset val="186"/>
      </rPr>
      <t>Veiviržėnų Jurgio Šaulio gimnazijos</t>
    </r>
    <r>
      <rPr>
        <sz val="8"/>
        <rFont val="Arial"/>
        <family val="2"/>
        <charset val="186"/>
      </rPr>
      <t xml:space="preserve"> pastato modernizavimo projektavimas</t>
    </r>
  </si>
  <si>
    <t>1.3.1.8.</t>
  </si>
  <si>
    <t>PP</t>
  </si>
  <si>
    <t>Veiviržėnų</t>
  </si>
  <si>
    <t>1-2-3-6</t>
  </si>
  <si>
    <r>
      <rPr>
        <b/>
        <sz val="8"/>
        <rFont val="Arial"/>
        <family val="2"/>
        <charset val="186"/>
      </rPr>
      <t>Sendvario „Saulės“ mokyklos</t>
    </r>
    <r>
      <rPr>
        <sz val="8"/>
        <rFont val="Arial"/>
        <family val="2"/>
        <charset val="186"/>
      </rPr>
      <t xml:space="preserve"> Agilos g. 12, Trušelių k., mokslo paskirties </t>
    </r>
    <r>
      <rPr>
        <b/>
        <sz val="8"/>
        <rFont val="Arial"/>
        <family val="2"/>
        <charset val="186"/>
      </rPr>
      <t>pastato</t>
    </r>
    <r>
      <rPr>
        <sz val="8"/>
        <rFont val="Arial"/>
        <family val="2"/>
        <charset val="186"/>
      </rPr>
      <t xml:space="preserve"> (</t>
    </r>
    <r>
      <rPr>
        <b/>
        <sz val="8"/>
        <rFont val="Arial"/>
        <family val="2"/>
        <charset val="186"/>
      </rPr>
      <t>priestato</t>
    </r>
    <r>
      <rPr>
        <sz val="8"/>
        <rFont val="Arial"/>
        <family val="2"/>
        <charset val="186"/>
      </rPr>
      <t>) projektavimas ir statyba</t>
    </r>
  </si>
  <si>
    <t>1.3.3.26.</t>
  </si>
  <si>
    <t>1-2-3-7</t>
  </si>
  <si>
    <r>
      <rPr>
        <b/>
        <sz val="8"/>
        <color rgb="FF000000"/>
        <rFont val="Arial"/>
        <family val="2"/>
        <charset val="186"/>
      </rPr>
      <t>Daugiafunkcio centro Sendvario seniūnijoje</t>
    </r>
    <r>
      <rPr>
        <sz val="8"/>
        <color rgb="FF000000"/>
        <rFont val="Arial"/>
        <family val="2"/>
        <charset val="186"/>
      </rPr>
      <t xml:space="preserve"> statyba viešos ir privačios partnerystės būdu</t>
    </r>
    <r>
      <rPr>
        <sz val="8"/>
        <color rgb="FF00B050"/>
        <rFont val="Arial"/>
        <family val="2"/>
        <charset val="186"/>
      </rPr>
      <t xml:space="preserve"> (</t>
    </r>
    <r>
      <rPr>
        <sz val="8"/>
        <color rgb="FF000000"/>
        <rFont val="Arial"/>
        <family val="2"/>
        <charset val="186"/>
      </rPr>
      <t>ir komunalinės išlaidos)</t>
    </r>
  </si>
  <si>
    <t>1.4.4.41.</t>
  </si>
  <si>
    <t>1-2-3-8</t>
  </si>
  <si>
    <r>
      <t xml:space="preserve">Sendvario "Saulės" mokyklos </t>
    </r>
    <r>
      <rPr>
        <b/>
        <sz val="8"/>
        <rFont val="Arial"/>
        <family val="2"/>
        <charset val="186"/>
      </rPr>
      <t>įveiklinimas</t>
    </r>
  </si>
  <si>
    <t>1.4.4.42.</t>
  </si>
  <si>
    <t>34, 10</t>
  </si>
  <si>
    <t>1-2-3-9</t>
  </si>
  <si>
    <r>
      <rPr>
        <sz val="8"/>
        <color rgb="FF000000"/>
        <rFont val="Arial"/>
        <family val="2"/>
        <charset val="186"/>
      </rPr>
      <t xml:space="preserve">Gargždų </t>
    </r>
    <r>
      <rPr>
        <b/>
        <sz val="8"/>
        <color rgb="FF000000"/>
        <rFont val="Arial"/>
        <family val="2"/>
        <charset val="186"/>
      </rPr>
      <t>lopšelio-darželio "Saulutė"</t>
    </r>
    <r>
      <rPr>
        <sz val="8"/>
        <color rgb="FF000000"/>
        <rFont val="Arial"/>
        <family val="2"/>
        <charset val="186"/>
      </rPr>
      <t xml:space="preserve"> plėtra</t>
    </r>
  </si>
  <si>
    <t>1-2-3-10</t>
  </si>
  <si>
    <t>Agluonėnų darželio pastato sutvarkymas</t>
  </si>
  <si>
    <t>1.3.1.9.</t>
  </si>
  <si>
    <t>Agluonėnų</t>
  </si>
  <si>
    <t>1-2-3-11</t>
  </si>
  <si>
    <t>Vėžaičių darželio projektavimas ir sutvarkymas</t>
  </si>
  <si>
    <t>1.3.1.10.</t>
  </si>
  <si>
    <t>Vėžaičių</t>
  </si>
  <si>
    <t>1-2-3-12</t>
  </si>
  <si>
    <t>Vėžaičių Girininkų sk. pastato sutvarkymo projektavimas</t>
  </si>
  <si>
    <t>1.3.1.11.</t>
  </si>
  <si>
    <t>1-2-3-13</t>
  </si>
  <si>
    <t>"Gintarėlio" darželio pastato projektavimas</t>
  </si>
  <si>
    <t>1.3.1.12.</t>
  </si>
  <si>
    <t>1-2-3-14</t>
  </si>
  <si>
    <t>Kretingalės mokyklos pastato projektavimas</t>
  </si>
  <si>
    <t>1.3.1.13.</t>
  </si>
  <si>
    <t>Kretingalės</t>
  </si>
  <si>
    <t>1-2-3-15</t>
  </si>
  <si>
    <t>Plikių I. Labutytės mokyklos atnaujinimas</t>
  </si>
  <si>
    <t>1.3.1.14.</t>
  </si>
  <si>
    <t>1-2-3-16</t>
  </si>
  <si>
    <t>Plikių I. Labutytės mokyklos bendrabučio projektavimas</t>
  </si>
  <si>
    <t>1.3.1.15.</t>
  </si>
  <si>
    <t>1-2-3-17</t>
  </si>
  <si>
    <t>Priekulės Ievos Simonaitytės pastato (Klaipėdos g. 16, buvusi muzikos mokykla) renovacija</t>
  </si>
  <si>
    <t>1.3.1.16.</t>
  </si>
  <si>
    <t>1-2-3-18</t>
  </si>
  <si>
    <t>Pastato – bendrabučio, esančio Klaipėdos g. 6, Priekulės mieste, paskirties pakeitimas į mokslo paskirties pastatą</t>
  </si>
  <si>
    <t>1.3.1.17.</t>
  </si>
  <si>
    <t>1-2-3-19</t>
  </si>
  <si>
    <t>Pastato – parduotuvės, esančios Klaipėdos g. 34, Kretingalės miestelyje, paskirties pakeitimas į mokslo paskirties pastatą</t>
  </si>
  <si>
    <t>1-2-3-20</t>
  </si>
  <si>
    <t>Pastato – bendrabučio, esančio Kvietinių g. 30, Gargždų mieste, paskirties pakeitimas</t>
  </si>
  <si>
    <t>1-2-3-21</t>
  </si>
  <si>
    <r>
      <rPr>
        <b/>
        <sz val="8"/>
        <rFont val="Arial"/>
        <family val="2"/>
        <charset val="186"/>
      </rPr>
      <t>Gargždų "Vaivorykštės" gimnazijos sporto aikštyno</t>
    </r>
    <r>
      <rPr>
        <sz val="8"/>
        <rFont val="Arial"/>
        <family val="2"/>
        <charset val="186"/>
      </rPr>
      <t xml:space="preserve"> rekonstrukcija</t>
    </r>
  </si>
  <si>
    <t>1-2-3-22</t>
  </si>
  <si>
    <r>
      <rPr>
        <b/>
        <sz val="8"/>
        <rFont val="Arial"/>
        <family val="2"/>
        <charset val="186"/>
      </rPr>
      <t>Gargždų "Kranto" progimnazijos</t>
    </r>
    <r>
      <rPr>
        <sz val="8"/>
        <rFont val="Arial"/>
        <family val="2"/>
        <charset val="186"/>
      </rPr>
      <t xml:space="preserve"> teritorijos sutvarkymo (apimant ir sporto sektorių) projektavimas ir įrengimas</t>
    </r>
  </si>
  <si>
    <t>1.1.5.3.</t>
  </si>
  <si>
    <t>1-2-3-23</t>
  </si>
  <si>
    <t>Mokyklų sporto aikštynų tvarkymas</t>
  </si>
  <si>
    <t>1.3.1.7</t>
  </si>
  <si>
    <t>Dovilų mokyklos stadionas</t>
  </si>
  <si>
    <t>Vėžaičių stadionas</t>
  </si>
  <si>
    <t>Plikių mokyklos stadionas</t>
  </si>
  <si>
    <t>Endriejavo mokyklos stadionas</t>
  </si>
  <si>
    <t>Endriejavo</t>
  </si>
  <si>
    <t>Iš viso:</t>
  </si>
  <si>
    <t>VLK</t>
  </si>
  <si>
    <t>Kt</t>
  </si>
  <si>
    <t>2-1 Uždavinys: Kurti verslui bei investicijoms palankią aplinką Klaipėdos rajone</t>
  </si>
  <si>
    <t>2-1-1</t>
  </si>
  <si>
    <t>Klaipėdos  rajono savivaldybės smulkiojo verslo plėtros skatinimo programos įgyvendinimas</t>
  </si>
  <si>
    <t>2.1.2.1.</t>
  </si>
  <si>
    <t>2-1-2</t>
  </si>
  <si>
    <t>Klaipėdos rajono žemės ūkio ir kaimo plėtros rėmimo programa</t>
  </si>
  <si>
    <t>2.1.2.2.</t>
  </si>
  <si>
    <t>2-2 Uždavinys: Gerinti žemdirbystės sąlygas bei skatinti kaimo plėtrą Klaipėdos rajone</t>
  </si>
  <si>
    <t>2-2-1</t>
  </si>
  <si>
    <t>Rekonstruoti bei remontuoti melioracijos statinius, polderines sistemas</t>
  </si>
  <si>
    <t>2-2-1-1</t>
  </si>
  <si>
    <t>Magistralinių melioracijos griovių/sureguliuotų upelių, valstybei priklausančių užtvankų tvarkymas (šienavimas, krūmų kirtimas, drenažo žiočių atnaujinimas, griovių dugno valymas) drenažo avarinis remontas, pralaidų remontas ir melioracijos projektų rengimas, rangos darbų techninė priežiūra, projektų ekspertizės</t>
  </si>
  <si>
    <t>2.2.1.8.</t>
  </si>
  <si>
    <t>VBD(T)</t>
  </si>
  <si>
    <t>2-2-1-1-1</t>
  </si>
  <si>
    <t xml:space="preserve">Klaipėdos r.sav esančių melioracijos statinių rekonstrukcijos techninių darbo projektų ir projektinių pasiūlymų parengimas  </t>
  </si>
  <si>
    <t>2-2-1-1-2</t>
  </si>
  <si>
    <t>Klaipėdos r.sav., Priekulės sen, Pjaulių k. esančios siurblinės vamzdyno rekonstrukcija (projektavimas, ekspertizė, projekto ir darbų techninė priežiūra, rangos darbai)</t>
  </si>
  <si>
    <t>2.2.1.8</t>
  </si>
  <si>
    <t>2-2-1-1-3</t>
  </si>
  <si>
    <t>Hidrotechninio įrenginio, esančio Dovilų sen.,  Kulių k., rekonstrukcijos projekto, ekspertizės, sąmatos ir kt. parengimas</t>
  </si>
  <si>
    <t>2.2.1.8.27.</t>
  </si>
  <si>
    <t>2-2-1-1-4</t>
  </si>
  <si>
    <t>Klaipėdos raj. melioracijos statinių techninių projektų bendrosios ekspertizių paslaugos</t>
  </si>
  <si>
    <t>2-2-1-1-5</t>
  </si>
  <si>
    <t>Klaipėdos r.sav, Dovilų sen, Šiūparių k. esančio melioracijos griovio up. "Skardupė" rekonstrukcijos techninio darbo projekto parengimas ir įgyvendinimas (projekto priežiūra, rangos darbų techninė priežiūra, rangos darbai)</t>
  </si>
  <si>
    <t>2-2-1-1-6</t>
  </si>
  <si>
    <t>Gargždų mieste esančio griovio Nr. Gr-1 rekonstrukcijos rangos darbai, projekto ir rangos darbų techninė priežiūra</t>
  </si>
  <si>
    <t>2-2-1-1-7</t>
  </si>
  <si>
    <t>Priekulės sen. Stragnų II k, esančios pralaidos ir dalies melioracijos griovio rekonstrukcijos rangos darbai, projekto ir rangos darbų techninė priežiūra</t>
  </si>
  <si>
    <t>2-2-1-1-8</t>
  </si>
  <si>
    <t>Agluonėnų sen, Vanagų k, esančios pralaidos rekonstrukcijos rangos darbai, projekto ir rangos darbų techninė priežiūra</t>
  </si>
  <si>
    <t>2-2-1-1-9</t>
  </si>
  <si>
    <t>Klaipėdos r.sav., Priekulės sen. Venckų k. esančios melioracijos pralaidos rekonstrukcijos darbai, projekto ir rangos darbų techninė priežiūra</t>
  </si>
  <si>
    <t>2-2-1-1-10</t>
  </si>
  <si>
    <t>Melioracijos griovio up. Ringelis esančio Klaipėdos r. sav, Sendvario sen., rekonstrukcijos rangos darbai, projekto ir rangos darbų techninė priežiūra</t>
  </si>
  <si>
    <t>2-2-1-1-11</t>
  </si>
  <si>
    <t>Melioracijos griovio up. Žvejonė esančio Klaipėdos r. sav, Sendvario sen., rekonstrukcijos rangos darbai, projekto ir rangos darbų techninė priežiūra</t>
  </si>
  <si>
    <t>2-2-1-1-12</t>
  </si>
  <si>
    <t>Melioracijos griovio K-2 (up. Srėbalė) ir pylimo "A", esančių Klaipėdos r.sav, Priekulės sen, Žiaukų- Rokų k, rekonstrukcijos rangos darbai, projekto ir rangos darbų techninė priežiūra</t>
  </si>
  <si>
    <t>2-2-1-1-13</t>
  </si>
  <si>
    <t xml:space="preserve">Melioracijos statinių avarinių gedimų remonto darbai </t>
  </si>
  <si>
    <t>2-2-1-1-14</t>
  </si>
  <si>
    <t>Hidrotechninių statinių: Vėžaičių, Greičiūnų, Eketės, užtvankų ir tiltų techninės apžiūros paslaugos</t>
  </si>
  <si>
    <t>2-2-1-1-15</t>
  </si>
  <si>
    <t xml:space="preserve">Melioracijos statinių ir valstybei priklausančių užvankų  esančių Klaipėdos rajone, remonto ir priežiūros darbai </t>
  </si>
  <si>
    <t>2-2-1-1-16</t>
  </si>
  <si>
    <t>Klaipėdos r. sav, esančių melioracijos statinių remonto techninių darbo projektų, projektinių pasiūlymų, taisyklių parengimas</t>
  </si>
  <si>
    <t>2-2-1-1-17</t>
  </si>
  <si>
    <t>Jokšų polderio pylimo (nuo kelio  Nr. 2206 iki kelio Nr. 2241) remonto darbai (2 dalis)</t>
  </si>
  <si>
    <t>2-2-1-1-18</t>
  </si>
  <si>
    <t>Melioracijos griovio A-2 ir kanalizuoto melioracijos griovio vamzdyno R-(A-2), esančių Klaipėdos r. sav., Veiviržėnų sen., remonto techninio darbo projekto parengimas, remonto darbai ir darbų techninė priežiūra</t>
  </si>
  <si>
    <t>2-2-1-1-19</t>
  </si>
  <si>
    <t xml:space="preserve">Melioracijos griovių (NGR-3, NG-1, NGR Nr.1, GR1-4, GR1-2, GR-1, NS-1, NS-1-3 ir griovio/up. N Smeltaitė) esančių Klaipėdos r. sav., Dauparų-Kvietinių sen., remonto techninio darbo projekto parengimas ir įgyvendinimas </t>
  </si>
  <si>
    <t xml:space="preserve">Dauparų-Kvietinių </t>
  </si>
  <si>
    <t>2.2.1.8.26.</t>
  </si>
  <si>
    <t>2-2-1-1-20</t>
  </si>
  <si>
    <t>Melioracijos griovio G-3 (Gargždupis), esančio Klaipėdos r.sav, Dauparų-Kvietinių sen, remonto darbai ir techninė priežiūra</t>
  </si>
  <si>
    <t>2-2-1-1-21</t>
  </si>
  <si>
    <t>Melioracijos griovių V-1 (Vinkurė), V-1-3 (Vinkurė), esančių Klaipėdos r.sav, Endriejavo sen, remonto darbai ir  rangos darbų techninė priežiūra</t>
  </si>
  <si>
    <t>2-2-1-1-22</t>
  </si>
  <si>
    <t>Melioracijos griovių Gr. Nr. 1 (Galupis), Gr. Nr. 1-1, esančių Klaipėdos r.sav, Dauparų-Kvietinių sen, remonto darbai ir techninė priežiūra</t>
  </si>
  <si>
    <t>2-2-1-2</t>
  </si>
  <si>
    <t>Jokšų polderio melioracijos griovių J-1, J-1-1, J-1-1-2, J-1-4, J-3 ir juose esančių statinių bei Pjaulių siurblinės rekonstrukcija</t>
  </si>
  <si>
    <t>2.2.1.28.</t>
  </si>
  <si>
    <t>2-2-1-3</t>
  </si>
  <si>
    <t>Plikių ir Dauparų kadastro vietovių dalies melioracijos statinių rekonstravimo darbai</t>
  </si>
  <si>
    <t>2.2.1.29</t>
  </si>
  <si>
    <t>Kt.</t>
  </si>
  <si>
    <t>2-2-2</t>
  </si>
  <si>
    <t>Vykdyti einamuosius melioracijos darbus</t>
  </si>
  <si>
    <t>2-2-2-1</t>
  </si>
  <si>
    <t>Perteklinio vandens pašalinimo darbai (siurblinių aptarnaujančio personalo išlaikymas, elektra ir einamasis remontas). Polderių griovių ir pylimų priežiūros ir remonto darbai</t>
  </si>
  <si>
    <t>2.2.2.1.</t>
  </si>
  <si>
    <t>Priekulės, Dauparų-Kvietinių</t>
  </si>
  <si>
    <t>2-2-2-1-1</t>
  </si>
  <si>
    <t xml:space="preserve">Valstybei nuosavybės teise priklausančių melioracijos pylimų bei polderiuose esančių melioracijos statinių priežiūros ir remonto darbai </t>
  </si>
  <si>
    <t>2-2-2-1-2</t>
  </si>
  <si>
    <t>Perteklinio vandens pašalinimo paslaugos Klaipėdos rajono polderinėse sausinimo sistemose (polderių priežiūra) (7 siurblinių priežiūra ir elektros išlaidos)</t>
  </si>
  <si>
    <t>2-2-2-1-3</t>
  </si>
  <si>
    <t>Klaipėdos r. sav, polderiuose esančių melioracijos statinių remonto techninių darbo projektų, projektinių pasiūlymų, polderių naudojimo taisyklių parengimas</t>
  </si>
  <si>
    <t>2-2-2-1-4</t>
  </si>
  <si>
    <t>Jokšų polderio pylimo (nuo kelio  Nr. 2206 iki kelio Nr. 2241) remonto darbai (1 dalis)</t>
  </si>
  <si>
    <t>2-2-2-1-5</t>
  </si>
  <si>
    <t>Jokšų polderio pylimo (nuo kelio  Nr. 2206 iki kelio Nr. 2241) remonto techninė priežiūra</t>
  </si>
  <si>
    <t>2-2-2-1-6</t>
  </si>
  <si>
    <t>Smulkūs remonto darbai polderių siurblinėse</t>
  </si>
  <si>
    <t>2.2.2.1</t>
  </si>
  <si>
    <t>2-2-2-2</t>
  </si>
  <si>
    <t>Kadastro vedimas</t>
  </si>
  <si>
    <t>2.2.2.3.</t>
  </si>
  <si>
    <t>2-3 Uždavinys: Didinti ir gerinti turizmo paslaugų teikimą</t>
  </si>
  <si>
    <t>2-3-1</t>
  </si>
  <si>
    <t xml:space="preserve">Klaipėdos rajono turizmo informacijos centro veiklos užtikrinimas
</t>
  </si>
  <si>
    <t>2.3.1.1.</t>
  </si>
  <si>
    <t>2-3-2</t>
  </si>
  <si>
    <t>Gargždų autobusų stoties veiklos užtikrinimas</t>
  </si>
  <si>
    <t>2.3.1.15.</t>
  </si>
  <si>
    <t>2-3-3</t>
  </si>
  <si>
    <t>Turizmo infrastruktūros ir rinkodaros plėtra</t>
  </si>
  <si>
    <t>2-3-3-1</t>
  </si>
  <si>
    <t>Stepono Dariaus memorialinio parko pritaikymas turizmo ir aviacinio sporto reikmėms</t>
  </si>
  <si>
    <t>2.3.1.5.</t>
  </si>
  <si>
    <t>Judrėnų</t>
  </si>
  <si>
    <t>2-3-3-2</t>
  </si>
  <si>
    <t>Turizmo paslaugų plėtra Priekulės sen.</t>
  </si>
  <si>
    <t>2.3.1.11</t>
  </si>
  <si>
    <t>2-3-3-3</t>
  </si>
  <si>
    <t>Dalyvavimas didinant regiono pasiekiamumą oro transportu</t>
  </si>
  <si>
    <t>10</t>
  </si>
  <si>
    <t>2.3.2.11.</t>
  </si>
  <si>
    <t>2-3-3-4</t>
  </si>
  <si>
    <t>Projekto „Karklės atlasas“ įgyvendinimas</t>
  </si>
  <si>
    <t>2.3.2.14.</t>
  </si>
  <si>
    <t>2-3-3-5</t>
  </si>
  <si>
    <t>Projekto "Paukščių  stebėjimo tinklas Baltijos pakrantėje" įgyvendinimas</t>
  </si>
  <si>
    <t>2.3.1.10</t>
  </si>
  <si>
    <t>2-3-3-6</t>
  </si>
  <si>
    <t>Vandens maršrutų tinklo plėtra Latvijoje ir Lietuvoje, toliau plečiant tarpvalstybinio turizmo produktą www.riverways.eu</t>
  </si>
  <si>
    <t>19</t>
  </si>
  <si>
    <t>2.3.3.26</t>
  </si>
  <si>
    <t>2-3-3-7</t>
  </si>
  <si>
    <t>Drevernos turistinės vietovės plėtra</t>
  </si>
  <si>
    <t>2.3.1.12.</t>
  </si>
  <si>
    <t>2-3-3-8</t>
  </si>
  <si>
    <t xml:space="preserve">Pėščiųjų ir vandens turistinių maršrutų sukūrimas, ženklinimas bei reikalingos infrastruktūros sukūrimas </t>
  </si>
  <si>
    <t>2.3.2.28.</t>
  </si>
  <si>
    <t xml:space="preserve">Pėsčiųjų maršrutų sukūrimas </t>
  </si>
  <si>
    <t>Rinkodaros priemonės</t>
  </si>
  <si>
    <t>2-3-3-9</t>
  </si>
  <si>
    <t>Gargždų - Dovilų karjerų teritorijos plėtra ir vystymas bei pritaikymas turizmo ir rekreacijos reikmėms</t>
  </si>
  <si>
    <t>Techninio projekto parengimas ir įgyvendinimas</t>
  </si>
  <si>
    <t>2.3.3.29.</t>
  </si>
  <si>
    <t>Elektros įvadas ir aikštelė</t>
  </si>
  <si>
    <t xml:space="preserve">Dovilų karjerų priežiūros lėšos </t>
  </si>
  <si>
    <t>2-3-3-10</t>
  </si>
  <si>
    <t>Projektas "MariEx - Naujų jūrinio turizmo keliautojų patirčių sukūrimas krante"</t>
  </si>
  <si>
    <t>2.3.2.30.</t>
  </si>
  <si>
    <t>2-3-3-11</t>
  </si>
  <si>
    <t>BOATMAN: tvaraus turizmo centrų, susijusių su jūriniu paveldu kūrimas Pietų Baltijos jūroje</t>
  </si>
  <si>
    <t>2.3.1.6.</t>
  </si>
  <si>
    <t>2-3-3-12</t>
  </si>
  <si>
    <t>Turizmo forumo organizavimas</t>
  </si>
  <si>
    <t>2.3.1.13.</t>
  </si>
  <si>
    <t>2-3-3-13</t>
  </si>
  <si>
    <t>Projekto "Laivo formos ekspoziciniai stendai - mobili žvejų promenada" įgyvendinimas</t>
  </si>
  <si>
    <t>2.3.1.14.</t>
  </si>
  <si>
    <t>2-3-3-14</t>
  </si>
  <si>
    <t>Projektas "Klaipėdos regiono turistinio patrauklumo didinimas"</t>
  </si>
  <si>
    <t>2.3.2.32.</t>
  </si>
  <si>
    <t>2-3-3-15</t>
  </si>
  <si>
    <t>Turizmo plėtros plano priemonių įgyvendinimas (Karklės uostelio galimybių studija)</t>
  </si>
  <si>
    <t>2.3.2.33.</t>
  </si>
  <si>
    <t xml:space="preserve">SB </t>
  </si>
  <si>
    <t xml:space="preserve">Kretingalės </t>
  </si>
  <si>
    <t>2-4 Uždavinys: Skatinti rajono urbanistinę plėtrą organizuojant teritorijų planavimo planų ir projektų rengimą</t>
  </si>
  <si>
    <t>2-4-1</t>
  </si>
  <si>
    <t>Rengti visuomenės poreikius tenkinančius teritorijų planavimo (detaliuosius planus) bei žemėtvarkos (žemės valdų projektus) dokumentus</t>
  </si>
  <si>
    <t>2-4-1-1</t>
  </si>
  <si>
    <t xml:space="preserve">Detaliųjų planų rengimas
</t>
  </si>
  <si>
    <t>2.4.1.21.</t>
  </si>
  <si>
    <t>2-4-1-2</t>
  </si>
  <si>
    <t>Žemės valdų projektų rengimas</t>
  </si>
  <si>
    <t>2.4.1.26.</t>
  </si>
  <si>
    <t>2-4-2</t>
  </si>
  <si>
    <t>Rengti Klaipėdos rajono miestų ir miestelių bendruosius planus bei inžinerinės infrastruktūros ir susisiekimo sistemų specialiuosius planus</t>
  </si>
  <si>
    <t>2-4-2-1</t>
  </si>
  <si>
    <t>Bendrųjų planų ir bendrųjų planų monitoringų rengimas</t>
  </si>
  <si>
    <t>2.4.1.45</t>
  </si>
  <si>
    <t>Ž</t>
  </si>
  <si>
    <t>2-4-2-1-2</t>
  </si>
  <si>
    <t>Klaipėdos rajono bendrojo plano korektūros rengimas, monitoringas</t>
  </si>
  <si>
    <t>2-4-2-1-3</t>
  </si>
  <si>
    <t>Drevernos - Svencelės apylinkių urbanizuotos teritorijos bendrojo plano rengimas su urbanistine idėja</t>
  </si>
  <si>
    <t>2-4-2-1-4</t>
  </si>
  <si>
    <t xml:space="preserve">Slengių, Mazūriškių ir kitų gyvenamųjų priemiestinių teritorijų bendrojo plano rengimas. </t>
  </si>
  <si>
    <t>2-4-2-1-5</t>
  </si>
  <si>
    <t>Dovilų miestelio bendrojo plano koregavimas</t>
  </si>
  <si>
    <t>2-4-2-1-6</t>
  </si>
  <si>
    <t>Gargždų miesto bendrojo plano keitimo parengimas</t>
  </si>
  <si>
    <t>2-4-2-2</t>
  </si>
  <si>
    <t>Specialiųjų planų ir žemės paėmimo visuomenės poreikiams projektų rengimas ir įgyvendinimas</t>
  </si>
  <si>
    <t>2, 36</t>
  </si>
  <si>
    <t>2.4.1.37</t>
  </si>
  <si>
    <t>2-4-2-2-1</t>
  </si>
  <si>
    <t>Klaipėdos rajono savivaldybės teritorijos dalies, apimančios Slengių, Mazūriškių, Trušelių, Gindulių kaimus ir gretimos teritorijos vietovių, komunikacinių koridorių ir inžinerinės infrastruktūros specialiojo plano korektūros rengimas</t>
  </si>
  <si>
    <t>2</t>
  </si>
  <si>
    <t>2-4-2-2-2</t>
  </si>
  <si>
    <t>Vietinės reikšmės kelių Sendvario sen. Šilelių g., Jurgaičių g. Žemės paėmimo visuomenės  poreikiams projektas</t>
  </si>
  <si>
    <t>2-4-2-2-3</t>
  </si>
  <si>
    <t xml:space="preserve">Vietinės reikšmės kelių Sendvario sen. Danės g. žemės paėmimo visuomenės  poreikiams projektas </t>
  </si>
  <si>
    <t>2-4-2-2-4</t>
  </si>
  <si>
    <t>Vietinės reikšmės kelių Priekulės sen. Pievų g. ir S. Šrėderio g. žemės paėmimo visuomenės  poreikiams projektas</t>
  </si>
  <si>
    <t>2.4.1.37.32.</t>
  </si>
  <si>
    <t>2-4-2-2-5</t>
  </si>
  <si>
    <t>Vietinės reikšmės kelio Maciuičiai-Ežaičiai specialiojo plano parengimas. Žemės paėmimo visuomenės poreikiams projektas</t>
  </si>
  <si>
    <t>2-4-2-2-6</t>
  </si>
  <si>
    <t>Vėjo ir saulės jėgainių išdėstymo specialiojo plano rengimas</t>
  </si>
  <si>
    <t>2-4-2-2-7</t>
  </si>
  <si>
    <t>Žemės paėmimo visuomenės poreikiams projektų parengimo paslaugos pirkimas ir įgyvendinimas</t>
  </si>
  <si>
    <t>2-4-3</t>
  </si>
  <si>
    <t>Rengti projektus, projektinius pasiūlymus, studijas, mokslinius darbus viešųjų erdvių ir teritorijų vystymui</t>
  </si>
  <si>
    <t>2-4-3-1</t>
  </si>
  <si>
    <t xml:space="preserve">Gargždų miesto ir rajono architektūrinį ir urbanistinį įvaizdį gerinančių priemonių planų rengimas ir įgyvendinimas
</t>
  </si>
  <si>
    <t>2.4.5.1</t>
  </si>
  <si>
    <t>2-4-3-1-1</t>
  </si>
  <si>
    <t>Gargždų miesto centrinės aikštės pertvarkymo projekto parengimas ir įgyvendinimas</t>
  </si>
  <si>
    <t>2-4-3-1-2</t>
  </si>
  <si>
    <t xml:space="preserve">Priekulės miesto dviračių transporto infrastruktūros plėtros plano parengimas </t>
  </si>
  <si>
    <t>2-4-3-1-3</t>
  </si>
  <si>
    <t>Gvildžių kaimo bendruomenės parko sutvarkymas (projektas)</t>
  </si>
  <si>
    <t>2.4.5.1.33.</t>
  </si>
  <si>
    <t>2-4-3-1-4</t>
  </si>
  <si>
    <t>Kretingalės viešosios erdvės projektavimas ir įrengimas</t>
  </si>
  <si>
    <t>2.4.5.1.31.</t>
  </si>
  <si>
    <t>2-4-3-1-5</t>
  </si>
  <si>
    <t>Jakų parko sporto ir laisvalaikio erdvės projektavimas</t>
  </si>
  <si>
    <t>2.4.5.1.</t>
  </si>
  <si>
    <t>2-4-3-1-6</t>
  </si>
  <si>
    <t>Kretingalės miestelio centro viešųjų erdvių sutvarkymas (projektas)</t>
  </si>
  <si>
    <t>k.b.</t>
  </si>
  <si>
    <t>2-4-3-2</t>
  </si>
  <si>
    <t>Gargždų miesto centrinės dalies detaliojo plano sprendinių įgyvendinimo programa</t>
  </si>
  <si>
    <t>2.4.1.46</t>
  </si>
  <si>
    <t>ES(Kt)</t>
  </si>
  <si>
    <t>Dauparų-Kvietinių</t>
  </si>
  <si>
    <t>3-1 Uždavinys: Mažinti aplinkos taršą, siekiant sukurti švarią ir saugią aplinką Klaipėdos rajone</t>
  </si>
  <si>
    <t>3-1-1</t>
  </si>
  <si>
    <t>Aplinkos apsaugos, taršos mažinimo priemonių įgyvendinimas</t>
  </si>
  <si>
    <t>3-1-1-1</t>
  </si>
  <si>
    <t>Aplinkos apsaugos specialiosios programos įgyvendinimas</t>
  </si>
  <si>
    <t>18</t>
  </si>
  <si>
    <t>3.1.1.2.</t>
  </si>
  <si>
    <t>AA</t>
  </si>
  <si>
    <t>LA</t>
  </si>
  <si>
    <t>3-1-1-2</t>
  </si>
  <si>
    <t>Gyvūnų augintinių gausos reguliavimo programa</t>
  </si>
  <si>
    <t>3.2.2.2.</t>
  </si>
  <si>
    <t>3-1-1-3</t>
  </si>
  <si>
    <t>Buitinių nuotekų valymo įrenginių įrengimo kompensavimas</t>
  </si>
  <si>
    <t>3.1.1.83.</t>
  </si>
  <si>
    <t>3-1-1-4</t>
  </si>
  <si>
    <t>Klimatui atsparių nuotekų ir požeminio vandens tvarkymas taikant žiedinius metodus, kurie sumažina maistinių ir pavojingų medžiagų nutekėjimą (WaterMan)</t>
  </si>
  <si>
    <t>6.3.3.24.</t>
  </si>
  <si>
    <t>23</t>
  </si>
  <si>
    <t>6.3.3.24.29.</t>
  </si>
  <si>
    <t>3-1-1-5</t>
  </si>
  <si>
    <t>Potvynių rizikų mažinimo priemonių įgyvendinimas</t>
  </si>
  <si>
    <t>3.1.1.84.</t>
  </si>
  <si>
    <t>3-1-2</t>
  </si>
  <si>
    <t>Atliekų tvarkymo sistemos organizavimas, prevencija, projektinė veikla</t>
  </si>
  <si>
    <t>3-1-2-1</t>
  </si>
  <si>
    <t>Atliekų tvarkymo sistemos organizavimas</t>
  </si>
  <si>
    <t>3.2.2.7.</t>
  </si>
  <si>
    <t>GŠV</t>
  </si>
  <si>
    <t>LGŠV</t>
  </si>
  <si>
    <t>3-1-2-2</t>
  </si>
  <si>
    <t>Kompensavimas VšĮ "Gargždų švara" (už bešeimininkių padangų išvežimą)</t>
  </si>
  <si>
    <t>3.2.3.11.36.</t>
  </si>
  <si>
    <t>3-1-2-3</t>
  </si>
  <si>
    <t>Asbesto turinčių gaminių atliekų surinkimas apvažiavimo būdu, transportavimas ir saugus šalinimas</t>
  </si>
  <si>
    <t>3.2.2.18.</t>
  </si>
  <si>
    <t>3-1-3</t>
  </si>
  <si>
    <t>Tvarkyti seniūnijų žaliuosius plotus, visuomenines erdves, vandens telkinius ir juos supančią aplinką</t>
  </si>
  <si>
    <t>3-1-3-1</t>
  </si>
  <si>
    <t>Gatvių ir žaliųjų plotų tvarkymas ir priežiūra Agluonėnų seniūnijoje</t>
  </si>
  <si>
    <t>3.2.3.1.25</t>
  </si>
  <si>
    <t>3.2.3.1.26</t>
  </si>
  <si>
    <t>3-1-3-2</t>
  </si>
  <si>
    <t>Gatvių ir žaliųjų plotų tvarkymas ir priežiūra  Dauparų-Kvietinių seniūnijoje</t>
  </si>
  <si>
    <t>3.2.3.2.26.</t>
  </si>
  <si>
    <t>3-1-3-3</t>
  </si>
  <si>
    <t>Gatvių ir žaliųjų plotų tvarkymas ir priežiūra Dovilų seniūnijoje</t>
  </si>
  <si>
    <t>3.2.3.3.27.</t>
  </si>
  <si>
    <t>3-1-3-4</t>
  </si>
  <si>
    <t>Gatvių ir žaliųjų plotų tvarkymas ir priežiūra Endriejavo seniūnijoje</t>
  </si>
  <si>
    <t>3.2.3.4.28.</t>
  </si>
  <si>
    <t>3-1-3-5</t>
  </si>
  <si>
    <t>Gatvių ir žaliųjų plotų tvarkymas ir priežiūra Gargždų seniūnijoje</t>
  </si>
  <si>
    <t>3.2.3.5.29.</t>
  </si>
  <si>
    <t>3-1-3-6</t>
  </si>
  <si>
    <t>Gatvių ir žaliųjų plotų tvarkymas ir priežiūra Judrėnų seniūnijoje</t>
  </si>
  <si>
    <t>3.2.3.6.30.</t>
  </si>
  <si>
    <t>3-1-3-7</t>
  </si>
  <si>
    <t>Gatvių ir žaliųjų plotų tvarkymas ir priežiūra Kretingalės seniūnijoje</t>
  </si>
  <si>
    <t>3.2.3.7.31.</t>
  </si>
  <si>
    <t>3-1-3-8</t>
  </si>
  <si>
    <t>Gatvių ir žaliųjų plotų tvarkymas ir priežiūra Priekulės seniūnijoje</t>
  </si>
  <si>
    <t>3.2.3.8.32.</t>
  </si>
  <si>
    <t>3-1-3-9</t>
  </si>
  <si>
    <t>Gatvių ir žaliųjų plotų tvarkymas ir priežiūra Sendvario seniūnijoje</t>
  </si>
  <si>
    <t>3.2.3.9.33.</t>
  </si>
  <si>
    <t>3-1-3-10</t>
  </si>
  <si>
    <t>Gatvių ir žaliųjų plotų tvarkymas ir priežiūra Veiviržėnų seniūnijoje</t>
  </si>
  <si>
    <t>3.2.3.10.34.</t>
  </si>
  <si>
    <t>3-1-3-11</t>
  </si>
  <si>
    <t>Gatvių ir žaliųjų plotų tvarkymas ir priežiūra Vėžaičių seniūnijoje</t>
  </si>
  <si>
    <t>3.2.3.11.35.</t>
  </si>
  <si>
    <r>
      <t xml:space="preserve">Iš viso gatvių ir žaliųjų plotų priežiūrai </t>
    </r>
    <r>
      <rPr>
        <b/>
        <sz val="8"/>
        <rFont val="Arial"/>
        <family val="2"/>
        <charset val="186"/>
      </rPr>
      <t>seniūnijose</t>
    </r>
  </si>
  <si>
    <t>3-1-3-12</t>
  </si>
  <si>
    <t>Tvarkyti ir plėsti veikiančias kapines</t>
  </si>
  <si>
    <t>6.3.4.9.</t>
  </si>
  <si>
    <t>LS</t>
  </si>
  <si>
    <t>27</t>
  </si>
  <si>
    <t>6.3.4.1.29.</t>
  </si>
  <si>
    <t>24</t>
  </si>
  <si>
    <t>6.3.4.1.30.</t>
  </si>
  <si>
    <t>26</t>
  </si>
  <si>
    <t>6.3.4.1.32.</t>
  </si>
  <si>
    <t>28</t>
  </si>
  <si>
    <t>6.3.4.1.34.</t>
  </si>
  <si>
    <t>29</t>
  </si>
  <si>
    <t>3-1-3-13</t>
  </si>
  <si>
    <t>Gerinti vandens telkinių būklę, tvarkyti juos supančią aplinką</t>
  </si>
  <si>
    <t>30</t>
  </si>
  <si>
    <t>3.2.1.9.</t>
  </si>
  <si>
    <t>20</t>
  </si>
  <si>
    <t>3-1-4</t>
  </si>
  <si>
    <t>Gargždų miesto parko tvarkymas</t>
  </si>
  <si>
    <t xml:space="preserve">3.2.2.23. </t>
  </si>
  <si>
    <t>4-1 Uždavinys: Didinti sveikatos priežiūros paslaugų prieinamumą ir sumažinti sveikatos netolygumus</t>
  </si>
  <si>
    <t>4-1-1</t>
  </si>
  <si>
    <t>Sumažinti gyventojų sveikatos netolygumus, susijusius su gyventojų elgsena</t>
  </si>
  <si>
    <t>4-1-1-1</t>
  </si>
  <si>
    <t xml:space="preserve">Plėtoti sveiką gyvenseną bei stiprinti sveikos gyvensenos įgūdžius ugdymo įstaigose ir bendruomenėse, vykdyti visuomenės sveikatos stebėseną savivaldybėje </t>
  </si>
  <si>
    <t>4.1.4.1.</t>
  </si>
  <si>
    <t>4-1-1-2</t>
  </si>
  <si>
    <t>Jaunimo atsakomybės už savo sveikatą skatinimas, mažinant rizikos veiksnių paplitimą tarp jaunimo</t>
  </si>
  <si>
    <t>4.1.1.1.</t>
  </si>
  <si>
    <t>4-1-1-3</t>
  </si>
  <si>
    <t>Jaunimui palankių sveikatos priežiūros paslaugų užtikrinimas</t>
  </si>
  <si>
    <t>4.1.1.7</t>
  </si>
  <si>
    <t>EEEVB</t>
  </si>
  <si>
    <t>EEE</t>
  </si>
  <si>
    <t>4-1-1-4</t>
  </si>
  <si>
    <t>Visuomenės sveikatos priežiūros paslaugų prieinamumo ir jų kokybės užtikrinimas</t>
  </si>
  <si>
    <t>4.1.5.2.</t>
  </si>
  <si>
    <t>PL</t>
  </si>
  <si>
    <t>4-1-1-5</t>
  </si>
  <si>
    <t>Visuomenės psichikos sveikatos paslaugų prieinamumo bei ankstyvojo savižudybių atpažinimo ir kompleksinės pagalbos teikimo sistemos plėtojimas</t>
  </si>
  <si>
    <t>4.1.2.10.</t>
  </si>
  <si>
    <t>7</t>
  </si>
  <si>
    <t>4-1-1-6</t>
  </si>
  <si>
    <t>Mokyklų bendruomenės narių socialinių emocinių kompetencijų stiprinimas</t>
  </si>
  <si>
    <t>4.1.1.8.</t>
  </si>
  <si>
    <t>4-1-1-7</t>
  </si>
  <si>
    <t>Gyventojų fizinio aktyvumo įpročių ugdymas</t>
  </si>
  <si>
    <t>4.1.1.9.</t>
  </si>
  <si>
    <t>4-1-1-8</t>
  </si>
  <si>
    <t>Sveikos gyvensenos kultūros gyventojams formavimas</t>
  </si>
  <si>
    <t>4.1.1.2.</t>
  </si>
  <si>
    <t>4-1-1-9</t>
  </si>
  <si>
    <t>Gerovės konsultanto modelio įdiegimas Klaipėdos r. savivaldybėje</t>
  </si>
  <si>
    <t>4.1.1.14</t>
  </si>
  <si>
    <t>17</t>
  </si>
  <si>
    <t>4-1-1-10</t>
  </si>
  <si>
    <t xml:space="preserve">Sveikos gyvensenos skatinimas Klaipėdos rajone </t>
  </si>
  <si>
    <t>4.1.4.3.</t>
  </si>
  <si>
    <t>4-1-1-11</t>
  </si>
  <si>
    <t>Psichoaktyvių medžiagų vartojimo prevencija Klaipėdos rajone – nulis priklausomybių.</t>
  </si>
  <si>
    <t>4.1.2.11.</t>
  </si>
  <si>
    <t>4-1-1-12</t>
  </si>
  <si>
    <t xml:space="preserve">Sveikatos centro veiklos modelio diegimas Klaipėdos rajono savivaldybėje </t>
  </si>
  <si>
    <t>4.1.2.14.</t>
  </si>
  <si>
    <t>4-1-1-13</t>
  </si>
  <si>
    <t>Narkotikų kontrolės prevencijos užtikrinimo programa</t>
  </si>
  <si>
    <t>4.1.2.12.</t>
  </si>
  <si>
    <t> </t>
  </si>
  <si>
    <t>4-1-1-14</t>
  </si>
  <si>
    <t>Asignavimai profesinių sąjungų nariams sutartiniams įsipareigojimams vykdyti</t>
  </si>
  <si>
    <t>4.1.4.2.</t>
  </si>
  <si>
    <t>4-1-1-15</t>
  </si>
  <si>
    <t>Metų medicinos darbuotojo premija ir apdovanojimų ceremonija</t>
  </si>
  <si>
    <t>4.1.1.15</t>
  </si>
  <si>
    <t>4-1-2</t>
  </si>
  <si>
    <t>Plėtoti sveikatos infrastruktūrą ir gerinti sveikatos priežiūros paslaugų kokybę bei prieinamumą</t>
  </si>
  <si>
    <t>4-1-2-1</t>
  </si>
  <si>
    <t>Klaipėdos raj. savivaldybės sveikatos centro priėmimo - skubios pagalbos skyriaus gyd. chirurgų, traumatologų etatų dalinis finansavimas</t>
  </si>
  <si>
    <t>4.3.2.4.</t>
  </si>
  <si>
    <t>4-1-2-2</t>
  </si>
  <si>
    <t xml:space="preserve">Paramos gydytojams-specialistams dalinis finansavimas </t>
  </si>
  <si>
    <t>4.2.1.12.</t>
  </si>
  <si>
    <t>4-1-2-3</t>
  </si>
  <si>
    <t>Sveikatos įstaigų darbuotojų kelionės kompensavimas</t>
  </si>
  <si>
    <t>4.1.3.8.</t>
  </si>
  <si>
    <t>4-1-2-4</t>
  </si>
  <si>
    <t xml:space="preserve">Asmens sveikatos priežiūros įstaigų patalpų ir pastatų remontas, transporto remontas, buitinės, organizacinės technikos, kitų priemonių ir paslaugų įsigijimas </t>
  </si>
  <si>
    <t>4.1.6.3.</t>
  </si>
  <si>
    <t>4-1-2-5</t>
  </si>
  <si>
    <t>Ambulatorijų ir medicinos punktų dalinis finansavimas</t>
  </si>
  <si>
    <t>4.2.1.27.</t>
  </si>
  <si>
    <t>4-1-2-6</t>
  </si>
  <si>
    <t>Mobilios komandos aprūpinimas įranga Klaipėdos rajono savivaldybėje</t>
  </si>
  <si>
    <t>4.1.6.4.</t>
  </si>
  <si>
    <t>4-1-2-7</t>
  </si>
  <si>
    <t>Sveikatos centro sukūrimas Klaipėdos rajono savivaldybėje</t>
  </si>
  <si>
    <t>4.2.1.29.</t>
  </si>
  <si>
    <t>7.3.</t>
  </si>
  <si>
    <t>7.4.</t>
  </si>
  <si>
    <t>4-1-2-8</t>
  </si>
  <si>
    <t>Sveikatos priežiūros įstaigų mikroklimato ir veiklos efektyvumo tyrimas</t>
  </si>
  <si>
    <t>4.2.1.30.</t>
  </si>
  <si>
    <t>4-1-2-9</t>
  </si>
  <si>
    <t>Palaikomojo gydymo  ir slaugos paslaugų modernizavimas Klaipėdos rajono savivaldybėje</t>
  </si>
  <si>
    <t>4.2.1.31.</t>
  </si>
  <si>
    <t>4-1-2-10</t>
  </si>
  <si>
    <t>Projekto "Sveikatos centro specialistų rengimas, pritraukimas Klaipėdos rajono savivaldybėje" įgyvendinimas</t>
  </si>
  <si>
    <t>4.1.2.15.</t>
  </si>
  <si>
    <t>5-1 Uždavinys: Mažinti socialinę atskirtį Klaipėdos rajone</t>
  </si>
  <si>
    <t>5-1-1</t>
  </si>
  <si>
    <t>Teikti valstybės ir savivaldybės piniginę socialinę paramą savivaldybės gyventojams</t>
  </si>
  <si>
    <t>5-1-1-1</t>
  </si>
  <si>
    <t>Išmokų vaikams skyrimas ir mokėjimas</t>
  </si>
  <si>
    <t>5.1.1.1.</t>
  </si>
  <si>
    <t>VBM(UK)</t>
  </si>
  <si>
    <t>5-1-1-2</t>
  </si>
  <si>
    <t xml:space="preserve">Finansinės pagalbos teikimas </t>
  </si>
  <si>
    <t>5.1.1.3.</t>
  </si>
  <si>
    <t>5-1-1-3</t>
  </si>
  <si>
    <t>Pagalbos pinigų mokėjimas</t>
  </si>
  <si>
    <t>5.1.1.8.</t>
  </si>
  <si>
    <t>5-1-1-4</t>
  </si>
  <si>
    <t>Individualios pagalbos teikimo išlaidų kompensacijų mokėjimas</t>
  </si>
  <si>
    <t>5.1.1.4.</t>
  </si>
  <si>
    <t>5-1-1-5</t>
  </si>
  <si>
    <r>
      <t xml:space="preserve">Socialinių </t>
    </r>
    <r>
      <rPr>
        <b/>
        <sz val="8"/>
        <rFont val="Arial"/>
        <family val="2"/>
        <charset val="186"/>
      </rPr>
      <t>pašalpų</t>
    </r>
    <r>
      <rPr>
        <sz val="8"/>
        <rFont val="Arial"/>
        <family val="2"/>
        <charset val="186"/>
      </rPr>
      <t xml:space="preserve"> ir kompensacijų skaičiavimas ir mokėjimas</t>
    </r>
  </si>
  <si>
    <t>5.1.1.5.</t>
  </si>
  <si>
    <t>5-1-1-6</t>
  </si>
  <si>
    <t>Socialinė parama mokiniams (maitinimui, priemonėms)</t>
  </si>
  <si>
    <t>5.1.2.9</t>
  </si>
  <si>
    <t>5.1.2.9.</t>
  </si>
  <si>
    <t>5-1-1-7</t>
  </si>
  <si>
    <t xml:space="preserve">Vienkartinėms išmokoms įsikurti
gyvenamojoje vietoje savivaldybės teritorijoje ir (ar) mėnesinėms kompensacijoms ugdomų vaikų išlaikymo išlaidoms apmokėti </t>
  </si>
  <si>
    <t>5.1.1.7.</t>
  </si>
  <si>
    <t>5-1-2</t>
  </si>
  <si>
    <t>Teikti kitą paramą socialiai pažeidžiamiems asmenims</t>
  </si>
  <si>
    <t>5-1-2-1</t>
  </si>
  <si>
    <t>Europos pagalbos labiausiai skurstantiems asmenims fondo projekto Klaipėdos rajone vykdymas</t>
  </si>
  <si>
    <t>5.1.2.13.</t>
  </si>
  <si>
    <t>5-1-2-2</t>
  </si>
  <si>
    <t>Būsto pritaikymas neįgaliesiems</t>
  </si>
  <si>
    <t>5.1.2.5.</t>
  </si>
  <si>
    <t>5-1-2-3</t>
  </si>
  <si>
    <t>Neveiksnių asmenų būklės peržiūrėjimo užtikrinimas</t>
  </si>
  <si>
    <t>5.1.2.19.</t>
  </si>
  <si>
    <t>5-1-2-4</t>
  </si>
  <si>
    <t>Laikino atokvėpio paslaugos organizavimas</t>
  </si>
  <si>
    <t>5.1.2.39.</t>
  </si>
  <si>
    <t>5-2 Uždavinys: Plėtoti socialinių paslaugų teikimą didinant visų gyventojų grupių integraciją</t>
  </si>
  <si>
    <t>5-2-1</t>
  </si>
  <si>
    <t>Užtikrinti kokybišką socialinių paslaugų teikimą savivaldybės įstaigose</t>
  </si>
  <si>
    <t>5-2-1-1</t>
  </si>
  <si>
    <r>
      <rPr>
        <sz val="8"/>
        <color rgb="FF000000"/>
        <rFont val="Arial"/>
        <family val="2"/>
        <charset val="186"/>
      </rPr>
      <t>Dienos globos paslaugų bei specialaus transporto paslaugos teikimas</t>
    </r>
    <r>
      <rPr>
        <b/>
        <sz val="8"/>
        <color rgb="FF000000"/>
        <rFont val="Arial"/>
        <family val="2"/>
        <charset val="186"/>
      </rPr>
      <t xml:space="preserve"> Gargždų socialinių paslaugų centre</t>
    </r>
  </si>
  <si>
    <t>5.1.2.1.</t>
  </si>
  <si>
    <t>5-2-1-2</t>
  </si>
  <si>
    <r>
      <rPr>
        <sz val="8"/>
        <color rgb="FF000000"/>
        <rFont val="Arial"/>
        <family val="2"/>
        <charset val="186"/>
      </rPr>
      <t xml:space="preserve">Dienos globos paslaugų bei specialaus transporto  paslaugų teikimas </t>
    </r>
    <r>
      <rPr>
        <b/>
        <sz val="8"/>
        <color rgb="FF000000"/>
        <rFont val="Arial"/>
        <family val="2"/>
        <charset val="186"/>
      </rPr>
      <t>Priekulės socialinių paslaugų centre</t>
    </r>
  </si>
  <si>
    <t>5.1.2.2.</t>
  </si>
  <si>
    <t>5-2-1-3</t>
  </si>
  <si>
    <r>
      <rPr>
        <sz val="8"/>
        <color rgb="FF000000"/>
        <rFont val="Arial"/>
        <family val="2"/>
        <charset val="186"/>
      </rPr>
      <t xml:space="preserve">Paslaugų  klientų namuose teikimas, neįgaliųjų aprūpinimas techninės pagalbos priemonėmis </t>
    </r>
    <r>
      <rPr>
        <b/>
        <sz val="8"/>
        <color rgb="FF000000"/>
        <rFont val="Arial"/>
        <family val="2"/>
        <charset val="186"/>
      </rPr>
      <t>Paramos šeimai centre</t>
    </r>
  </si>
  <si>
    <t>5.1.2.34.</t>
  </si>
  <si>
    <t>kompleksinės</t>
  </si>
  <si>
    <t>5-2-1-4</t>
  </si>
  <si>
    <r>
      <rPr>
        <sz val="8"/>
        <color rgb="FF000000"/>
        <rFont val="Arial"/>
        <family val="2"/>
        <charset val="186"/>
      </rPr>
      <t xml:space="preserve">Stacionarių socialinės globos paslaugų teikimas </t>
    </r>
    <r>
      <rPr>
        <b/>
        <sz val="8"/>
        <color rgb="FF000000"/>
        <rFont val="Arial"/>
        <family val="2"/>
        <charset val="186"/>
      </rPr>
      <t>Viliaus Gaigalaičio globos namuose</t>
    </r>
  </si>
  <si>
    <t>5.1.2.11.</t>
  </si>
  <si>
    <t>5-2-1-5</t>
  </si>
  <si>
    <r>
      <rPr>
        <sz val="8"/>
        <color rgb="FF000000"/>
        <rFont val="Arial"/>
        <family val="2"/>
        <charset val="186"/>
      </rPr>
      <t>Paslaugų teikimas Gargždų socialinių paslaugų centro padalinyje (</t>
    </r>
    <r>
      <rPr>
        <b/>
        <sz val="8"/>
        <color rgb="FF000000"/>
        <rFont val="Arial"/>
        <family val="2"/>
        <charset val="186"/>
      </rPr>
      <t>nakvynės namuose</t>
    </r>
    <r>
      <rPr>
        <sz val="8"/>
        <color rgb="FF000000"/>
        <rFont val="Arial"/>
        <family val="2"/>
        <charset val="186"/>
      </rPr>
      <t>)</t>
    </r>
  </si>
  <si>
    <t>5.1.2.16.</t>
  </si>
  <si>
    <t>5-2-1-6</t>
  </si>
  <si>
    <r>
      <rPr>
        <sz val="8"/>
        <color rgb="FF000000"/>
        <rFont val="Arial"/>
        <family val="2"/>
        <charset val="186"/>
      </rPr>
      <t xml:space="preserve">Paslaugų teikimas Gargždų socialinių paslaugų centro padalinyje </t>
    </r>
    <r>
      <rPr>
        <b/>
        <sz val="8"/>
        <color rgb="FF000000"/>
        <rFont val="Arial"/>
        <family val="2"/>
        <charset val="186"/>
      </rPr>
      <t>(Globos centre)</t>
    </r>
  </si>
  <si>
    <t>5.1.2.23</t>
  </si>
  <si>
    <t>5-2-1-7</t>
  </si>
  <si>
    <t>Socialinių paslaugų įstaigų elektros, šilumos ir kuro išlaidų finansavimas</t>
  </si>
  <si>
    <t>5.1.2.27.</t>
  </si>
  <si>
    <t>5-2-1-8</t>
  </si>
  <si>
    <r>
      <t>Socialinių</t>
    </r>
    <r>
      <rPr>
        <b/>
        <sz val="8"/>
        <rFont val="Arial"/>
        <family val="2"/>
        <charset val="186"/>
      </rPr>
      <t xml:space="preserve"> į</t>
    </r>
    <r>
      <rPr>
        <sz val="8"/>
        <rFont val="Arial"/>
        <family val="2"/>
        <charset val="186"/>
      </rPr>
      <t xml:space="preserve">staigų patalpų </t>
    </r>
    <r>
      <rPr>
        <b/>
        <sz val="8"/>
        <rFont val="Arial"/>
        <family val="2"/>
        <charset val="186"/>
      </rPr>
      <t>remontas</t>
    </r>
    <r>
      <rPr>
        <sz val="8"/>
        <rFont val="Arial"/>
        <family val="2"/>
        <charset val="186"/>
      </rPr>
      <t>, transporto remontas, buitinės, organizacinės technikos, kitų priemonių įsigijimas ir renginių organizavimui</t>
    </r>
  </si>
  <si>
    <t>5.1.2.28.</t>
  </si>
  <si>
    <t>5-2-1-9</t>
  </si>
  <si>
    <t>Paslaugų teikimas Gargždų socialinių paslaugų centro padalinyje (Pagalba vaikui ir šeimai)</t>
  </si>
  <si>
    <t>5.1.2.31</t>
  </si>
  <si>
    <t>5-2-1-10</t>
  </si>
  <si>
    <t xml:space="preserve">Socialinių paslaugų srities darbuotojų pareiginei algai  padidinti </t>
  </si>
  <si>
    <t>5.1.2.36.</t>
  </si>
  <si>
    <t>5-2-1-11</t>
  </si>
  <si>
    <t xml:space="preserve">Soc. paslaugų šakos kolektyvinėje sutartyje nustatytiems įsipareigojimams įgyvendinti  </t>
  </si>
  <si>
    <t>5.1.2.38.</t>
  </si>
  <si>
    <t>5-2-2</t>
  </si>
  <si>
    <t>Gerinti socialinių paslaugų prieinamumą skatinant kitų socialinių paslaugų teikėjų veiklas</t>
  </si>
  <si>
    <t>5-2-2-1</t>
  </si>
  <si>
    <r>
      <rPr>
        <sz val="8"/>
        <color rgb="FF000000"/>
        <rFont val="Arial"/>
        <family val="2"/>
        <charset val="186"/>
      </rPr>
      <t xml:space="preserve">Socialinių </t>
    </r>
    <r>
      <rPr>
        <b/>
        <sz val="8"/>
        <color rgb="FF000000"/>
        <rFont val="Arial"/>
        <family val="2"/>
        <charset val="186"/>
      </rPr>
      <t>paslaugų</t>
    </r>
    <r>
      <rPr>
        <sz val="8"/>
        <color rgb="FF000000"/>
        <rFont val="Arial"/>
        <family val="2"/>
        <charset val="186"/>
      </rPr>
      <t xml:space="preserve"> pirkimas, socialinių paslaugų perdavimas NVO</t>
    </r>
  </si>
  <si>
    <t>5.1.2.4.</t>
  </si>
  <si>
    <t>5-2-2-2</t>
  </si>
  <si>
    <t>Socialinės reabilitacijos paslaugų neįgaliesiems  finansavimas</t>
  </si>
  <si>
    <t>5.1.2.15.</t>
  </si>
  <si>
    <t>5-2-2-3</t>
  </si>
  <si>
    <t>Sutrikusio intelekto žmonių globos bendrijos "Gargždų viltis" teikiamų transporto paslaugų neįgaliesiems finansavimas</t>
  </si>
  <si>
    <t>5.1.2.25</t>
  </si>
  <si>
    <t>5-2-2-4</t>
  </si>
  <si>
    <t>Mirusiųjų pervežimas iš įvykio vietos ir saugojimas iki teismo medicinos tyrimo atlikimo</t>
  </si>
  <si>
    <t>5.1.2.8</t>
  </si>
  <si>
    <t>5-2-2-5</t>
  </si>
  <si>
    <r>
      <t xml:space="preserve">Dotacija akredituotai </t>
    </r>
    <r>
      <rPr>
        <b/>
        <sz val="8"/>
        <rFont val="Arial"/>
        <family val="2"/>
        <charset val="186"/>
      </rPr>
      <t>vaikų dienos socialinei priežiūrai</t>
    </r>
    <r>
      <rPr>
        <sz val="8"/>
        <rFont val="Arial"/>
        <family val="2"/>
        <charset val="186"/>
      </rPr>
      <t xml:space="preserve"> organizuoti, teikti ir administruoti</t>
    </r>
  </si>
  <si>
    <t>5.1.2.30</t>
  </si>
  <si>
    <t>5-2-2-6</t>
  </si>
  <si>
    <t>Asmeninės pagalbos neįgaliems asmenims organizavimas</t>
  </si>
  <si>
    <t>5.1.2.29</t>
  </si>
  <si>
    <t>5-2-2-7</t>
  </si>
  <si>
    <t>Projekto "Paslaugų teikimas užsieniečiams Klaipėdos rajono savivaldybėje" įgyvendinimas</t>
  </si>
  <si>
    <t>5.1.2.32</t>
  </si>
  <si>
    <t>5-2-2-8</t>
  </si>
  <si>
    <t>Projekto "Socialinės dirbtuvės" įgyvendinimas</t>
  </si>
  <si>
    <t>5.1.2.33.</t>
  </si>
  <si>
    <t>5-2-2-9</t>
  </si>
  <si>
    <t>Projekto "Klaipėdos rajonas veža" įgyvendinimas</t>
  </si>
  <si>
    <t>5.1.2.37.</t>
  </si>
  <si>
    <t>5-2-3</t>
  </si>
  <si>
    <t>Plėtoti ir modernizuoti socialinių paslaugų infrastruktūrą</t>
  </si>
  <si>
    <t>5-2-3-1</t>
  </si>
  <si>
    <t>Socialinio būsto rėmimo programos įgyvendinimas</t>
  </si>
  <si>
    <t>5.1.3.3.</t>
  </si>
  <si>
    <t>5-2-3-2</t>
  </si>
  <si>
    <t>Socialinio būsto plėtra</t>
  </si>
  <si>
    <t>5.1.3.14</t>
  </si>
  <si>
    <t>5-2-3-3</t>
  </si>
  <si>
    <t>Kompleksinių paslaugų centras vaikams su negalia</t>
  </si>
  <si>
    <t>5.1.3.15.</t>
  </si>
  <si>
    <t>5-2-3-4</t>
  </si>
  <si>
    <t>Socialinių dirbtuvių steigimas 15 asmenų Gargžduose</t>
  </si>
  <si>
    <t>5.1.3.16.</t>
  </si>
  <si>
    <t>5-2-3-5</t>
  </si>
  <si>
    <t>Dienos užimtumo centro steigimas</t>
  </si>
  <si>
    <t>5.1.3.17.</t>
  </si>
  <si>
    <t>5-2-3-6</t>
  </si>
  <si>
    <t>Grupinio gyvenimo namų steigimas proto ir/ar psichinę negalią turintiems asmenims</t>
  </si>
  <si>
    <t>5.1.3.18.</t>
  </si>
  <si>
    <t>5-2-3-7</t>
  </si>
  <si>
    <t>Keturių apsaugotų būstų steigimas</t>
  </si>
  <si>
    <t>5.1.3.19.</t>
  </si>
  <si>
    <t>5-2-3-8</t>
  </si>
  <si>
    <t>V. Gaigalaičio globos namų modernizavimas ar/ir rekonstrukcija</t>
  </si>
  <si>
    <t>5.1.3.20.</t>
  </si>
  <si>
    <t>5-2-3-9</t>
  </si>
  <si>
    <t>Sendvario seniūnijos viešųjų paslaugų centro kūrimas</t>
  </si>
  <si>
    <t>2, 9</t>
  </si>
  <si>
    <t xml:space="preserve">9.1.1.22. </t>
  </si>
  <si>
    <t>5-3 Uždavinys: Didinti Klaipėdos rajono gyventojų užimtumą ir ekonominį aktyvumą</t>
  </si>
  <si>
    <t>5-3-1</t>
  </si>
  <si>
    <t>Užimtumo didinimo programos vykdymas</t>
  </si>
  <si>
    <t>5.2.1.2.</t>
  </si>
  <si>
    <t>5-3-2</t>
  </si>
  <si>
    <t>Įgyvendinti Klaipėdos rajono savivaldybės jaunimo politiką</t>
  </si>
  <si>
    <t>5-3-2-1</t>
  </si>
  <si>
    <t>Jaunimo įgalinimo ir įtraukimo į pilietinę veiklą galimybių kūrimas ir plėtra</t>
  </si>
  <si>
    <t>5.1.4.2.</t>
  </si>
  <si>
    <t>5-3-2-2</t>
  </si>
  <si>
    <r>
      <rPr>
        <b/>
        <sz val="8"/>
        <rFont val="Arial"/>
        <family val="2"/>
        <charset val="186"/>
      </rPr>
      <t>Gargždų atviro jaunimo centro</t>
    </r>
    <r>
      <rPr>
        <sz val="8"/>
        <rFont val="Arial"/>
        <family val="2"/>
        <charset val="186"/>
      </rPr>
      <t xml:space="preserve"> veiklos užtikrinimas</t>
    </r>
  </si>
  <si>
    <t>5.1.4.1.</t>
  </si>
  <si>
    <t>5-4 Uždavinys: Bendradarbiauti su vietos bendruomene, siekiant efektyviau tenkinti viešąjį interesą</t>
  </si>
  <si>
    <t>5-4-1</t>
  </si>
  <si>
    <t>Skatinti nevyriausybinių organizacijų veiklą</t>
  </si>
  <si>
    <t>5-4-1-1</t>
  </si>
  <si>
    <t>Klaipėdos r. savivaldybės ir nevyriausybinių organizacijų bendradarbiavimas</t>
  </si>
  <si>
    <t>9.4.3.1</t>
  </si>
  <si>
    <t>5-4-1-2</t>
  </si>
  <si>
    <t>Klaipėdos r. gyvenamųjų vietovių bendruomenių rėmimo programos įgyvendinimas</t>
  </si>
  <si>
    <t>9.4.3.2</t>
  </si>
  <si>
    <t>5-4-1-3</t>
  </si>
  <si>
    <t>Klaipėdos r. bendruomenių ir nevyriausybinių organizacijų projektų, įgyvendinamų pagal vietos veiklos grupių (VVG) vietos plėtros strategijų priemones, bei VVG administravimo lėšų dalinis finansavimas</t>
  </si>
  <si>
    <t>9.4.3.3.</t>
  </si>
  <si>
    <t>5-4-1-4</t>
  </si>
  <si>
    <t>Klaipėdos r. tradicinių religinių bendruomenių ir bendrijų rėmimo programos įgyvendinimas</t>
  </si>
  <si>
    <t>9.4.3.4.</t>
  </si>
  <si>
    <t>5-4-1-5</t>
  </si>
  <si>
    <t>Projektas "Gebėjimų stiprinimas ir nevyriausybinių organizacijų veiklos internacionalizavimas Liepojos mieste ir Klaipėdos rajone"</t>
  </si>
  <si>
    <t>5.2.1.3.</t>
  </si>
  <si>
    <t>Veiklos vykdytojas (skyriaus ar įstaigos sutrumpinimas, darbuotojo V. Pavardė)</t>
  </si>
  <si>
    <t xml:space="preserve">Proceso ar/ir indėlio vertinimo kriterijai, matavimo vienetai </t>
  </si>
  <si>
    <t>tūkst. Eur</t>
  </si>
  <si>
    <t xml:space="preserve">6-1 Uždavinys: Prižiūrėti susisiekimo viešąją infrastruktūrą Klaipėdos rajone </t>
  </si>
  <si>
    <t>6-1-1</t>
  </si>
  <si>
    <t>Prižiūrėti gyvenviečių gatves ir kelius Klaipėdos rajono seniūnijose bei vykdyti jų einamąjį remontą</t>
  </si>
  <si>
    <t>Iš viso SB lėšos</t>
  </si>
  <si>
    <t>Iš viso VLK lėšos</t>
  </si>
  <si>
    <t xml:space="preserve">Iš viso </t>
  </si>
  <si>
    <t>6-1-1-1</t>
  </si>
  <si>
    <t>Agluonėnų seniūnijos kelių, gatvių priežiūra ir remontas</t>
  </si>
  <si>
    <t>6.1.1.1.25.</t>
  </si>
  <si>
    <t>Agluonėnų sen. seniūnė</t>
  </si>
  <si>
    <t>Prižiūrimi keliai, km</t>
  </si>
  <si>
    <t>6-1-1-2</t>
  </si>
  <si>
    <t>Dauparų-Kvietinių seniūnijos kelių, gatvių priežiūra ir remontas</t>
  </si>
  <si>
    <t>6.1.1.1.26.</t>
  </si>
  <si>
    <t>Dauparų-Kvietinių sen. seniūnas</t>
  </si>
  <si>
    <t>6-1-1-3</t>
  </si>
  <si>
    <t>Dovilų seniūnijos kelių, gatvių priežiūra ir remontas</t>
  </si>
  <si>
    <t>6.1.1.1.27.</t>
  </si>
  <si>
    <t>Dovilų sen. seniūnė</t>
  </si>
  <si>
    <t>6-1-1-4</t>
  </si>
  <si>
    <t>Endriejavo seniūnijos kelių, gatvių priežiūra ir remontas</t>
  </si>
  <si>
    <t>6.1.1.1.28.</t>
  </si>
  <si>
    <t>Endriejavo sen. seniūnas</t>
  </si>
  <si>
    <t>6-1-1-5</t>
  </si>
  <si>
    <t>Gargždų  seniūnijos kelių, gatvių priežiūra ir remontas</t>
  </si>
  <si>
    <t>6.1.1.1.29.</t>
  </si>
  <si>
    <t>6-1-1-6</t>
  </si>
  <si>
    <t>Judrėnų  seniūnijos kelių, gatvių priežiūra ir remontas</t>
  </si>
  <si>
    <t>6.1.1.1.30.</t>
  </si>
  <si>
    <t>Judrėnų sen. seniūnas</t>
  </si>
  <si>
    <t>6-1-1-7</t>
  </si>
  <si>
    <t>Kretingalės  seniūnijos kelių, gatvių priežiūra ir remontas</t>
  </si>
  <si>
    <t>6.1.1.1.31.</t>
  </si>
  <si>
    <t>Kretingalės sen. seniūnas</t>
  </si>
  <si>
    <t>6-1-1-8</t>
  </si>
  <si>
    <t>Priekulės seniūnijos kelių, gatvių priežiūra ir remontas</t>
  </si>
  <si>
    <t>6.1.1.1.32.</t>
  </si>
  <si>
    <t>Priekulės sen., D. Bliūdžiuvienė, R. Narkienė</t>
  </si>
  <si>
    <t>6-1-1-9</t>
  </si>
  <si>
    <t>Sendvario seniūnijos kelių, gatvių priežiūra ir remontas</t>
  </si>
  <si>
    <t>6.1.1.1.33.</t>
  </si>
  <si>
    <t>6-1-1-10</t>
  </si>
  <si>
    <t>Veiviržėnų seniūnijos kelių, gatvių priežiūra ir remontas</t>
  </si>
  <si>
    <t>6.1.1.1.34.</t>
  </si>
  <si>
    <t>Veiviržėnų sen. seniūnė</t>
  </si>
  <si>
    <t>6-1-1-11</t>
  </si>
  <si>
    <t>Vėžaičių seniūnijos kelių, gatvių priežiūra ir remontas</t>
  </si>
  <si>
    <t>6.1.1.1.35.</t>
  </si>
  <si>
    <t>Vėžaičių sen. seniūnas</t>
  </si>
  <si>
    <t>6-1-1-12</t>
  </si>
  <si>
    <t>Rezervas skiriamas apmokėti už nenumatytus darbus, atsirandančius sutartyse numatytų darbų vykdymo metu</t>
  </si>
  <si>
    <t>6.1.1.1.</t>
  </si>
  <si>
    <t>A. Ronkus</t>
  </si>
  <si>
    <t>Pagal poreikį atlikti mokėjimus, panaudotų lėšų dalis, proc.</t>
  </si>
  <si>
    <t>6-1-1-13</t>
  </si>
  <si>
    <t>Vietinės reikšmės kelių ir gatvių, sodų bendrijų gatvių  inventorizavimas ir įteisinimas</t>
  </si>
  <si>
    <t>36, 2, 9.1</t>
  </si>
  <si>
    <t>6.1.1.30.</t>
  </si>
  <si>
    <t>6-2 Uždavinys: Modernizuoti Klaipėdos rajono savivaldybės gyvenviečių gatves ir kelius</t>
  </si>
  <si>
    <t>6-2-1</t>
  </si>
  <si>
    <t>Susisiekimo infrastruktūros atnaujinimas, remontas ir plėtra Klaipėdos rajono seniūnijose</t>
  </si>
  <si>
    <t>VBD(KP)</t>
  </si>
  <si>
    <t>6-2-1-1</t>
  </si>
  <si>
    <r>
      <rPr>
        <sz val="8"/>
        <color rgb="FF000000"/>
        <rFont val="Arial"/>
      </rPr>
      <t xml:space="preserve">Triukšmą slopinančios sienutės Klaipėdos raj. Dovilų seniūnijoje, </t>
    </r>
    <r>
      <rPr>
        <b/>
        <sz val="8"/>
        <color rgb="FF000000"/>
        <rFont val="Arial"/>
      </rPr>
      <t>Ketvergių k., Klaipėdos g. 31</t>
    </r>
    <r>
      <rPr>
        <sz val="8"/>
        <color rgb="FF000000"/>
        <rFont val="Arial"/>
      </rPr>
      <t xml:space="preserve"> nauja statyba</t>
    </r>
  </si>
  <si>
    <t>6.4.1.1.</t>
  </si>
  <si>
    <t>V. Ramanauskas</t>
  </si>
  <si>
    <t>Įvykdyti rangos darbai, proc.</t>
  </si>
  <si>
    <t>6-2-1-2</t>
  </si>
  <si>
    <r>
      <t>Mazūriškių k.,</t>
    </r>
    <r>
      <rPr>
        <b/>
        <sz val="8"/>
        <rFont val="Arial"/>
        <family val="2"/>
        <charset val="186"/>
      </rPr>
      <t xml:space="preserve"> Rasytės g., Agilos g., Jurgaičių g</t>
    </r>
    <r>
      <rPr>
        <sz val="8"/>
        <rFont val="Arial"/>
        <family val="2"/>
        <charset val="186"/>
      </rPr>
      <t xml:space="preserve">.  šviesoforinės </t>
    </r>
    <r>
      <rPr>
        <b/>
        <sz val="8"/>
        <rFont val="Arial"/>
        <family val="2"/>
        <charset val="186"/>
      </rPr>
      <t>sankryžos</t>
    </r>
    <r>
      <rPr>
        <sz val="8"/>
        <rFont val="Arial"/>
        <family val="2"/>
        <charset val="186"/>
      </rPr>
      <t xml:space="preserve"> projektavimas ir statyba</t>
    </r>
  </si>
  <si>
    <t>6.4.1.2.</t>
  </si>
  <si>
    <t>6-2-1-3</t>
  </si>
  <si>
    <r>
      <t xml:space="preserve">Slengių k., </t>
    </r>
    <r>
      <rPr>
        <b/>
        <sz val="8"/>
        <rFont val="Arial"/>
        <family val="2"/>
        <charset val="186"/>
      </rPr>
      <t>Pavandenės g., Pavandenės tak</t>
    </r>
    <r>
      <rPr>
        <sz val="8"/>
        <rFont val="Arial"/>
        <family val="2"/>
        <charset val="186"/>
      </rPr>
      <t>.,</t>
    </r>
  </si>
  <si>
    <t>6.4.1.4.</t>
  </si>
  <si>
    <t>K. Jokubaitytė</t>
  </si>
  <si>
    <t>6-2-1-4</t>
  </si>
  <si>
    <r>
      <t xml:space="preserve">Gargždai KL7036 </t>
    </r>
    <r>
      <rPr>
        <b/>
        <sz val="8"/>
        <rFont val="Arial"/>
        <family val="2"/>
        <charset val="186"/>
      </rPr>
      <t>Kvietinių g</t>
    </r>
    <r>
      <rPr>
        <sz val="8"/>
        <rFont val="Arial"/>
        <family val="2"/>
        <charset val="186"/>
      </rPr>
      <t>. projektavimas ir remontas</t>
    </r>
  </si>
  <si>
    <t>6.4.1.5.</t>
  </si>
  <si>
    <t>A. Ronkus, F. Žemgulys</t>
  </si>
  <si>
    <t>6-2-1-5</t>
  </si>
  <si>
    <r>
      <t xml:space="preserve">Gargždų </t>
    </r>
    <r>
      <rPr>
        <b/>
        <sz val="8"/>
        <rFont val="Arial"/>
        <family val="2"/>
        <charset val="186"/>
      </rPr>
      <t>Taikos</t>
    </r>
    <r>
      <rPr>
        <sz val="8"/>
        <rFont val="Arial"/>
        <family val="2"/>
        <charset val="186"/>
      </rPr>
      <t xml:space="preserve"> g. renovuotų namų kvartalas </t>
    </r>
  </si>
  <si>
    <t>6.4.1.7.</t>
  </si>
  <si>
    <t>V. Viršilas</t>
  </si>
  <si>
    <t>Atlikti rangos darbai, proc.</t>
  </si>
  <si>
    <t>6-2-1-6</t>
  </si>
  <si>
    <r>
      <rPr>
        <sz val="8"/>
        <color rgb="FF000000"/>
        <rFont val="Arial"/>
        <family val="2"/>
        <charset val="186"/>
      </rPr>
      <t xml:space="preserve">Gargždų </t>
    </r>
    <r>
      <rPr>
        <b/>
        <sz val="8"/>
        <color rgb="FF000000"/>
        <rFont val="Arial"/>
        <family val="2"/>
        <charset val="186"/>
      </rPr>
      <t xml:space="preserve">Kvietinių g. 30 </t>
    </r>
    <r>
      <rPr>
        <sz val="8"/>
        <color rgb="FF000000"/>
        <rFont val="Arial"/>
        <family val="2"/>
        <charset val="186"/>
      </rPr>
      <t>aikštelė</t>
    </r>
  </si>
  <si>
    <t>6.4.1.8.</t>
  </si>
  <si>
    <t>6-2-1-7</t>
  </si>
  <si>
    <r>
      <rPr>
        <sz val="8"/>
        <color rgb="FF000000"/>
        <rFont val="Arial"/>
      </rPr>
      <t xml:space="preserve">Gargždų, </t>
    </r>
    <r>
      <rPr>
        <b/>
        <sz val="8"/>
        <color rgb="FF000000"/>
        <rFont val="Arial"/>
      </rPr>
      <t>Taikos g. 11 n</t>
    </r>
    <r>
      <rPr>
        <sz val="8"/>
        <color rgb="FF000000"/>
        <rFont val="Arial"/>
      </rPr>
      <t xml:space="preserve">amo pritaikymas neįgaliųjų poreikiams </t>
    </r>
  </si>
  <si>
    <t>6.4.1.9.</t>
  </si>
  <si>
    <t>Projektavimas ir rangos darbai, vnt.</t>
  </si>
  <si>
    <t>6-2-1-8</t>
  </si>
  <si>
    <r>
      <t xml:space="preserve">Teritorijos sutvarkymo ir mažosios architektūros elementų tarp </t>
    </r>
    <r>
      <rPr>
        <b/>
        <sz val="8"/>
        <rFont val="Arial"/>
        <family val="2"/>
        <charset val="186"/>
      </rPr>
      <t>Klaipėdos, J. Janonio, Žemaitės, Kvietinių g</t>
    </r>
    <r>
      <rPr>
        <sz val="8"/>
        <rFont val="Arial"/>
        <family val="2"/>
        <charset val="186"/>
      </rPr>
      <t>. Gargždų m. techninio projekto parengimas ir įgyvendinimas</t>
    </r>
  </si>
  <si>
    <t>6.1.2.21.</t>
  </si>
  <si>
    <t>Gautas staybą leidžiantis dokumentas, vnt.</t>
  </si>
  <si>
    <t>6-2-1-9</t>
  </si>
  <si>
    <r>
      <rPr>
        <b/>
        <sz val="8"/>
        <color theme="1"/>
        <rFont val="Arial"/>
        <family val="2"/>
        <charset val="186"/>
      </rPr>
      <t>Karklės automobilių stovėjimo aikštelės</t>
    </r>
    <r>
      <rPr>
        <sz val="8"/>
        <color theme="1"/>
        <rFont val="Arial"/>
        <family val="2"/>
        <charset val="186"/>
      </rPr>
      <t xml:space="preserve"> projektavimas</t>
    </r>
    <r>
      <rPr>
        <sz val="8"/>
        <color theme="1"/>
        <rFont val="Arial"/>
        <family val="2"/>
        <charset val="186"/>
      </rPr>
      <t xml:space="preserve"> ir įrengimas</t>
    </r>
  </si>
  <si>
    <t>6.4.1.11.</t>
  </si>
  <si>
    <t>6-2-1-10</t>
  </si>
  <si>
    <r>
      <rPr>
        <b/>
        <sz val="8"/>
        <color rgb="FF000000"/>
        <rFont val="Arial"/>
        <family val="2"/>
        <charset val="186"/>
      </rPr>
      <t>Agilos g. privažiavimo iki daugiafunkcinio</t>
    </r>
    <r>
      <rPr>
        <sz val="8"/>
        <color rgb="FF000000"/>
        <rFont val="Arial"/>
        <family val="2"/>
        <charset val="186"/>
      </rPr>
      <t xml:space="preserve"> centro projektavimas ir įrengimas</t>
    </r>
  </si>
  <si>
    <t>6.4.1.12.</t>
  </si>
  <si>
    <t>Įvykdyti projektavimo darbai, vnt.</t>
  </si>
  <si>
    <t>E. Vasylienė</t>
  </si>
  <si>
    <t>6-2-1-11</t>
  </si>
  <si>
    <r>
      <t xml:space="preserve">Klaipėdos rajono sav., Sendvario sen., </t>
    </r>
    <r>
      <rPr>
        <b/>
        <sz val="8"/>
        <color rgb="FF000000"/>
        <rFont val="Arial"/>
        <family val="2"/>
        <charset val="186"/>
      </rPr>
      <t xml:space="preserve">Agilos </t>
    </r>
    <r>
      <rPr>
        <sz val="8"/>
        <color rgb="FF000000"/>
        <rFont val="Arial"/>
        <family val="2"/>
        <charset val="186"/>
      </rPr>
      <t>g. (KL1413) projektavimas, rekonstravimas, įrengiant šaligatvį, dviračių taką</t>
    </r>
    <r>
      <rPr>
        <b/>
        <sz val="8"/>
        <color rgb="FF000000"/>
        <rFont val="Arial"/>
        <family val="2"/>
        <charset val="186"/>
      </rPr>
      <t xml:space="preserve"> iki Gilijos g.</t>
    </r>
  </si>
  <si>
    <t>6.4.1.13.</t>
  </si>
  <si>
    <t>Įvykdyti rangos darbai, proc</t>
  </si>
  <si>
    <t>6-2-1-12</t>
  </si>
  <si>
    <r>
      <rPr>
        <sz val="8"/>
        <color rgb="FF000000"/>
        <rFont val="Arial"/>
        <family val="2"/>
        <charset val="186"/>
      </rPr>
      <t xml:space="preserve">Dotacija Klaipėdos rajono savivaldybės kelio Nr. </t>
    </r>
    <r>
      <rPr>
        <b/>
        <sz val="8"/>
        <color rgb="FF000000"/>
        <rFont val="Arial"/>
        <family val="2"/>
        <charset val="186"/>
      </rPr>
      <t>KL1277 (Marių</t>
    </r>
    <r>
      <rPr>
        <sz val="8"/>
        <color rgb="FF000000"/>
        <rFont val="Arial"/>
        <family val="2"/>
        <charset val="186"/>
      </rPr>
      <t xml:space="preserve"> g.) atkarpos į Kairių poligoną taisymui (remontui) finansuoti</t>
    </r>
  </si>
  <si>
    <t>6.1.1.44.</t>
  </si>
  <si>
    <t>1
50</t>
  </si>
  <si>
    <t>6-2-1-13</t>
  </si>
  <si>
    <t>6.1.1.47.</t>
  </si>
  <si>
    <t>6-2-1-14</t>
  </si>
  <si>
    <r>
      <t xml:space="preserve">Kelių Sendvario sen. remonto darbai:
- KL1408 </t>
    </r>
    <r>
      <rPr>
        <b/>
        <sz val="8"/>
        <rFont val="Arial"/>
        <family val="2"/>
        <charset val="186"/>
      </rPr>
      <t>Smilgų g.</t>
    </r>
    <r>
      <rPr>
        <sz val="8"/>
        <rFont val="Arial"/>
        <family val="2"/>
        <charset val="186"/>
      </rPr>
      <t>, 
- KL1405</t>
    </r>
    <r>
      <rPr>
        <b/>
        <sz val="8"/>
        <rFont val="Arial"/>
        <family val="2"/>
        <charset val="186"/>
      </rPr>
      <t xml:space="preserve"> Sendvario g</t>
    </r>
    <r>
      <rPr>
        <sz val="8"/>
        <rFont val="Arial"/>
        <family val="2"/>
        <charset val="186"/>
      </rPr>
      <t xml:space="preserve">. (nuo KL1404 iki KL1408). 
- KL1404 </t>
    </r>
    <r>
      <rPr>
        <b/>
        <sz val="8"/>
        <rFont val="Arial"/>
        <family val="2"/>
        <charset val="186"/>
      </rPr>
      <t>Aguonų g.</t>
    </r>
  </si>
  <si>
    <t>6.4.1.10.</t>
  </si>
  <si>
    <t>Baigti rangos darbai, proc.</t>
  </si>
  <si>
    <t>6-2-1-15</t>
  </si>
  <si>
    <r>
      <rPr>
        <sz val="8"/>
        <color rgb="FF000000"/>
        <rFont val="Arial"/>
        <family val="2"/>
        <charset val="186"/>
      </rPr>
      <t xml:space="preserve">Karaliaus Vilhelmo kanalo statinių komplekso </t>
    </r>
    <r>
      <rPr>
        <b/>
        <sz val="8"/>
        <color rgb="FF000000"/>
        <rFont val="Arial"/>
        <family val="2"/>
        <charset val="186"/>
      </rPr>
      <t xml:space="preserve">Jokšų tilto </t>
    </r>
    <r>
      <rPr>
        <sz val="8"/>
        <color rgb="FF000000"/>
        <rFont val="Arial"/>
        <family val="2"/>
        <charset val="186"/>
      </rPr>
      <t>(u.k. KVR 25967), Jokšų k., kapitalinio remonto ir tvarkybos (remonto, restauravimo) darbai (pagrindiniai darbai)</t>
    </r>
  </si>
  <si>
    <t>6.1.4.19.</t>
  </si>
  <si>
    <t>VBM (KP)</t>
  </si>
  <si>
    <t>6-2-1-16</t>
  </si>
  <si>
    <r>
      <t xml:space="preserve">Priežiūra ir remontas </t>
    </r>
    <r>
      <rPr>
        <b/>
        <sz val="8"/>
        <rFont val="Arial"/>
        <family val="2"/>
        <charset val="186"/>
      </rPr>
      <t>Priekulės TILTŲ</t>
    </r>
  </si>
  <si>
    <t>6.1.4.19.32.</t>
  </si>
  <si>
    <t>D. Bliūdžiuvienė</t>
  </si>
  <si>
    <t>Dituvos kabančio tilto remonto darbai, proc.</t>
  </si>
  <si>
    <t>6-2-1-17</t>
  </si>
  <si>
    <t>Tiltas Vėžaičių sen.</t>
  </si>
  <si>
    <t>6.1.4.19.35.</t>
  </si>
  <si>
    <t>6-2-1-18</t>
  </si>
  <si>
    <r>
      <rPr>
        <b/>
        <sz val="8"/>
        <color rgb="FF000000"/>
        <rFont val="Arial"/>
      </rPr>
      <t xml:space="preserve">Danės </t>
    </r>
    <r>
      <rPr>
        <sz val="8"/>
        <color rgb="FF000000"/>
        <rFont val="Arial"/>
      </rPr>
      <t>g. nuo Smeltaitės g. iki Gilijos g., Trušelių k. remontas</t>
    </r>
  </si>
  <si>
    <t>6.4.1.42.</t>
  </si>
  <si>
    <t>6-2-1-19</t>
  </si>
  <si>
    <t>Jungtinės gatvės ir inžinerinių (lauko paviršinių (lietaus) nuotekų) tinklų, žemės sklype Unik. Nr. 4400-6166-4058, Aukštkiemių k., Sendvario sen., Klaipėdos rajono sav., statyba ( iki Vėjo g., Klaipėdos m.)</t>
  </si>
  <si>
    <t>6.4.1.36.</t>
  </si>
  <si>
    <t>6-2-1-20</t>
  </si>
  <si>
    <t>SB "Vaiteliai" gatvių, kuriose nevykdoma 50/50 programa kapitalinis remontas</t>
  </si>
  <si>
    <t>6.4.1.37.</t>
  </si>
  <si>
    <t>6-2-1-21</t>
  </si>
  <si>
    <t>Automobilių aikštelės prie darželio "Saulutė" įrengimas</t>
  </si>
  <si>
    <t>6.4.1.35.</t>
  </si>
  <si>
    <t>J. Jackus</t>
  </si>
  <si>
    <t>6-2-1-22</t>
  </si>
  <si>
    <t>Plikių mokyklos automobilių stovėjimo aikštelės įrengimas</t>
  </si>
  <si>
    <t>6.4.1.38.</t>
  </si>
  <si>
    <t>6-2-1-23</t>
  </si>
  <si>
    <t>Automobilių aikštelės prie stovyklavietės "Pasaka" Kukuliškių k. projekto parengimas ir įrengimas</t>
  </si>
  <si>
    <t>6.4.1.39.</t>
  </si>
  <si>
    <t>6-2-1-24</t>
  </si>
  <si>
    <t xml:space="preserve">Adomo Brako g., Kalotės k. automobilių aikštelės projekto parengimas </t>
  </si>
  <si>
    <t>6.4.1.40.</t>
  </si>
  <si>
    <t>6-2-1-25</t>
  </si>
  <si>
    <t>Vietinės reikšmės kelio KL8004 Mokyklos g. Agluonėnų k. 0,200 km ruožas ties sankryža su I. Simonaitytės g. remontas</t>
  </si>
  <si>
    <t>6.4.1.41.</t>
  </si>
  <si>
    <t>6-2-1-26</t>
  </si>
  <si>
    <r>
      <t xml:space="preserve">Savivaldybės </t>
    </r>
    <r>
      <rPr>
        <b/>
        <sz val="8"/>
        <rFont val="Arial"/>
        <family val="2"/>
        <charset val="186"/>
      </rPr>
      <t>prisidėjimas</t>
    </r>
    <r>
      <rPr>
        <sz val="8"/>
        <rFont val="Arial"/>
        <family val="2"/>
        <charset val="186"/>
      </rPr>
      <t xml:space="preserve"> prie fizinių ar juridinių asmenų, pageidaujančių skirti tikslinių lėšų Klaipėdos rajono vietinės reikšmės kelių juostoje esantiems kelių statiniams ir daugiabučių kiemams projektuoti, rekonstruoti, taisyti </t>
    </r>
  </si>
  <si>
    <t>6.1.3.8.</t>
  </si>
  <si>
    <t>SB „Putinas“ Putino g. Kiškėnai</t>
  </si>
  <si>
    <t>SB „Vaiteliai“ gatvių kapitalinis remontas</t>
  </si>
  <si>
    <t>„Stančių Parkas“ Tvenkinių g. Stančių k.</t>
  </si>
  <si>
    <t>Kiemai (4 kiemai Gargžduose Melioratorių g. 8 ir 12, Dariaus ir Girėno g. 25 ir Liepų g. 1)</t>
  </si>
  <si>
    <t>Svencelės, Svencelės g. KL1235</t>
  </si>
  <si>
    <t>Placio g., Karklės km.</t>
  </si>
  <si>
    <t>Aukštkiemių g. KL1410, , Aukštkiemių k., 800metrų nuo magistralinio kelio A13</t>
  </si>
  <si>
    <t>6-2-1-27</t>
  </si>
  <si>
    <r>
      <rPr>
        <sz val="8"/>
        <color rgb="FF000000"/>
        <rFont val="Arial"/>
      </rPr>
      <t xml:space="preserve">Savivaldybės </t>
    </r>
    <r>
      <rPr>
        <b/>
        <sz val="8"/>
        <color rgb="FF000000"/>
        <rFont val="Arial"/>
      </rPr>
      <t xml:space="preserve">gatvių einamasis remontas
</t>
    </r>
    <r>
      <rPr>
        <sz val="8"/>
        <color rgb="FF000000"/>
        <rFont val="Arial"/>
      </rPr>
      <t>2026-2028 m.</t>
    </r>
  </si>
  <si>
    <t>6.1.3.31.</t>
  </si>
  <si>
    <t>6-2-1-28</t>
  </si>
  <si>
    <t>Gargždų miesto kiemų,  skersgatvių, kelio dangų, pėsčiųjų takų, apšvietimo remontas ir įrengimas</t>
  </si>
  <si>
    <t>6.1.1.42.</t>
  </si>
  <si>
    <t>Sulaikytoms lėšoms</t>
  </si>
  <si>
    <t>6-2-1-29</t>
  </si>
  <si>
    <t>Sendvario seniūnijos inžinerinės infrastruktūros remontas ir įrengimas</t>
  </si>
  <si>
    <t>6.1.1.40.</t>
  </si>
  <si>
    <t>6-2-1-30</t>
  </si>
  <si>
    <t>Savivaldybės inžinerinės infrastruktūros įrengimas (panaudojant inžinerinės infrastruktūros plėtros įmokų lėšas)</t>
  </si>
  <si>
    <t>6.1.1.43.</t>
  </si>
  <si>
    <t>Sulaikytoms lėšoms bei fondas</t>
  </si>
  <si>
    <t>6-2-2</t>
  </si>
  <si>
    <t>Klaipėdos rajono ilgalaikio susisiekimo infrastruktūros objektų vystymo plane numatytų vietinės reikšmės kelių projektų parengimas ir įgyvendinimas</t>
  </si>
  <si>
    <t>KPPP</t>
  </si>
  <si>
    <t>6-2-2-1</t>
  </si>
  <si>
    <r>
      <t xml:space="preserve">Sendvario sen. </t>
    </r>
    <r>
      <rPr>
        <b/>
        <sz val="8"/>
        <rFont val="Arial"/>
        <family val="2"/>
        <charset val="186"/>
      </rPr>
      <t xml:space="preserve">Gindulių k. Daržų gatvės </t>
    </r>
    <r>
      <rPr>
        <sz val="8"/>
        <rFont val="Arial"/>
        <family val="2"/>
        <charset val="186"/>
      </rPr>
      <t>Nr. KL8794 kapitalinis remontas</t>
    </r>
  </si>
  <si>
    <t>6.4.1.34.</t>
  </si>
  <si>
    <t>6-2-2-2</t>
  </si>
  <si>
    <r>
      <t xml:space="preserve">Sendvario sen. </t>
    </r>
    <r>
      <rPr>
        <b/>
        <sz val="8"/>
        <rFont val="Arial"/>
        <family val="2"/>
        <charset val="186"/>
      </rPr>
      <t>Jakų k. Pašto gatvė</t>
    </r>
    <r>
      <rPr>
        <sz val="8"/>
        <rFont val="Arial"/>
        <family val="2"/>
        <charset val="186"/>
      </rPr>
      <t>s Nr. KL8755 techninio-darbo projekto parengimas ir įgyvendinimas</t>
    </r>
  </si>
  <si>
    <t>6.1.2.22.</t>
  </si>
  <si>
    <t>6-2-2-3</t>
  </si>
  <si>
    <r>
      <t xml:space="preserve">Klaipėdos rajono sav., </t>
    </r>
    <r>
      <rPr>
        <b/>
        <sz val="8"/>
        <rFont val="Arial"/>
        <family val="2"/>
        <charset val="186"/>
      </rPr>
      <t>Sendvario sen., Juodžemių g</t>
    </r>
    <r>
      <rPr>
        <sz val="8"/>
        <rFont val="Arial"/>
        <family val="2"/>
        <charset val="186"/>
      </rPr>
      <t>. (KL8812) projektavimas, tiesimas įrengiant šaligatvį, dviračių taką, automobilių stovėjimo aikštelę prie projektuojamo vaikų darželio bei apšvietimo ir lietaus nuvedimo tinklus, rekonstrukcija</t>
    </r>
  </si>
  <si>
    <t>6.4.1.14.</t>
  </si>
  <si>
    <t>Gautas statybą leidžiantis dokumentas, vnt</t>
  </si>
  <si>
    <t>6-2-2-4</t>
  </si>
  <si>
    <r>
      <t xml:space="preserve">Klaipėdos rajono sav., </t>
    </r>
    <r>
      <rPr>
        <b/>
        <sz val="8"/>
        <rFont val="Arial"/>
        <family val="2"/>
        <charset val="186"/>
      </rPr>
      <t xml:space="preserve">Sendvario sen., Šilelių  (KL1430) - Jurgaičių </t>
    </r>
    <r>
      <rPr>
        <sz val="8"/>
        <rFont val="Arial"/>
        <family val="2"/>
        <charset val="186"/>
      </rPr>
      <t>(KL1452) gatvių projektavimas ir rekonstrukcija</t>
    </r>
  </si>
  <si>
    <t>6.4.1.15.</t>
  </si>
  <si>
    <t>Nupirkti rangos darbai, vnt.</t>
  </si>
  <si>
    <t>6-2-2-5</t>
  </si>
  <si>
    <r>
      <t xml:space="preserve">Klaipėdos raj. Sendvario sen. </t>
    </r>
    <r>
      <rPr>
        <b/>
        <sz val="8"/>
        <rFont val="Arial"/>
        <family val="2"/>
        <charset val="186"/>
      </rPr>
      <t xml:space="preserve">Jakų k. Sodo g. </t>
    </r>
    <r>
      <rPr>
        <sz val="8"/>
        <rFont val="Arial"/>
        <family val="2"/>
        <charset val="186"/>
      </rPr>
      <t>kaptalinis remontas projektavimas, rangos darbai</t>
    </r>
  </si>
  <si>
    <t>6.4.1.16.</t>
  </si>
  <si>
    <t>Vykdomi projektavimo darbai, proc.</t>
  </si>
  <si>
    <t>6-2-2-6</t>
  </si>
  <si>
    <r>
      <t xml:space="preserve">Klaipėdos raj. Priekulės sen. </t>
    </r>
    <r>
      <rPr>
        <b/>
        <sz val="8"/>
        <rFont val="Arial"/>
        <family val="2"/>
        <charset val="186"/>
      </rPr>
      <t>Stragnų g. (KL8470</t>
    </r>
    <r>
      <rPr>
        <sz val="8"/>
        <rFont val="Arial"/>
        <family val="2"/>
        <charset val="186"/>
      </rPr>
      <t xml:space="preserve">), </t>
    </r>
    <r>
      <rPr>
        <b/>
        <sz val="8"/>
        <rFont val="Arial"/>
        <family val="2"/>
        <charset val="186"/>
      </rPr>
      <t>Santakos</t>
    </r>
    <r>
      <rPr>
        <sz val="8"/>
        <rFont val="Arial"/>
        <family val="2"/>
        <charset val="186"/>
      </rPr>
      <t xml:space="preserve"> g. (KL1297 ir privažiuojamojo kelio prie Stragnų I nuo kelio KL1211 Stragnai-Ketvergiai kapitalinis remontas projektavimas, rangos darbai</t>
    </r>
  </si>
  <si>
    <t>6.4.1.17.</t>
  </si>
  <si>
    <t>6-2-2-7</t>
  </si>
  <si>
    <r>
      <t xml:space="preserve">Klaipėdos raj. Vėžaičių sen. </t>
    </r>
    <r>
      <rPr>
        <b/>
        <sz val="8"/>
        <rFont val="Arial"/>
        <family val="2"/>
        <charset val="186"/>
      </rPr>
      <t>Gerduvėnų k. Lukausko g.</t>
    </r>
    <r>
      <rPr>
        <sz val="8"/>
        <rFont val="Arial"/>
        <family val="2"/>
        <charset val="186"/>
      </rPr>
      <t xml:space="preserve"> (KL1808) kapitalinis remontas projektavimas, rangos darbai</t>
    </r>
  </si>
  <si>
    <t>6.4.1.18.</t>
  </si>
  <si>
    <t>6-2-2-8</t>
  </si>
  <si>
    <r>
      <t xml:space="preserve">Klaipėdos raj. Vėžaičių sen. </t>
    </r>
    <r>
      <rPr>
        <b/>
        <sz val="8"/>
        <rFont val="Arial"/>
        <family val="2"/>
        <charset val="186"/>
      </rPr>
      <t>Gerduvėnų k. Gerduvėnų g</t>
    </r>
    <r>
      <rPr>
        <sz val="8"/>
        <rFont val="Arial"/>
        <family val="2"/>
        <charset val="186"/>
      </rPr>
      <t>. (KL1840) kapitalinis remontas projektavimas, rangos darbai</t>
    </r>
  </si>
  <si>
    <t>6.4.1.19.</t>
  </si>
  <si>
    <t>6-2-2-9</t>
  </si>
  <si>
    <r>
      <t xml:space="preserve">Klaipėdos raj. Sendvario sen. Jakų k. </t>
    </r>
    <r>
      <rPr>
        <b/>
        <sz val="8"/>
        <rFont val="Arial"/>
        <family val="2"/>
        <charset val="186"/>
      </rPr>
      <t>Parko g.</t>
    </r>
    <r>
      <rPr>
        <sz val="8"/>
        <rFont val="Arial"/>
        <family val="2"/>
        <charset val="186"/>
      </rPr>
      <t>(KL8757) kapitalinis remontas projektavimas, rangos darbai</t>
    </r>
  </si>
  <si>
    <t>6.4.1.20.</t>
  </si>
  <si>
    <t>6-2-2-10</t>
  </si>
  <si>
    <r>
      <t>Klaipėdos raj. Dovilų sen.</t>
    </r>
    <r>
      <rPr>
        <b/>
        <sz val="8"/>
        <rFont val="Arial"/>
        <family val="2"/>
        <charset val="186"/>
      </rPr>
      <t>Kulių Dvaro g.(KL8215), Pakrantės g. (KL8218), Šienpjovių g. (KL8216) ir Tulpių g</t>
    </r>
    <r>
      <rPr>
        <sz val="8"/>
        <rFont val="Arial"/>
        <family val="2"/>
        <charset val="186"/>
      </rPr>
      <t>. (KL8217) rekonstravimas projektavimas</t>
    </r>
  </si>
  <si>
    <t>6.4.1.21.</t>
  </si>
  <si>
    <t>6-2-2-11</t>
  </si>
  <si>
    <r>
      <t xml:space="preserve">Klaipėdos raj. Kretingalės sen. </t>
    </r>
    <r>
      <rPr>
        <b/>
        <sz val="8"/>
        <rFont val="Arial"/>
        <family val="2"/>
        <charset val="186"/>
      </rPr>
      <t>Girkalių k. Nemirsetos g.</t>
    </r>
    <r>
      <rPr>
        <sz val="8"/>
        <rFont val="Arial"/>
        <family val="2"/>
        <charset val="186"/>
      </rPr>
      <t xml:space="preserve"> (KL1036) rekonstravimas projektavimas</t>
    </r>
  </si>
  <si>
    <t>6.4.1.22.</t>
  </si>
  <si>
    <t>6-2-2-12</t>
  </si>
  <si>
    <r>
      <t xml:space="preserve">Klaipėdos raj. Priekulės sen. </t>
    </r>
    <r>
      <rPr>
        <b/>
        <sz val="8"/>
        <rFont val="Arial"/>
        <family val="2"/>
        <charset val="186"/>
      </rPr>
      <t>Pangesų (KL1225), Pjaulių g. (KL1343) ir Pleškučių g</t>
    </r>
    <r>
      <rPr>
        <sz val="8"/>
        <rFont val="Arial"/>
        <family val="2"/>
        <charset val="186"/>
      </rPr>
      <t>. (KL1224) kapitalinis remontas projektavimas, rangos darbai</t>
    </r>
  </si>
  <si>
    <t>6.4.1.23.</t>
  </si>
  <si>
    <t>6-2-2-13</t>
  </si>
  <si>
    <r>
      <rPr>
        <b/>
        <sz val="8"/>
        <color rgb="FF000000"/>
        <rFont val="Arial"/>
        <family val="2"/>
        <charset val="186"/>
      </rPr>
      <t>Gargždų 51 kvartalo</t>
    </r>
    <r>
      <rPr>
        <sz val="8"/>
        <color rgb="FF000000"/>
        <rFont val="Arial"/>
        <family val="2"/>
        <charset val="186"/>
      </rPr>
      <t xml:space="preserve"> drenažo ir nuovažos projektavimas</t>
    </r>
  </si>
  <si>
    <t>6.1.1.3.</t>
  </si>
  <si>
    <t>6-2-2-14</t>
  </si>
  <si>
    <r>
      <rPr>
        <sz val="8"/>
        <color rgb="FF000000"/>
        <rFont val="Arial"/>
        <family val="2"/>
        <charset val="186"/>
      </rPr>
      <t xml:space="preserve">Klaipėdos rajono, Dovilų sen., Dovilų mstl. </t>
    </r>
    <r>
      <rPr>
        <b/>
        <sz val="8"/>
        <color rgb="FF000000"/>
        <rFont val="Arial"/>
        <family val="2"/>
        <charset val="186"/>
      </rPr>
      <t xml:space="preserve">Kulių g. </t>
    </r>
    <r>
      <rPr>
        <sz val="8"/>
        <color rgb="FF000000"/>
        <rFont val="Arial"/>
        <family val="2"/>
        <charset val="186"/>
      </rPr>
      <t>(KL8274) (rangos darbai)</t>
    </r>
  </si>
  <si>
    <t>6.4.1.24.</t>
  </si>
  <si>
    <t>6-2-2-15</t>
  </si>
  <si>
    <r>
      <t xml:space="preserve">Klaipėdos rajono savivaldybės, </t>
    </r>
    <r>
      <rPr>
        <b/>
        <sz val="8"/>
        <color rgb="FF000000"/>
        <rFont val="Arial"/>
        <family val="2"/>
        <charset val="186"/>
      </rPr>
      <t>Dovilų sen., Laukų g. (Nr. KL8219) atkarpos nuo J. Basanavičiaus g. iki</t>
    </r>
    <r>
      <rPr>
        <sz val="8"/>
        <color rgb="FF000000"/>
        <rFont val="Arial"/>
        <family val="2"/>
        <charset val="186"/>
      </rPr>
      <t xml:space="preserve"> susikirtimo su keliu Nr. KL0423 rekonstrukcija</t>
    </r>
  </si>
  <si>
    <t>6.4.1.25.</t>
  </si>
  <si>
    <t>6-2-2-16</t>
  </si>
  <si>
    <r>
      <t xml:space="preserve">Klaipėdos r.Dauparų-Kvietinių sen. </t>
    </r>
    <r>
      <rPr>
        <b/>
        <sz val="8"/>
        <rFont val="Arial"/>
        <family val="2"/>
        <charset val="186"/>
      </rPr>
      <t>Statybininkų</t>
    </r>
    <r>
      <rPr>
        <sz val="8"/>
        <rFont val="Arial"/>
        <family val="2"/>
        <charset val="186"/>
      </rPr>
      <t xml:space="preserve"> g.(KL0223) rekonstravimas</t>
    </r>
  </si>
  <si>
    <t>6.4.1.26.</t>
  </si>
  <si>
    <t>Bus siekiama gauti finansavimą iš VBD</t>
  </si>
  <si>
    <t>6-2-2-17</t>
  </si>
  <si>
    <r>
      <t>Klaipėdos rajono Gargždų miesto</t>
    </r>
    <r>
      <rPr>
        <b/>
        <sz val="8"/>
        <rFont val="Arial"/>
        <family val="2"/>
        <charset val="186"/>
      </rPr>
      <t xml:space="preserve"> Gedimino g.</t>
    </r>
    <r>
      <rPr>
        <sz val="8"/>
        <rFont val="Arial"/>
        <family val="2"/>
        <charset val="186"/>
      </rPr>
      <t xml:space="preserve"> (Nr. KL8051), </t>
    </r>
    <r>
      <rPr>
        <b/>
        <sz val="8"/>
        <rFont val="Arial"/>
        <family val="2"/>
        <charset val="186"/>
      </rPr>
      <t xml:space="preserve">Palangos g. </t>
    </r>
    <r>
      <rPr>
        <sz val="8"/>
        <rFont val="Arial"/>
        <family val="2"/>
        <charset val="186"/>
      </rPr>
      <t xml:space="preserve">(KL8052), </t>
    </r>
    <r>
      <rPr>
        <b/>
        <sz val="8"/>
        <rFont val="Arial"/>
        <family val="2"/>
        <charset val="186"/>
      </rPr>
      <t>Saulažolių g</t>
    </r>
    <r>
      <rPr>
        <sz val="8"/>
        <rFont val="Arial"/>
        <family val="2"/>
        <charset val="186"/>
      </rPr>
      <t xml:space="preserve">. (Nr. KL8053), Vytenio g. (Nr. KL8054), </t>
    </r>
    <r>
      <rPr>
        <b/>
        <sz val="8"/>
        <rFont val="Arial"/>
        <family val="2"/>
        <charset val="186"/>
      </rPr>
      <t xml:space="preserve">Gargždupio g. </t>
    </r>
    <r>
      <rPr>
        <sz val="8"/>
        <rFont val="Arial"/>
        <family val="2"/>
        <charset val="186"/>
      </rPr>
      <t>(Nr. KL8055) ir</t>
    </r>
    <r>
      <rPr>
        <b/>
        <sz val="8"/>
        <rFont val="Arial"/>
        <family val="2"/>
        <charset val="186"/>
      </rPr>
      <t xml:space="preserve"> Žibučių g</t>
    </r>
    <r>
      <rPr>
        <sz val="8"/>
        <rFont val="Arial"/>
        <family val="2"/>
        <charset val="186"/>
      </rPr>
      <t>. (Nr. KL8056) (rangos darbai)</t>
    </r>
  </si>
  <si>
    <t>6.4.1.27.</t>
  </si>
  <si>
    <t>6-2-2-18</t>
  </si>
  <si>
    <r>
      <t>Klaipėdos rajono Sendvario sen.</t>
    </r>
    <r>
      <rPr>
        <b/>
        <sz val="8"/>
        <rFont val="Arial"/>
        <family val="2"/>
        <charset val="186"/>
      </rPr>
      <t xml:space="preserve"> Mazūriškių k. Stonės g. (Nr. KL1407) ir Gvildžių k.Vėtrungių g.</t>
    </r>
    <r>
      <rPr>
        <sz val="8"/>
        <rFont val="Arial"/>
        <family val="2"/>
        <charset val="186"/>
      </rPr>
      <t xml:space="preserve"> (Nr. KL1456) kapitalinis remontas</t>
    </r>
  </si>
  <si>
    <t>6.4.1.28.</t>
  </si>
  <si>
    <t>6-2-2-19</t>
  </si>
  <si>
    <r>
      <t xml:space="preserve">Klaipėdos rajono Dovilų senūnijos vietinės reikšmės kelio Nr. KL0401 </t>
    </r>
    <r>
      <rPr>
        <b/>
        <sz val="8"/>
        <rFont val="Arial"/>
        <family val="2"/>
        <charset val="186"/>
      </rPr>
      <t>Rimkai - Lėbartai - Dovilai</t>
    </r>
    <r>
      <rPr>
        <sz val="8"/>
        <rFont val="Arial"/>
        <family val="2"/>
        <charset val="186"/>
      </rPr>
      <t xml:space="preserve"> (atkarpos nuo 0,00 iki 2,2 km) (kapitalinio remonto projekto parengimas ir ranga)</t>
    </r>
  </si>
  <si>
    <t>6.4.1.29.</t>
  </si>
  <si>
    <t>6-2-2-20</t>
  </si>
  <si>
    <r>
      <t xml:space="preserve">CPO Klaipėdos raj. Kretingalės sen. </t>
    </r>
    <r>
      <rPr>
        <b/>
        <sz val="8"/>
        <rFont val="Arial"/>
        <family val="2"/>
        <charset val="186"/>
      </rPr>
      <t>Karklė, Karklininkų g</t>
    </r>
    <r>
      <rPr>
        <sz val="8"/>
        <rFont val="Arial"/>
        <family val="2"/>
        <charset val="186"/>
      </rPr>
      <t>. KL8896 rekonstravimo techninio darbo projekto parengimo ir projekto vykdymo priežiūra ir rangos darbai</t>
    </r>
  </si>
  <si>
    <t>6.4.1.30.</t>
  </si>
  <si>
    <t>6-2-2-21</t>
  </si>
  <si>
    <r>
      <rPr>
        <b/>
        <sz val="8"/>
        <rFont val="Arial"/>
        <family val="2"/>
        <charset val="186"/>
      </rPr>
      <t>Priekulės sen., Mickų k., Vaškių k. ir Kliošių k.,Vaškių g</t>
    </r>
    <r>
      <rPr>
        <sz val="8"/>
        <rFont val="Arial"/>
        <family val="2"/>
        <charset val="186"/>
      </rPr>
      <t>. (KL1266) kapitalinio remonto darbai</t>
    </r>
  </si>
  <si>
    <t>6.4.1.31.</t>
  </si>
  <si>
    <t>6-2-2-22</t>
  </si>
  <si>
    <r>
      <rPr>
        <b/>
        <sz val="8"/>
        <color rgb="FF000000"/>
        <rFont val="Arial"/>
        <family val="2"/>
        <charset val="186"/>
      </rPr>
      <t xml:space="preserve">Bičiulių g. KL8714 Budrikų k., </t>
    </r>
    <r>
      <rPr>
        <sz val="8"/>
        <color rgb="FF000000"/>
        <rFont val="Arial"/>
        <family val="2"/>
        <charset val="186"/>
      </rPr>
      <t>Sendvario sen. projektavimas ir ranga</t>
    </r>
  </si>
  <si>
    <t>6.4.1.32.</t>
  </si>
  <si>
    <t>Š. Čičinis. E. Vasylienė</t>
  </si>
  <si>
    <t>Parengtas projektas, vnt</t>
  </si>
  <si>
    <t>6-2-2-23</t>
  </si>
  <si>
    <r>
      <t xml:space="preserve">Klaipėdos raj., </t>
    </r>
    <r>
      <rPr>
        <b/>
        <sz val="8"/>
        <rFont val="Arial"/>
        <family val="2"/>
        <charset val="186"/>
      </rPr>
      <t>Priekulės sen. Rokų g. (Nr. KL8471), Butkų g. (Nr. KL1341) ir Santakos g</t>
    </r>
    <r>
      <rPr>
        <sz val="8"/>
        <rFont val="Arial"/>
        <family val="2"/>
        <charset val="186"/>
      </rPr>
      <t>. (Nr. KL1297) kapitalinis remontas projektavimas, ekspertizė</t>
    </r>
  </si>
  <si>
    <t>6.4.1.33.</t>
  </si>
  <si>
    <t>6-2-2-24</t>
  </si>
  <si>
    <r>
      <rPr>
        <sz val="8"/>
        <color rgb="FF000000"/>
        <rFont val="Arial"/>
      </rPr>
      <t xml:space="preserve">Klaipėdos raj. Kretingalės sen. Kalotės k. </t>
    </r>
    <r>
      <rPr>
        <b/>
        <sz val="8"/>
        <color rgb="FF000000"/>
        <rFont val="Arial"/>
      </rPr>
      <t xml:space="preserve">Malūnų </t>
    </r>
    <r>
      <rPr>
        <sz val="8"/>
        <color rgb="FF000000"/>
        <rFont val="Arial"/>
      </rPr>
      <t>g. (Nr. KL8796) rekonstravimas</t>
    </r>
  </si>
  <si>
    <t>6.4.1.43.</t>
  </si>
  <si>
    <t>6-2-2-25</t>
  </si>
  <si>
    <r>
      <rPr>
        <sz val="8"/>
        <color rgb="FF000000"/>
        <rFont val="Arial"/>
      </rPr>
      <t xml:space="preserve">Klaipėdos raj. Kretingalės sen. </t>
    </r>
    <r>
      <rPr>
        <b/>
        <sz val="8"/>
        <color rgb="FF000000"/>
        <rFont val="Arial"/>
      </rPr>
      <t xml:space="preserve">Vasaros </t>
    </r>
    <r>
      <rPr>
        <sz val="8"/>
        <color rgb="FF000000"/>
        <rFont val="Arial"/>
      </rPr>
      <t>g. (KL8869) rekonstravimas</t>
    </r>
  </si>
  <si>
    <t>6.4.1.44.</t>
  </si>
  <si>
    <t>6-2-2-26</t>
  </si>
  <si>
    <r>
      <rPr>
        <sz val="8"/>
        <color rgb="FF000000"/>
        <rFont val="Arial"/>
      </rPr>
      <t xml:space="preserve">Klaipėdos raj.sav Endriejavo sen. Endriejavo mstl. </t>
    </r>
    <r>
      <rPr>
        <b/>
        <sz val="8"/>
        <color rgb="FF000000"/>
        <rFont val="Arial"/>
      </rPr>
      <t xml:space="preserve">Naujokų </t>
    </r>
    <r>
      <rPr>
        <sz val="8"/>
        <color rgb="FF000000"/>
        <rFont val="Arial"/>
      </rPr>
      <t>g. (KL8566)</t>
    </r>
  </si>
  <si>
    <t>6.4.1.45.</t>
  </si>
  <si>
    <t>6-2-2-27</t>
  </si>
  <si>
    <t>Rezervas skiriamas apmokėti už nenumatytus darbus, atsirandančius ilgalaikių objektų vykdymo sutartyse numatytų darbų vykdymo metu</t>
  </si>
  <si>
    <t>6.1.4.11.</t>
  </si>
  <si>
    <t>6-2-3</t>
  </si>
  <si>
    <t>Įgyvendinti atskiras eismo saugumo priemones</t>
  </si>
  <si>
    <t>6-2-3-1</t>
  </si>
  <si>
    <t>Saugaus eismo priemonių užtikrinimas (pagal Saugaus eismo komisijos sprendimus)</t>
  </si>
  <si>
    <t>6.1.1.9.</t>
  </si>
  <si>
    <t>Organizuoti darbus pagal Saugaus eismo komisijos sprendimus, panaudotų lėšų dalis, proc.</t>
  </si>
  <si>
    <t>Atlikta kelio ženklų fiksacija žemėlapyje, vnt.</t>
  </si>
  <si>
    <t>6-2-3-2</t>
  </si>
  <si>
    <t>Gargždų miesto šviesoforų techninė priežiūra, rekonstrukcija</t>
  </si>
  <si>
    <t>6.1.1.37.</t>
  </si>
  <si>
    <t>Priežiūra</t>
  </si>
  <si>
    <t>Rekonstrukcija Klaipėdos ir Basanavičiaus g.</t>
  </si>
  <si>
    <t>6-2-3-3</t>
  </si>
  <si>
    <t>Automobilių stovėjimo rinkliavos rinkimo ir administravimo paslaugos vykdymas</t>
  </si>
  <si>
    <t>6.1.1.38.</t>
  </si>
  <si>
    <t>G. Bajorinienė</t>
  </si>
  <si>
    <t>Suorganizuotas automobilių stovėjimo rinkliavos rinkimas ir administravimas, proc.</t>
  </si>
  <si>
    <t>6-3 Uždavinys: Modernizuoti Klaipėdos rajono savivaldybės kelius ir kitą viešąją infrastruktūrą</t>
  </si>
  <si>
    <t>6-3-1</t>
  </si>
  <si>
    <t>Prisidėjimas prie AB "VIA Lietuva" pirmumo teise įgyvendinamų projektų rajone ir techninių projektų parengimas</t>
  </si>
  <si>
    <t>6-3-1-1</t>
  </si>
  <si>
    <t>Veiviržėnų Laisvės g. prisidėjimas, apšvietimo finansavimas</t>
  </si>
  <si>
    <t>6.1.4.15.</t>
  </si>
  <si>
    <t>6-3-1-2</t>
  </si>
  <si>
    <t>Valstybinės reikšmės rajoninio kelio Nr. 2212 Klaipėda–Radailiai–Kretinga ruožo nuo 4,800 iki 11,500 km kapitalinis remontas, įrengiant takus, apšvietimą ir inžinerines eismo saugos priemones</t>
  </si>
  <si>
    <t>6-3-1-3</t>
  </si>
  <si>
    <t>Valstybinės reikšmės rajoninio kelio Nr. 2217 Klaipėda–Karklė–
Dargužiai nuovažos ties 6,87 km kapitalinio remonto projektas įrengiant iškilią perėją ir kt.</t>
  </si>
  <si>
    <t>6-3-1-4</t>
  </si>
  <si>
    <t>Autobusų stotelių ir pesčiųjų perėjų projektavimas ir įrengimas Klaipėdos rajone (prie AB "VIA Lietuva" kelių)</t>
  </si>
  <si>
    <t>6.4.1.46.</t>
  </si>
  <si>
    <t>6-3-2</t>
  </si>
  <si>
    <t>Elektromobilių įkrovimo prieigų įrengimas ir priežiūra</t>
  </si>
  <si>
    <t>6.1.4.18.</t>
  </si>
  <si>
    <t>6-3-2-1</t>
  </si>
  <si>
    <t>Esamų elektromobilių įkrovimo stotelių priežiūra</t>
  </si>
  <si>
    <t>A. Vaitkė</t>
  </si>
  <si>
    <t>Prižiūrimos esamos stotelės, vnt.</t>
  </si>
  <si>
    <t>6-3-2-2</t>
  </si>
  <si>
    <t>Gargždų autobusų stoties didelio galingumo stotelių įrengimas</t>
  </si>
  <si>
    <t>Įrengta didelio galingumo pakrovimo stotelė, vnt.</t>
  </si>
  <si>
    <t xml:space="preserve">Gargždų </t>
  </si>
  <si>
    <t>6-3-2-3</t>
  </si>
  <si>
    <t>Elektromobilių įkrovimo stotelės įrengimas Placio g., Karklės k.</t>
  </si>
  <si>
    <t>6-4 Uždavinys: Modernizuoti apšvietimo sistemą Klaipėdos rajone</t>
  </si>
  <si>
    <t>6-4-1</t>
  </si>
  <si>
    <t>Atnaujinti ir įrengti apšvietimo sistemą Gargžduose ir Klaipėdos rajono gyvenvietėse</t>
  </si>
  <si>
    <t>6-4-1-1</t>
  </si>
  <si>
    <t>Naujų vartotojų elektros įrenginių prijungimas prie operatoriaus tinklų</t>
  </si>
  <si>
    <t>6.2.1.7.</t>
  </si>
  <si>
    <t>Pagal poreikį vykdyti prijungimus, panaudotų lėšų dalis, proc.</t>
  </si>
  <si>
    <t>6-4-1-2</t>
  </si>
  <si>
    <t>Klaipėdos rajono seniūnijų gatvių apšvietimo sistemų palaikymas</t>
  </si>
  <si>
    <t>6.2.1.29</t>
  </si>
  <si>
    <t>Organizuoti ir kontroliuoti rangos darbus seniūnijose prie švietimo įstaigų, pavojinguose kelių ir gatvių ruožuose, prie socialinių objektų, panaudotų lėšų dalis, proc.</t>
  </si>
  <si>
    <t>6-4-1-3</t>
  </si>
  <si>
    <t>Klaipėdos rajono seniūnijų gatvių apšvietimo sistemų  plėtra</t>
  </si>
  <si>
    <t>6.4.1.47.</t>
  </si>
  <si>
    <t xml:space="preserve">Sumokėta įmoka, proc. </t>
  </si>
  <si>
    <t>6-4-2</t>
  </si>
  <si>
    <t>Užtikrinti gatvių apšvietimo infrastruktūros priežiūrą Klaipėdos rajono seniūnijose</t>
  </si>
  <si>
    <t>6-4-2-1</t>
  </si>
  <si>
    <t>Agluonėnų seniūnijos gatvių apšvietimas</t>
  </si>
  <si>
    <t>6.2.2.1.25.</t>
  </si>
  <si>
    <t>A. Žilienė</t>
  </si>
  <si>
    <t>Prižiūrėtų šviestuvų skaičius, vnt.</t>
  </si>
  <si>
    <t>6-4-2-2</t>
  </si>
  <si>
    <t>Dauparų-Kvietinių seniūnijos gatvių apšvietimas</t>
  </si>
  <si>
    <t>6.2.2.2.26.</t>
  </si>
  <si>
    <t>6-4-2-3</t>
  </si>
  <si>
    <t>Dovilų seniūnijos gatvių apšvietimas</t>
  </si>
  <si>
    <t>6.2.2.3.27.</t>
  </si>
  <si>
    <t>N. Ilginienė</t>
  </si>
  <si>
    <t>6-4-2-4</t>
  </si>
  <si>
    <t>Endriejavo seniūnijos gatvių apšvietimas</t>
  </si>
  <si>
    <t>6.2.2.4.28.</t>
  </si>
  <si>
    <t>S. Bakšinskis</t>
  </si>
  <si>
    <t>6-4-2-5</t>
  </si>
  <si>
    <t>Gargždų seniūnijos gatvių apšvietimas</t>
  </si>
  <si>
    <t>6.2.2.5.29.</t>
  </si>
  <si>
    <t>6-4-2-6</t>
  </si>
  <si>
    <t>Judrėnų seniūnijos gatvių apšvietimas</t>
  </si>
  <si>
    <t>6.2.2.6.30.</t>
  </si>
  <si>
    <t>Z. Siminauskas</t>
  </si>
  <si>
    <t>6-4-2-7</t>
  </si>
  <si>
    <t>Kretingalės seniūnijos gatvių apšvietimas</t>
  </si>
  <si>
    <t>6.2.2.7.31.</t>
  </si>
  <si>
    <t>A. Monstavičienė</t>
  </si>
  <si>
    <t>6-4-2-8</t>
  </si>
  <si>
    <t>Priekulės seniūnijos gatvių apšvietimas</t>
  </si>
  <si>
    <t>6.2.2.8.32.</t>
  </si>
  <si>
    <t>D. Bliūdžiuvienė, R. Narkienė</t>
  </si>
  <si>
    <t>6-4-2-9</t>
  </si>
  <si>
    <t>Sendvario seniūnijos gatvių apšvietimas</t>
  </si>
  <si>
    <t>6.2.2.9.33.</t>
  </si>
  <si>
    <t>6-4-2-10</t>
  </si>
  <si>
    <t>Veiviržėnų seniūnijos gatvių apšvietimas</t>
  </si>
  <si>
    <t>6.2.2.10.34</t>
  </si>
  <si>
    <t>E. Sluckienė</t>
  </si>
  <si>
    <t>6-4-2-11</t>
  </si>
  <si>
    <t>Vėžaičių seniūnijos gatvių apšvietimas</t>
  </si>
  <si>
    <t>6.2.2.11.35.</t>
  </si>
  <si>
    <t>R. Bernotas</t>
  </si>
  <si>
    <t>6-5 Uždavinys: Prižiūrėti ir gerinti kitą Klaipėdos rajono inžinerinę infrastruktūrą</t>
  </si>
  <si>
    <t>6-5-1</t>
  </si>
  <si>
    <t>Gerinti sodų bendrijų viešąją infrastruktūrą</t>
  </si>
  <si>
    <t>6-5-1-1</t>
  </si>
  <si>
    <t>Klaipėdos rajono sodininkų bendrijų specialiosios programos įgyvendinimas</t>
  </si>
  <si>
    <t>6.3.1.1.</t>
  </si>
  <si>
    <t>K. Stulpinienė</t>
  </si>
  <si>
    <t>Sodininkų bendrijų išnagrinėtos praiškos, vnt.</t>
  </si>
  <si>
    <t>6-5-2</t>
  </si>
  <si>
    <t>Užtikrinti keleivių pervežimą viešuoju transportu</t>
  </si>
  <si>
    <t>6-5-2-1</t>
  </si>
  <si>
    <t>Subsidija vežėjų nuostoliams kompensuoti (dotacija)</t>
  </si>
  <si>
    <t>6.3.3.1.</t>
  </si>
  <si>
    <t>R. Rudgalvienė</t>
  </si>
  <si>
    <t>Kompensuoti vežėjų nuostoliai, proc.</t>
  </si>
  <si>
    <t>6-5-2-2</t>
  </si>
  <si>
    <t>Keleivinio viešojo transporto kontrolės rajone organizavimas</t>
  </si>
  <si>
    <t>6.3.3.2.</t>
  </si>
  <si>
    <t>6-5-2-3</t>
  </si>
  <si>
    <t>Autobusų paviljonų įrengimas Klaipėdos rajone</t>
  </si>
  <si>
    <t>6.3.3.3.</t>
  </si>
  <si>
    <t>J. Blinstrubienė</t>
  </si>
  <si>
    <t xml:space="preserve">Įrengtos stotelės, vnt. </t>
  </si>
  <si>
    <t>6-5-2-4</t>
  </si>
  <si>
    <t>Projektas "Integruotos viešojo transporto sistemos diegimas Klaipėdos rajone"</t>
  </si>
  <si>
    <t>6.3.3.4.</t>
  </si>
  <si>
    <t>6-5-3</t>
  </si>
  <si>
    <t>Didinti energijos suvartojimo efektyvumą Klaipėdos rajone</t>
  </si>
  <si>
    <t>6-5-3-1</t>
  </si>
  <si>
    <t>Nutolusių saulės parkų įsigijimas</t>
  </si>
  <si>
    <t>6.2.1.8.</t>
  </si>
  <si>
    <t>KKP</t>
  </si>
  <si>
    <t>6-5-4</t>
  </si>
  <si>
    <t xml:space="preserve">Dviračių ir pėsčiųjų takų plėtra ir remontas </t>
  </si>
  <si>
    <t>6-5-4-1</t>
  </si>
  <si>
    <r>
      <t>G</t>
    </r>
    <r>
      <rPr>
        <b/>
        <sz val="8"/>
        <rFont val="Arial"/>
        <family val="2"/>
        <charset val="186"/>
      </rPr>
      <t>argždų miesto dviračių infrastruktūros plėtra</t>
    </r>
    <r>
      <rPr>
        <sz val="8"/>
        <rFont val="Arial"/>
        <family val="2"/>
        <charset val="186"/>
      </rPr>
      <t xml:space="preserve"> pagal  Gargždų miesto dviračių transporto infrastruktūros plėtros planą.</t>
    </r>
  </si>
  <si>
    <t>6.4.1.3.</t>
  </si>
  <si>
    <t>Š. Čičinis, J. Jackus</t>
  </si>
  <si>
    <t>Įvykdyti  rangos darbai, proc.</t>
  </si>
  <si>
    <t>6.4.1.3.29.</t>
  </si>
  <si>
    <t>Nupirkta Melioratorių g. dviračių takų projekto korektūra, vnt.</t>
  </si>
  <si>
    <t>6-5-4-2</t>
  </si>
  <si>
    <t>Dviračių ir pėsčiųjų takų įrengimas pagal Ekonomikos gaivinimo ir atsparumo didinimo priemonės (EGADP) lėšas</t>
  </si>
  <si>
    <t>9, 9.1</t>
  </si>
  <si>
    <t>6.1.4.20.</t>
  </si>
  <si>
    <t>Įrengtas Gargždų Melioratorių g. (KL7030), Janonio g.,  Kastyčio g. (KL7032), Vingio g., Smėlio g. dviračių ir pėsčiųjų takas, km</t>
  </si>
  <si>
    <t>6-5-4-3</t>
  </si>
  <si>
    <t>Klaipėdos rajono dviračių ir pėsčiųjų takų infrastruktūros atnaujinimas, remontas, plėtra</t>
  </si>
  <si>
    <t xml:space="preserve">6.1.4.21. </t>
  </si>
  <si>
    <t>6-5-4-4</t>
  </si>
  <si>
    <t>Dviračių ir pėsčiųjų takų remontas ir statyba prie AB "Via Lietuva" kelių</t>
  </si>
  <si>
    <t xml:space="preserve">6.1.4.22. </t>
  </si>
  <si>
    <t xml:space="preserve">Parengti priešprojektiniai pasiūlymai dėl Vėžaičių mst. pėsčiųjų tako statybos Gargždų g. nuo Samališkės iki Užtvankos g., vnt.; 227 dviračių tako remontas Gargždų mieste; Priekulės Pamarių g. tako remontas; </t>
  </si>
  <si>
    <t>6-5-4-5</t>
  </si>
  <si>
    <t>Pajūrio regioninio parko teritorija einančios tarptautinės dviračių trasos "Eurovelo 10" dalies, esančios Klaipėdos r. sav. teritorijoje, paprastasis remontas</t>
  </si>
  <si>
    <t>6.1.4.23.</t>
  </si>
  <si>
    <t>6-5-4-6</t>
  </si>
  <si>
    <t>Valstybinės reikšmės tarptautinės dviračių trasos R3  atkarpos nuo Klaipėdos miesto savivaldybės ribos iki Šilutės rajono savivaldybės ribos plėtra.</t>
  </si>
  <si>
    <t>6.4.1.48.</t>
  </si>
  <si>
    <t>6-6 Uždavinys: Modernizuoti bei plėtoti vandens tiekimo, buitinių nuotekų bei paviršinių nuotekų tvarkymo infrastruktūrą Klaipėdos rajone</t>
  </si>
  <si>
    <t>6-6-1</t>
  </si>
  <si>
    <r>
      <t xml:space="preserve">Modernizuoti </t>
    </r>
    <r>
      <rPr>
        <b/>
        <sz val="8"/>
        <rFont val="Arial"/>
        <family val="2"/>
        <charset val="186"/>
      </rPr>
      <t>vandens tiekimo</t>
    </r>
    <r>
      <rPr>
        <sz val="8"/>
        <rFont val="Arial"/>
        <family val="2"/>
        <charset val="186"/>
      </rPr>
      <t xml:space="preserve"> ir buitinių </t>
    </r>
    <r>
      <rPr>
        <b/>
        <sz val="8"/>
        <rFont val="Arial"/>
        <family val="2"/>
        <charset val="186"/>
      </rPr>
      <t>nuotekų</t>
    </r>
    <r>
      <rPr>
        <sz val="8"/>
        <rFont val="Arial"/>
        <family val="2"/>
        <charset val="186"/>
      </rPr>
      <t xml:space="preserve"> tvarkymo infrastruktūrą</t>
    </r>
  </si>
  <si>
    <t>ES (Kt)</t>
  </si>
  <si>
    <t>6-6-1-1</t>
  </si>
  <si>
    <t>Vandentiekio ir buitinių nuotekų tinklų Smeltaitės gatvėje (nuo Sniego g. iki A. Bruožio g.,), Klemiškės II k., Sendvario sen., Klaipėdos r. sav., statybos projektas</t>
  </si>
  <si>
    <t>3.1.1.81.</t>
  </si>
  <si>
    <t>AB "Klaipėdos vanduo"</t>
  </si>
  <si>
    <t>6-6-1-2</t>
  </si>
  <si>
    <t>Svencelės/Drevernos gyvenviečių NV plėtra (I etapas)</t>
  </si>
  <si>
    <t xml:space="preserve">Priekulės </t>
  </si>
  <si>
    <t>F. Žemgulys</t>
  </si>
  <si>
    <t xml:space="preserve">Pervestos lėšos, proc. </t>
  </si>
  <si>
    <t>6-6-1-3</t>
  </si>
  <si>
    <t>Klaipėdos raj. vandens ruošyklų statyba (Svencelės VGĮ)</t>
  </si>
  <si>
    <t>6-6-1-4</t>
  </si>
  <si>
    <r>
      <t xml:space="preserve">Buitinių nuotekų tinklų Žemaičių g., Liepų g., Paežerio g., Pievų g., Kalno g., </t>
    </r>
    <r>
      <rPr>
        <b/>
        <sz val="8"/>
        <rFont val="Arial"/>
        <family val="2"/>
        <charset val="186"/>
      </rPr>
      <t>Endriejavo mst.</t>
    </r>
    <r>
      <rPr>
        <sz val="8"/>
        <rFont val="Arial"/>
        <family val="2"/>
        <charset val="186"/>
      </rPr>
      <t xml:space="preserve"> Klaipėdos raj. sav. statybos ir rekonstravimo</t>
    </r>
  </si>
  <si>
    <t>6-6-1-5</t>
  </si>
  <si>
    <r>
      <t xml:space="preserve">Buitinių nuotekų tinklų projektavimas ir statyba </t>
    </r>
    <r>
      <rPr>
        <b/>
        <sz val="8"/>
        <rFont val="Arial"/>
        <family val="2"/>
        <charset val="186"/>
      </rPr>
      <t xml:space="preserve">Girininkų </t>
    </r>
    <r>
      <rPr>
        <sz val="8"/>
        <rFont val="Arial"/>
        <family val="2"/>
        <charset val="186"/>
      </rPr>
      <t>k.</t>
    </r>
  </si>
  <si>
    <t>Atlikti projektavimo darbai, vnt.</t>
  </si>
  <si>
    <t>6-6-1-6</t>
  </si>
  <si>
    <r>
      <t>Nuotekų šalinimo tinklų ir vandentiekio tinklų nauja statyba Globėjų g., Knygnešių g., Mykolo Vaitkaus g., Tvenkinio g., Gulbių g., Gargžduose (</t>
    </r>
    <r>
      <rPr>
        <b/>
        <sz val="8"/>
        <rFont val="Arial"/>
        <family val="2"/>
        <charset val="186"/>
      </rPr>
      <t>176 gyv. namų kvartale)</t>
    </r>
  </si>
  <si>
    <t>F. Žemgulys, AB "Klaipėdos vanduo"</t>
  </si>
  <si>
    <t>Atlikta tinklų statyba, proc.</t>
  </si>
  <si>
    <t>Parengtas projektas, vnt.</t>
  </si>
  <si>
    <t>6-6-1-7</t>
  </si>
  <si>
    <t>Vandentiekio ir buitinių nuotekų šalinimo, tinklų įrengimo galimybių studijos parengimas Derceklių, Lingių k. ir aplinkinėse teritorijose</t>
  </si>
  <si>
    <t>6-6-1-8</t>
  </si>
  <si>
    <r>
      <t xml:space="preserve">Buitinių nuotekų valymo įrenginio socialiniam būstui projektavimo ir statybos darbai Pėžaičių g. 18, </t>
    </r>
    <r>
      <rPr>
        <b/>
        <sz val="8"/>
        <rFont val="Arial"/>
        <family val="2"/>
        <charset val="186"/>
      </rPr>
      <t xml:space="preserve">Pėžaičių </t>
    </r>
    <r>
      <rPr>
        <sz val="8"/>
        <rFont val="Arial"/>
        <family val="2"/>
        <charset val="186"/>
      </rPr>
      <t>k.</t>
    </r>
  </si>
  <si>
    <t>3.1.1.81.34.</t>
  </si>
  <si>
    <t>Įrengti tinklai, proc.</t>
  </si>
  <si>
    <t>6-6-1-9</t>
  </si>
  <si>
    <r>
      <t xml:space="preserve">Vamzdynų ir šulinių statybos darbai </t>
    </r>
    <r>
      <rPr>
        <b/>
        <sz val="8"/>
        <rFont val="Arial"/>
        <family val="2"/>
        <charset val="186"/>
      </rPr>
      <t xml:space="preserve">Laisvės </t>
    </r>
    <r>
      <rPr>
        <sz val="8"/>
        <rFont val="Arial"/>
        <family val="2"/>
        <charset val="186"/>
      </rPr>
      <t>g.4, Veiviržėnai</t>
    </r>
  </si>
  <si>
    <t>6-6-1-10</t>
  </si>
  <si>
    <r>
      <t xml:space="preserve">Vandens tiekimo įrenginių bei vandentiekio tinklų perdavimas AB "Klaipėdos vanduo", statyba ir rekonstrukcija </t>
    </r>
    <r>
      <rPr>
        <b/>
        <sz val="8"/>
        <rFont val="Arial"/>
        <family val="2"/>
        <charset val="186"/>
      </rPr>
      <t xml:space="preserve">Venckų </t>
    </r>
    <r>
      <rPr>
        <sz val="8"/>
        <rFont val="Arial"/>
        <family val="2"/>
        <charset val="186"/>
      </rPr>
      <t>k.</t>
    </r>
  </si>
  <si>
    <t>6-6-1-11</t>
  </si>
  <si>
    <r>
      <rPr>
        <sz val="8"/>
        <color rgb="FF000000"/>
        <rFont val="Arial"/>
      </rPr>
      <t xml:space="preserve">Vandentiekio ir buitinių nuotekų tinklų statyba </t>
    </r>
    <r>
      <rPr>
        <b/>
        <sz val="8"/>
        <color rgb="FF000000"/>
        <rFont val="Arial"/>
      </rPr>
      <t>Jaunimo parke</t>
    </r>
    <r>
      <rPr>
        <sz val="8"/>
        <color rgb="FF000000"/>
        <rFont val="Arial"/>
      </rPr>
      <t xml:space="preserve"> (moduliniams pastatams)</t>
    </r>
  </si>
  <si>
    <t>6-6-1-12</t>
  </si>
  <si>
    <t>Vandentiekio ir buitinių nuotekų tinklų statyba Veiviržėnų ambulatorijos pastatui</t>
  </si>
  <si>
    <t>6-6-2</t>
  </si>
  <si>
    <r>
      <rPr>
        <sz val="8"/>
        <color rgb="FF000000"/>
        <rFont val="Arial"/>
        <family val="2"/>
        <charset val="186"/>
      </rPr>
      <t xml:space="preserve">Prižiūrėti esamą ir planuoti naują </t>
    </r>
    <r>
      <rPr>
        <b/>
        <sz val="8"/>
        <color rgb="FF000000"/>
        <rFont val="Arial"/>
        <family val="2"/>
        <charset val="186"/>
      </rPr>
      <t xml:space="preserve">paviršinių </t>
    </r>
    <r>
      <rPr>
        <sz val="8"/>
        <color rgb="FF000000"/>
        <rFont val="Arial"/>
        <family val="2"/>
        <charset val="186"/>
      </rPr>
      <t>nuotekų infrastruktūrą</t>
    </r>
  </si>
  <si>
    <t>6-6-2-1</t>
  </si>
  <si>
    <t>Klaipėdos rajono lietaus nuotekų tinklų plėtros specialiojo plano rengimas</t>
  </si>
  <si>
    <t>3.1.1.78</t>
  </si>
  <si>
    <t>6-6-2-2</t>
  </si>
  <si>
    <r>
      <rPr>
        <sz val="8"/>
        <color rgb="FF000000"/>
        <rFont val="Arial"/>
        <family val="2"/>
        <charset val="186"/>
      </rPr>
      <t xml:space="preserve">Klaipėdos rajono </t>
    </r>
    <r>
      <rPr>
        <b/>
        <sz val="8"/>
        <color rgb="FF000000"/>
        <rFont val="Arial"/>
        <family val="2"/>
        <charset val="186"/>
      </rPr>
      <t xml:space="preserve">paviršinių nuotekų </t>
    </r>
    <r>
      <rPr>
        <sz val="8"/>
        <color rgb="FF000000"/>
        <rFont val="Arial"/>
        <family val="2"/>
        <charset val="186"/>
      </rPr>
      <t xml:space="preserve">infrastruktūros </t>
    </r>
    <r>
      <rPr>
        <b/>
        <sz val="8"/>
        <color rgb="FF000000"/>
        <rFont val="Arial"/>
        <family val="2"/>
        <charset val="186"/>
      </rPr>
      <t>projektavimas</t>
    </r>
  </si>
  <si>
    <t>3.1.1.75</t>
  </si>
  <si>
    <t>6-6-2-2-1</t>
  </si>
  <si>
    <t>Gargždų miesto Dariaus ir Girėno g., Pušų g., Vingio g. paviršinių nuotekų šalinimo tinklų projektavimas</t>
  </si>
  <si>
    <t>Įvykdyti projektavimo darbai, gautas statybą leidžiantis dokumentas, vnt</t>
  </si>
  <si>
    <t>6-6-2-2-2</t>
  </si>
  <si>
    <t>Paviršinių nuotekų šalinimo tinklų projektavimas Gargždų miesto Laugalių ir Aleksandro Lengvino g. sankryžoje</t>
  </si>
  <si>
    <t>6-6-2-2-3</t>
  </si>
  <si>
    <t xml:space="preserve">Paviršinių nuotekų šalinimo tinklų projektavimas Gargždų miesto Žemaitės g. </t>
  </si>
  <si>
    <t>6-6-2-2-4</t>
  </si>
  <si>
    <t>Paviršinių nuotekų šalinimo tinklų projektavimas Gargždų m. nuo Lakštingalų g. iki Minijos upės</t>
  </si>
  <si>
    <t>6-6-2-2-5</t>
  </si>
  <si>
    <t>Paviršinių nuotekų šalinimo tinklų nauja statyba Gargždų miesto Užmiesčio g. projekto parengimas</t>
  </si>
  <si>
    <t>6-6-2-2-6</t>
  </si>
  <si>
    <t>Paviršinių nuotekų šalinimo tinklų nauja statyba Jakų k. Šviesos g., Kaštonų g., Vilties g. projekto parengimas</t>
  </si>
  <si>
    <t>6-6-2-2-7</t>
  </si>
  <si>
    <t>Paviršinių nuotekų šalinimo tinklų nauja statyba Lapių k. Žvelsos g. projekto parengimas</t>
  </si>
  <si>
    <t>6-6-2-2-8</t>
  </si>
  <si>
    <t>Paviršinių nuotekų šalinimo tinklų nauja statyba Slengių k. Lietaus ir Ežero g. projekto parengimas</t>
  </si>
  <si>
    <t>6-6-2-2-9</t>
  </si>
  <si>
    <t>Paviršinių nuotekų šalinimo tinklų nauja statyba Agluonėnų mstl. Ievos Simonaitytės g. projekto parengimas</t>
  </si>
  <si>
    <t>6-6-2-2-10</t>
  </si>
  <si>
    <t>Savivaldybės administracijos išlaidos apmokant UAB „Klaipėdos rajono energija“ už Klaipėdos rajono savivaldybės objektų ir bendrojo naudojimo teritorijų paviršinių nuotekų tvarkymą.</t>
  </si>
  <si>
    <t>3.1.1.77</t>
  </si>
  <si>
    <t>Prižiūrimi tinklai, km</t>
  </si>
  <si>
    <t>6-6-2-3</t>
  </si>
  <si>
    <r>
      <t xml:space="preserve">Klaipėdos rajono teritorijos </t>
    </r>
    <r>
      <rPr>
        <b/>
        <sz val="8"/>
        <rFont val="Arial"/>
        <family val="2"/>
        <charset val="186"/>
      </rPr>
      <t>paviršinių  nuotekų</t>
    </r>
    <r>
      <rPr>
        <sz val="8"/>
        <rFont val="Arial"/>
        <family val="2"/>
        <charset val="186"/>
      </rPr>
      <t xml:space="preserve"> infrastruktūros </t>
    </r>
    <r>
      <rPr>
        <b/>
        <sz val="8"/>
        <rFont val="Arial"/>
        <family val="2"/>
        <charset val="186"/>
      </rPr>
      <t>statyba</t>
    </r>
  </si>
  <si>
    <t>3.1.1.79</t>
  </si>
  <si>
    <t>6-6-2-3-1</t>
  </si>
  <si>
    <r>
      <t>Paviršinių nuotekų tinklų Mazūriškių k.,</t>
    </r>
    <r>
      <rPr>
        <b/>
        <sz val="8"/>
        <rFont val="Arial"/>
        <family val="2"/>
        <charset val="186"/>
      </rPr>
      <t xml:space="preserve"> Stonės</t>
    </r>
    <r>
      <rPr>
        <sz val="8"/>
        <rFont val="Arial"/>
        <family val="2"/>
        <charset val="186"/>
      </rPr>
      <t xml:space="preserve"> g., Gvildžių k., Vėtrungių g. statyba (rangos darbai)  </t>
    </r>
  </si>
  <si>
    <t>6-6-2-3-2</t>
  </si>
  <si>
    <t>Paviršinių nuotekų šalinimo tinklų įrengimas Ketvergių k. (I ir II projekto etapų įgyvendinimas)</t>
  </si>
  <si>
    <t>Atlikti ir įforminti darbai, proc.</t>
  </si>
  <si>
    <t>6-6-2-3-3</t>
  </si>
  <si>
    <t>Nuotekų šalinimo tinklų, nuo Klaipėdos g. 14 iki Priekulės Naujosios g. ir Sodų g. sankryžos, Priekulė, statybos, remonto, rekonstravimo projekto įgyvendinimas</t>
  </si>
  <si>
    <t>3.1.1.79.32.</t>
  </si>
  <si>
    <t>6-6-2-3-4</t>
  </si>
  <si>
    <t>Paviršinių nuotekų šalinimo tinklų įrengimas Gargždų m. Gėlių g.</t>
  </si>
  <si>
    <t>M. Kernagienė</t>
  </si>
  <si>
    <t>6-6-2-3-5</t>
  </si>
  <si>
    <t>Paviršinių nuotekų šalinimo tinklų statyba ir gatvių remontas Gargždų m. Laugalių ir Aleksandro Lengvino g. sankryžoje, Pasienio g. dalyje</t>
  </si>
  <si>
    <t>6-6-2-3-6</t>
  </si>
  <si>
    <t>Gargždų miesto Dariaus ir Girėno g., Pušų g., Vingio g. paviršinių nuotekų šalinimo tinklų statyba</t>
  </si>
  <si>
    <t>6-6-2-3-7</t>
  </si>
  <si>
    <t xml:space="preserve">Paviršinių nuotekų šalinimo tinklų nauja statyba Gargždų miesto Užmiesčio g. </t>
  </si>
  <si>
    <t>6-6-2-3-8</t>
  </si>
  <si>
    <t>Paviršinių nuotekų šalinimo tinklų nauja statyba Gargždų miesto Laisvės, Gintaro g.</t>
  </si>
  <si>
    <t>6-6-2-3-9</t>
  </si>
  <si>
    <t>Paviršinių nuotekų šalinimo tinklų statyba Gargždų m. nuo Lakštingalų g. iki Minijos upės</t>
  </si>
  <si>
    <t>6-6-2-3-10</t>
  </si>
  <si>
    <t>Paviršinių nuotekų šalinimo tinklų ir siurblinės projektavimas ir statyba Stragnų II k.</t>
  </si>
  <si>
    <t>Įvykdyti projektavimo ir statybos  darbai, proc.</t>
  </si>
  <si>
    <t>6-6-2-3-11</t>
  </si>
  <si>
    <t>6-6-2-3-12</t>
  </si>
  <si>
    <t>Vandentiekio ir nuotekų tinklų inventorizavimas ir įteisinimas</t>
  </si>
  <si>
    <t>36, 9</t>
  </si>
  <si>
    <t>A. Indzelė, M. Kernagienė, R. Gudjonis</t>
  </si>
  <si>
    <t>3.1.1.79.29.</t>
  </si>
  <si>
    <t>6-6-3</t>
  </si>
  <si>
    <t>Kompensacijos iniciatoriams už įrengtą savivaldybės infrastruktūrą, pagal savivaldybės infrastruktūros plėtros sutartis</t>
  </si>
  <si>
    <t>NEPRIORITETINĖS</t>
  </si>
  <si>
    <t>6.1.1.45.</t>
  </si>
  <si>
    <t>Lėšų panaudota, proc.</t>
  </si>
  <si>
    <t>NEPRIORITETINĖS LIKUČIAI</t>
  </si>
  <si>
    <t>6-6-4</t>
  </si>
  <si>
    <t>"Klaipėdos rajono savivaldybės išlaidos apmokant už vandentiekio ir buitinių nuotekų tinklų nuomą (UAB "Baltic casings")</t>
  </si>
  <si>
    <t>6.1.1.46.</t>
  </si>
  <si>
    <t>SKPS, F. Žemgulys</t>
  </si>
  <si>
    <t>VBM(KP)</t>
  </si>
  <si>
    <t>7-1 Uždavinys: Užtikrinti kultūros srities paslaugų teikimą</t>
  </si>
  <si>
    <t>7-1-1</t>
  </si>
  <si>
    <t>Teikti kultūros paslaugas Savivaldybės kultūros įstaigose</t>
  </si>
  <si>
    <t>7-1-1-1</t>
  </si>
  <si>
    <t>BĮ Gargždų kultūros centro veiklos organizavimas</t>
  </si>
  <si>
    <t>7.1.1.2.</t>
  </si>
  <si>
    <t>7-1-1-2</t>
  </si>
  <si>
    <t>BĮ Gargždų kultūros centro kino teatro „Minija“ veiklos organizavimas</t>
  </si>
  <si>
    <t>7.1.1.1.</t>
  </si>
  <si>
    <t>7-1-1-3</t>
  </si>
  <si>
    <t>BĮ Kretingalės kultūros centro veiklos organizavimas</t>
  </si>
  <si>
    <t>7.1.1.3.</t>
  </si>
  <si>
    <t>7-1-1-4</t>
  </si>
  <si>
    <t>BĮ Priekulės meno ir kultūros centro veiklos organizavimas</t>
  </si>
  <si>
    <t>7.1.1.4.</t>
  </si>
  <si>
    <t>7-1-1-5</t>
  </si>
  <si>
    <t>BĮ Veiviržėnų kultūros centro veiklos organizavimas</t>
  </si>
  <si>
    <t>7.1.1.5.</t>
  </si>
  <si>
    <t>7-1-1-6</t>
  </si>
  <si>
    <t>BĮ Vėžaičių kultūros centro veiklos organizavimas</t>
  </si>
  <si>
    <t>7.1.1.6.</t>
  </si>
  <si>
    <t>7-1-1-7</t>
  </si>
  <si>
    <t>BĮ Klaipėdos rajono etninės kultūros centro veiklos organizavimas</t>
  </si>
  <si>
    <t>7.1.1.7.</t>
  </si>
  <si>
    <t>7-1-1-8</t>
  </si>
  <si>
    <t>J. Lankučio viešosios bibliotekos ir jos filialų veiklos organizavimas</t>
  </si>
  <si>
    <t>7.2.1.1.</t>
  </si>
  <si>
    <t>7-1-1-9</t>
  </si>
  <si>
    <t>Gargždų krašto muziejaus ir jo filialų veiklos organizavimas</t>
  </si>
  <si>
    <t>7.2.2.1.</t>
  </si>
  <si>
    <t>7-1-1-10</t>
  </si>
  <si>
    <t>Kultūros įstaigų elektros, šildymo ir kuro išlaidų finansavimas</t>
  </si>
  <si>
    <t>7.1.1.9.</t>
  </si>
  <si>
    <t>7-1-2</t>
  </si>
  <si>
    <t>Sudaryti sąlygas kultūrinės veiklos organizavimui ir kultūros sklaidai Klaipėdos rajone</t>
  </si>
  <si>
    <t>7-1-2-1</t>
  </si>
  <si>
    <r>
      <rPr>
        <sz val="8"/>
        <color rgb="FF000000"/>
        <rFont val="Arial"/>
        <family val="2"/>
        <charset val="186"/>
      </rPr>
      <t>Mėgėjų meno kolektyvų atstovavimas Klaipėdos rajonui tarptautiniuose renginiuoseir prisidėjimas prie Kultūros tarybos ir kitų konkursų finansuojamų projektų</t>
    </r>
  </si>
  <si>
    <t>8</t>
  </si>
  <si>
    <t>7.1.2.9.</t>
  </si>
  <si>
    <t>7-1-2-2</t>
  </si>
  <si>
    <t>Klaipėdos rajonui reikšmingų datų, įvykių, asmenybių įamžinimas</t>
  </si>
  <si>
    <t>7.1.2.20.</t>
  </si>
  <si>
    <t>7.1.2.20.29.</t>
  </si>
  <si>
    <t>7.1.2.20.32</t>
  </si>
  <si>
    <t>7.1.2.20.35.</t>
  </si>
  <si>
    <t>7-1-2-3</t>
  </si>
  <si>
    <t>Klaipėdos rajono profesionalių menininkų rėmimo programa</t>
  </si>
  <si>
    <t>7.1.2.21.</t>
  </si>
  <si>
    <t>7-2 Uždavinys: Modernizuoti kultūros įstaigų infrastruktūrą</t>
  </si>
  <si>
    <t>7-2-1</t>
  </si>
  <si>
    <t>Kultūros įstaigų infrastruktūros atnaujinimas, remontas ir plėtra</t>
  </si>
  <si>
    <t>7-2-1-1</t>
  </si>
  <si>
    <t>Kultūros įstaigų patalpų remontas, tarnybinių automobilių remontas, organizacinės technikos, priemonių įsigijimas, kultūros veikloms organizuoti</t>
  </si>
  <si>
    <t>7.1.1.10.</t>
  </si>
  <si>
    <t>7-2-1-2</t>
  </si>
  <si>
    <t xml:space="preserve">Gargždų kultūros centro pastato modernizavimas </t>
  </si>
  <si>
    <t>7.3.1.38.</t>
  </si>
  <si>
    <t>7-2-1-3</t>
  </si>
  <si>
    <t xml:space="preserve">Veiviržėnų kultūros centro pastato modernizavimas </t>
  </si>
  <si>
    <t>7.3.1.39.</t>
  </si>
  <si>
    <t>7-2-1-4</t>
  </si>
  <si>
    <t>Gargždų krašto muziejaus pastato projektavimas ir statyba</t>
  </si>
  <si>
    <t>7.3.1.40.</t>
  </si>
  <si>
    <t>7-2-1-5</t>
  </si>
  <si>
    <t>J. Lankučio viešosios bibliotekos filialų Purmalių k. projektavimas ir statyba</t>
  </si>
  <si>
    <t>7.3.1.41.</t>
  </si>
  <si>
    <t>7-2-1-6</t>
  </si>
  <si>
    <t>Priekulės pašto pritaikymas kultūros veikloms</t>
  </si>
  <si>
    <t>7-2-1-7</t>
  </si>
  <si>
    <t>Vėžaičių miestelio centrinėje dalyje esančio pastato bei aikštės sutvarkymas ir įveiklinimas</t>
  </si>
  <si>
    <t>7.3.1.44.</t>
  </si>
  <si>
    <t>VGF</t>
  </si>
  <si>
    <t>7-3 Uždavinys: Užtikrinti krašto etninės kultūros vertybių perimamumą, apsaugą ir populiarinimą, tenkinant visuomenės etnokultūrinius poreikius</t>
  </si>
  <si>
    <t>7-3-1</t>
  </si>
  <si>
    <t>Etninės kultūros plėtros programos įgyvendinimas</t>
  </si>
  <si>
    <t>7.4.1.1.</t>
  </si>
  <si>
    <t>7-3-2</t>
  </si>
  <si>
    <t>Premijų Klaipėdos rajonui nusipelniusiems ir pasižymėjusiems asmenims skyrimas</t>
  </si>
  <si>
    <t>7.4.1.2.</t>
  </si>
  <si>
    <t>7-4 Uždavinys: Išsaugoti kultūros paveldą ir jo kultūrinę vertę</t>
  </si>
  <si>
    <t>7-4-1</t>
  </si>
  <si>
    <t>Organizuoti kultūros vertybių tvarkymą ir išsaugojimą</t>
  </si>
  <si>
    <t>7-4-1-1</t>
  </si>
  <si>
    <t>Senųjų kapinių tvarkymo ir priežiūros darbai</t>
  </si>
  <si>
    <t>7.5.1.1.</t>
  </si>
  <si>
    <t>7-4-1-1-1</t>
  </si>
  <si>
    <t>Senųjų kapinių priežiūros darbų programa</t>
  </si>
  <si>
    <t>7-4-1-1-2</t>
  </si>
  <si>
    <t>Senųjų kapinių ženklinimas</t>
  </si>
  <si>
    <t>7-4-1-2</t>
  </si>
  <si>
    <t xml:space="preserve">Kultūros paveldo objektų ir jų vertingųjų savybių išsaugojimo darbai </t>
  </si>
  <si>
    <t>7-4-1-2-1</t>
  </si>
  <si>
    <t xml:space="preserve">Karaliaus Vilhelmo kanalo statinių komplekso Lankupių šliuzo tvarkybos (remonto, restauravimo, avarijos grėsmės pašalinimo) darbai </t>
  </si>
  <si>
    <t>7.5.1.35.</t>
  </si>
  <si>
    <t>7-4-1-2-2</t>
  </si>
  <si>
    <t>Vėžaičių dvaro sodybos arklidžių stogo paprastojo remonto darbai</t>
  </si>
  <si>
    <t>7-4-1-2-3</t>
  </si>
  <si>
    <t>Vėžaičių dvaro sodybos parko tvarkybos darbų projekto parengimas</t>
  </si>
  <si>
    <t>7.5.1.35.35</t>
  </si>
  <si>
    <t>7-4-1-2-4</t>
  </si>
  <si>
    <t xml:space="preserve">Memorialinio paminklo Priekulės I k. civilinėse kapinėse remontas (ID 1391) </t>
  </si>
  <si>
    <t>7.5.1.35.32</t>
  </si>
  <si>
    <t>7-4-1-2-6</t>
  </si>
  <si>
    <t>Gargždų pėsčiųjų viaduko tyrimai, tvarkybos darbų projekto parengimas ir įgyvendinimas</t>
  </si>
  <si>
    <t>7-4-1-2-7</t>
  </si>
  <si>
    <t>Vėžaičių dvaro sodybos arklidžių stogo paprastojo remonto projekto parengimas</t>
  </si>
  <si>
    <t>7-4-1-2-8</t>
  </si>
  <si>
    <t xml:space="preserve">Šernų tilto sutvarkymas </t>
  </si>
  <si>
    <t>7-4-1-3</t>
  </si>
  <si>
    <t>Žydų žudynių ir užkasimo vietų išsaugojimas ir įprasminimas</t>
  </si>
  <si>
    <t>7.5.1.30.</t>
  </si>
  <si>
    <t>7-4-1-4</t>
  </si>
  <si>
    <t>Kultūros paveldo statinių tvarkymo darbų dalinis finansavimas</t>
  </si>
  <si>
    <t>7.5.1.56.</t>
  </si>
  <si>
    <t>7-4-1-5</t>
  </si>
  <si>
    <t>Piliakalnių pritaikymo turizmo ir visuomenės poreikiams įgyvendinimas</t>
  </si>
  <si>
    <t>7.5.1.68.</t>
  </si>
  <si>
    <t>7-4-1-5-1</t>
  </si>
  <si>
    <t xml:space="preserve">Veiviržėnų piliakalnio sutvarkymas ir pritaikymas </t>
  </si>
  <si>
    <t>7-4-1-5-2</t>
  </si>
  <si>
    <t>Eketės piliakalnio sutvarkymas ir pritaikymas (projekto parengimas)</t>
  </si>
  <si>
    <t>7-4-1-6</t>
  </si>
  <si>
    <t>Kultūros paveldo objektų apskaita (inventorizavimas, atskleidimas, registravimas), taikomieji tyrimai, pažinimas ir sklaida</t>
  </si>
  <si>
    <t>7.5.2.1.</t>
  </si>
  <si>
    <t>7-4-1-6-1</t>
  </si>
  <si>
    <t>Nekilnojamojo kultūros paveldo objektų apskaitos dokumentų rengimas</t>
  </si>
  <si>
    <t>7-4-1-6-2</t>
  </si>
  <si>
    <t>Savivaldybės nekilnojamojo kultūros paveldo vertinimo tarybos veiklos organizavimas</t>
  </si>
  <si>
    <t>7-4-1-6-3</t>
  </si>
  <si>
    <t>Europos paveldo dienų organizavimas</t>
  </si>
  <si>
    <t>7-4-1-6-4</t>
  </si>
  <si>
    <t>Detalieji archeologiniai tyrimai Kukuliškių piliakalnyje</t>
  </si>
  <si>
    <t>7-4-1-6-5</t>
  </si>
  <si>
    <t>Klaipėdos radijo stoties pastato, Pergalės g. 2, Jakų k., taikomieji tyrimai, tvarkybos projekto parengimas ir įgyvendinimas</t>
  </si>
  <si>
    <t>7-4-1-6-6</t>
  </si>
  <si>
    <t>Detalieji archeologiniai tyrimai Turgaus g., Priekulės m.</t>
  </si>
  <si>
    <t>7.5.2.1.32.</t>
  </si>
  <si>
    <t>7-4-1-6-7</t>
  </si>
  <si>
    <t>Kiti pagal poreikį atliekami išsaugojimo darbai</t>
  </si>
  <si>
    <t>7-4-2</t>
  </si>
  <si>
    <t>Organizuoti religinio paveldo objektų tvarkymą ir išsaugojimą</t>
  </si>
  <si>
    <t>7-4-2-1</t>
  </si>
  <si>
    <t>Saugomų mažosios architektūros (lurdų, skulptūrų, kryžių, koplytėlių, koplytstulpių ir kt.) objektų tvarkymo ir priežiūros darbai</t>
  </si>
  <si>
    <t>7.5.1.71.</t>
  </si>
  <si>
    <t>7-4-2-1-1</t>
  </si>
  <si>
    <t>Veiviržėnų lurdo tvarkybos darbai ir skulptūros restauravimas</t>
  </si>
  <si>
    <t>7-4-2-1-2</t>
  </si>
  <si>
    <t>Koplytėlių/koplytstulpių atnaujinimas</t>
  </si>
  <si>
    <t>7-4-2-1-3</t>
  </si>
  <si>
    <t>Skulptūros atnaujinimas Veiviržėnų senosiose kapinėse</t>
  </si>
  <si>
    <t>7.5.1.71.34.</t>
  </si>
  <si>
    <t>SB (ES)</t>
  </si>
  <si>
    <t>8-1 Uždavinys: Plėtoti sporto paslaugas ir vykdyti aktyvią sporto politiką</t>
  </si>
  <si>
    <t>8-1-1</t>
  </si>
  <si>
    <t>Fizinio aktyvumo ir sporto veiklų organizavimas seniūnijose</t>
  </si>
  <si>
    <t>8.1.1.1.</t>
  </si>
  <si>
    <t>8-1-2</t>
  </si>
  <si>
    <t>Daugiafunkcio sporto ir pramogų centro veiklos užtikrinimas</t>
  </si>
  <si>
    <t>8.1.1.3.</t>
  </si>
  <si>
    <t>8-1-3</t>
  </si>
  <si>
    <t>Sportininkų, reprezentuojančių Klaipėdos rajono savivaldybę aukšto meistriškumo sporto varžybose, finansavimo programa</t>
  </si>
  <si>
    <t>8.1.2.9.</t>
  </si>
  <si>
    <t>8-1-4</t>
  </si>
  <si>
    <t>Jaunųjų futbolininkų ugdymo programos įgyvendinimas</t>
  </si>
  <si>
    <t>8.1.2.10.</t>
  </si>
  <si>
    <t>8-1-5</t>
  </si>
  <si>
    <t>Klaipėdos krašto buriavimo sporto mokyklos „Žiemys“ ugdymo programos įgyvendinimas</t>
  </si>
  <si>
    <t>8.1.2.11.</t>
  </si>
  <si>
    <t>8-1-6</t>
  </si>
  <si>
    <t>Sportininkų ir jų trenerių skatinimas už pasiektus sporto laimėjimus</t>
  </si>
  <si>
    <t>8.1.2.13.</t>
  </si>
  <si>
    <t>8-1-7</t>
  </si>
  <si>
    <t>Sporto renginių finansavimas Klaipėdos rajone</t>
  </si>
  <si>
    <t>8.1.2.15.</t>
  </si>
  <si>
    <t>8-1-8</t>
  </si>
  <si>
    <t>Viešosios įstaigos krepšinio klubo „Gargždai“ 2025 metų programos „Gargždų „Gargždai“ krepšinio komandos dalyvavimas Lietuvos krepšinio lygoje“ dalinis finansavimas</t>
  </si>
  <si>
    <t>8.5.1.25.</t>
  </si>
  <si>
    <t>8-1-9</t>
  </si>
  <si>
    <t>Viešosios įstaigos "JJ krepšinio akademija" veiklos programos įgyvendinimo finansavimas</t>
  </si>
  <si>
    <t>8.1.2.16.</t>
  </si>
  <si>
    <t>8-2 Uždavinys: Plėtoti fizinio aktyvumo veikloms palankią infrastruktūrą</t>
  </si>
  <si>
    <t>8-2-1</t>
  </si>
  <si>
    <t>Sporto ir laisvalaikio infrastruktūros priežiūra ir plėtra Klaipėdos rajone</t>
  </si>
  <si>
    <t>8-2-1-1</t>
  </si>
  <si>
    <t>Vaikų žaidimo, sporto aikštelių, lauko ir vidaus treniruoklių įrengimas ir priežiūra Klaipėdos rajono savivaldybės seniūnijose</t>
  </si>
  <si>
    <t>8.2.1.1.</t>
  </si>
  <si>
    <t>8-2-1-2</t>
  </si>
  <si>
    <t>Projekto „Stovyklavietės įrengimas Gargždų karjerų teritorijoje“ įgyvendinimas</t>
  </si>
  <si>
    <t>8.2.1.24.</t>
  </si>
  <si>
    <t>8-2-2</t>
  </si>
  <si>
    <t>Daugiafunkcio sporto ir pramogų centro Gargžduose, Dariaus ir Girėno g. 4, statyba</t>
  </si>
  <si>
    <t>8.2.2.6.</t>
  </si>
  <si>
    <t>9-1 Uždavinys: Efektyviai organizuoti Savivaldybės darbą, tinkamai įgyvendinant jos funkcijas</t>
  </si>
  <si>
    <t>9-1-1</t>
  </si>
  <si>
    <t>Klaipėdos rajono savivaldybės tarybos darbo organizavimas ir užtikrinimas</t>
  </si>
  <si>
    <t>9.1.1.1.</t>
  </si>
  <si>
    <t>Iš viso SB</t>
  </si>
  <si>
    <t>Iš viso VBD</t>
  </si>
  <si>
    <t>9-1-1-1</t>
  </si>
  <si>
    <t>Taryba</t>
  </si>
  <si>
    <t>CB, V. Bražinskienė, A. Andriejauskienė</t>
  </si>
  <si>
    <t>9-1-1-2</t>
  </si>
  <si>
    <t>Tarybos ir mero sekretoriatas</t>
  </si>
  <si>
    <t>9-1-1-3</t>
  </si>
  <si>
    <t>Mero fondas</t>
  </si>
  <si>
    <t>CB,  A. Andriejauskienė</t>
  </si>
  <si>
    <t>9-1-1-4</t>
  </si>
  <si>
    <t>Tarybos nariai</t>
  </si>
  <si>
    <t>CB, V. Bražinskienė</t>
  </si>
  <si>
    <t>9-1-2</t>
  </si>
  <si>
    <t>Savivaldybės tarnybų, administracijos veiklos ir funkcijų užtikrinimas</t>
  </si>
  <si>
    <t>Iš viso S</t>
  </si>
  <si>
    <t>9-1-2-1</t>
  </si>
  <si>
    <t>Administracijos darbo organizavimas (01.03.02.09.)</t>
  </si>
  <si>
    <t>9.1.1.2.</t>
  </si>
  <si>
    <t>CB, R. Petrauskienė ir A.Andriejauskienė</t>
  </si>
  <si>
    <t>Priemokos už projektinį valdymą (01.03.02.09.)</t>
  </si>
  <si>
    <t>9.1.1.23.</t>
  </si>
  <si>
    <t xml:space="preserve">CB, R. Petrauskienė </t>
  </si>
  <si>
    <t>01.03.02.09.</t>
  </si>
  <si>
    <t>BRS, M. Miežetis</t>
  </si>
  <si>
    <t>ITS, S. Martinkus</t>
  </si>
  <si>
    <t>SPPVS,
R. Grubliauskytė</t>
  </si>
  <si>
    <t>CB, V. Burokaitė</t>
  </si>
  <si>
    <t>04.04.04.09.</t>
  </si>
  <si>
    <t>04.09.01.01.</t>
  </si>
  <si>
    <t>05.06.01.09.</t>
  </si>
  <si>
    <t>07.06.01.09.</t>
  </si>
  <si>
    <t>08.06.01.09.</t>
  </si>
  <si>
    <t>09.08.01.09.</t>
  </si>
  <si>
    <t>9-1-2-2</t>
  </si>
  <si>
    <t>Reprezentacinės išlaidos</t>
  </si>
  <si>
    <t>9-1-2-3</t>
  </si>
  <si>
    <t>Mero rezervas</t>
  </si>
  <si>
    <t>CB, A.Andriejauskienė</t>
  </si>
  <si>
    <t>9-1-2-4</t>
  </si>
  <si>
    <t>Kontrolieriaus tarnybos darbo organizavimas</t>
  </si>
  <si>
    <t>9.1.1.3.</t>
  </si>
  <si>
    <t>CB,  R.Slavinskienė</t>
  </si>
  <si>
    <t>9-1-2-5</t>
  </si>
  <si>
    <t>Agluonėnų seniūnijos darbo organizavimas</t>
  </si>
  <si>
    <t>9.1.1.4.25.</t>
  </si>
  <si>
    <t>L. Tučienė</t>
  </si>
  <si>
    <t>9-1-2-6</t>
  </si>
  <si>
    <t>Dauparų Kvietinių seniūnijos darbo organizavimas</t>
  </si>
  <si>
    <t>9.1.1.4.26.</t>
  </si>
  <si>
    <t>9-1-2-7</t>
  </si>
  <si>
    <t>Dovilų seniūnijos darbo organizavimas</t>
  </si>
  <si>
    <t>9.1.1.4.27.</t>
  </si>
  <si>
    <t>9-1-2-8</t>
  </si>
  <si>
    <t>Endriejavo seniūnijos darbo organizavimas</t>
  </si>
  <si>
    <t>9.1.1.4.28.</t>
  </si>
  <si>
    <t xml:space="preserve">Endriejavo </t>
  </si>
  <si>
    <t>9-1-2-9</t>
  </si>
  <si>
    <t>Gargždų seniūnijos darbo organizavimas</t>
  </si>
  <si>
    <t>9.1.1.4.29.</t>
  </si>
  <si>
    <t>9-1-2-10</t>
  </si>
  <si>
    <t>Judrėnų seniūnijos darbo organizavimas</t>
  </si>
  <si>
    <t>9.1.1.4.30.</t>
  </si>
  <si>
    <t>9-1-2-11</t>
  </si>
  <si>
    <t>Kretingalės seniūnijos darbo organizavimas</t>
  </si>
  <si>
    <t>9.1.1.4.31.</t>
  </si>
  <si>
    <t>9-1-2-12</t>
  </si>
  <si>
    <t>Priekulės seniūnijos darbo organizavimas</t>
  </si>
  <si>
    <t>9.1.1.4.32.</t>
  </si>
  <si>
    <t>9-1-2-13</t>
  </si>
  <si>
    <t>Sendvario seniūnijos darbo organizavimas</t>
  </si>
  <si>
    <t>9.1.1.4.33.</t>
  </si>
  <si>
    <t>K. Novikova</t>
  </si>
  <si>
    <t>9-1-2-14</t>
  </si>
  <si>
    <t>Veiviržėnų seniūnijos darbo organizavimas</t>
  </si>
  <si>
    <t>9.1.1.4.34.</t>
  </si>
  <si>
    <t>9-1-2-15</t>
  </si>
  <si>
    <t>Vėžaičių seniūnijos darbo organizavimas</t>
  </si>
  <si>
    <t>9.1.1.4.35.</t>
  </si>
  <si>
    <t>9-1-2-16</t>
  </si>
  <si>
    <t>Viešinimo priemonės 01.03.02.09.</t>
  </si>
  <si>
    <t>9.2.1.3.</t>
  </si>
  <si>
    <t>9-1-2-17</t>
  </si>
  <si>
    <t>Viešinimo priemonės (gyventojo kortelė) 08.02.01.08.</t>
  </si>
  <si>
    <t>9-1-2-18</t>
  </si>
  <si>
    <t>Biudžetinių įstaigų centralizuoto apskaitos skyriaus išlaikymas</t>
  </si>
  <si>
    <t>9.1.1.19.</t>
  </si>
  <si>
    <t>9-1-3</t>
  </si>
  <si>
    <t>Savivaldybei perduotų funkcijų įgyvendinimo užtikrinimas</t>
  </si>
  <si>
    <t>Iš viso VBD(T)</t>
  </si>
  <si>
    <t>Iš viso VBL</t>
  </si>
  <si>
    <t>Iš viso VBR</t>
  </si>
  <si>
    <t>Iš viso VBD(UK)</t>
  </si>
  <si>
    <t>Iš viso VBM(UK)</t>
  </si>
  <si>
    <t>Iš viso VBM</t>
  </si>
  <si>
    <t>Iš viso ES:</t>
  </si>
  <si>
    <t>Iš viso VBES:</t>
  </si>
  <si>
    <t>Iš viso KT:</t>
  </si>
  <si>
    <t>Iš viso VGF:</t>
  </si>
  <si>
    <t>9-1-3-1</t>
  </si>
  <si>
    <t>Gyventojų registro tvarkymas ir duomenų valstybės registrui teikimas</t>
  </si>
  <si>
    <t>9.1.2.1.</t>
  </si>
  <si>
    <t>PCMS, V. Jasaitienė,
 A. Zikienė</t>
  </si>
  <si>
    <t>9-1-3-2</t>
  </si>
  <si>
    <t>Archyvinių dokumentų tvarkymas</t>
  </si>
  <si>
    <t>9.1.2.2.</t>
  </si>
  <si>
    <t>BRS, D. Gliožerienė,
 J. Žąsytienė</t>
  </si>
  <si>
    <t>9-1-3-3</t>
  </si>
  <si>
    <t>Jaunimo teisių apsauga</t>
  </si>
  <si>
    <t>9.1.2.4.</t>
  </si>
  <si>
    <t>O. Bajorinienė</t>
  </si>
  <si>
    <t>9-1-3-4</t>
  </si>
  <si>
    <t>Valstybinės kalbos vartojimo ir taisyklingumo kontrolė</t>
  </si>
  <si>
    <t>9.1.2.5.</t>
  </si>
  <si>
    <t>D. Beliokaitė</t>
  </si>
  <si>
    <t>9-1-3-5</t>
  </si>
  <si>
    <t>Civilinės būklės aktų registravimas</t>
  </si>
  <si>
    <t>9.1.2.6.</t>
  </si>
  <si>
    <t>PCMS, D. Freigofaitė, 
V. Jasaitienė,
 A. Zikienė</t>
  </si>
  <si>
    <t>9-1-3-6</t>
  </si>
  <si>
    <t>Valstybinės žemės ir kito valstybės turto valdymas ir disponavimas juo patikėjimo teise</t>
  </si>
  <si>
    <t>9.1.2.7.</t>
  </si>
  <si>
    <t>TVS, A. Riškienė, V. Pabrėžienė, A. Tunaitienė</t>
  </si>
  <si>
    <t>9-1-3-7</t>
  </si>
  <si>
    <t>Pirminė teisinė pagalba</t>
  </si>
  <si>
    <t>9.1.2.10.</t>
  </si>
  <si>
    <t>TPS, V. Jasas, 
V. Matulaitytė,
 A. Andrijauskienė, 
R. Kasparienė</t>
  </si>
  <si>
    <t>9-1-3-8</t>
  </si>
  <si>
    <t>Mobilizacijos administravimas</t>
  </si>
  <si>
    <t>9.1.2.11.</t>
  </si>
  <si>
    <t>9-1-3-9</t>
  </si>
  <si>
    <t>Civilinės saugos organizavimas</t>
  </si>
  <si>
    <t>9.1.2.13.</t>
  </si>
  <si>
    <t>VTS, R. Uosytė, 
R. Jonelaitis</t>
  </si>
  <si>
    <t>VTS, R. Jonelaitis</t>
  </si>
  <si>
    <t>9-1-3-10</t>
  </si>
  <si>
    <t>Žemės ūkio funkcijų vykdymas</t>
  </si>
  <si>
    <t>9.1.2.14.19.</t>
  </si>
  <si>
    <t>VBL</t>
  </si>
  <si>
    <t>ŽŪS, A. Latakienė</t>
  </si>
  <si>
    <t>VBR</t>
  </si>
  <si>
    <t>9.1.2.14.25.</t>
  </si>
  <si>
    <t>AGL, V. Bertulytė</t>
  </si>
  <si>
    <t>9.1.2.14.27.</t>
  </si>
  <si>
    <t>DOV, V. Jurgutienė</t>
  </si>
  <si>
    <t>9.1.2.14.30.</t>
  </si>
  <si>
    <t>JDR, D. Daugėlienė</t>
  </si>
  <si>
    <t>9.1.2.14.32.</t>
  </si>
  <si>
    <t>PRKL, J. Liutikė</t>
  </si>
  <si>
    <t>9.1.2.14.33.</t>
  </si>
  <si>
    <t>SND, J. Gečienė</t>
  </si>
  <si>
    <t>9.1.2.14.34.</t>
  </si>
  <si>
    <t>VEIV, Z. Rimkienė</t>
  </si>
  <si>
    <t>9.1.2.14.35.</t>
  </si>
  <si>
    <t>VĖŽ, E. Kundrotienė</t>
  </si>
  <si>
    <t>9-1-3-11</t>
  </si>
  <si>
    <t>Savivaldybės priešgaisrinių tarnybų darbo organizavimas</t>
  </si>
  <si>
    <t>9.1.2.15.</t>
  </si>
  <si>
    <t>KRSPT, S. Virbauskas</t>
  </si>
  <si>
    <t>9-1-3-12</t>
  </si>
  <si>
    <t>Socialinių išmokų skaičiavimas ir mokėjimas</t>
  </si>
  <si>
    <t>9.1.2.16.</t>
  </si>
  <si>
    <t>SSAS, I. Gailienė</t>
  </si>
  <si>
    <t>10.7.1.1.</t>
  </si>
  <si>
    <t>10.1.02.40.</t>
  </si>
  <si>
    <t>10.4.1.40.</t>
  </si>
  <si>
    <t>9-1-3-13</t>
  </si>
  <si>
    <t>Duomenų teikimas Valstybės suteiktos pagalbos registrui</t>
  </si>
  <si>
    <t>9.1.2.19.</t>
  </si>
  <si>
    <t>CB, A. Andriejauskienė</t>
  </si>
  <si>
    <t>9-1-3-14</t>
  </si>
  <si>
    <t>Gyvenamosios vietos deklaravimas seniūnijose</t>
  </si>
  <si>
    <t>19 Agl</t>
  </si>
  <si>
    <t>9.1.2.20.25.</t>
  </si>
  <si>
    <t>AGL, V. Ronkienė</t>
  </si>
  <si>
    <t>20 Dpr</t>
  </si>
  <si>
    <t>9.1.2.20.26.</t>
  </si>
  <si>
    <t>22 Endr</t>
  </si>
  <si>
    <t>9.1.2.20.28.</t>
  </si>
  <si>
    <t>ENDR, R. Šiaulytienė</t>
  </si>
  <si>
    <t>23 Grg</t>
  </si>
  <si>
    <t>9.1.2.20.29.</t>
  </si>
  <si>
    <t>GRG, S. Jurjonienė</t>
  </si>
  <si>
    <t>24 Jdr</t>
  </si>
  <si>
    <t>9.1.2.20.30.</t>
  </si>
  <si>
    <t>25 Krtg</t>
  </si>
  <si>
    <t>9.1.2.20.31.</t>
  </si>
  <si>
    <t>KRTG, B. Gedrimaitė-Miliuvienė</t>
  </si>
  <si>
    <t>26 Prkl</t>
  </si>
  <si>
    <t>9.1.2.20.32.</t>
  </si>
  <si>
    <t>PRKL, R. Kučinskienė</t>
  </si>
  <si>
    <t>27 Sdv</t>
  </si>
  <si>
    <t>9.1.2.20.33.</t>
  </si>
  <si>
    <t>SND, I. Charunova</t>
  </si>
  <si>
    <t>28 Veiv</t>
  </si>
  <si>
    <t>9.1.2.20.34.</t>
  </si>
  <si>
    <t>VEIV, L. Dėringė</t>
  </si>
  <si>
    <t>29 Vėž</t>
  </si>
  <si>
    <t>9.1.2.20.35.</t>
  </si>
  <si>
    <t xml:space="preserve">VĖŽ, V. Želvienė </t>
  </si>
  <si>
    <t>9-1-3-15</t>
  </si>
  <si>
    <t>Savivaldybės erdvinių duomenų rinkinio tvarkymas</t>
  </si>
  <si>
    <t>9.1.2.21.</t>
  </si>
  <si>
    <t>ŽGGS, J. Tarvydė</t>
  </si>
  <si>
    <t>9-1-3-16</t>
  </si>
  <si>
    <t>Tarpinstitucinis bendradarbiavimas</t>
  </si>
  <si>
    <t>9.1.1.2</t>
  </si>
  <si>
    <t>T. Stonkė</t>
  </si>
  <si>
    <t>9-1-3-17</t>
  </si>
  <si>
    <t>Dotacija akredituotai vaikų dienos socialinei priežiūrai organizuoti, teikti ir administruoti</t>
  </si>
  <si>
    <t>9.1.2.26.</t>
  </si>
  <si>
    <t>9-1-3-18</t>
  </si>
  <si>
    <t>Asmeninės pagalbos neįgaliems asmenims organizavimo administravimas</t>
  </si>
  <si>
    <t>9.1.2.27.</t>
  </si>
  <si>
    <t>9-1-3-19</t>
  </si>
  <si>
    <t>Socialinės reabilitacijos paslaugų neįgaliesiems finansavimo administravimas</t>
  </si>
  <si>
    <t>9.1.2.28.</t>
  </si>
  <si>
    <t>SSAS, L. Virkutienė</t>
  </si>
  <si>
    <t>9-1-3-20</t>
  </si>
  <si>
    <t>Būsto pritaikymo neįgaliesiems administravimas</t>
  </si>
  <si>
    <t>9.1.2.29.</t>
  </si>
  <si>
    <t>9-1-3-21</t>
  </si>
  <si>
    <t xml:space="preserve">Kompensacijos už būsto suteikimą užsieniečiams administravimas </t>
  </si>
  <si>
    <t>9.1.2.30.</t>
  </si>
  <si>
    <t>9-1-3-22</t>
  </si>
  <si>
    <t>Asmenų su negalia reikalų koordinavimo funkcijos atlikimas</t>
  </si>
  <si>
    <t>9.1.2.31.</t>
  </si>
  <si>
    <t>9-1-3-23</t>
  </si>
  <si>
    <t xml:space="preserve">Vienkartinėms išmokoms įsikurti gyvenamojoje vietoje savivaldybės teritorijoje ir (ar) mėnesinėms kompensacijoms ugdomų vaikų išlaikymo išlaidoms apmokėti administruoti </t>
  </si>
  <si>
    <t>9.1.2.32.</t>
  </si>
  <si>
    <t>9-1-3-24</t>
  </si>
  <si>
    <t>Koordinatorių modelio išbandymas ir lyčių lygybės politikos stiprinimas</t>
  </si>
  <si>
    <t>9.1.2.33.</t>
  </si>
  <si>
    <t>SSAS, S. Kalinauskaitė</t>
  </si>
  <si>
    <t>9-1-3-25</t>
  </si>
  <si>
    <t>Perėjimas nuo institucinės globos prie bendruomeninių paslaugų sostinės regione, vidurio ir vakarų Lietuvos regione</t>
  </si>
  <si>
    <t>9.1.2.34.</t>
  </si>
  <si>
    <t>SSAS, S. Duoblytė Žvinklienė</t>
  </si>
  <si>
    <t>9-1-3-26</t>
  </si>
  <si>
    <t>Laikino atokvėpio paslaugos organizavimo administravimas</t>
  </si>
  <si>
    <t>9.1.2.35.</t>
  </si>
  <si>
    <t>9-1-3-27</t>
  </si>
  <si>
    <t>Projektas "Užsienio kilmės Lietuvos gyventojų integracijos procesų koordinavimas"</t>
  </si>
  <si>
    <t>9.1.2.36.</t>
  </si>
  <si>
    <t>9-1-4</t>
  </si>
  <si>
    <t>Savivaldybės paskolų valdymas ir aptarnavimas</t>
  </si>
  <si>
    <t>iš viso SB</t>
  </si>
  <si>
    <t>9-1-4-1</t>
  </si>
  <si>
    <t>Palūkanų mokėjimas</t>
  </si>
  <si>
    <t>9.1.6.1.</t>
  </si>
  <si>
    <t>BES, E. Pušinskienė</t>
  </si>
  <si>
    <t>9-1-4-2</t>
  </si>
  <si>
    <t>Paskolų grąžinimas</t>
  </si>
  <si>
    <t>9.1.6.2.</t>
  </si>
  <si>
    <t>9-2 Uždavinys: Plėtoti Savivaldybės tarptautinį bendradarbiavimą bei bendradarbiavimą su kitomis Lietuvos savivaldybėmis, institucijomis ir vietos bendruomene</t>
  </si>
  <si>
    <t>9-2-1</t>
  </si>
  <si>
    <t>Santykių su vietos ir tarptautine bendruomene užtikrinimas ir parama</t>
  </si>
  <si>
    <t>Iš viso Kt</t>
  </si>
  <si>
    <t>Iš viso LK</t>
  </si>
  <si>
    <t>Iš viso ES</t>
  </si>
  <si>
    <t>9-2-1-1</t>
  </si>
  <si>
    <t>Nusikalstamumo prevencijos užtikrinimo programa</t>
  </si>
  <si>
    <t>9.1.4.1.</t>
  </si>
  <si>
    <t>VTS, G. Bajorinienė</t>
  </si>
  <si>
    <t>9-2-1-2</t>
  </si>
  <si>
    <t>Pagalba Ukrainai ir jos žmonėms</t>
  </si>
  <si>
    <t xml:space="preserve">9.1.1.18. </t>
  </si>
  <si>
    <t>BRS, R. Zubienė</t>
  </si>
  <si>
    <t>9-2-1-3</t>
  </si>
  <si>
    <r>
      <t xml:space="preserve">Tarptautinio bendradarbiavimo stiprinimas 
</t>
    </r>
    <r>
      <rPr>
        <i/>
        <sz val="8"/>
        <color theme="1"/>
        <rFont val="Arial"/>
        <family val="2"/>
        <charset val="186"/>
      </rPr>
      <t>(Tarptautinių projektų programos įgyvendinimas; tarptautinių ryšių su esamais ir galimais užsienio partneriais plėtojimas)</t>
    </r>
  </si>
  <si>
    <t>9.4.1.1.</t>
  </si>
  <si>
    <t>9-2-1-4</t>
  </si>
  <si>
    <t>Asociacijos „Klaipėdos regionas“ nario mokestis</t>
  </si>
  <si>
    <t>9.1.1.14.</t>
  </si>
  <si>
    <t>SPPVS, M. Šatkus</t>
  </si>
  <si>
    <t>9-2-1-5</t>
  </si>
  <si>
    <t>Seniūnaičių veiklos išlaidų kompensavimas</t>
  </si>
  <si>
    <t>6</t>
  </si>
  <si>
    <t>9.4.2.18.</t>
  </si>
  <si>
    <t>CB,V. Berenė</t>
  </si>
  <si>
    <t>9-2-1-6</t>
  </si>
  <si>
    <t>Gyventojų iniciatyvų, skirtų gyvenamajai aplinkai gerinti, skatinimas</t>
  </si>
  <si>
    <t>9.4.1.7.</t>
  </si>
  <si>
    <t>ATPS G.Kasperavičius, SKPS, A. Ronkus</t>
  </si>
  <si>
    <t>BĮ Sporto centras, V. Liutikas</t>
  </si>
  <si>
    <t>J. Lankučio viešoji biblioteka</t>
  </si>
  <si>
    <t>9-2-1-7</t>
  </si>
  <si>
    <t>Klaipėdos rajono savivaldybės daugiabučių namų savininkų bendrijų rėmimo programos įgyvendinimas</t>
  </si>
  <si>
    <t>9.5.4.1.</t>
  </si>
  <si>
    <t>TVS, A. Indzelė</t>
  </si>
  <si>
    <t>9-2-1-8</t>
  </si>
  <si>
    <t>Finansavimas daugiabučių namų administratoriams</t>
  </si>
  <si>
    <t>9.5.4.2.</t>
  </si>
  <si>
    <t>9-2-1-9</t>
  </si>
  <si>
    <t>Pilietinio pasipriešinimo organizacijų rėmimo Klaipėdos rajone programos įgyvendinimas</t>
  </si>
  <si>
    <t>9.4.1.8.</t>
  </si>
  <si>
    <t>9-2-1-10</t>
  </si>
  <si>
    <t>„Klaipėdos rajono savivaldybės dalyvaujamojo biudžeto „Tavo idėja“ skaitmeninio įrankio įdiegimas“</t>
  </si>
  <si>
    <t>9.4.1.9.</t>
  </si>
  <si>
    <t>SPPVS, V. Juknienė</t>
  </si>
  <si>
    <t>9-2-1-11</t>
  </si>
  <si>
    <t xml:space="preserve">Klaipėdos regiono plėtros tarybos dalyvio mokestis </t>
  </si>
  <si>
    <t>9.1.1.21.</t>
  </si>
  <si>
    <t>SPPVS, 
V. Kazlauskienė</t>
  </si>
  <si>
    <t>9-3 Uždavinys: Užtikrinti efektyvų Savivaldybei nuosavybės teise priklausančio turto valdymą</t>
  </si>
  <si>
    <t>9-3-1</t>
  </si>
  <si>
    <t>Savivaldybės turto valdymas ir plėtra</t>
  </si>
  <si>
    <t>iš viso Ž</t>
  </si>
  <si>
    <t>iš viso LŽ</t>
  </si>
  <si>
    <t>iš viso S</t>
  </si>
  <si>
    <t>iš viso LS</t>
  </si>
  <si>
    <t>iš viso ES</t>
  </si>
  <si>
    <t>Iš viso VBD:</t>
  </si>
  <si>
    <t>iš viso LK</t>
  </si>
  <si>
    <t>Iš viso SL</t>
  </si>
  <si>
    <t>9-3-1-1</t>
  </si>
  <si>
    <t>Dokumentacijos rengimas, siekiant gauti finansavimą iš išorės programų bei įgyvendinant VPSP projektus</t>
  </si>
  <si>
    <t>9.1.5.1.</t>
  </si>
  <si>
    <t>SPPVS, V. Kazlauskienė</t>
  </si>
  <si>
    <t>9-3-1-2</t>
  </si>
  <si>
    <t>Savivaldybės turto kadastriniai, topografiniai matavimai ir teisinė registracija, paskirties keitimas</t>
  </si>
  <si>
    <t>9.5.1.1.</t>
  </si>
  <si>
    <t>ŽGGS, G. Jurjonė</t>
  </si>
  <si>
    <t>LŽ</t>
  </si>
  <si>
    <t>9-3-1-3</t>
  </si>
  <si>
    <t>Nekilnojamojo turto rinkos vertės nustatymas</t>
  </si>
  <si>
    <t>9.5.1.2.</t>
  </si>
  <si>
    <t>9-3-1-4</t>
  </si>
  <si>
    <t>Nekilnojamojo turto įsigijimas viešųjų poreikių tenkinimui</t>
  </si>
  <si>
    <t>9.5.6.4.</t>
  </si>
  <si>
    <t>TVS,A. Indzelė</t>
  </si>
  <si>
    <t>9-3-1-5</t>
  </si>
  <si>
    <t>Administracijos pastato rekonstravimo projektavimo ir statybos darbai</t>
  </si>
  <si>
    <t>9.5.2.4.</t>
  </si>
  <si>
    <t>SKPS, J. Blinstrubienė</t>
  </si>
  <si>
    <t>9-3-1-6</t>
  </si>
  <si>
    <t>Statybos objektų statinių techninės priežiūros, projektų vykdymo priežiūros, projektų ir objektų ekspertizės, ataskaitų po projekto įgyvendinimo rengimo paslaugų pirkimas ir vykdymas</t>
  </si>
  <si>
    <t>9.5.2.10.</t>
  </si>
  <si>
    <t>SKPS, A. Ronkus</t>
  </si>
  <si>
    <t>9-3-1-7</t>
  </si>
  <si>
    <t>Savivaldybės statinių remontas (Administracijos direktoriaus įsakymais)</t>
  </si>
  <si>
    <t>9.5.6.1.</t>
  </si>
  <si>
    <t>TVS, E. Jasienė</t>
  </si>
  <si>
    <t>9-3-1-8</t>
  </si>
  <si>
    <t>Katilinių priežiūros ir remonto paslaugos pirkimas</t>
  </si>
  <si>
    <t>9.5.6.2.</t>
  </si>
  <si>
    <t>KŪAS, Gabrilavičius</t>
  </si>
  <si>
    <t>9-3-1-9</t>
  </si>
  <si>
    <t>Klaipėdos rajono švietimo, kultūros, seniūnijų ir kitų savivaldybės įstaigų elektros ūkio techninė priežiūra</t>
  </si>
  <si>
    <t>9.4.6.5.</t>
  </si>
  <si>
    <t>KŪAS, R. Gabrilavičius</t>
  </si>
  <si>
    <t>9-3-1-10</t>
  </si>
  <si>
    <t>Gargždų autobusų stoties pastato projektavimas bei statyba ir dviejų autobusų stotelių įrengimas</t>
  </si>
  <si>
    <t>9.4.6.6.</t>
  </si>
  <si>
    <t>SKPS, R. Rudgalvienė</t>
  </si>
  <si>
    <t>9-3-1-11</t>
  </si>
  <si>
    <t>Seniūnijų pastatų atnaujinimo ir sutvarkymo projektų rengimas</t>
  </si>
  <si>
    <t>9.1.1.20.</t>
  </si>
  <si>
    <t>Eil. Nr.</t>
  </si>
  <si>
    <t>Seniūnijos pavadinimas</t>
  </si>
  <si>
    <t>Rodikliai</t>
  </si>
  <si>
    <t>Lėšų paskirstymas,</t>
  </si>
  <si>
    <t>Gyventojų skaičius, vnt.               2025 m. spalio 03 d.</t>
  </si>
  <si>
    <t>Kelių (gatvių) ilgis, km</t>
  </si>
  <si>
    <t xml:space="preserve"> %</t>
  </si>
  <si>
    <t>Gyventojų skaičius, vnt.               2025 m. sausio 03 d.</t>
  </si>
  <si>
    <t>Gyventojų skaičius, vnt.               2024 m. rugsėjo 30 d.</t>
  </si>
  <si>
    <t>(2021-01-28 Nr. T11-7)</t>
  </si>
  <si>
    <t> Iš viso:</t>
  </si>
  <si>
    <t>skaičuoklė</t>
  </si>
  <si>
    <t>6.3.4.1.35.</t>
  </si>
  <si>
    <t>6.3.4.1.25.</t>
  </si>
  <si>
    <t>1.4.4.41.1.</t>
  </si>
  <si>
    <t>2.4.1.46.29.</t>
  </si>
  <si>
    <t>6.4.1.46.33.</t>
  </si>
  <si>
    <t>3.1.1.2.36.</t>
  </si>
  <si>
    <t>11..20</t>
  </si>
  <si>
    <t>5-3-3</t>
  </si>
  <si>
    <t>Diasporos programos įgyvendinimas</t>
  </si>
  <si>
    <t xml:space="preserve">5.2.1.4. </t>
  </si>
  <si>
    <t>5.2.1.4.29.</t>
  </si>
  <si>
    <r>
      <t xml:space="preserve">Dotacija Klaipėdos rajono savivaldybės kelio Nr. </t>
    </r>
    <r>
      <rPr>
        <b/>
        <sz val="8"/>
        <color rgb="FF000000"/>
        <rFont val="Arial"/>
        <family val="2"/>
        <charset val="186"/>
      </rPr>
      <t>KL1278</t>
    </r>
    <r>
      <rPr>
        <sz val="8"/>
        <color rgb="FF000000"/>
        <rFont val="Arial"/>
        <family val="2"/>
        <charset val="186"/>
      </rPr>
      <t xml:space="preserve"> atkarpos į Kairių poligoną taisymui (remontui) finansuoti</t>
    </r>
  </si>
  <si>
    <t>8-2-1-3</t>
  </si>
  <si>
    <t>Gargždų stadiono su maniežu projekto įgyvendinimas</t>
  </si>
  <si>
    <t>8.2.1.26.</t>
  </si>
  <si>
    <r>
      <t xml:space="preserve">Matavimo vieneto </t>
    </r>
    <r>
      <rPr>
        <b/>
        <sz val="8"/>
        <rFont val="Arial"/>
        <family val="2"/>
        <charset val="186"/>
      </rPr>
      <t>planuojama</t>
    </r>
    <r>
      <rPr>
        <sz val="8"/>
        <rFont val="Arial"/>
        <family val="2"/>
        <charset val="186"/>
      </rPr>
      <t xml:space="preserve"> reikšmė </t>
    </r>
    <r>
      <rPr>
        <b/>
        <sz val="8"/>
        <rFont val="Arial"/>
        <family val="2"/>
        <charset val="186"/>
      </rPr>
      <t>2026</t>
    </r>
    <r>
      <rPr>
        <sz val="8"/>
        <rFont val="Arial"/>
        <family val="2"/>
        <charset val="186"/>
      </rPr>
      <t xml:space="preserve"> metais</t>
    </r>
  </si>
  <si>
    <t>ŠSS, A. Petravičius</t>
  </si>
  <si>
    <t>Apdovanojamų mokytojų skaičius, vnt.
Renginys Mokytojų dienos proga, vnt.</t>
  </si>
  <si>
    <t>3
1</t>
  </si>
  <si>
    <t>ŠSS, R. Žvaginienė</t>
  </si>
  <si>
    <t>SKPS, V. Viršilas</t>
  </si>
  <si>
    <t>Įrengtas liftas Gargždų "Kranto" progimnazijoje, vnt.</t>
  </si>
  <si>
    <t>Finansuojamų spec. reisų skaičius, vnt</t>
  </si>
  <si>
    <t>KŪAS, V. Gabrilavičius</t>
  </si>
  <si>
    <t xml:space="preserve">Panaudotos lėšos, proc. </t>
  </si>
  <si>
    <t>ŠSS, R. Galvanauskė</t>
  </si>
  <si>
    <t>Mokyklų skaičius, kuriose įgyvendinamos projekto veiklos, vnt.</t>
  </si>
  <si>
    <t>CB, D. Drungilaitė</t>
  </si>
  <si>
    <t>Pervesta lėšų, proc.</t>
  </si>
  <si>
    <t>TIBK, T. Stonkė</t>
  </si>
  <si>
    <t xml:space="preserve">Organizuotas komisijos darbas, vnt. </t>
  </si>
  <si>
    <t>Vaikų, gaunančių koordinuotai teikiamas paslaugas 2026 m., skaičius</t>
  </si>
  <si>
    <t>ŠSS, B. Gudauskienė, R. Žvaginienė</t>
  </si>
  <si>
    <t xml:space="preserve">Administruotas projektas, vnt. </t>
  </si>
  <si>
    <t>ŠSS, V. Gudzevičienė</t>
  </si>
  <si>
    <t>Projekte dalyvaujančių mokinių skaičius, vnt.</t>
  </si>
  <si>
    <t>ŠSS, A. Bočkuvienė</t>
  </si>
  <si>
    <t>Privačius darželius Klaipėdos rajone lankančių vaikų skaičius, kuriems teikiamos kompensacijos</t>
  </si>
  <si>
    <t>Privačius darželius Klaipėdos mieste lankančių vaikų skaičius, kuriems teikiamos kompensacijos</t>
  </si>
  <si>
    <t>Klaipėdos rajono vaikų skaičius Klaipėdos m. darželiuose</t>
  </si>
  <si>
    <t>Klaipėdos rajono vaikų skaičius Klaipėdos m. mokyklose</t>
  </si>
  <si>
    <t>ŠSS, S. Preibienė</t>
  </si>
  <si>
    <t>Sudaryta sutarčių su nevalstybinėmis įstaigomis mokymo lėšoms gauti</t>
  </si>
  <si>
    <t>Neformaliojo švietimo įstaigas Klaipėdos mieste  lankančių mokinių skaičius</t>
  </si>
  <si>
    <t>ŠSS, D. Pareigienė</t>
  </si>
  <si>
    <t>Finansuoti organizuoti renginiai Klaipėdos rajono savivaldybėje, Mokinių dainų šventė, vnt.</t>
  </si>
  <si>
    <t>Neformaliojo vaikų švietimo programų skaičius, vnt.</t>
  </si>
  <si>
    <t>Vaikų vasaros poilsio programų skaičius, vnt.</t>
  </si>
  <si>
    <t>Įvertintų programų skaičius, vnt.</t>
  </si>
  <si>
    <t>ŠSS, D. Pareigienė, R. Žvaginienė</t>
  </si>
  <si>
    <t xml:space="preserve">Įdiegtos NVŠ lankomumo sistemos priežiūra NVŠ  teikėjų, vnt.,             pagal poreikį įsigytų elektroninių mokinių pažymėjimų, vnt.                                                                         </t>
  </si>
  <si>
    <t>89
2700</t>
  </si>
  <si>
    <t xml:space="preserve">
Mokinių iniciatyvų projektų skaičius, vnt.
Mokinių mažųjų bendrovių eXpo paroda, vnt.</t>
  </si>
  <si>
    <t>15
1</t>
  </si>
  <si>
    <t>Sudarytų finansavimo sutarčių su persikvalifikuojančiais mokytojais ir studentais skaičius, vnt.</t>
  </si>
  <si>
    <t>Įsigytų autobusų skaičius, vnt.</t>
  </si>
  <si>
    <t>Lėšų paskirstymas švietimo įstaigoms pagal pateiktus prašymus ir lėšų poreikį, įgyvendinta veikla, vnt.</t>
  </si>
  <si>
    <t>Įgyvendinta rangos darbų, proc.</t>
  </si>
  <si>
    <t>R. Sarulienė</t>
  </si>
  <si>
    <t>Ketvergių mokykla</t>
  </si>
  <si>
    <t>Parengtas techninis projektas, vnt.</t>
  </si>
  <si>
    <t>Atlikti projektavimo darbai, proc.</t>
  </si>
  <si>
    <t xml:space="preserve">Sumokėta įmoka, vnt. </t>
  </si>
  <si>
    <t>CB, V. Mineikienė</t>
  </si>
  <si>
    <t xml:space="preserve">Parengtas paskirties pakeitimo projektas, vnt. </t>
  </si>
  <si>
    <t>Įgyvendintas projektas, vnt.</t>
  </si>
  <si>
    <t>ATPS, A. Grigaitytė-Dromantienė</t>
  </si>
  <si>
    <t>parengta techninė specifikacija, įvykęs paslaugos pirkimas</t>
  </si>
  <si>
    <t xml:space="preserve">Administruotas projektas (baigiamosios veiklos), vnt. </t>
  </si>
  <si>
    <t xml:space="preserve">SKPS, R. Sarulienė
</t>
  </si>
  <si>
    <t>SKPS, J. Jackus</t>
  </si>
  <si>
    <t>SKPS, K. Jokubaitytė</t>
  </si>
  <si>
    <t>SKPS, R. Sarulienė</t>
  </si>
  <si>
    <t>SKPS, R. Sarulienė, 
J. Blinstrubienė</t>
  </si>
  <si>
    <t xml:space="preserve">SPPVS, M. Virbauskas </t>
  </si>
  <si>
    <t>Pareiškėjų skaičius, vnt. 
Verslumo renginiai, vnt.</t>
  </si>
  <si>
    <t>30
1</t>
  </si>
  <si>
    <t>ŽŪS, A. Bazilienė</t>
  </si>
  <si>
    <t>Išnagrinėta ūkininkų prašymų dėl paramos skyrimo, vnt.</t>
  </si>
  <si>
    <t>ŽŪS, J. Mykolaitis, R. Danielkus</t>
  </si>
  <si>
    <r>
      <rPr>
        <sz val="8"/>
        <color rgb="FF000000"/>
        <rFont val="Arial"/>
        <family val="2"/>
        <charset val="186"/>
      </rPr>
      <t>Suremontuoti/sutvarkyti melioracijos grioviai</t>
    </r>
    <r>
      <rPr>
        <sz val="8"/>
        <color rgb="FFFF0000"/>
        <rFont val="Arial"/>
        <family val="2"/>
        <charset val="186"/>
      </rPr>
      <t>,</t>
    </r>
    <r>
      <rPr>
        <sz val="8"/>
        <color rgb="FF000000"/>
        <rFont val="Arial"/>
        <family val="2"/>
        <charset val="186"/>
      </rPr>
      <t xml:space="preserve"> km</t>
    </r>
  </si>
  <si>
    <t>ŽŪS, R. Nekrošienė</t>
  </si>
  <si>
    <t>Parengtas techninis projektas, vnt., atlikti darbai</t>
  </si>
  <si>
    <t xml:space="preserve">Parengtas techninis projektas, vnt., </t>
  </si>
  <si>
    <t>ŽŪS, L. Kundrotas</t>
  </si>
  <si>
    <t>Suremontuota melioracijos griovio dalis, km</t>
  </si>
  <si>
    <t>ŽŪS, J. Mykolaitis</t>
  </si>
  <si>
    <t xml:space="preserve">Suremontuotų objektų skaičius, vnt. </t>
  </si>
  <si>
    <t>Objektų, kurių įvertinta būklė, skaičius, vnt.</t>
  </si>
  <si>
    <t xml:space="preserve">Suremontuoti/prižiūrėti melioracijos grioviai, km </t>
  </si>
  <si>
    <t xml:space="preserve">Parengtas  remonto techninis darbo projektas, suremontuoti melioracijos grioviai, vnt
</t>
  </si>
  <si>
    <t>Suremontuota Jokšų polderio dalis, km</t>
  </si>
  <si>
    <t>Įgyvendintas remonto techninis projektas, atlikta darbų, proc.</t>
  </si>
  <si>
    <t>ŽŪS, R. Danielkus</t>
  </si>
  <si>
    <t xml:space="preserve">Parengtas  remonto techninis darbo projektas, suremontuoti melioracijos grioviai, km
</t>
  </si>
  <si>
    <t>Suremontuoti melioracijos grioviai, km</t>
  </si>
  <si>
    <t>Rekonstruotos drenažo žiotys, vnt.</t>
  </si>
  <si>
    <t>Rekonstruoti grioviai, km</t>
  </si>
  <si>
    <t>Panaudotos lėšos, proc.</t>
  </si>
  <si>
    <t>Suremontuoti/prižiūrėti melioracijos statiniai, km</t>
  </si>
  <si>
    <t>Prižiūrimos siurblinės, vnt.</t>
  </si>
  <si>
    <t xml:space="preserve">Suteikta techninės priežiūros paslaugų, vnt. </t>
  </si>
  <si>
    <t xml:space="preserve">Melioruotos žemės ir melioracijos statinių kompiuterinės apskaitos paslaugų įgyvendinimo sutarties vykdymo priežiūra, vnt. </t>
  </si>
  <si>
    <t>Pervestos lėšos, proc.</t>
  </si>
  <si>
    <t>SPPVS, R. Grubliauskytė</t>
  </si>
  <si>
    <t xml:space="preserve">Vykdyta projekto priežiūra, vnt. </t>
  </si>
  <si>
    <t xml:space="preserve">Susigrąžintos ES lėšos, proc. </t>
  </si>
  <si>
    <t>Atlikti šliuzo rangos darbai, proc.</t>
  </si>
  <si>
    <t>ATPS, J. Tamošauskienė</t>
  </si>
  <si>
    <t>SKPS, A. Vaitkė</t>
  </si>
  <si>
    <t>Įvestas elektros įvadas, vnt.</t>
  </si>
  <si>
    <t>Atlikti Drevernos mokyklos remonto darbai, proc.</t>
  </si>
  <si>
    <t>Slipo techninio projekto parengimas Vilhelmo kanale, vnt. 
Atlikti rangos darbai, proc.</t>
  </si>
  <si>
    <t>Parengta galimybių studija, vnt.</t>
  </si>
  <si>
    <t>ATPS, A.Grigaitytė-Dromantienė</t>
  </si>
  <si>
    <t>Parengtas detalusis planas</t>
  </si>
  <si>
    <t>Parengti žemės valdų projektai, vnt.</t>
  </si>
  <si>
    <t>ATPS, K. Litvinas</t>
  </si>
  <si>
    <t>Nupirkta monitoringo rengimo paslauga</t>
  </si>
  <si>
    <t>ATPS, 
J. Tamošauskienė</t>
  </si>
  <si>
    <t xml:space="preserve">Bendrojo plano parengimo lygis, proc. </t>
  </si>
  <si>
    <t xml:space="preserve">TVS, A. Indzelė </t>
  </si>
  <si>
    <t>Patvirtinto projekto įgyvendinimas, atsiskaitoma su žemė sklypų savininkais, proc.</t>
  </si>
  <si>
    <t>Patvirtinto projekto įgyvendinimas, proc.</t>
  </si>
  <si>
    <t>ŽGGIS, L. Salickienė</t>
  </si>
  <si>
    <t>Parengti projektiniai pasiūlymai, vnt</t>
  </si>
  <si>
    <t>IPS, Š. Čičinis</t>
  </si>
  <si>
    <t xml:space="preserve">Kretingalės seniūnija, </t>
  </si>
  <si>
    <t xml:space="preserve"> Įvykdytas pirkimas, parengtas projektas, vnt</t>
  </si>
  <si>
    <t>ATPS, A, Grigaitytė-Dromantienė</t>
  </si>
  <si>
    <t>parengta pirkimo techninė specifikacija,Įvykdytas pirkimas, vnt</t>
  </si>
  <si>
    <t xml:space="preserve">Įsigyti garažai, vnt. </t>
  </si>
  <si>
    <t>IPS, V. Valantinas</t>
  </si>
  <si>
    <t xml:space="preserve">Atsiskaityta už įvykdytą pirkimą, vnt. </t>
  </si>
  <si>
    <t>KŪAS, K. Stulpinienė,
R. Bakaitienė</t>
  </si>
  <si>
    <t xml:space="preserve">Vykdytos aplinkos kokybės gerinimo ir apsaugos priemonės, vnt.
</t>
  </si>
  <si>
    <t>Vykdytos atliekų, kurių turėtojo nustatyti neįmanoma arba kuris nebeegzistuoja, tvarkymo priemonės, vnt.</t>
  </si>
  <si>
    <t>Vykdytos aplinkos monitoringo, prevencinės, aplinkos atkūrimo priemonės, vnt.</t>
  </si>
  <si>
    <t>Vykdytos visuomenės švietimo ir mokymo aplinkosaugos klausimais priemonės, vnt.</t>
  </si>
  <si>
    <t>Vykdytos želdynų ir želdinių apsaugos, tvarkymo, būklės stebėsenos, želdynų kūrimo, želdinių veisimo ir inventorizavimo priemonės, vnt.</t>
  </si>
  <si>
    <t xml:space="preserve">
R. Bakaitienė, 
K. Lūžaitė</t>
  </si>
  <si>
    <t>Augintinių skaičius, kuriems taikyta gyvūnų augintinių gausos reguliavimo programa</t>
  </si>
  <si>
    <t>R. Bakaitienė
K. Lūžaitė</t>
  </si>
  <si>
    <t>Gautų paraiškų skaičius, vnt.</t>
  </si>
  <si>
    <t xml:space="preserve">Administruotos projekto baigiamosios veiklos, vnt. </t>
  </si>
  <si>
    <t>KŪAS, R. Bakaitienė</t>
  </si>
  <si>
    <t>Išmokėta kompensacija už padangų išvežimą už 2025 m., proc.</t>
  </si>
  <si>
    <t>KŪAS,
 K. Lūžaitė</t>
  </si>
  <si>
    <t>Surinkta asbesto gaminių, tonomis</t>
  </si>
  <si>
    <t>AGL, A. Žilienė</t>
  </si>
  <si>
    <t>Prižiūrėti žalieji plotai, ha</t>
  </si>
  <si>
    <t>DPRKV, seniūnas</t>
  </si>
  <si>
    <t>DOV. N. Ilginienė</t>
  </si>
  <si>
    <t xml:space="preserve">Prižiūrėta karjerų teritorija, vnt. </t>
  </si>
  <si>
    <t>ENDR,  I.Grikšienė</t>
  </si>
  <si>
    <t>Priežiūrėti žalieji plotai, ha</t>
  </si>
  <si>
    <t>Gargždų seniūnija, A.Srėbalienė, N. Verbaitė</t>
  </si>
  <si>
    <t>JDR, Z. Siminauskas</t>
  </si>
  <si>
    <t>KRTG, A. Monstavičienė</t>
  </si>
  <si>
    <t>PRKL, D. Bliūdžiuvienė, R. Narkienė</t>
  </si>
  <si>
    <t>SND, G. Girdvainis</t>
  </si>
  <si>
    <t>VEIV, R. Justa</t>
  </si>
  <si>
    <t>VĖŽ, R. Bernotas</t>
  </si>
  <si>
    <t xml:space="preserve">Atlikti Sendvario kolumbariumo įrengimo darbai, proc. </t>
  </si>
  <si>
    <t xml:space="preserve">Vykdomi darbai pagal techninį darbo projektą, vnt.
</t>
  </si>
  <si>
    <t>Atliktas tvoros remontas, vnt</t>
  </si>
  <si>
    <t>Kapinių drenažo sistemos tvarkymas, vnt.</t>
  </si>
  <si>
    <t>Kapinių plėtros techniam projektui parengti 2026 m., vnt.</t>
  </si>
  <si>
    <t xml:space="preserve">Vėžaičių seniūnija </t>
  </si>
  <si>
    <t xml:space="preserve">Civilinių kapinių tvoros remontas, vnt. </t>
  </si>
  <si>
    <t>Vanagų kapinių tvoros ir vartų įrengimas, vnt.</t>
  </si>
  <si>
    <t xml:space="preserve">Apmokėtos sulaikytos lėšos, proc. </t>
  </si>
  <si>
    <t>SSAS, V. Budrė</t>
  </si>
  <si>
    <t xml:space="preserve">Konkurso smurto, savižudybių, priklausomybių, prekybos žmonėmis prevencijos projekų organizavimas, vnt.
Komisijos paraiškoms vertinti sudarymas, vnt.
Sutarčių su vykdytojais sudarymas, vnt. 
</t>
  </si>
  <si>
    <t>1
1
3</t>
  </si>
  <si>
    <t>SSAS, M. Vaitilavičienė</t>
  </si>
  <si>
    <t>Vykdytų veiklų skaičius, vnt.</t>
  </si>
  <si>
    <t>ES projekto šeimos gydytojo komandos plėtrai įgyvendinimas, vnt.</t>
  </si>
  <si>
    <t>Prevencinių renginių skaičius, vnt.</t>
  </si>
  <si>
    <t>Metų medicinos darbuotojo konkurso organizavimas, vnt.</t>
  </si>
  <si>
    <t>SSAS, 
G. Jonušavičienė</t>
  </si>
  <si>
    <t xml:space="preserve">Paramą gavusių specialistų, sk. </t>
  </si>
  <si>
    <t>SSAS, G. Domarkė</t>
  </si>
  <si>
    <t>Įsigytos ir atnaujintos įrangos skaičius, vnt.</t>
  </si>
  <si>
    <t xml:space="preserve">Modernizuotų palatų skaičius, vnt. </t>
  </si>
  <si>
    <t xml:space="preserve">ES projekto medikų kvalifikacijos kėlimui ir kitoms motyvacinėms priemonėms vykdymas, vnt. </t>
  </si>
  <si>
    <t>Visuomenės sveikatos biuras</t>
  </si>
  <si>
    <t>Paupių pirminės sveikatos priežiūros centras</t>
  </si>
  <si>
    <t>Priekulės PSPC</t>
  </si>
  <si>
    <t>Klaipėdos r. sav. sveikatos centras</t>
  </si>
  <si>
    <t>Aikštelės rangos darbai</t>
  </si>
  <si>
    <t xml:space="preserve">Dėl papildomų lėšų mobilizacijos ir ekstremalių situacijų valdymui Sveikatos centre. </t>
  </si>
  <si>
    <t>Endoskopinės sistemos,  laporoskopinės sistemos, echoskopas, chirurginis lazeris. iš viso 360,0 tūkst. įrangai</t>
  </si>
  <si>
    <t xml:space="preserve">SSAS </t>
  </si>
  <si>
    <t>Parengtos ataskaitos, vnt.</t>
  </si>
  <si>
    <t>Nagrinėtų gyventojų prašymų atvejai, teikti svarstyti Socialinės paramos teikimo komisijai, vnt.</t>
  </si>
  <si>
    <t>Parengti įsakymų projektai, vnt.</t>
  </si>
  <si>
    <t>Gavėjų skaičius, vnt.</t>
  </si>
  <si>
    <t>Teisės aktų nustatyta tvarka skirtų mokėti  šalpos išmokų panaudotos lėšos, proc.</t>
  </si>
  <si>
    <t>Teisės aktų nustatyta tvarka skirtų mokėti socialinių pašalpų bei kompensacijų panaudotos lėšos, proc.</t>
  </si>
  <si>
    <t>Parengta ataskaitų, vnt.</t>
  </si>
  <si>
    <t>Nagrinėti gyventojų prašymai, vnt.</t>
  </si>
  <si>
    <t>Finansuotų būstų pritaikymo išlaidų gavėjų skaičius, vnt.</t>
  </si>
  <si>
    <t>Finansuoti komisijos darbą, pervestos lėšos, proc.</t>
  </si>
  <si>
    <t>Apmokėti socialinių paslaugų įstaigų elektros ir kuro išlaidas, panaudotos lėšos, proc.</t>
  </si>
  <si>
    <t>Socialinėms įstaigoms skirtų lėšų  pagal poreikį patalpų remontui, prekėms ir turtui įsigyti panaudojimas, proc.</t>
  </si>
  <si>
    <t>Apmokėti įstaigoms už suteiktas socialines paslaugas, pervestos lėšos, proc.</t>
  </si>
  <si>
    <t>Rengti socialinių paslaugų skyrimo, nutraukimo, sustabdymo sprendimus, sprendimų skaičius, vnt.</t>
  </si>
  <si>
    <t>Paslaugų pirkimas iš NVO, pervestos lėšos, proc.</t>
  </si>
  <si>
    <t>Akredituotos socialinės reabilitacijos paslaugų neįgaliesiems teikėjų skaičius, vnt.</t>
  </si>
  <si>
    <t>Akredituotos socialinės reabilitacijos paslaugų neįgaliesiems gavėjų skaičius, vnt.</t>
  </si>
  <si>
    <t>Paslaugų suteikimo skaičius, vnt.</t>
  </si>
  <si>
    <t>Socialinių būstų, kurių būklė pagerinta, skaičius, vnt.</t>
  </si>
  <si>
    <t>Asmenys, kuriems suteiktas socialinis būstas, vnt.</t>
  </si>
  <si>
    <t>Įgytų būstų skaičius, vnt.</t>
  </si>
  <si>
    <t xml:space="preserve">Atlikta remonto, rangos darbų, proc. </t>
  </si>
  <si>
    <t>Nupirkti projektavimo darbai, vnt.</t>
  </si>
  <si>
    <t>Atliktas architektūrinio konkurso organizavimas, vnt.</t>
  </si>
  <si>
    <t>Vykdant  Užimtumo didinimo  programą įdarbinti bedarbiai, asmenų skaičius</t>
  </si>
  <si>
    <t>Jaunimo reikalų koordinatorius</t>
  </si>
  <si>
    <t>Iš dalies finansuoti projektai, vnt.</t>
  </si>
  <si>
    <t>Konkursų laureatų skaičius, vnt.</t>
  </si>
  <si>
    <t>Mokymai, susitikimai, renginiai, vnt.</t>
  </si>
  <si>
    <t>Vasaros laikotarpiu įdarbintų nepilnamečių  skaičius, vnt.</t>
  </si>
  <si>
    <t>Ilgalaikę savanorišką veiklą atliekančių jaunuolių skaičius savanorius priimančiose organizacijose, vnt.</t>
  </si>
  <si>
    <t>Gargždų AJC</t>
  </si>
  <si>
    <t xml:space="preserve">Sudarytų sutarčių su bendruomenėmis ir NVO, kurių paraiškos atrinktos finansavimui gauti  ISS skaičius, vnt. 
Surinktų ataskaitų skaičius, vnt.
</t>
  </si>
  <si>
    <t>43
43</t>
  </si>
  <si>
    <t>Sudarytų sutarčių su bendruomenėmis, gavusiomis finansavimą iš išorės šaltinių, skaičius, vnt.</t>
  </si>
  <si>
    <t>NVO ir BO tarybų veiklos planų koordinavimas, įgyvendintų priemonių skaičius, vnt.</t>
  </si>
  <si>
    <t>Sudarytų sutarčių skaičius, vnt.</t>
  </si>
  <si>
    <t xml:space="preserve">Sudarytų sutarčių, papildomų susitarimų skaičius, vnt.
</t>
  </si>
  <si>
    <t xml:space="preserve">Analizės ir tyrimo parengimas bei veiksmų plano sudarymas (rinkinys), vnt.          </t>
  </si>
  <si>
    <t>Gargždų sen., V. Žigus</t>
  </si>
  <si>
    <t>Gargždų seniūnija,
 V. Žigus</t>
  </si>
  <si>
    <t>Sendvario sen., 
G. Girdvainis</t>
  </si>
  <si>
    <t>A. Indzelė, G. Jurjonė, A. Daukantienė, 
Š. Čičinis</t>
  </si>
  <si>
    <t>Sumokėtos sulaikytos lėšos, vnt.</t>
  </si>
  <si>
    <t>Įvykdyti papildomi rangos darbai, proc.</t>
  </si>
  <si>
    <t xml:space="preserve">Parengtas pėsčiųjų/dviračių takų techninis projektas, vnt.
</t>
  </si>
  <si>
    <t xml:space="preserve">1
</t>
  </si>
  <si>
    <t>Atlikti baigiamieji rangos darbai, proc.</t>
  </si>
  <si>
    <t>Įvykdyti baigiamieji rangos darbai, proc.</t>
  </si>
  <si>
    <t>Įsigyti rangos darbai, vnt.</t>
  </si>
  <si>
    <t>Atlikti rangos darbai, proc.
Atnaujinti keliai ir gatvės, km</t>
  </si>
  <si>
    <t>100
3</t>
  </si>
  <si>
    <t>Suprojektuotas privažiavimas prie sklypų, vnt.</t>
  </si>
  <si>
    <t>Gargždų seniūnija, 
V. Žigus</t>
  </si>
  <si>
    <t>Prižiūrėti šviesoforai, vnt.</t>
  </si>
  <si>
    <t>Sendvario seniūnija,
K. Novikova</t>
  </si>
  <si>
    <t>Atlikta Vasaros stotelės projekto ekspertizė, vnt.
Atlikti stotelės ties Agilos-Smeltaitės g. sankryža projektavimo darbai, proc.</t>
  </si>
  <si>
    <t>1
100</t>
  </si>
  <si>
    <t>G. Girdvainis</t>
  </si>
  <si>
    <t xml:space="preserve">Pastatyti paviljonai, vnt. </t>
  </si>
  <si>
    <t>A. Ronkus,
V. Valantinas,
J. Jackus</t>
  </si>
  <si>
    <t>Atliktas Kuršlaukio g., Gargždų m. dviračių tako remontas, km</t>
  </si>
  <si>
    <t>Klaipėdos rajono dviračių ir pėsčiųjų takų projektavimo ir įrengimo darbai, vnt.</t>
  </si>
  <si>
    <t>Vykdomi projektavimo ir statybos darbai, proc.</t>
  </si>
  <si>
    <t>Atlikti statybos darbai, proc.</t>
  </si>
  <si>
    <t>Įvykdyti statybos  darbai, proc.</t>
  </si>
  <si>
    <t>Inventorizuotų ir įteisintų tinklų kiekis, km</t>
  </si>
  <si>
    <t>KS,  J. Polekauskienė
I. Sliužinskaitė</t>
  </si>
  <si>
    <t xml:space="preserve">Paskirstyti lėšas pagal pateiktas paraiškas, vnt. </t>
  </si>
  <si>
    <t>Prisidėti prie Kultūros tarybos finansuojamų projektų, vnt.</t>
  </si>
  <si>
    <t>J. Polekauskienė</t>
  </si>
  <si>
    <t>Barono Rene iniciatyvų įgyvendinimas Gargždų parke, vnt.</t>
  </si>
  <si>
    <t>Rene skulptūros idėjos vystymui</t>
  </si>
  <si>
    <t xml:space="preserve">Rene skvero sutvarkymo darbai (pabaigimas), vnt. </t>
  </si>
  <si>
    <t xml:space="preserve">Volmerių kapavietės sutvarkymo projekto parengimas, vnt. </t>
  </si>
  <si>
    <t xml:space="preserve">Įgyvendintų priemonių skaičius, vnt. </t>
  </si>
  <si>
    <t>Paskirstytos lėšos įstaigoms turtui įsigyti, remontuoti, panaudotos lėšos proc.</t>
  </si>
  <si>
    <t>J. Lankučio viešoji bibilioteka</t>
  </si>
  <si>
    <t>Vykdomi rangos darbai, proc.</t>
  </si>
  <si>
    <t>Projekto parengimas (vnt.)</t>
  </si>
  <si>
    <t xml:space="preserve">Pastatytas konteinerių tipo pastatas bibliotekos filialui, vnt. </t>
  </si>
  <si>
    <t>patalpų tvarkymas</t>
  </si>
  <si>
    <t>Sutvarkyta aikštė, vnt.</t>
  </si>
  <si>
    <t>Įgyvendintų projektų skaičius, vnt.</t>
  </si>
  <si>
    <t>Organizuotos premijų skyrimo ir įteikimo procedūros ir renginiai, vnt.</t>
  </si>
  <si>
    <t>Sutvarkytos Klaipėdos rajono senosios kapinės, vnt.</t>
  </si>
  <si>
    <t>Senųjų kapinių informacinių ženklų pagaminimas ir įrengimas, vnt.</t>
  </si>
  <si>
    <t>Sutvarkytas Vėžaičių KC pastato stogas, vnt.</t>
  </si>
  <si>
    <t>Suremontuotas memorialas, vnt.</t>
  </si>
  <si>
    <r>
      <t xml:space="preserve">
</t>
    </r>
    <r>
      <rPr>
        <sz val="8"/>
        <color rgb="FF000000"/>
        <rFont val="Arial"/>
        <family val="2"/>
        <charset val="186"/>
      </rPr>
      <t xml:space="preserve">Atlikti viaduko tyrimai ir parengtas projektas, vnt.
</t>
    </r>
  </si>
  <si>
    <t>Vėžaičių KC</t>
  </si>
  <si>
    <t>Atlikta projekto vykdymo priežiūra, vnt.</t>
  </si>
  <si>
    <r>
      <t xml:space="preserve">
</t>
    </r>
    <r>
      <rPr>
        <sz val="8"/>
        <color rgb="FF000000"/>
        <rFont val="Arial"/>
        <family val="2"/>
        <charset val="186"/>
      </rPr>
      <t>Atlikti tilto taikomieji tyrimai, vnt.</t>
    </r>
  </si>
  <si>
    <t>Veiviržėnų, Gargždų</t>
  </si>
  <si>
    <t xml:space="preserve">Finansuotų paraiškų skaičius, vnt. </t>
  </si>
  <si>
    <t>Įvykdyti tvarkybos ir tvarkomieji statybos darbai, proc.</t>
  </si>
  <si>
    <t>Parengtas Eketės piliakalnio sutvarkymo ir pritaikymo projektas, vnt.</t>
  </si>
  <si>
    <t>Parengta apskaitos, tyrimų dokumentų, vnt.</t>
  </si>
  <si>
    <t xml:space="preserve"> Vertinimo tarybos posėdžių skaičius, vnt.</t>
  </si>
  <si>
    <t>Suorganizuota Europos paveldo dienų renginių, vnt.</t>
  </si>
  <si>
    <t>Atlikti archeologiniai tyrimai, vnt.</t>
  </si>
  <si>
    <t>Įvykdyti tvarkybos darbai, proc.</t>
  </si>
  <si>
    <t>Atnaujintos koplytėlės/koplytstulpiai, vnt.</t>
  </si>
  <si>
    <t>Atnaujinta skulptūra, vnt.</t>
  </si>
  <si>
    <t>ŠSS, 
U. Tamošauskienė</t>
  </si>
  <si>
    <t xml:space="preserve">Sudaryta sutarčių, vnt.
</t>
  </si>
  <si>
    <t>Surinktų ataskaitų skaičius, vnt.</t>
  </si>
  <si>
    <t>ŠSS, U. Tamošauskienė</t>
  </si>
  <si>
    <t>Skirtų premijų skaičius</t>
  </si>
  <si>
    <t xml:space="preserve">Finansuotų sporto renginių skaičius </t>
  </si>
  <si>
    <t>Sporto centras</t>
  </si>
  <si>
    <t>Įrengtų vaikų žaidimo, pusinių krepšinio, tinklinio aikštelių, treniruoklių skaičius</t>
  </si>
  <si>
    <t>Pradėti riedlenčių parko įrengimo darbai, vnt.</t>
  </si>
  <si>
    <t>Pastatyti karkasiniai nameliai, vnt</t>
  </si>
  <si>
    <t xml:space="preserve">Pervestos sulaikytos lėšos, proc. </t>
  </si>
  <si>
    <t xml:space="preserve">Suskaičiuoti ir išmokėti Administracijai darbo užmokestį, apmokėti veiklos išlaidas </t>
  </si>
  <si>
    <t>Suskaičiuoti ir išmokėti Administracijai priemokas už projektinį valdymą</t>
  </si>
  <si>
    <t xml:space="preserve">Laiku pateikti gautas sąskaitas (turto), proc. </t>
  </si>
  <si>
    <t>Laiku pateikti gautas sąskaitas (IT)</t>
  </si>
  <si>
    <t>Laiku apmokėti gautas sąskaitas</t>
  </si>
  <si>
    <t>Suskaičiuoti ir išmokėti Administracijai darbo užmokestį</t>
  </si>
  <si>
    <t>Laiku pateikti sąskaitas, proc.</t>
  </si>
  <si>
    <t>Laiku apmokėti gautas sąskaitas už stichinių nelaimių padarytus materialinius nuostolius, proc.</t>
  </si>
  <si>
    <t>Suskaičiuoti ir išmokėti Kontrolės ir audito tarnybos darbo užmokestį, apmokėti veiklos išlaidas</t>
  </si>
  <si>
    <t>Užtikrinta seniūnijos veikla, vnt.</t>
  </si>
  <si>
    <t>D. Simenavičė</t>
  </si>
  <si>
    <t>E. Badalova</t>
  </si>
  <si>
    <t xml:space="preserve">Paminėjimai žiniasklaidoje, vnt. </t>
  </si>
  <si>
    <t>Klaipėdos rajono gyventojo kortelės naudotojų skaičius</t>
  </si>
  <si>
    <t>Archyvinių civilinės būklės aktų įrašų pateiktų registro tvarkytojui, skaičius, vnt.</t>
  </si>
  <si>
    <t>Tinkamai vykdyta funkcija, vnt.</t>
  </si>
  <si>
    <t>Elektroniniu būdu pateiktų dokumentų dalis nuo visų gautų dokumentų dėl civilinės būklės aktų registravimo ir kitų su tuo susijusių paslaugų teikimo skaičiaus, proc.</t>
  </si>
  <si>
    <t>Tinkamai vykdyta funkcija, suteiktos pirminės teisinės pagalbos atvejų skaičius,  vnt.</t>
  </si>
  <si>
    <t>V. Grekštienė</t>
  </si>
  <si>
    <t xml:space="preserve">Modernizuotos esamos priedangos, vnt. </t>
  </si>
  <si>
    <t>Panaudota lėšų dalis, proc.</t>
  </si>
  <si>
    <t>Ūkininkų, kuriems teikiamos paslaugos, sk.</t>
  </si>
  <si>
    <t>Pareiškėjų, kuriems teikiamos paslaugos, skaičius, vnt.</t>
  </si>
  <si>
    <t>Ūkininkų, kuriems teikiamos paslaugos, vnt.</t>
  </si>
  <si>
    <t>Ūkininkų, kuriems teikiamos paslaugos sk.</t>
  </si>
  <si>
    <t>Pateiktų dokumentų skaičius, vnt.</t>
  </si>
  <si>
    <t>DKS, D. Vaitkuvienė</t>
  </si>
  <si>
    <t>JDR, I. Montvydienė</t>
  </si>
  <si>
    <t>Patenkinti pagalbos prašymai, vnt.</t>
  </si>
  <si>
    <t>Įgyvendinama programa, proc.</t>
  </si>
  <si>
    <t>Panaudota lėšų, proc.</t>
  </si>
  <si>
    <t xml:space="preserve">
Suorganizuoti partnerių vizitai Klaipėdos rajone, vnt. 
Suorganizuoti Savivaldybės delegacijos vizitai, vnt.
Pasirašytos dalinio finansavimo sutartys, vnt.
</t>
  </si>
  <si>
    <t>2
2
10</t>
  </si>
  <si>
    <t>Sumokėtas mokestis, proc.</t>
  </si>
  <si>
    <t>Įgyvendintų iniciatyvų, vnt.</t>
  </si>
  <si>
    <t>Pasirašytos paramos skyrimo sutartys, vnt.</t>
  </si>
  <si>
    <t>TVS, A. Kondrotienė</t>
  </si>
  <si>
    <t>Skirtas finansavimas paraiškoms, vnt.</t>
  </si>
  <si>
    <t xml:space="preserve">V. Grekštienė </t>
  </si>
  <si>
    <t xml:space="preserve">Išnagrinėtos paraiškos, vnt. </t>
  </si>
  <si>
    <t>Sugrąžintos lėšos, proc.</t>
  </si>
  <si>
    <t>Parengti dokumentai, vnt.</t>
  </si>
  <si>
    <t xml:space="preserve">Atliktų turto vertinimų skaičius, vnt. </t>
  </si>
  <si>
    <t>Įsigyti NT vienetai</t>
  </si>
  <si>
    <t>Panaudotų lėšų dalis, proc.</t>
  </si>
  <si>
    <t>Parengtų direktoriaus įsakymų, vnt.</t>
  </si>
  <si>
    <t>Atnaujintos, sutvarkytos katilinės, vnt.</t>
  </si>
  <si>
    <t xml:space="preserve">Suprojektuotos stotelės, vnt. </t>
  </si>
  <si>
    <t xml:space="preserve">Atlikti Judrėnų seniūnijos atnaujinimo projektavimo darbai, proc. </t>
  </si>
  <si>
    <t xml:space="preserve">Kretingalės seniūnija, A. Monstavičienė  </t>
  </si>
  <si>
    <t>Įrengtas suoliukas, vnt.</t>
  </si>
  <si>
    <t>Parengta ekspertizė, vnt.
Gautas statybos leidimas, vnt.</t>
  </si>
  <si>
    <t>1
1</t>
  </si>
  <si>
    <t>Atliktas architektūrinis konkursas, vnt.</t>
  </si>
  <si>
    <t>Surengtas kraštiečių susitikimas, vnt.</t>
  </si>
  <si>
    <t>Diasporos vaikų skaičius, kurie pasinaudojo stovyklų kompensacija</t>
  </si>
  <si>
    <t>KS, J. Dobrovolskienė</t>
  </si>
  <si>
    <t>SSAS, J. Papievienė</t>
  </si>
  <si>
    <t>SSAS, I. Vytienė</t>
  </si>
  <si>
    <t>SSAS, I. Gailienė, S. Paulienė,
J. Papievienė,  L.Virkutienė,
S. Tverskienė</t>
  </si>
  <si>
    <t>SSAS,  I.Gailienė</t>
  </si>
  <si>
    <t xml:space="preserve">KŪAS, R. Gabrilavičius </t>
  </si>
  <si>
    <t>SSAS, S. Budrė</t>
  </si>
  <si>
    <t>SSAS, D. Beržanskytė- Bučinskienė</t>
  </si>
  <si>
    <t>SSAS, R. Stonkienė</t>
  </si>
  <si>
    <t xml:space="preserve"> SSAS, G. Rekašienė, </t>
  </si>
  <si>
    <t xml:space="preserve">SSAS, G. Rekašienė, </t>
  </si>
  <si>
    <t>SSAS, R. Stonkienė,</t>
  </si>
  <si>
    <t>SSAS,  L. Bakšinskienė</t>
  </si>
  <si>
    <t>SSAS, L. Pocienė</t>
  </si>
  <si>
    <t>SSAS, D. Skiotienė</t>
  </si>
  <si>
    <t>KS, J. Polekauskienė</t>
  </si>
  <si>
    <t>KS, I. Sliužinskaitė</t>
  </si>
  <si>
    <t>KS, J. Polekauskienė,
I. Sliužinskaitė</t>
  </si>
  <si>
    <t>ATPS, S. Šmatauskienė</t>
  </si>
  <si>
    <t>Priekulės sen., D. Bliūdžiuvienė</t>
  </si>
  <si>
    <t>Vėžaičių sen., R. Bernotas</t>
  </si>
  <si>
    <t>Priekulės sen.,
D. Bliūdžiuvienė</t>
  </si>
  <si>
    <t>Veiviržėnų sen., E. Sluckienė</t>
  </si>
  <si>
    <t>ŠSS,
U. Tamošauskienė</t>
  </si>
  <si>
    <t>Pakeista Minijos progimnazijos stadiono danga 2027 m., vnt.</t>
  </si>
  <si>
    <t>VRS, R. Rapalienė</t>
  </si>
  <si>
    <t>Sukurtas lietuvybės kampelis, vnt.</t>
  </si>
  <si>
    <t>Klaipėdos rajono savivaldybės 2026-2028 m. strateginio veiklos plano programų detalizacija</t>
  </si>
  <si>
    <t>SKPS, R. Rudgalvienė,
J. Blinstrubienė</t>
  </si>
  <si>
    <t>PATVIRTINTA 
Klaipėdos rajono savivaldybės mero 2026 m. kovo 30 d. potvarkiu Nr. MV-393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</si>
</sst>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.0"/>
    <numFmt numFmtId="166" formatCode="0.000"/>
    <numFmt numFmtId="167" formatCode="[$-427]yyyy\.mm\.dd"/>
    <numFmt numFmtId="168" formatCode="_-* #,##0.00\ _L_t_-;\-* #,##0.00\ _L_t_-;_-* &quot;-&quot;??\ _L_t_-;_-@_-"/>
    <numFmt numFmtId="169" formatCode="#,##0.00000"/>
  </numFmts>
  <fonts count="55">
    <font>
      <sz val="10"/>
      <name val="Arial"/>
      <charset val="186"/>
    </font>
    <font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b/>
      <sz val="8"/>
      <color theme="0"/>
      <name val="Arial"/>
      <family val="2"/>
      <charset val="186"/>
    </font>
    <font>
      <sz val="8"/>
      <color rgb="FFFF0000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1"/>
      <color rgb="FF01010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b/>
      <sz val="8"/>
      <color rgb="FFFF0000"/>
      <name val="Arial"/>
      <family val="2"/>
      <charset val="186"/>
    </font>
    <font>
      <i/>
      <sz val="8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9"/>
      <name val="Arial"/>
      <family val="2"/>
      <charset val="186"/>
    </font>
    <font>
      <strike/>
      <sz val="8"/>
      <name val="Arial"/>
      <family val="2"/>
      <charset val="186"/>
    </font>
    <font>
      <b/>
      <sz val="8"/>
      <color theme="1"/>
      <name val="Arial"/>
      <family val="2"/>
      <charset val="186"/>
    </font>
    <font>
      <sz val="11"/>
      <color theme="1"/>
      <name val="Calibri"/>
      <family val="2"/>
      <scheme val="minor"/>
    </font>
    <font>
      <i/>
      <sz val="8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strike/>
      <sz val="8"/>
      <color rgb="FF000000"/>
      <name val="Arial"/>
      <family val="2"/>
      <charset val="186"/>
    </font>
    <font>
      <sz val="8"/>
      <name val="Arial"/>
      <family val="2"/>
    </font>
    <font>
      <sz val="8"/>
      <name val="Calibri"/>
      <family val="2"/>
      <charset val="186"/>
      <scheme val="minor"/>
    </font>
    <font>
      <sz val="8"/>
      <color rgb="FFFF0000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8"/>
      <name val="Arial"/>
      <family val="2"/>
    </font>
    <font>
      <sz val="8"/>
      <color rgb="FF000000"/>
      <name val="Arial"/>
      <family val="2"/>
    </font>
    <font>
      <strike/>
      <sz val="8"/>
      <name val="Arial"/>
      <family val="2"/>
    </font>
    <font>
      <sz val="8"/>
      <color rgb="FF00B050"/>
      <name val="Arial"/>
      <family val="2"/>
      <charset val="186"/>
    </font>
    <font>
      <sz val="8"/>
      <color indexed="8"/>
      <name val="Arial"/>
      <family val="2"/>
      <charset val="186"/>
    </font>
    <font>
      <sz val="11"/>
      <color indexed="8"/>
      <name val="Calibri"/>
      <family val="2"/>
    </font>
    <font>
      <u/>
      <sz val="10"/>
      <color theme="10"/>
      <name val="Arial"/>
      <family val="2"/>
      <charset val="186"/>
    </font>
    <font>
      <sz val="8"/>
      <color theme="1"/>
      <name val="Calibri"/>
      <family val="2"/>
      <charset val="186"/>
      <scheme val="minor"/>
    </font>
    <font>
      <u/>
      <sz val="8"/>
      <color theme="10"/>
      <name val="Arial"/>
      <family val="2"/>
      <charset val="186"/>
    </font>
    <font>
      <i/>
      <sz val="8"/>
      <color theme="1"/>
      <name val="Arial"/>
      <family val="2"/>
      <charset val="186"/>
    </font>
    <font>
      <sz val="10"/>
      <name val="Arial"/>
      <family val="2"/>
      <charset val="186"/>
    </font>
    <font>
      <sz val="8"/>
      <color rgb="FF424242"/>
      <name val="Arial"/>
      <family val="2"/>
      <charset val="186"/>
    </font>
    <font>
      <sz val="11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b/>
      <sz val="14"/>
      <name val="Times New Roman"/>
      <family val="1"/>
    </font>
    <font>
      <sz val="14"/>
      <color rgb="FF00B050"/>
      <name val="Times New Roman"/>
      <family val="1"/>
    </font>
    <font>
      <sz val="8"/>
      <color rgb="FF000000"/>
      <name val="Arial"/>
    </font>
    <font>
      <b/>
      <sz val="8"/>
      <color rgb="FF000000"/>
      <name val="Arial"/>
    </font>
    <font>
      <sz val="6"/>
      <name val="Arial"/>
      <family val="2"/>
      <charset val="186"/>
    </font>
    <font>
      <sz val="7"/>
      <name val="Arial"/>
      <family val="2"/>
      <charset val="186"/>
    </font>
    <font>
      <sz val="8"/>
      <color rgb="FF000000"/>
      <name val="Arial"/>
      <charset val="1"/>
    </font>
    <font>
      <sz val="10"/>
      <name val="Arial"/>
      <charset val="186"/>
    </font>
    <font>
      <sz val="8"/>
      <name val="Arial"/>
      <charset val="186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DAB9"/>
        <bgColor indexed="64"/>
      </patternFill>
    </fill>
    <fill>
      <patternFill patternType="solid">
        <fgColor rgb="FFCAE9F6"/>
        <bgColor rgb="FFFFC000"/>
      </patternFill>
    </fill>
    <fill>
      <patternFill patternType="solid">
        <fgColor rgb="FFCAE9F6"/>
        <bgColor indexed="64"/>
      </patternFill>
    </fill>
    <fill>
      <patternFill patternType="solid">
        <fgColor rgb="FFD1ECF7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rgb="FFA9DCF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1ECF7"/>
        <bgColor rgb="FFFFC000"/>
      </patternFill>
    </fill>
    <fill>
      <patternFill patternType="solid">
        <fgColor theme="2"/>
        <bgColor indexed="64"/>
      </patternFill>
    </fill>
    <fill>
      <patternFill patternType="solid">
        <fgColor rgb="FF4FBED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E6E6E6"/>
        <bgColor rgb="FF000000"/>
      </patternFill>
    </fill>
    <fill>
      <patternFill patternType="solid">
        <fgColor rgb="FFA9DCF1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53D2FF"/>
        <bgColor indexed="64"/>
      </patternFill>
    </fill>
    <fill>
      <patternFill patternType="solid">
        <fgColor rgb="FFFFDAB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B050"/>
        <bgColor rgb="FF000000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0" fontId="13" fillId="0" borderId="0"/>
    <xf numFmtId="9" fontId="13" fillId="0" borderId="0" applyFont="0" applyFill="0" applyBorder="0" applyAlignment="0" applyProtection="0"/>
    <xf numFmtId="0" fontId="11" fillId="0" borderId="0"/>
    <xf numFmtId="0" fontId="13" fillId="0" borderId="0"/>
    <xf numFmtId="0" fontId="23" fillId="0" borderId="0"/>
    <xf numFmtId="0" fontId="11" fillId="0" borderId="0"/>
    <xf numFmtId="9" fontId="1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11" fillId="0" borderId="0"/>
    <xf numFmtId="0" fontId="30" fillId="0" borderId="0"/>
    <xf numFmtId="0" fontId="11" fillId="0" borderId="0"/>
    <xf numFmtId="0" fontId="37" fillId="0" borderId="0" applyNumberForma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3" fillId="0" borderId="0" applyFont="0" applyFill="0" applyBorder="0" applyAlignment="0" applyProtection="0"/>
  </cellStyleXfs>
  <cellXfs count="1212">
    <xf numFmtId="0" fontId="0" fillId="0" borderId="0" xfId="0"/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wrapText="1"/>
    </xf>
    <xf numFmtId="0" fontId="10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10" fillId="0" borderId="7" xfId="0" applyFont="1" applyBorder="1" applyAlignment="1">
      <alignment wrapText="1"/>
    </xf>
    <xf numFmtId="0" fontId="9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/>
    </xf>
    <xf numFmtId="0" fontId="9" fillId="0" borderId="7" xfId="0" applyFont="1" applyBorder="1" applyAlignment="1">
      <alignment wrapText="1"/>
    </xf>
    <xf numFmtId="49" fontId="11" fillId="0" borderId="9" xfId="0" applyNumberFormat="1" applyFont="1" applyBorder="1" applyAlignment="1">
      <alignment horizontal="center"/>
    </xf>
    <xf numFmtId="0" fontId="9" fillId="0" borderId="10" xfId="0" applyFont="1" applyBorder="1" applyAlignment="1">
      <alignment wrapText="1"/>
    </xf>
    <xf numFmtId="0" fontId="9" fillId="0" borderId="11" xfId="0" applyFont="1" applyBorder="1" applyAlignment="1">
      <alignment horizontal="center" wrapText="1"/>
    </xf>
    <xf numFmtId="0" fontId="12" fillId="0" borderId="7" xfId="0" applyFont="1" applyBorder="1" applyAlignment="1">
      <alignment wrapText="1"/>
    </xf>
    <xf numFmtId="0" fontId="0" fillId="0" borderId="8" xfId="0" applyBorder="1" applyAlignment="1">
      <alignment horizontal="center"/>
    </xf>
    <xf numFmtId="0" fontId="9" fillId="0" borderId="12" xfId="0" applyFont="1" applyBorder="1" applyAlignment="1">
      <alignment wrapText="1"/>
    </xf>
    <xf numFmtId="0" fontId="0" fillId="0" borderId="13" xfId="0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0" fillId="0" borderId="0" xfId="0" applyAlignment="1">
      <alignment horizontal="center"/>
    </xf>
    <xf numFmtId="49" fontId="11" fillId="0" borderId="9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vertical="center"/>
    </xf>
    <xf numFmtId="165" fontId="14" fillId="0" borderId="0" xfId="0" applyNumberFormat="1" applyFont="1" applyAlignment="1">
      <alignment horizontal="center" vertical="center"/>
    </xf>
    <xf numFmtId="0" fontId="14" fillId="0" borderId="0" xfId="0" applyFont="1"/>
    <xf numFmtId="0" fontId="14" fillId="0" borderId="8" xfId="0" applyFont="1" applyBorder="1" applyAlignment="1">
      <alignment horizontal="center" vertical="center" textRotation="90" wrapText="1"/>
    </xf>
    <xf numFmtId="3" fontId="14" fillId="0" borderId="8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3" fontId="7" fillId="4" borderId="11" xfId="0" applyNumberFormat="1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center" textRotation="90" wrapText="1"/>
    </xf>
    <xf numFmtId="0" fontId="14" fillId="6" borderId="8" xfId="0" applyFont="1" applyFill="1" applyBorder="1" applyAlignment="1">
      <alignment vertical="center" wrapText="1"/>
    </xf>
    <xf numFmtId="3" fontId="14" fillId="6" borderId="8" xfId="0" applyNumberFormat="1" applyFont="1" applyFill="1" applyBorder="1" applyAlignment="1">
      <alignment horizontal="center" vertical="center" wrapText="1"/>
    </xf>
    <xf numFmtId="3" fontId="14" fillId="6" borderId="8" xfId="0" applyNumberFormat="1" applyFont="1" applyFill="1" applyBorder="1" applyAlignment="1">
      <alignment horizontal="center" vertical="center" textRotation="90" wrapText="1"/>
    </xf>
    <xf numFmtId="49" fontId="14" fillId="7" borderId="8" xfId="0" quotePrefix="1" applyNumberFormat="1" applyFont="1" applyFill="1" applyBorder="1" applyAlignment="1">
      <alignment horizontal="center" vertical="center" wrapText="1"/>
    </xf>
    <xf numFmtId="0" fontId="14" fillId="8" borderId="8" xfId="0" applyFont="1" applyFill="1" applyBorder="1" applyAlignment="1">
      <alignment vertical="center" wrapText="1"/>
    </xf>
    <xf numFmtId="14" fontId="14" fillId="0" borderId="8" xfId="0" quotePrefix="1" applyNumberFormat="1" applyFont="1" applyBorder="1" applyAlignment="1">
      <alignment horizontal="center" vertical="center" wrapText="1"/>
    </xf>
    <xf numFmtId="0" fontId="14" fillId="0" borderId="8" xfId="3" applyFont="1" applyBorder="1" applyAlignment="1">
      <alignment vertical="center" wrapText="1"/>
    </xf>
    <xf numFmtId="0" fontId="14" fillId="0" borderId="8" xfId="3" applyFont="1" applyBorder="1" applyAlignment="1">
      <alignment horizontal="center" vertical="center" wrapText="1"/>
    </xf>
    <xf numFmtId="164" fontId="14" fillId="0" borderId="8" xfId="3" applyNumberFormat="1" applyFont="1" applyBorder="1" applyAlignment="1">
      <alignment horizontal="center" vertical="center" wrapText="1"/>
    </xf>
    <xf numFmtId="164" fontId="14" fillId="2" borderId="8" xfId="3" applyNumberFormat="1" applyFont="1" applyFill="1" applyBorder="1" applyAlignment="1">
      <alignment horizontal="center" vertical="center" wrapText="1"/>
    </xf>
    <xf numFmtId="164" fontId="14" fillId="10" borderId="8" xfId="3" applyNumberFormat="1" applyFont="1" applyFill="1" applyBorder="1" applyAlignment="1">
      <alignment horizontal="center" vertical="center" wrapText="1"/>
    </xf>
    <xf numFmtId="164" fontId="14" fillId="0" borderId="19" xfId="0" applyNumberFormat="1" applyFont="1" applyBorder="1" applyAlignment="1">
      <alignment horizontal="center" wrapText="1"/>
    </xf>
    <xf numFmtId="0" fontId="14" fillId="11" borderId="8" xfId="0" applyFont="1" applyFill="1" applyBorder="1" applyAlignment="1">
      <alignment horizontal="center" vertical="center" wrapText="1"/>
    </xf>
    <xf numFmtId="165" fontId="14" fillId="11" borderId="8" xfId="0" applyNumberFormat="1" applyFont="1" applyFill="1" applyBorder="1" applyAlignment="1">
      <alignment horizontal="center" vertical="center" wrapText="1"/>
    </xf>
    <xf numFmtId="0" fontId="14" fillId="12" borderId="8" xfId="0" applyFont="1" applyFill="1" applyBorder="1" applyAlignment="1">
      <alignment horizontal="center" vertical="center" wrapText="1"/>
    </xf>
    <xf numFmtId="164" fontId="15" fillId="12" borderId="8" xfId="3" applyNumberFormat="1" applyFont="1" applyFill="1" applyBorder="1" applyAlignment="1">
      <alignment horizontal="center" vertical="center" wrapText="1"/>
    </xf>
    <xf numFmtId="165" fontId="14" fillId="12" borderId="8" xfId="0" applyNumberFormat="1" applyFont="1" applyFill="1" applyBorder="1" applyAlignment="1">
      <alignment horizontal="center" vertical="center" wrapText="1"/>
    </xf>
    <xf numFmtId="0" fontId="14" fillId="0" borderId="8" xfId="0" applyFont="1" applyBorder="1" applyAlignment="1">
      <alignment vertical="center" wrapText="1"/>
    </xf>
    <xf numFmtId="0" fontId="14" fillId="0" borderId="19" xfId="0" applyFont="1" applyBorder="1" applyAlignment="1">
      <alignment horizontal="center" wrapText="1"/>
    </xf>
    <xf numFmtId="164" fontId="14" fillId="12" borderId="8" xfId="3" applyNumberFormat="1" applyFont="1" applyFill="1" applyBorder="1" applyAlignment="1">
      <alignment horizontal="center" vertical="center" wrapText="1"/>
    </xf>
    <xf numFmtId="49" fontId="14" fillId="0" borderId="8" xfId="3" applyNumberFormat="1" applyFont="1" applyBorder="1" applyAlignment="1">
      <alignment horizontal="center" vertical="center" wrapText="1"/>
    </xf>
    <xf numFmtId="49" fontId="14" fillId="13" borderId="8" xfId="3" applyNumberFormat="1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164" fontId="14" fillId="0" borderId="19" xfId="0" applyNumberFormat="1" applyFont="1" applyBorder="1" applyAlignment="1">
      <alignment horizontal="center" vertical="center" wrapText="1"/>
    </xf>
    <xf numFmtId="165" fontId="14" fillId="0" borderId="19" xfId="0" applyNumberFormat="1" applyFont="1" applyBorder="1" applyAlignment="1">
      <alignment horizontal="center" wrapText="1"/>
    </xf>
    <xf numFmtId="0" fontId="14" fillId="2" borderId="8" xfId="3" applyFont="1" applyFill="1" applyBorder="1" applyAlignment="1">
      <alignment horizontal="center" vertical="center" wrapText="1"/>
    </xf>
    <xf numFmtId="0" fontId="14" fillId="0" borderId="11" xfId="3" applyFont="1" applyBorder="1" applyAlignment="1">
      <alignment horizontal="left" vertical="center" wrapText="1"/>
    </xf>
    <xf numFmtId="14" fontId="14" fillId="2" borderId="8" xfId="0" quotePrefix="1" applyNumberFormat="1" applyFont="1" applyFill="1" applyBorder="1" applyAlignment="1">
      <alignment horizontal="center" vertical="center" wrapText="1"/>
    </xf>
    <xf numFmtId="49" fontId="14" fillId="2" borderId="8" xfId="3" applyNumberFormat="1" applyFont="1" applyFill="1" applyBorder="1" applyAlignment="1">
      <alignment horizontal="center" vertical="center" wrapText="1"/>
    </xf>
    <xf numFmtId="0" fontId="14" fillId="0" borderId="8" xfId="0" applyFont="1" applyBorder="1" applyAlignment="1">
      <alignment wrapText="1"/>
    </xf>
    <xf numFmtId="0" fontId="14" fillId="14" borderId="8" xfId="3" applyFont="1" applyFill="1" applyBorder="1" applyAlignment="1">
      <alignment horizontal="center" vertical="center" wrapText="1"/>
    </xf>
    <xf numFmtId="164" fontId="14" fillId="14" borderId="8" xfId="3" applyNumberFormat="1" applyFont="1" applyFill="1" applyBorder="1" applyAlignment="1">
      <alignment horizontal="center" vertical="center" wrapText="1"/>
    </xf>
    <xf numFmtId="0" fontId="14" fillId="14" borderId="8" xfId="3" applyFont="1" applyFill="1" applyBorder="1" applyAlignment="1">
      <alignment vertical="center" wrapText="1"/>
    </xf>
    <xf numFmtId="164" fontId="8" fillId="2" borderId="8" xfId="3" applyNumberFormat="1" applyFont="1" applyFill="1" applyBorder="1" applyAlignment="1">
      <alignment horizontal="center" vertical="center" wrapText="1"/>
    </xf>
    <xf numFmtId="0" fontId="14" fillId="0" borderId="8" xfId="0" applyFont="1" applyBorder="1"/>
    <xf numFmtId="165" fontId="14" fillId="0" borderId="8" xfId="0" applyNumberFormat="1" applyFont="1" applyBorder="1" applyAlignment="1">
      <alignment horizontal="center" vertical="center" wrapText="1"/>
    </xf>
    <xf numFmtId="164" fontId="18" fillId="2" borderId="8" xfId="3" applyNumberFormat="1" applyFont="1" applyFill="1" applyBorder="1" applyAlignment="1">
      <alignment horizontal="center" vertical="center" wrapText="1"/>
    </xf>
    <xf numFmtId="164" fontId="18" fillId="10" borderId="8" xfId="3" applyNumberFormat="1" applyFont="1" applyFill="1" applyBorder="1" applyAlignment="1">
      <alignment horizontal="center" vertical="center" wrapText="1"/>
    </xf>
    <xf numFmtId="49" fontId="14" fillId="0" borderId="8" xfId="3" applyNumberFormat="1" applyFont="1" applyBorder="1" applyAlignment="1">
      <alignment vertical="center" wrapText="1"/>
    </xf>
    <xf numFmtId="2" fontId="14" fillId="0" borderId="8" xfId="3" applyNumberFormat="1" applyFont="1" applyBorder="1" applyAlignment="1">
      <alignment horizontal="center" vertical="center" wrapText="1"/>
    </xf>
    <xf numFmtId="165" fontId="14" fillId="2" borderId="19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8" xfId="3" applyFont="1" applyFill="1" applyBorder="1" applyAlignment="1">
      <alignment vertical="center" wrapText="1"/>
    </xf>
    <xf numFmtId="1" fontId="14" fillId="13" borderId="8" xfId="3" applyNumberFormat="1" applyFont="1" applyFill="1" applyBorder="1" applyAlignment="1">
      <alignment horizontal="center" vertical="center" wrapText="1"/>
    </xf>
    <xf numFmtId="49" fontId="14" fillId="0" borderId="8" xfId="3" applyNumberFormat="1" applyFont="1" applyBorder="1" applyAlignment="1">
      <alignment horizontal="center" vertical="center"/>
    </xf>
    <xf numFmtId="165" fontId="14" fillId="15" borderId="19" xfId="0" applyNumberFormat="1" applyFont="1" applyFill="1" applyBorder="1" applyAlignment="1">
      <alignment horizontal="center" vertical="center" wrapText="1"/>
    </xf>
    <xf numFmtId="0" fontId="18" fillId="0" borderId="22" xfId="0" applyFont="1" applyBorder="1" applyAlignment="1">
      <alignment wrapText="1"/>
    </xf>
    <xf numFmtId="0" fontId="18" fillId="2" borderId="22" xfId="0" applyFont="1" applyFill="1" applyBorder="1" applyAlignment="1">
      <alignment wrapText="1"/>
    </xf>
    <xf numFmtId="49" fontId="14" fillId="16" borderId="8" xfId="0" quotePrefix="1" applyNumberFormat="1" applyFont="1" applyFill="1" applyBorder="1" applyAlignment="1">
      <alignment horizontal="center" vertical="center" wrapText="1"/>
    </xf>
    <xf numFmtId="0" fontId="14" fillId="9" borderId="8" xfId="0" applyFont="1" applyFill="1" applyBorder="1" applyAlignment="1">
      <alignment vertical="center" wrapText="1"/>
    </xf>
    <xf numFmtId="164" fontId="15" fillId="2" borderId="8" xfId="3" applyNumberFormat="1" applyFont="1" applyFill="1" applyBorder="1" applyAlignment="1">
      <alignment horizontal="center" vertical="center" wrapText="1"/>
    </xf>
    <xf numFmtId="164" fontId="15" fillId="10" borderId="8" xfId="3" applyNumberFormat="1" applyFont="1" applyFill="1" applyBorder="1" applyAlignment="1">
      <alignment horizontal="center" vertical="center" wrapText="1"/>
    </xf>
    <xf numFmtId="164" fontId="15" fillId="0" borderId="8" xfId="3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wrapText="1"/>
    </xf>
    <xf numFmtId="1" fontId="14" fillId="13" borderId="8" xfId="3" quotePrefix="1" applyNumberFormat="1" applyFont="1" applyFill="1" applyBorder="1" applyAlignment="1">
      <alignment horizontal="center" vertical="center" wrapText="1"/>
    </xf>
    <xf numFmtId="164" fontId="14" fillId="17" borderId="8" xfId="3" applyNumberFormat="1" applyFont="1" applyFill="1" applyBorder="1" applyAlignment="1">
      <alignment horizontal="center" vertical="center" wrapText="1"/>
    </xf>
    <xf numFmtId="0" fontId="14" fillId="0" borderId="8" xfId="0" quotePrefix="1" applyFont="1" applyBorder="1" applyAlignment="1">
      <alignment horizontal="center" vertical="center" wrapText="1"/>
    </xf>
    <xf numFmtId="166" fontId="14" fillId="0" borderId="8" xfId="3" quotePrefix="1" applyNumberFormat="1" applyFont="1" applyBorder="1" applyAlignment="1">
      <alignment horizontal="center" vertical="center" wrapText="1"/>
    </xf>
    <xf numFmtId="166" fontId="14" fillId="0" borderId="8" xfId="3" quotePrefix="1" applyNumberFormat="1" applyFont="1" applyBorder="1" applyAlignment="1">
      <alignment vertical="center" wrapText="1"/>
    </xf>
    <xf numFmtId="1" fontId="14" fillId="0" borderId="8" xfId="3" applyNumberFormat="1" applyFont="1" applyBorder="1" applyAlignment="1">
      <alignment horizontal="center" vertical="center" wrapText="1"/>
    </xf>
    <xf numFmtId="1" fontId="14" fillId="0" borderId="8" xfId="3" applyNumberFormat="1" applyFont="1" applyBorder="1" applyAlignment="1">
      <alignment vertical="center" wrapText="1"/>
    </xf>
    <xf numFmtId="0" fontId="14" fillId="18" borderId="8" xfId="3" applyFont="1" applyFill="1" applyBorder="1" applyAlignment="1">
      <alignment horizontal="center" vertical="center" wrapText="1"/>
    </xf>
    <xf numFmtId="0" fontId="14" fillId="0" borderId="8" xfId="3" applyFont="1" applyBorder="1" applyAlignment="1">
      <alignment horizontal="right" vertical="center" wrapText="1"/>
    </xf>
    <xf numFmtId="49" fontId="14" fillId="8" borderId="8" xfId="0" quotePrefix="1" applyNumberFormat="1" applyFont="1" applyFill="1" applyBorder="1" applyAlignment="1">
      <alignment horizontal="center" vertical="center" wrapText="1"/>
    </xf>
    <xf numFmtId="0" fontId="14" fillId="8" borderId="8" xfId="0" applyFont="1" applyFill="1" applyBorder="1" applyAlignment="1">
      <alignment horizontal="center" vertical="center" wrapText="1"/>
    </xf>
    <xf numFmtId="164" fontId="15" fillId="8" borderId="8" xfId="0" applyNumberFormat="1" applyFont="1" applyFill="1" applyBorder="1" applyAlignment="1">
      <alignment horizontal="center" vertical="center" wrapText="1"/>
    </xf>
    <xf numFmtId="49" fontId="14" fillId="0" borderId="8" xfId="0" quotePrefix="1" applyNumberFormat="1" applyFont="1" applyBorder="1" applyAlignment="1">
      <alignment horizontal="center" vertical="center" wrapText="1"/>
    </xf>
    <xf numFmtId="49" fontId="14" fillId="10" borderId="8" xfId="0" quotePrefix="1" applyNumberFormat="1" applyFont="1" applyFill="1" applyBorder="1" applyAlignment="1">
      <alignment horizontal="center" vertical="center" wrapText="1"/>
    </xf>
    <xf numFmtId="164" fontId="14" fillId="10" borderId="8" xfId="0" applyNumberFormat="1" applyFont="1" applyFill="1" applyBorder="1" applyAlignment="1">
      <alignment horizontal="center" vertical="center" wrapText="1"/>
    </xf>
    <xf numFmtId="14" fontId="14" fillId="2" borderId="8" xfId="3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wrapText="1"/>
    </xf>
    <xf numFmtId="164" fontId="18" fillId="2" borderId="8" xfId="0" applyNumberFormat="1" applyFont="1" applyFill="1" applyBorder="1" applyAlignment="1">
      <alignment horizontal="center" vertical="center"/>
    </xf>
    <xf numFmtId="164" fontId="8" fillId="2" borderId="8" xfId="0" applyNumberFormat="1" applyFont="1" applyFill="1" applyBorder="1" applyAlignment="1">
      <alignment vertical="center"/>
    </xf>
    <xf numFmtId="164" fontId="8" fillId="10" borderId="8" xfId="0" applyNumberFormat="1" applyFont="1" applyFill="1" applyBorder="1" applyAlignment="1">
      <alignment vertical="center"/>
    </xf>
    <xf numFmtId="164" fontId="14" fillId="2" borderId="8" xfId="0" applyNumberFormat="1" applyFont="1" applyFill="1" applyBorder="1" applyAlignment="1">
      <alignment horizontal="center" vertical="center"/>
    </xf>
    <xf numFmtId="164" fontId="14" fillId="10" borderId="8" xfId="0" applyNumberFormat="1" applyFont="1" applyFill="1" applyBorder="1" applyAlignment="1">
      <alignment horizontal="center" vertical="center"/>
    </xf>
    <xf numFmtId="164" fontId="14" fillId="2" borderId="17" xfId="3" applyNumberFormat="1" applyFont="1" applyFill="1" applyBorder="1" applyAlignment="1">
      <alignment horizontal="center" vertical="center" wrapText="1"/>
    </xf>
    <xf numFmtId="164" fontId="14" fillId="2" borderId="15" xfId="3" applyNumberFormat="1" applyFont="1" applyFill="1" applyBorder="1" applyAlignment="1">
      <alignment horizontal="center" vertical="center" wrapText="1"/>
    </xf>
    <xf numFmtId="164" fontId="14" fillId="2" borderId="18" xfId="3" applyNumberFormat="1" applyFont="1" applyFill="1" applyBorder="1" applyAlignment="1">
      <alignment horizontal="center" vertical="center" wrapText="1"/>
    </xf>
    <xf numFmtId="164" fontId="14" fillId="12" borderId="11" xfId="3" applyNumberFormat="1" applyFont="1" applyFill="1" applyBorder="1" applyAlignment="1">
      <alignment horizontal="center" vertical="center" wrapText="1"/>
    </xf>
    <xf numFmtId="1" fontId="14" fillId="0" borderId="8" xfId="3" quotePrefix="1" applyNumberFormat="1" applyFont="1" applyBorder="1" applyAlignment="1">
      <alignment horizontal="center" vertical="center" wrapText="1"/>
    </xf>
    <xf numFmtId="0" fontId="14" fillId="17" borderId="8" xfId="0" applyFont="1" applyFill="1" applyBorder="1" applyAlignment="1">
      <alignment vertical="center" wrapText="1"/>
    </xf>
    <xf numFmtId="0" fontId="14" fillId="11" borderId="15" xfId="0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right" vertical="center" wrapText="1"/>
    </xf>
    <xf numFmtId="164" fontId="15" fillId="19" borderId="8" xfId="3" applyNumberFormat="1" applyFont="1" applyFill="1" applyBorder="1" applyAlignment="1">
      <alignment horizontal="center" vertical="center" wrapText="1"/>
    </xf>
    <xf numFmtId="0" fontId="19" fillId="0" borderId="15" xfId="3" applyFont="1" applyBorder="1" applyAlignment="1">
      <alignment vertical="center" wrapText="1"/>
    </xf>
    <xf numFmtId="0" fontId="15" fillId="0" borderId="11" xfId="3" applyFont="1" applyBorder="1" applyAlignment="1">
      <alignment vertical="center" wrapText="1"/>
    </xf>
    <xf numFmtId="0" fontId="16" fillId="0" borderId="21" xfId="3" applyFont="1" applyBorder="1" applyAlignment="1">
      <alignment vertical="center" wrapText="1"/>
    </xf>
    <xf numFmtId="0" fontId="8" fillId="0" borderId="8" xfId="3" applyFont="1" applyBorder="1" applyAlignment="1">
      <alignment vertical="center" wrapText="1"/>
    </xf>
    <xf numFmtId="0" fontId="18" fillId="2" borderId="0" xfId="0" applyFont="1" applyFill="1" applyAlignment="1">
      <alignment wrapText="1"/>
    </xf>
    <xf numFmtId="0" fontId="14" fillId="0" borderId="8" xfId="3" applyFont="1" applyBorder="1" applyAlignment="1">
      <alignment horizontal="left" vertical="center" wrapText="1"/>
    </xf>
    <xf numFmtId="0" fontId="18" fillId="0" borderId="8" xfId="3" applyFont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4" fillId="0" borderId="21" xfId="3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9" borderId="18" xfId="0" applyFont="1" applyFill="1" applyBorder="1" applyAlignment="1">
      <alignment horizontal="left" vertical="center" wrapText="1"/>
    </xf>
    <xf numFmtId="0" fontId="14" fillId="0" borderId="18" xfId="0" applyFont="1" applyBorder="1" applyAlignment="1">
      <alignment vertical="center" wrapText="1"/>
    </xf>
    <xf numFmtId="49" fontId="14" fillId="16" borderId="17" xfId="0" quotePrefix="1" applyNumberFormat="1" applyFont="1" applyFill="1" applyBorder="1" applyAlignment="1">
      <alignment horizontal="center" vertical="center" wrapText="1"/>
    </xf>
    <xf numFmtId="0" fontId="14" fillId="0" borderId="17" xfId="0" applyFont="1" applyBorder="1"/>
    <xf numFmtId="14" fontId="14" fillId="0" borderId="17" xfId="0" quotePrefix="1" applyNumberFormat="1" applyFont="1" applyBorder="1" applyAlignment="1">
      <alignment horizontal="center" vertical="center" wrapText="1"/>
    </xf>
    <xf numFmtId="1" fontId="14" fillId="13" borderId="19" xfId="3" applyNumberFormat="1" applyFont="1" applyFill="1" applyBorder="1" applyAlignment="1">
      <alignment horizontal="center" vertical="center" wrapText="1"/>
    </xf>
    <xf numFmtId="0" fontId="14" fillId="0" borderId="19" xfId="3" applyFont="1" applyBorder="1" applyAlignment="1">
      <alignment horizontal="center" vertical="center" wrapText="1"/>
    </xf>
    <xf numFmtId="1" fontId="14" fillId="13" borderId="19" xfId="3" quotePrefix="1" applyNumberFormat="1" applyFont="1" applyFill="1" applyBorder="1" applyAlignment="1">
      <alignment horizontal="center" vertical="center" wrapText="1"/>
    </xf>
    <xf numFmtId="0" fontId="14" fillId="11" borderId="21" xfId="0" applyFont="1" applyFill="1" applyBorder="1" applyAlignment="1">
      <alignment horizontal="center" vertical="center" wrapText="1"/>
    </xf>
    <xf numFmtId="164" fontId="14" fillId="20" borderId="8" xfId="0" applyNumberFormat="1" applyFont="1" applyFill="1" applyBorder="1" applyAlignment="1">
      <alignment horizontal="center" wrapText="1"/>
    </xf>
    <xf numFmtId="164" fontId="14" fillId="20" borderId="11" xfId="0" applyNumberFormat="1" applyFont="1" applyFill="1" applyBorder="1" applyAlignment="1">
      <alignment horizontal="center" wrapText="1"/>
    </xf>
    <xf numFmtId="164" fontId="14" fillId="21" borderId="11" xfId="0" applyNumberFormat="1" applyFont="1" applyFill="1" applyBorder="1" applyAlignment="1">
      <alignment horizontal="center" wrapText="1"/>
    </xf>
    <xf numFmtId="165" fontId="14" fillId="20" borderId="11" xfId="0" applyNumberFormat="1" applyFont="1" applyFill="1" applyBorder="1" applyAlignment="1">
      <alignment horizontal="center" wrapText="1"/>
    </xf>
    <xf numFmtId="165" fontId="14" fillId="20" borderId="8" xfId="0" applyNumberFormat="1" applyFont="1" applyFill="1" applyBorder="1" applyAlignment="1">
      <alignment horizontal="center" vertical="center" wrapText="1"/>
    </xf>
    <xf numFmtId="165" fontId="14" fillId="20" borderId="11" xfId="0" applyNumberFormat="1" applyFont="1" applyFill="1" applyBorder="1" applyAlignment="1">
      <alignment horizontal="center" vertical="center" wrapText="1"/>
    </xf>
    <xf numFmtId="164" fontId="14" fillId="10" borderId="18" xfId="3" applyNumberFormat="1" applyFont="1" applyFill="1" applyBorder="1" applyAlignment="1">
      <alignment horizontal="center" vertical="center" wrapText="1"/>
    </xf>
    <xf numFmtId="164" fontId="14" fillId="12" borderId="18" xfId="3" applyNumberFormat="1" applyFont="1" applyFill="1" applyBorder="1" applyAlignment="1">
      <alignment horizontal="center" vertical="center" wrapText="1"/>
    </xf>
    <xf numFmtId="164" fontId="14" fillId="12" borderId="17" xfId="3" applyNumberFormat="1" applyFont="1" applyFill="1" applyBorder="1" applyAlignment="1">
      <alignment horizontal="center" vertical="center" wrapText="1"/>
    </xf>
    <xf numFmtId="164" fontId="14" fillId="12" borderId="15" xfId="3" applyNumberFormat="1" applyFont="1" applyFill="1" applyBorder="1" applyAlignment="1">
      <alignment horizontal="center" vertical="center" wrapText="1"/>
    </xf>
    <xf numFmtId="164" fontId="14" fillId="10" borderId="11" xfId="3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164" fontId="21" fillId="0" borderId="8" xfId="3" applyNumberFormat="1" applyFont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 wrapText="1"/>
    </xf>
    <xf numFmtId="3" fontId="15" fillId="0" borderId="5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3" fontId="14" fillId="0" borderId="29" xfId="0" applyNumberFormat="1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/>
    </xf>
    <xf numFmtId="164" fontId="14" fillId="23" borderId="8" xfId="0" applyNumberFormat="1" applyFont="1" applyFill="1" applyBorder="1" applyAlignment="1">
      <alignment horizontal="center" wrapText="1"/>
    </xf>
    <xf numFmtId="164" fontId="14" fillId="23" borderId="11" xfId="0" applyNumberFormat="1" applyFont="1" applyFill="1" applyBorder="1" applyAlignment="1">
      <alignment horizontal="center" wrapText="1"/>
    </xf>
    <xf numFmtId="165" fontId="14" fillId="23" borderId="8" xfId="0" applyNumberFormat="1" applyFont="1" applyFill="1" applyBorder="1" applyAlignment="1">
      <alignment horizontal="center" wrapText="1"/>
    </xf>
    <xf numFmtId="165" fontId="14" fillId="23" borderId="11" xfId="0" applyNumberFormat="1" applyFont="1" applyFill="1" applyBorder="1" applyAlignment="1">
      <alignment horizontal="center" wrapText="1"/>
    </xf>
    <xf numFmtId="165" fontId="14" fillId="23" borderId="8" xfId="0" applyNumberFormat="1" applyFont="1" applyFill="1" applyBorder="1" applyAlignment="1">
      <alignment horizontal="center" vertical="center" wrapText="1"/>
    </xf>
    <xf numFmtId="165" fontId="14" fillId="23" borderId="11" xfId="0" applyNumberFormat="1" applyFont="1" applyFill="1" applyBorder="1" applyAlignment="1">
      <alignment horizontal="center" vertical="center" wrapText="1"/>
    </xf>
    <xf numFmtId="164" fontId="14" fillId="2" borderId="11" xfId="3" applyNumberFormat="1" applyFont="1" applyFill="1" applyBorder="1" applyAlignment="1">
      <alignment horizontal="center" vertical="center" wrapText="1"/>
    </xf>
    <xf numFmtId="0" fontId="14" fillId="0" borderId="15" xfId="0" quotePrefix="1" applyFont="1" applyBorder="1" applyAlignment="1">
      <alignment horizontal="center" vertical="center" wrapText="1"/>
    </xf>
    <xf numFmtId="0" fontId="14" fillId="2" borderId="15" xfId="0" applyFont="1" applyFill="1" applyBorder="1" applyAlignment="1">
      <alignment vertical="center" wrapText="1"/>
    </xf>
    <xf numFmtId="14" fontId="14" fillId="2" borderId="15" xfId="3" applyNumberFormat="1" applyFont="1" applyFill="1" applyBorder="1" applyAlignment="1">
      <alignment horizontal="center" vertical="center" wrapText="1"/>
    </xf>
    <xf numFmtId="0" fontId="14" fillId="12" borderId="15" xfId="0" applyFont="1" applyFill="1" applyBorder="1" applyAlignment="1">
      <alignment horizontal="center" vertical="center" wrapText="1"/>
    </xf>
    <xf numFmtId="0" fontId="14" fillId="0" borderId="11" xfId="0" quotePrefix="1" applyFont="1" applyBorder="1" applyAlignment="1">
      <alignment horizontal="center" vertical="center" wrapText="1"/>
    </xf>
    <xf numFmtId="0" fontId="14" fillId="0" borderId="30" xfId="0" applyFont="1" applyBorder="1"/>
    <xf numFmtId="0" fontId="14" fillId="5" borderId="31" xfId="0" applyFont="1" applyFill="1" applyBorder="1" applyAlignment="1">
      <alignment horizontal="center" vertical="center" wrapText="1"/>
    </xf>
    <xf numFmtId="0" fontId="14" fillId="12" borderId="11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4" fillId="2" borderId="8" xfId="0" quotePrefix="1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/>
    </xf>
    <xf numFmtId="164" fontId="14" fillId="12" borderId="32" xfId="3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wrapText="1"/>
    </xf>
    <xf numFmtId="0" fontId="11" fillId="0" borderId="0" xfId="3"/>
    <xf numFmtId="0" fontId="14" fillId="0" borderId="0" xfId="3" applyFont="1"/>
    <xf numFmtId="0" fontId="14" fillId="2" borderId="11" xfId="3" applyFont="1" applyFill="1" applyBorder="1" applyAlignment="1">
      <alignment horizontal="center" vertical="center" wrapText="1"/>
    </xf>
    <xf numFmtId="0" fontId="14" fillId="6" borderId="11" xfId="3" applyFont="1" applyFill="1" applyBorder="1" applyAlignment="1">
      <alignment horizontal="center" vertical="center" textRotation="90" wrapText="1"/>
    </xf>
    <xf numFmtId="0" fontId="14" fillId="6" borderId="11" xfId="3" applyFont="1" applyFill="1" applyBorder="1" applyAlignment="1">
      <alignment vertical="center" wrapText="1"/>
    </xf>
    <xf numFmtId="3" fontId="14" fillId="6" borderId="11" xfId="3" applyNumberFormat="1" applyFont="1" applyFill="1" applyBorder="1" applyAlignment="1">
      <alignment horizontal="center" vertical="center" wrapText="1"/>
    </xf>
    <xf numFmtId="3" fontId="14" fillId="6" borderId="11" xfId="3" applyNumberFormat="1" applyFont="1" applyFill="1" applyBorder="1" applyAlignment="1">
      <alignment horizontal="center" vertical="center" textRotation="90" wrapText="1"/>
    </xf>
    <xf numFmtId="3" fontId="14" fillId="6" borderId="33" xfId="3" applyNumberFormat="1" applyFont="1" applyFill="1" applyBorder="1" applyAlignment="1">
      <alignment horizontal="center" vertical="center" wrapText="1"/>
    </xf>
    <xf numFmtId="0" fontId="14" fillId="0" borderId="11" xfId="3" applyFont="1" applyBorder="1" applyAlignment="1">
      <alignment horizontal="center" vertical="center" wrapText="1"/>
    </xf>
    <xf numFmtId="49" fontId="14" fillId="16" borderId="8" xfId="3" quotePrefix="1" applyNumberFormat="1" applyFont="1" applyFill="1" applyBorder="1" applyAlignment="1">
      <alignment horizontal="center" vertical="center" wrapText="1"/>
    </xf>
    <xf numFmtId="0" fontId="18" fillId="9" borderId="8" xfId="3" applyFont="1" applyFill="1" applyBorder="1" applyAlignment="1">
      <alignment horizontal="left" vertical="center" wrapText="1"/>
    </xf>
    <xf numFmtId="0" fontId="14" fillId="0" borderId="8" xfId="3" quotePrefix="1" applyFont="1" applyBorder="1" applyAlignment="1">
      <alignment horizontal="center" vertical="center" wrapText="1"/>
    </xf>
    <xf numFmtId="0" fontId="14" fillId="2" borderId="8" xfId="3" applyFont="1" applyFill="1" applyBorder="1" applyAlignment="1">
      <alignment horizontal="center" vertical="center"/>
    </xf>
    <xf numFmtId="164" fontId="14" fillId="0" borderId="8" xfId="3" applyNumberFormat="1" applyFont="1" applyBorder="1" applyAlignment="1">
      <alignment horizontal="center" vertical="center"/>
    </xf>
    <xf numFmtId="164" fontId="18" fillId="0" borderId="17" xfId="3" applyNumberFormat="1" applyFont="1" applyBorder="1" applyAlignment="1">
      <alignment horizontal="center" vertical="center"/>
    </xf>
    <xf numFmtId="0" fontId="14" fillId="0" borderId="8" xfId="3" applyFont="1" applyBorder="1" applyAlignment="1">
      <alignment horizontal="center" vertical="center"/>
    </xf>
    <xf numFmtId="0" fontId="14" fillId="12" borderId="8" xfId="3" applyFont="1" applyFill="1" applyBorder="1" applyAlignment="1">
      <alignment horizontal="center" vertical="center" wrapText="1"/>
    </xf>
    <xf numFmtId="0" fontId="14" fillId="9" borderId="8" xfId="3" applyFont="1" applyFill="1" applyBorder="1" applyAlignment="1">
      <alignment horizontal="left" vertical="center" wrapText="1"/>
    </xf>
    <xf numFmtId="0" fontId="14" fillId="6" borderId="8" xfId="3" applyFont="1" applyFill="1" applyBorder="1" applyAlignment="1">
      <alignment horizontal="center" vertical="center" textRotation="90" wrapText="1"/>
    </xf>
    <xf numFmtId="0" fontId="14" fillId="6" borderId="8" xfId="3" applyFont="1" applyFill="1" applyBorder="1" applyAlignment="1">
      <alignment vertical="center" wrapText="1"/>
    </xf>
    <xf numFmtId="3" fontId="14" fillId="6" borderId="8" xfId="3" applyNumberFormat="1" applyFont="1" applyFill="1" applyBorder="1" applyAlignment="1">
      <alignment horizontal="center" vertical="center" wrapText="1"/>
    </xf>
    <xf numFmtId="3" fontId="14" fillId="6" borderId="8" xfId="3" applyNumberFormat="1" applyFont="1" applyFill="1" applyBorder="1" applyAlignment="1">
      <alignment horizontal="center" vertical="center" textRotation="90" wrapText="1"/>
    </xf>
    <xf numFmtId="165" fontId="15" fillId="9" borderId="8" xfId="3" applyNumberFormat="1" applyFont="1" applyFill="1" applyBorder="1" applyAlignment="1">
      <alignment horizontal="center" vertical="center" wrapText="1"/>
    </xf>
    <xf numFmtId="0" fontId="15" fillId="9" borderId="8" xfId="3" applyFont="1" applyFill="1" applyBorder="1" applyAlignment="1">
      <alignment horizontal="center" vertical="center" wrapText="1"/>
    </xf>
    <xf numFmtId="164" fontId="14" fillId="10" borderId="17" xfId="3" applyNumberFormat="1" applyFont="1" applyFill="1" applyBorder="1" applyAlignment="1">
      <alignment horizontal="left" vertical="center" wrapText="1"/>
    </xf>
    <xf numFmtId="165" fontId="18" fillId="20" borderId="8" xfId="3" applyNumberFormat="1" applyFont="1" applyFill="1" applyBorder="1" applyAlignment="1">
      <alignment horizontal="center" vertical="center" wrapText="1"/>
    </xf>
    <xf numFmtId="49" fontId="18" fillId="0" borderId="8" xfId="3" applyNumberFormat="1" applyFont="1" applyBorder="1" applyAlignment="1">
      <alignment horizontal="center" vertical="center" wrapText="1"/>
    </xf>
    <xf numFmtId="0" fontId="18" fillId="15" borderId="8" xfId="3" applyFont="1" applyFill="1" applyBorder="1" applyAlignment="1">
      <alignment horizontal="center" vertical="center" wrapText="1"/>
    </xf>
    <xf numFmtId="0" fontId="18" fillId="0" borderId="22" xfId="3" applyFont="1" applyBorder="1" applyAlignment="1">
      <alignment vertical="center" wrapText="1"/>
    </xf>
    <xf numFmtId="0" fontId="18" fillId="0" borderId="8" xfId="3" applyFont="1" applyBorder="1" applyAlignment="1">
      <alignment horizontal="center" vertical="center" wrapText="1"/>
    </xf>
    <xf numFmtId="0" fontId="24" fillId="23" borderId="8" xfId="3" applyFont="1" applyFill="1" applyBorder="1" applyAlignment="1">
      <alignment horizontal="center" vertical="center" wrapText="1"/>
    </xf>
    <xf numFmtId="0" fontId="18" fillId="0" borderId="22" xfId="3" applyFont="1" applyBorder="1" applyAlignment="1">
      <alignment wrapText="1"/>
    </xf>
    <xf numFmtId="49" fontId="18" fillId="0" borderId="15" xfId="3" applyNumberFormat="1" applyFont="1" applyBorder="1" applyAlignment="1">
      <alignment horizontal="center" vertical="center" wrapText="1"/>
    </xf>
    <xf numFmtId="0" fontId="18" fillId="15" borderId="15" xfId="3" applyFont="1" applyFill="1" applyBorder="1" applyAlignment="1">
      <alignment horizontal="center" vertical="center" wrapText="1"/>
    </xf>
    <xf numFmtId="0" fontId="18" fillId="0" borderId="15" xfId="3" applyFont="1" applyBorder="1" applyAlignment="1">
      <alignment horizontal="center" vertical="center" wrapText="1"/>
    </xf>
    <xf numFmtId="0" fontId="24" fillId="23" borderId="15" xfId="3" applyFont="1" applyFill="1" applyBorder="1" applyAlignment="1">
      <alignment horizontal="center" vertical="center" wrapText="1"/>
    </xf>
    <xf numFmtId="0" fontId="18" fillId="0" borderId="0" xfId="3" applyFont="1" applyAlignment="1">
      <alignment vertical="top" wrapText="1"/>
    </xf>
    <xf numFmtId="0" fontId="18" fillId="0" borderId="15" xfId="3" applyFont="1" applyBorder="1" applyAlignment="1">
      <alignment vertical="center" wrapText="1"/>
    </xf>
    <xf numFmtId="49" fontId="18" fillId="0" borderId="38" xfId="3" applyNumberFormat="1" applyFont="1" applyBorder="1" applyAlignment="1">
      <alignment horizontal="center" vertical="center" wrapText="1"/>
    </xf>
    <xf numFmtId="0" fontId="18" fillId="0" borderId="38" xfId="3" applyFont="1" applyBorder="1" applyAlignment="1">
      <alignment horizontal="center" vertical="center" wrapText="1"/>
    </xf>
    <xf numFmtId="0" fontId="18" fillId="0" borderId="38" xfId="3" applyFont="1" applyBorder="1" applyAlignment="1">
      <alignment vertical="top" wrapText="1"/>
    </xf>
    <xf numFmtId="0" fontId="18" fillId="0" borderId="38" xfId="3" applyFont="1" applyBorder="1" applyAlignment="1">
      <alignment vertical="center" wrapText="1"/>
    </xf>
    <xf numFmtId="0" fontId="24" fillId="0" borderId="38" xfId="3" applyFont="1" applyBorder="1" applyAlignment="1">
      <alignment horizontal="center" vertical="center" wrapText="1"/>
    </xf>
    <xf numFmtId="0" fontId="18" fillId="15" borderId="38" xfId="3" applyFont="1" applyFill="1" applyBorder="1" applyAlignment="1">
      <alignment horizontal="center" vertical="center" wrapText="1"/>
    </xf>
    <xf numFmtId="0" fontId="24" fillId="23" borderId="38" xfId="3" applyFont="1" applyFill="1" applyBorder="1" applyAlignment="1">
      <alignment horizontal="center" vertical="center" wrapText="1"/>
    </xf>
    <xf numFmtId="0" fontId="18" fillId="0" borderId="38" xfId="3" applyFont="1" applyBorder="1" applyAlignment="1">
      <alignment wrapText="1"/>
    </xf>
    <xf numFmtId="0" fontId="18" fillId="15" borderId="18" xfId="3" applyFont="1" applyFill="1" applyBorder="1" applyAlignment="1">
      <alignment horizontal="center" vertical="center" wrapText="1"/>
    </xf>
    <xf numFmtId="0" fontId="18" fillId="0" borderId="18" xfId="3" applyFont="1" applyBorder="1" applyAlignment="1">
      <alignment horizontal="center" vertical="center" wrapText="1"/>
    </xf>
    <xf numFmtId="0" fontId="18" fillId="0" borderId="18" xfId="3" applyFont="1" applyBorder="1" applyAlignment="1">
      <alignment vertical="center" wrapText="1"/>
    </xf>
    <xf numFmtId="49" fontId="18" fillId="0" borderId="18" xfId="3" applyNumberFormat="1" applyFont="1" applyBorder="1" applyAlignment="1">
      <alignment horizontal="center" vertical="center" wrapText="1"/>
    </xf>
    <xf numFmtId="0" fontId="24" fillId="15" borderId="18" xfId="3" applyFont="1" applyFill="1" applyBorder="1" applyAlignment="1">
      <alignment horizontal="center" vertical="center" wrapText="1"/>
    </xf>
    <xf numFmtId="49" fontId="18" fillId="0" borderId="11" xfId="3" applyNumberFormat="1" applyFont="1" applyBorder="1" applyAlignment="1">
      <alignment horizontal="center" vertical="center" wrapText="1"/>
    </xf>
    <xf numFmtId="0" fontId="18" fillId="15" borderId="11" xfId="3" applyFont="1" applyFill="1" applyBorder="1" applyAlignment="1">
      <alignment horizontal="center" vertical="center" wrapText="1"/>
    </xf>
    <xf numFmtId="0" fontId="18" fillId="0" borderId="11" xfId="3" applyFont="1" applyBorder="1" applyAlignment="1">
      <alignment wrapText="1"/>
    </xf>
    <xf numFmtId="0" fontId="18" fillId="0" borderId="11" xfId="3" applyFont="1" applyBorder="1" applyAlignment="1">
      <alignment horizontal="center" vertical="center" wrapText="1"/>
    </xf>
    <xf numFmtId="0" fontId="18" fillId="0" borderId="11" xfId="3" applyFont="1" applyBorder="1" applyAlignment="1">
      <alignment vertical="center" wrapText="1"/>
    </xf>
    <xf numFmtId="0" fontId="24" fillId="15" borderId="11" xfId="3" applyFont="1" applyFill="1" applyBorder="1" applyAlignment="1">
      <alignment horizontal="center" vertical="center" wrapText="1"/>
    </xf>
    <xf numFmtId="0" fontId="18" fillId="0" borderId="8" xfId="3" applyFont="1" applyBorder="1" applyAlignment="1">
      <alignment vertical="top" wrapText="1"/>
    </xf>
    <xf numFmtId="0" fontId="18" fillId="0" borderId="8" xfId="3" applyFont="1" applyBorder="1" applyAlignment="1">
      <alignment horizontal="left" vertical="center" wrapText="1"/>
    </xf>
    <xf numFmtId="0" fontId="18" fillId="0" borderId="11" xfId="6" applyFont="1" applyBorder="1" applyAlignment="1">
      <alignment horizontal="center" vertical="center" wrapText="1"/>
    </xf>
    <xf numFmtId="0" fontId="18" fillId="15" borderId="8" xfId="6" applyFont="1" applyFill="1" applyBorder="1" applyAlignment="1">
      <alignment horizontal="center" vertical="center" wrapText="1"/>
    </xf>
    <xf numFmtId="0" fontId="18" fillId="0" borderId="8" xfId="6" applyFont="1" applyBorder="1" applyAlignment="1">
      <alignment horizontal="center" vertical="center" wrapText="1"/>
    </xf>
    <xf numFmtId="0" fontId="18" fillId="0" borderId="8" xfId="6" applyFont="1" applyBorder="1" applyAlignment="1">
      <alignment vertical="center" wrapText="1"/>
    </xf>
    <xf numFmtId="0" fontId="18" fillId="15" borderId="11" xfId="6" applyFont="1" applyFill="1" applyBorder="1" applyAlignment="1">
      <alignment horizontal="center" vertical="center" wrapText="1"/>
    </xf>
    <xf numFmtId="0" fontId="24" fillId="23" borderId="8" xfId="6" applyFont="1" applyFill="1" applyBorder="1" applyAlignment="1">
      <alignment horizontal="center" vertical="center" wrapText="1"/>
    </xf>
    <xf numFmtId="0" fontId="18" fillId="0" borderId="11" xfId="6" applyFont="1" applyBorder="1" applyAlignment="1">
      <alignment vertical="center" wrapText="1"/>
    </xf>
    <xf numFmtId="164" fontId="18" fillId="10" borderId="17" xfId="3" applyNumberFormat="1" applyFont="1" applyFill="1" applyBorder="1" applyAlignment="1">
      <alignment horizontal="left" vertical="center" wrapText="1"/>
    </xf>
    <xf numFmtId="0" fontId="18" fillId="2" borderId="11" xfId="3" applyFont="1" applyFill="1" applyBorder="1" applyAlignment="1">
      <alignment horizontal="center" vertical="center" wrapText="1"/>
    </xf>
    <xf numFmtId="0" fontId="18" fillId="2" borderId="8" xfId="3" applyFont="1" applyFill="1" applyBorder="1" applyAlignment="1">
      <alignment horizontal="center" vertical="center" wrapText="1"/>
    </xf>
    <xf numFmtId="0" fontId="18" fillId="12" borderId="8" xfId="3" applyFont="1" applyFill="1" applyBorder="1" applyAlignment="1">
      <alignment horizontal="center" vertical="center" wrapText="1"/>
    </xf>
    <xf numFmtId="164" fontId="18" fillId="12" borderId="8" xfId="3" applyNumberFormat="1" applyFont="1" applyFill="1" applyBorder="1" applyAlignment="1">
      <alignment horizontal="center" vertical="center" wrapText="1"/>
    </xf>
    <xf numFmtId="164" fontId="18" fillId="23" borderId="8" xfId="3" applyNumberFormat="1" applyFont="1" applyFill="1" applyBorder="1" applyAlignment="1">
      <alignment horizontal="center" vertical="center" wrapText="1"/>
    </xf>
    <xf numFmtId="164" fontId="18" fillId="20" borderId="8" xfId="3" applyNumberFormat="1" applyFont="1" applyFill="1" applyBorder="1" applyAlignment="1">
      <alignment horizontal="center" vertical="center" wrapText="1"/>
    </xf>
    <xf numFmtId="164" fontId="26" fillId="0" borderId="17" xfId="3" applyNumberFormat="1" applyFont="1" applyBorder="1" applyAlignment="1">
      <alignment horizontal="center" vertical="center" wrapText="1"/>
    </xf>
    <xf numFmtId="164" fontId="24" fillId="23" borderId="8" xfId="3" applyNumberFormat="1" applyFont="1" applyFill="1" applyBorder="1" applyAlignment="1">
      <alignment horizontal="center" vertical="center" wrapText="1"/>
    </xf>
    <xf numFmtId="164" fontId="24" fillId="20" borderId="8" xfId="3" applyNumberFormat="1" applyFont="1" applyFill="1" applyBorder="1" applyAlignment="1">
      <alignment horizontal="center" vertical="center" wrapText="1"/>
    </xf>
    <xf numFmtId="164" fontId="24" fillId="0" borderId="17" xfId="3" applyNumberFormat="1" applyFont="1" applyBorder="1" applyAlignment="1">
      <alignment horizontal="center" vertical="center" wrapText="1"/>
    </xf>
    <xf numFmtId="164" fontId="18" fillId="0" borderId="17" xfId="3" applyNumberFormat="1" applyFont="1" applyBorder="1" applyAlignment="1">
      <alignment horizontal="center" vertical="center" wrapText="1"/>
    </xf>
    <xf numFmtId="49" fontId="14" fillId="2" borderId="8" xfId="3" quotePrefix="1" applyNumberFormat="1" applyFont="1" applyFill="1" applyBorder="1" applyAlignment="1">
      <alignment horizontal="center" vertical="center" wrapText="1"/>
    </xf>
    <xf numFmtId="0" fontId="14" fillId="2" borderId="8" xfId="3" applyFont="1" applyFill="1" applyBorder="1" applyAlignment="1">
      <alignment horizontal="left" vertical="center" wrapText="1"/>
    </xf>
    <xf numFmtId="0" fontId="14" fillId="24" borderId="8" xfId="3" applyFont="1" applyFill="1" applyBorder="1" applyAlignment="1">
      <alignment horizontal="center" vertical="center" wrapText="1"/>
    </xf>
    <xf numFmtId="164" fontId="14" fillId="24" borderId="8" xfId="3" applyNumberFormat="1" applyFont="1" applyFill="1" applyBorder="1" applyAlignment="1">
      <alignment horizontal="center" vertical="center" wrapText="1"/>
    </xf>
    <xf numFmtId="0" fontId="14" fillId="2" borderId="8" xfId="3" applyFont="1" applyFill="1" applyBorder="1" applyAlignment="1">
      <alignment horizontal="left" vertical="center"/>
    </xf>
    <xf numFmtId="164" fontId="14" fillId="0" borderId="17" xfId="3" applyNumberFormat="1" applyFont="1" applyBorder="1" applyAlignment="1">
      <alignment horizontal="center" vertical="center" wrapText="1"/>
    </xf>
    <xf numFmtId="0" fontId="14" fillId="0" borderId="15" xfId="3" applyFont="1" applyBorder="1" applyAlignment="1">
      <alignment vertical="center" wrapText="1"/>
    </xf>
    <xf numFmtId="0" fontId="18" fillId="0" borderId="0" xfId="3" applyFont="1" applyAlignment="1">
      <alignment horizontal="right"/>
    </xf>
    <xf numFmtId="49" fontId="14" fillId="0" borderId="15" xfId="3" applyNumberFormat="1" applyFont="1" applyBorder="1" applyAlignment="1">
      <alignment horizontal="center" vertical="center" wrapText="1"/>
    </xf>
    <xf numFmtId="0" fontId="14" fillId="2" borderId="15" xfId="3" applyFont="1" applyFill="1" applyBorder="1" applyAlignment="1">
      <alignment horizontal="right" vertical="center" wrapText="1"/>
    </xf>
    <xf numFmtId="0" fontId="14" fillId="0" borderId="15" xfId="3" applyFont="1" applyBorder="1" applyAlignment="1">
      <alignment horizontal="center" vertical="center" wrapText="1"/>
    </xf>
    <xf numFmtId="0" fontId="14" fillId="2" borderId="15" xfId="3" applyFont="1" applyFill="1" applyBorder="1" applyAlignment="1">
      <alignment horizontal="center" vertical="center"/>
    </xf>
    <xf numFmtId="49" fontId="14" fillId="0" borderId="18" xfId="3" applyNumberFormat="1" applyFont="1" applyBorder="1" applyAlignment="1">
      <alignment horizontal="center" vertical="center" wrapText="1"/>
    </xf>
    <xf numFmtId="0" fontId="14" fillId="0" borderId="18" xfId="3" applyFont="1" applyBorder="1" applyAlignment="1">
      <alignment horizontal="center" vertical="center"/>
    </xf>
    <xf numFmtId="0" fontId="14" fillId="2" borderId="18" xfId="3" applyFont="1" applyFill="1" applyBorder="1" applyAlignment="1">
      <alignment vertical="center"/>
    </xf>
    <xf numFmtId="0" fontId="14" fillId="12" borderId="19" xfId="3" applyFont="1" applyFill="1" applyBorder="1" applyAlignment="1">
      <alignment horizontal="center" vertical="center" wrapText="1"/>
    </xf>
    <xf numFmtId="0" fontId="14" fillId="0" borderId="18" xfId="3" applyFont="1" applyBorder="1" applyAlignment="1">
      <alignment horizontal="center" vertical="center" wrapText="1"/>
    </xf>
    <xf numFmtId="49" fontId="14" fillId="0" borderId="11" xfId="3" applyNumberFormat="1" applyFont="1" applyBorder="1" applyAlignment="1">
      <alignment horizontal="center" vertical="center" wrapText="1"/>
    </xf>
    <xf numFmtId="164" fontId="14" fillId="10" borderId="33" xfId="3" applyNumberFormat="1" applyFont="1" applyFill="1" applyBorder="1" applyAlignment="1">
      <alignment horizontal="left" vertical="center" wrapText="1"/>
    </xf>
    <xf numFmtId="0" fontId="14" fillId="2" borderId="11" xfId="3" applyFont="1" applyFill="1" applyBorder="1" applyAlignment="1">
      <alignment horizontal="center" vertical="center"/>
    </xf>
    <xf numFmtId="0" fontId="18" fillId="2" borderId="8" xfId="3" applyFont="1" applyFill="1" applyBorder="1" applyAlignment="1">
      <alignment horizontal="right" vertical="top" wrapText="1"/>
    </xf>
    <xf numFmtId="0" fontId="18" fillId="0" borderId="8" xfId="3" applyFont="1" applyBorder="1" applyAlignment="1">
      <alignment horizontal="right"/>
    </xf>
    <xf numFmtId="0" fontId="14" fillId="2" borderId="37" xfId="3" applyFont="1" applyFill="1" applyBorder="1" applyAlignment="1">
      <alignment horizontal="center" vertical="center" wrapText="1"/>
    </xf>
    <xf numFmtId="0" fontId="14" fillId="2" borderId="18" xfId="3" applyFont="1" applyFill="1" applyBorder="1" applyAlignment="1">
      <alignment horizontal="center" vertical="center" wrapText="1"/>
    </xf>
    <xf numFmtId="49" fontId="14" fillId="0" borderId="8" xfId="3" quotePrefix="1" applyNumberFormat="1" applyFont="1" applyBorder="1" applyAlignment="1">
      <alignment horizontal="center" vertical="center" wrapText="1"/>
    </xf>
    <xf numFmtId="0" fontId="14" fillId="5" borderId="8" xfId="3" applyFont="1" applyFill="1" applyBorder="1" applyAlignment="1">
      <alignment horizontal="center" vertical="center" wrapText="1"/>
    </xf>
    <xf numFmtId="164" fontId="18" fillId="10" borderId="11" xfId="3" applyNumberFormat="1" applyFont="1" applyFill="1" applyBorder="1" applyAlignment="1">
      <alignment horizontal="center" vertical="center" wrapText="1"/>
    </xf>
    <xf numFmtId="0" fontId="18" fillId="2" borderId="8" xfId="3" applyFont="1" applyFill="1" applyBorder="1" applyAlignment="1">
      <alignment horizontal="right" vertical="center" wrapText="1"/>
    </xf>
    <xf numFmtId="0" fontId="17" fillId="2" borderId="8" xfId="3" applyFont="1" applyFill="1" applyBorder="1" applyAlignment="1">
      <alignment horizontal="center" vertical="center" wrapText="1"/>
    </xf>
    <xf numFmtId="164" fontId="17" fillId="2" borderId="8" xfId="3" applyNumberFormat="1" applyFont="1" applyFill="1" applyBorder="1" applyAlignment="1">
      <alignment horizontal="center" vertical="center" wrapText="1"/>
    </xf>
    <xf numFmtId="164" fontId="17" fillId="10" borderId="8" xfId="3" applyNumberFormat="1" applyFont="1" applyFill="1" applyBorder="1" applyAlignment="1">
      <alignment horizontal="center" vertical="center" wrapText="1"/>
    </xf>
    <xf numFmtId="164" fontId="17" fillId="0" borderId="17" xfId="3" applyNumberFormat="1" applyFont="1" applyBorder="1" applyAlignment="1">
      <alignment horizontal="center" vertical="center" wrapText="1"/>
    </xf>
    <xf numFmtId="0" fontId="14" fillId="2" borderId="8" xfId="3" applyFont="1" applyFill="1" applyBorder="1" applyAlignment="1">
      <alignment horizontal="right" vertical="center" wrapText="1"/>
    </xf>
    <xf numFmtId="164" fontId="24" fillId="2" borderId="17" xfId="3" applyNumberFormat="1" applyFont="1" applyFill="1" applyBorder="1" applyAlignment="1">
      <alignment horizontal="center" vertical="center" wrapText="1"/>
    </xf>
    <xf numFmtId="164" fontId="17" fillId="2" borderId="17" xfId="3" applyNumberFormat="1" applyFont="1" applyFill="1" applyBorder="1" applyAlignment="1">
      <alignment horizontal="center" vertical="center" wrapText="1"/>
    </xf>
    <xf numFmtId="0" fontId="14" fillId="0" borderId="8" xfId="3" applyFont="1" applyBorder="1" applyAlignment="1">
      <alignment horizontal="right" wrapText="1"/>
    </xf>
    <xf numFmtId="164" fontId="17" fillId="0" borderId="32" xfId="3" applyNumberFormat="1" applyFont="1" applyBorder="1" applyAlignment="1">
      <alignment horizontal="center" vertical="center" wrapText="1"/>
    </xf>
    <xf numFmtId="164" fontId="17" fillId="0" borderId="41" xfId="3" applyNumberFormat="1" applyFont="1" applyBorder="1" applyAlignment="1">
      <alignment horizontal="center" vertical="center" wrapText="1"/>
    </xf>
    <xf numFmtId="164" fontId="17" fillId="2" borderId="32" xfId="3" applyNumberFormat="1" applyFont="1" applyFill="1" applyBorder="1" applyAlignment="1">
      <alignment horizontal="center" vertical="center" wrapText="1"/>
    </xf>
    <xf numFmtId="0" fontId="14" fillId="12" borderId="15" xfId="3" applyFont="1" applyFill="1" applyBorder="1" applyAlignment="1">
      <alignment horizontal="center" vertical="center" wrapText="1"/>
    </xf>
    <xf numFmtId="0" fontId="14" fillId="0" borderId="15" xfId="3" applyFont="1" applyBorder="1" applyAlignment="1">
      <alignment horizontal="center" vertical="center"/>
    </xf>
    <xf numFmtId="0" fontId="14" fillId="0" borderId="18" xfId="3" applyFont="1" applyBorder="1" applyAlignment="1">
      <alignment horizontal="right" vertical="center" wrapText="1"/>
    </xf>
    <xf numFmtId="0" fontId="17" fillId="2" borderId="18" xfId="3" applyFont="1" applyFill="1" applyBorder="1" applyAlignment="1">
      <alignment horizontal="center" vertical="center" wrapText="1"/>
    </xf>
    <xf numFmtId="164" fontId="17" fillId="2" borderId="18" xfId="3" applyNumberFormat="1" applyFont="1" applyFill="1" applyBorder="1" applyAlignment="1">
      <alignment horizontal="center" vertical="center" wrapText="1"/>
    </xf>
    <xf numFmtId="164" fontId="17" fillId="10" borderId="18" xfId="3" applyNumberFormat="1" applyFont="1" applyFill="1" applyBorder="1" applyAlignment="1">
      <alignment horizontal="center" vertical="center" wrapText="1"/>
    </xf>
    <xf numFmtId="164" fontId="17" fillId="0" borderId="18" xfId="3" applyNumberFormat="1" applyFont="1" applyBorder="1" applyAlignment="1">
      <alignment horizontal="center" vertical="center" wrapText="1"/>
    </xf>
    <xf numFmtId="0" fontId="14" fillId="2" borderId="18" xfId="3" applyFont="1" applyFill="1" applyBorder="1" applyAlignment="1">
      <alignment vertical="center" wrapText="1"/>
    </xf>
    <xf numFmtId="0" fontId="18" fillId="0" borderId="18" xfId="3" applyFont="1" applyBorder="1" applyAlignment="1">
      <alignment horizontal="right" vertical="center" wrapText="1"/>
    </xf>
    <xf numFmtId="0" fontId="18" fillId="0" borderId="18" xfId="3" applyFont="1" applyBorder="1" applyAlignment="1">
      <alignment horizontal="center" vertical="center"/>
    </xf>
    <xf numFmtId="0" fontId="17" fillId="0" borderId="18" xfId="3" applyFont="1" applyBorder="1" applyAlignment="1">
      <alignment horizontal="center" vertical="center"/>
    </xf>
    <xf numFmtId="0" fontId="14" fillId="0" borderId="30" xfId="3" applyFont="1" applyBorder="1" applyAlignment="1">
      <alignment horizontal="center" vertical="center"/>
    </xf>
    <xf numFmtId="0" fontId="14" fillId="0" borderId="33" xfId="3" applyFont="1" applyBorder="1" applyAlignment="1">
      <alignment horizontal="center" vertical="center"/>
    </xf>
    <xf numFmtId="164" fontId="15" fillId="19" borderId="17" xfId="3" applyNumberFormat="1" applyFont="1" applyFill="1" applyBorder="1" applyAlignment="1">
      <alignment horizontal="center" vertical="center" wrapText="1"/>
    </xf>
    <xf numFmtId="49" fontId="14" fillId="0" borderId="19" xfId="3" applyNumberFormat="1" applyFont="1" applyBorder="1" applyAlignment="1">
      <alignment horizontal="center" vertical="center" wrapText="1"/>
    </xf>
    <xf numFmtId="0" fontId="14" fillId="0" borderId="0" xfId="3" applyFont="1" applyAlignment="1">
      <alignment vertical="center"/>
    </xf>
    <xf numFmtId="0" fontId="14" fillId="2" borderId="0" xfId="3" applyFont="1" applyFill="1" applyAlignment="1">
      <alignment vertical="center"/>
    </xf>
    <xf numFmtId="49" fontId="15" fillId="2" borderId="8" xfId="3" applyNumberFormat="1" applyFont="1" applyFill="1" applyBorder="1" applyAlignment="1">
      <alignment horizontal="center" vertical="center" wrapText="1"/>
    </xf>
    <xf numFmtId="0" fontId="15" fillId="2" borderId="8" xfId="3" applyFont="1" applyFill="1" applyBorder="1" applyAlignment="1">
      <alignment horizontal="center" vertical="center"/>
    </xf>
    <xf numFmtId="164" fontId="15" fillId="8" borderId="8" xfId="3" applyNumberFormat="1" applyFont="1" applyFill="1" applyBorder="1" applyAlignment="1">
      <alignment horizontal="center" vertical="center" wrapText="1"/>
    </xf>
    <xf numFmtId="0" fontId="14" fillId="0" borderId="8" xfId="3" applyFont="1" applyBorder="1" applyAlignment="1">
      <alignment horizontal="left"/>
    </xf>
    <xf numFmtId="0" fontId="27" fillId="0" borderId="8" xfId="3" applyFont="1" applyBorder="1" applyAlignment="1">
      <alignment horizontal="center" vertical="center" wrapText="1"/>
    </xf>
    <xf numFmtId="164" fontId="14" fillId="2" borderId="8" xfId="3" applyNumberFormat="1" applyFont="1" applyFill="1" applyBorder="1" applyAlignment="1">
      <alignment horizontal="center" vertical="center"/>
    </xf>
    <xf numFmtId="164" fontId="14" fillId="10" borderId="8" xfId="3" applyNumberFormat="1" applyFont="1" applyFill="1" applyBorder="1" applyAlignment="1">
      <alignment horizontal="center" vertical="center"/>
    </xf>
    <xf numFmtId="0" fontId="14" fillId="0" borderId="8" xfId="3" applyFont="1" applyBorder="1" applyAlignment="1">
      <alignment wrapText="1"/>
    </xf>
    <xf numFmtId="0" fontId="28" fillId="0" borderId="8" xfId="3" applyFont="1" applyBorder="1" applyAlignment="1">
      <alignment vertical="center" wrapText="1"/>
    </xf>
    <xf numFmtId="0" fontId="27" fillId="2" borderId="8" xfId="3" applyFont="1" applyFill="1" applyBorder="1" applyAlignment="1">
      <alignment horizontal="center" vertical="center" wrapText="1"/>
    </xf>
    <xf numFmtId="0" fontId="29" fillId="0" borderId="8" xfId="3" applyFont="1" applyBorder="1" applyAlignment="1">
      <alignment vertical="center" wrapText="1"/>
    </xf>
    <xf numFmtId="0" fontId="15" fillId="2" borderId="8" xfId="3" applyFont="1" applyFill="1" applyBorder="1" applyAlignment="1">
      <alignment horizontal="center" vertical="center" wrapText="1"/>
    </xf>
    <xf numFmtId="49" fontId="27" fillId="0" borderId="8" xfId="3" applyNumberFormat="1" applyFont="1" applyBorder="1" applyAlignment="1">
      <alignment horizontal="center" vertical="center"/>
    </xf>
    <xf numFmtId="0" fontId="14" fillId="0" borderId="17" xfId="3" applyFont="1" applyBorder="1" applyAlignment="1">
      <alignment horizontal="center" vertical="center"/>
    </xf>
    <xf numFmtId="0" fontId="14" fillId="0" borderId="8" xfId="3" applyFont="1" applyBorder="1"/>
    <xf numFmtId="0" fontId="14" fillId="0" borderId="17" xfId="3" applyFont="1" applyBorder="1" applyAlignment="1">
      <alignment vertical="center" wrapText="1"/>
    </xf>
    <xf numFmtId="0" fontId="14" fillId="0" borderId="38" xfId="3" applyFont="1" applyBorder="1" applyAlignment="1">
      <alignment horizontal="center" vertical="center"/>
    </xf>
    <xf numFmtId="49" fontId="14" fillId="10" borderId="8" xfId="3" applyNumberFormat="1" applyFont="1" applyFill="1" applyBorder="1" applyAlignment="1">
      <alignment horizontal="center" vertical="center"/>
    </xf>
    <xf numFmtId="0" fontId="14" fillId="10" borderId="8" xfId="3" applyFont="1" applyFill="1" applyBorder="1"/>
    <xf numFmtId="0" fontId="14" fillId="10" borderId="11" xfId="3" applyFont="1" applyFill="1" applyBorder="1" applyAlignment="1">
      <alignment horizontal="center" vertical="center"/>
    </xf>
    <xf numFmtId="0" fontId="14" fillId="10" borderId="11" xfId="3" applyFont="1" applyFill="1" applyBorder="1" applyAlignment="1">
      <alignment horizontal="center" vertical="center" wrapText="1"/>
    </xf>
    <xf numFmtId="0" fontId="27" fillId="10" borderId="8" xfId="3" applyFont="1" applyFill="1" applyBorder="1" applyAlignment="1">
      <alignment horizontal="center" vertical="center" wrapText="1"/>
    </xf>
    <xf numFmtId="164" fontId="15" fillId="10" borderId="8" xfId="3" applyNumberFormat="1" applyFont="1" applyFill="1" applyBorder="1" applyAlignment="1">
      <alignment horizontal="center" vertical="center"/>
    </xf>
    <xf numFmtId="0" fontId="14" fillId="0" borderId="8" xfId="3" applyFont="1" applyBorder="1" applyAlignment="1">
      <alignment vertical="center"/>
    </xf>
    <xf numFmtId="0" fontId="14" fillId="2" borderId="8" xfId="3" applyFont="1" applyFill="1" applyBorder="1"/>
    <xf numFmtId="49" fontId="14" fillId="2" borderId="8" xfId="3" applyNumberFormat="1" applyFont="1" applyFill="1" applyBorder="1" applyAlignment="1">
      <alignment horizontal="center" vertical="center"/>
    </xf>
    <xf numFmtId="164" fontId="14" fillId="13" borderId="8" xfId="9" applyNumberFormat="1" applyFont="1" applyFill="1" applyBorder="1" applyAlignment="1">
      <alignment horizontal="center" vertical="center"/>
    </xf>
    <xf numFmtId="164" fontId="14" fillId="0" borderId="8" xfId="9" applyNumberFormat="1" applyFont="1" applyBorder="1" applyAlignment="1">
      <alignment horizontal="center" vertical="center" wrapText="1"/>
    </xf>
    <xf numFmtId="49" fontId="27" fillId="2" borderId="8" xfId="3" applyNumberFormat="1" applyFont="1" applyFill="1" applyBorder="1" applyAlignment="1">
      <alignment horizontal="center" vertical="center"/>
    </xf>
    <xf numFmtId="164" fontId="14" fillId="0" borderId="11" xfId="3" applyNumberFormat="1" applyFont="1" applyBorder="1" applyAlignment="1">
      <alignment horizontal="center" vertical="center"/>
    </xf>
    <xf numFmtId="0" fontId="14" fillId="0" borderId="8" xfId="11" applyFont="1" applyBorder="1" applyAlignment="1">
      <alignment horizontal="center" vertical="center"/>
    </xf>
    <xf numFmtId="14" fontId="14" fillId="0" borderId="8" xfId="3" quotePrefix="1" applyNumberFormat="1" applyFont="1" applyBorder="1" applyAlignment="1">
      <alignment horizontal="center" vertical="center" wrapText="1"/>
    </xf>
    <xf numFmtId="0" fontId="14" fillId="0" borderId="8" xfId="11" applyFont="1" applyBorder="1" applyAlignment="1">
      <alignment horizontal="left" vertical="center" wrapText="1"/>
    </xf>
    <xf numFmtId="0" fontId="14" fillId="0" borderId="8" xfId="11" applyFont="1" applyBorder="1"/>
    <xf numFmtId="49" fontId="14" fillId="0" borderId="8" xfId="11" applyNumberFormat="1" applyFont="1" applyBorder="1" applyAlignment="1">
      <alignment horizontal="center" vertical="center"/>
    </xf>
    <xf numFmtId="0" fontId="14" fillId="0" borderId="8" xfId="11" applyFont="1" applyBorder="1" applyAlignment="1">
      <alignment vertical="center" wrapText="1"/>
    </xf>
    <xf numFmtId="0" fontId="14" fillId="0" borderId="8" xfId="11" applyFont="1" applyBorder="1" applyAlignment="1">
      <alignment horizontal="center"/>
    </xf>
    <xf numFmtId="164" fontId="14" fillId="0" borderId="8" xfId="11" applyNumberFormat="1" applyFont="1" applyBorder="1" applyAlignment="1">
      <alignment horizontal="center" vertical="center"/>
    </xf>
    <xf numFmtId="164" fontId="31" fillId="0" borderId="8" xfId="11" applyNumberFormat="1" applyFont="1" applyBorder="1" applyAlignment="1">
      <alignment horizontal="center" vertical="center"/>
    </xf>
    <xf numFmtId="0" fontId="14" fillId="2" borderId="0" xfId="3" applyFont="1" applyFill="1" applyAlignment="1">
      <alignment horizontal="center" vertical="center"/>
    </xf>
    <xf numFmtId="164" fontId="27" fillId="2" borderId="8" xfId="11" applyNumberFormat="1" applyFont="1" applyFill="1" applyBorder="1" applyAlignment="1">
      <alignment horizontal="center" vertical="center"/>
    </xf>
    <xf numFmtId="49" fontId="14" fillId="0" borderId="8" xfId="11" applyNumberFormat="1" applyFont="1" applyBorder="1" applyAlignment="1">
      <alignment horizontal="center" vertical="center" wrapText="1"/>
    </xf>
    <xf numFmtId="164" fontId="27" fillId="0" borderId="8" xfId="11" applyNumberFormat="1" applyFont="1" applyBorder="1" applyAlignment="1">
      <alignment horizontal="center" vertical="center"/>
    </xf>
    <xf numFmtId="164" fontId="27" fillId="17" borderId="8" xfId="11" applyNumberFormat="1" applyFont="1" applyFill="1" applyBorder="1" applyAlignment="1">
      <alignment horizontal="center" vertical="center"/>
    </xf>
    <xf numFmtId="0" fontId="14" fillId="0" borderId="8" xfId="11" applyFont="1" applyBorder="1" applyAlignment="1">
      <alignment horizontal="center" wrapText="1"/>
    </xf>
    <xf numFmtId="0" fontId="14" fillId="0" borderId="8" xfId="11" applyFont="1" applyBorder="1" applyAlignment="1">
      <alignment horizontal="center" vertical="center" wrapText="1"/>
    </xf>
    <xf numFmtId="164" fontId="27" fillId="10" borderId="8" xfId="11" applyNumberFormat="1" applyFont="1" applyFill="1" applyBorder="1" applyAlignment="1">
      <alignment horizontal="center" vertical="center"/>
    </xf>
    <xf numFmtId="164" fontId="32" fillId="0" borderId="8" xfId="11" applyNumberFormat="1" applyFont="1" applyBorder="1" applyAlignment="1">
      <alignment horizontal="center" vertical="center"/>
    </xf>
    <xf numFmtId="0" fontId="14" fillId="2" borderId="8" xfId="11" applyFont="1" applyFill="1" applyBorder="1" applyAlignment="1">
      <alignment horizontal="center" vertical="center"/>
    </xf>
    <xf numFmtId="0" fontId="11" fillId="0" borderId="8" xfId="3" applyBorder="1"/>
    <xf numFmtId="0" fontId="20" fillId="0" borderId="8" xfId="11" applyFont="1" applyBorder="1" applyAlignment="1">
      <alignment vertical="center" wrapText="1"/>
    </xf>
    <xf numFmtId="0" fontId="14" fillId="2" borderId="8" xfId="11" applyFont="1" applyFill="1" applyBorder="1" applyAlignment="1">
      <alignment horizontal="center" vertical="center" wrapText="1"/>
    </xf>
    <xf numFmtId="0" fontId="14" fillId="0" borderId="11" xfId="3" applyFont="1" applyBorder="1"/>
    <xf numFmtId="0" fontId="14" fillId="0" borderId="34" xfId="3" applyFont="1" applyBorder="1" applyAlignment="1">
      <alignment wrapText="1"/>
    </xf>
    <xf numFmtId="0" fontId="14" fillId="15" borderId="34" xfId="3" applyFont="1" applyFill="1" applyBorder="1"/>
    <xf numFmtId="0" fontId="14" fillId="0" borderId="34" xfId="3" applyFont="1" applyBorder="1"/>
    <xf numFmtId="0" fontId="14" fillId="2" borderId="34" xfId="3" applyFont="1" applyFill="1" applyBorder="1" applyAlignment="1">
      <alignment wrapText="1"/>
    </xf>
    <xf numFmtId="0" fontId="14" fillId="2" borderId="8" xfId="11" applyFont="1" applyFill="1" applyBorder="1" applyAlignment="1">
      <alignment vertical="center" wrapText="1"/>
    </xf>
    <xf numFmtId="0" fontId="21" fillId="2" borderId="8" xfId="11" applyFont="1" applyFill="1" applyBorder="1" applyAlignment="1">
      <alignment vertical="center" wrapText="1"/>
    </xf>
    <xf numFmtId="164" fontId="15" fillId="2" borderId="8" xfId="3" applyNumberFormat="1" applyFont="1" applyFill="1" applyBorder="1" applyAlignment="1">
      <alignment horizontal="center" vertical="center"/>
    </xf>
    <xf numFmtId="164" fontId="15" fillId="0" borderId="8" xfId="3" applyNumberFormat="1" applyFont="1" applyBorder="1" applyAlignment="1">
      <alignment horizontal="center" vertical="center"/>
    </xf>
    <xf numFmtId="164" fontId="32" fillId="10" borderId="8" xfId="11" applyNumberFormat="1" applyFont="1" applyFill="1" applyBorder="1" applyAlignment="1">
      <alignment horizontal="center" vertical="center"/>
    </xf>
    <xf numFmtId="49" fontId="14" fillId="0" borderId="8" xfId="11" applyNumberFormat="1" applyFont="1" applyBorder="1" applyAlignment="1">
      <alignment horizontal="center" vertical="center" shrinkToFit="1"/>
    </xf>
    <xf numFmtId="0" fontId="18" fillId="0" borderId="8" xfId="11" applyFont="1" applyBorder="1" applyAlignment="1">
      <alignment vertical="center" wrapText="1"/>
    </xf>
    <xf numFmtId="49" fontId="14" fillId="0" borderId="17" xfId="11" applyNumberFormat="1" applyFont="1" applyBorder="1" applyAlignment="1">
      <alignment horizontal="center" vertical="center"/>
    </xf>
    <xf numFmtId="0" fontId="14" fillId="0" borderId="8" xfId="11" applyFont="1" applyBorder="1" applyAlignment="1">
      <alignment horizontal="right" vertical="center" wrapText="1"/>
    </xf>
    <xf numFmtId="49" fontId="14" fillId="2" borderId="19" xfId="11" applyNumberFormat="1" applyFont="1" applyFill="1" applyBorder="1" applyAlignment="1">
      <alignment horizontal="center" vertical="center"/>
    </xf>
    <xf numFmtId="0" fontId="11" fillId="0" borderId="8" xfId="3" applyBorder="1" applyAlignment="1">
      <alignment horizontal="right"/>
    </xf>
    <xf numFmtId="49" fontId="21" fillId="0" borderId="8" xfId="11" applyNumberFormat="1" applyFont="1" applyBorder="1" applyAlignment="1">
      <alignment horizontal="center" vertical="center"/>
    </xf>
    <xf numFmtId="0" fontId="14" fillId="0" borderId="11" xfId="11" applyFont="1" applyBorder="1" applyAlignment="1">
      <alignment vertical="center" wrapText="1"/>
    </xf>
    <xf numFmtId="164" fontId="33" fillId="0" borderId="8" xfId="11" applyNumberFormat="1" applyFont="1" applyBorder="1" applyAlignment="1">
      <alignment horizontal="center" vertical="center"/>
    </xf>
    <xf numFmtId="0" fontId="21" fillId="0" borderId="0" xfId="3" applyFont="1" applyAlignment="1">
      <alignment horizontal="center" vertical="center"/>
    </xf>
    <xf numFmtId="164" fontId="14" fillId="10" borderId="8" xfId="11" applyNumberFormat="1" applyFont="1" applyFill="1" applyBorder="1" applyAlignment="1">
      <alignment horizontal="center" vertical="center"/>
    </xf>
    <xf numFmtId="49" fontId="14" fillId="2" borderId="8" xfId="11" applyNumberFormat="1" applyFont="1" applyFill="1" applyBorder="1" applyAlignment="1">
      <alignment horizontal="center" vertical="center"/>
    </xf>
    <xf numFmtId="0" fontId="14" fillId="0" borderId="15" xfId="11" applyFont="1" applyBorder="1" applyAlignment="1">
      <alignment horizontal="center" vertical="center" wrapText="1"/>
    </xf>
    <xf numFmtId="164" fontId="14" fillId="0" borderId="15" xfId="11" applyNumberFormat="1" applyFont="1" applyBorder="1" applyAlignment="1">
      <alignment horizontal="center" vertical="center"/>
    </xf>
    <xf numFmtId="164" fontId="14" fillId="0" borderId="15" xfId="3" applyNumberFormat="1" applyFont="1" applyBorder="1" applyAlignment="1">
      <alignment horizontal="center" vertical="center"/>
    </xf>
    <xf numFmtId="0" fontId="14" fillId="0" borderId="22" xfId="11" applyFont="1" applyBorder="1" applyAlignment="1">
      <alignment horizontal="left" vertical="center" wrapText="1"/>
    </xf>
    <xf numFmtId="0" fontId="14" fillId="0" borderId="17" xfId="11" applyFont="1" applyBorder="1" applyAlignment="1">
      <alignment horizontal="center" vertical="center" wrapText="1"/>
    </xf>
    <xf numFmtId="164" fontId="14" fillId="0" borderId="18" xfId="11" applyNumberFormat="1" applyFont="1" applyBorder="1" applyAlignment="1">
      <alignment horizontal="center" vertical="center"/>
    </xf>
    <xf numFmtId="164" fontId="26" fillId="0" borderId="18" xfId="11" applyNumberFormat="1" applyFont="1" applyBorder="1" applyAlignment="1">
      <alignment horizontal="center" vertical="center"/>
    </xf>
    <xf numFmtId="164" fontId="14" fillId="0" borderId="18" xfId="3" applyNumberFormat="1" applyFont="1" applyBorder="1" applyAlignment="1">
      <alignment horizontal="center" vertical="center"/>
    </xf>
    <xf numFmtId="164" fontId="14" fillId="0" borderId="18" xfId="3" applyNumberFormat="1" applyFont="1" applyBorder="1" applyAlignment="1">
      <alignment horizontal="center"/>
    </xf>
    <xf numFmtId="0" fontId="14" fillId="12" borderId="38" xfId="3" applyFont="1" applyFill="1" applyBorder="1" applyAlignment="1">
      <alignment horizontal="center" vertical="center" wrapText="1"/>
    </xf>
    <xf numFmtId="164" fontId="14" fillId="12" borderId="38" xfId="3" applyNumberFormat="1" applyFont="1" applyFill="1" applyBorder="1" applyAlignment="1">
      <alignment horizontal="center" vertical="center" wrapText="1"/>
    </xf>
    <xf numFmtId="0" fontId="14" fillId="2" borderId="0" xfId="3" applyFont="1" applyFill="1" applyAlignment="1">
      <alignment wrapText="1"/>
    </xf>
    <xf numFmtId="164" fontId="14" fillId="0" borderId="38" xfId="11" applyNumberFormat="1" applyFont="1" applyBorder="1" applyAlignment="1">
      <alignment horizontal="center" vertical="center"/>
    </xf>
    <xf numFmtId="164" fontId="14" fillId="0" borderId="38" xfId="3" applyNumberFormat="1" applyFont="1" applyBorder="1" applyAlignment="1">
      <alignment horizontal="center" vertical="center"/>
    </xf>
    <xf numFmtId="164" fontId="14" fillId="0" borderId="38" xfId="3" applyNumberFormat="1" applyFont="1" applyBorder="1" applyAlignment="1">
      <alignment horizontal="center"/>
    </xf>
    <xf numFmtId="0" fontId="14" fillId="12" borderId="18" xfId="3" applyFont="1" applyFill="1" applyBorder="1" applyAlignment="1">
      <alignment horizontal="center" vertical="center" wrapText="1"/>
    </xf>
    <xf numFmtId="164" fontId="15" fillId="19" borderId="11" xfId="3" applyNumberFormat="1" applyFont="1" applyFill="1" applyBorder="1" applyAlignment="1">
      <alignment horizontal="center" vertical="center" wrapText="1"/>
    </xf>
    <xf numFmtId="0" fontId="14" fillId="0" borderId="8" xfId="3" applyFont="1" applyBorder="1" applyAlignment="1">
      <alignment horizontal="center" wrapText="1"/>
    </xf>
    <xf numFmtId="0" fontId="14" fillId="0" borderId="11" xfId="3" applyFont="1" applyBorder="1" applyAlignment="1">
      <alignment horizontal="center" wrapText="1"/>
    </xf>
    <xf numFmtId="164" fontId="14" fillId="0" borderId="11" xfId="3" applyNumberFormat="1" applyFont="1" applyBorder="1" applyAlignment="1">
      <alignment horizontal="center" vertical="center" wrapText="1"/>
    </xf>
    <xf numFmtId="49" fontId="14" fillId="6" borderId="11" xfId="3" applyNumberFormat="1" applyFont="1" applyFill="1" applyBorder="1" applyAlignment="1">
      <alignment horizontal="center" vertical="center" textRotation="90" wrapText="1"/>
    </xf>
    <xf numFmtId="0" fontId="14" fillId="0" borderId="11" xfId="3" applyFont="1" applyBorder="1" applyAlignment="1">
      <alignment vertical="center" wrapText="1"/>
    </xf>
    <xf numFmtId="49" fontId="14" fillId="8" borderId="8" xfId="3" applyNumberFormat="1" applyFont="1" applyFill="1" applyBorder="1" applyAlignment="1">
      <alignment horizontal="center" vertical="center" wrapText="1"/>
    </xf>
    <xf numFmtId="0" fontId="14" fillId="8" borderId="8" xfId="3" applyFont="1" applyFill="1" applyBorder="1" applyAlignment="1">
      <alignment vertical="center" wrapText="1"/>
    </xf>
    <xf numFmtId="164" fontId="14" fillId="2" borderId="19" xfId="3" applyNumberFormat="1" applyFont="1" applyFill="1" applyBorder="1" applyAlignment="1">
      <alignment horizontal="center" wrapText="1"/>
    </xf>
    <xf numFmtId="0" fontId="14" fillId="2" borderId="8" xfId="3" applyFont="1" applyFill="1" applyBorder="1" applyAlignment="1">
      <alignment horizontal="center"/>
    </xf>
    <xf numFmtId="0" fontId="14" fillId="13" borderId="8" xfId="3" applyFont="1" applyFill="1" applyBorder="1" applyAlignment="1">
      <alignment horizontal="center" vertical="center" wrapText="1"/>
    </xf>
    <xf numFmtId="49" fontId="14" fillId="6" borderId="8" xfId="3" applyNumberFormat="1" applyFont="1" applyFill="1" applyBorder="1" applyAlignment="1">
      <alignment horizontal="center" vertical="center" textRotation="90" wrapText="1"/>
    </xf>
    <xf numFmtId="16" fontId="14" fillId="0" borderId="8" xfId="3" quotePrefix="1" applyNumberFormat="1" applyFont="1" applyBorder="1" applyAlignment="1">
      <alignment horizontal="center" vertical="center" wrapText="1"/>
    </xf>
    <xf numFmtId="0" fontId="18" fillId="2" borderId="8" xfId="3" applyFont="1" applyFill="1" applyBorder="1" applyAlignment="1">
      <alignment vertical="center" wrapText="1"/>
    </xf>
    <xf numFmtId="0" fontId="14" fillId="0" borderId="8" xfId="3" applyFont="1" applyBorder="1" applyAlignment="1">
      <alignment vertical="top" wrapText="1"/>
    </xf>
    <xf numFmtId="49" fontId="14" fillId="0" borderId="17" xfId="3" applyNumberFormat="1" applyFont="1" applyBorder="1" applyAlignment="1">
      <alignment horizontal="center" vertical="center" wrapText="1"/>
    </xf>
    <xf numFmtId="0" fontId="14" fillId="0" borderId="19" xfId="3" applyFont="1" applyBorder="1" applyAlignment="1">
      <alignment vertical="center" wrapText="1"/>
    </xf>
    <xf numFmtId="165" fontId="14" fillId="0" borderId="8" xfId="3" applyNumberFormat="1" applyFont="1" applyBorder="1" applyAlignment="1">
      <alignment horizontal="center" vertical="center"/>
    </xf>
    <xf numFmtId="165" fontId="14" fillId="2" borderId="8" xfId="3" applyNumberFormat="1" applyFont="1" applyFill="1" applyBorder="1" applyAlignment="1">
      <alignment horizontal="center" vertical="center"/>
    </xf>
    <xf numFmtId="164" fontId="14" fillId="0" borderId="8" xfId="10" applyNumberFormat="1" applyFont="1" applyBorder="1" applyAlignment="1">
      <alignment horizontal="center" vertical="center" wrapText="1"/>
    </xf>
    <xf numFmtId="164" fontId="14" fillId="2" borderId="8" xfId="10" applyNumberFormat="1" applyFont="1" applyFill="1" applyBorder="1" applyAlignment="1">
      <alignment horizontal="center" vertical="center" wrapText="1"/>
    </xf>
    <xf numFmtId="164" fontId="14" fillId="0" borderId="8" xfId="3" applyNumberFormat="1" applyFont="1" applyBorder="1"/>
    <xf numFmtId="0" fontId="14" fillId="2" borderId="15" xfId="3" applyFont="1" applyFill="1" applyBorder="1" applyAlignment="1">
      <alignment horizontal="left" vertical="center" wrapText="1"/>
    </xf>
    <xf numFmtId="0" fontId="14" fillId="2" borderId="15" xfId="3" applyFont="1" applyFill="1" applyBorder="1" applyAlignment="1">
      <alignment horizontal="center" wrapText="1"/>
    </xf>
    <xf numFmtId="1" fontId="14" fillId="0" borderId="11" xfId="3" applyNumberFormat="1" applyFont="1" applyBorder="1" applyAlignment="1">
      <alignment horizontal="center" vertical="center" wrapText="1"/>
    </xf>
    <xf numFmtId="0" fontId="14" fillId="0" borderId="11" xfId="14" applyFont="1" applyBorder="1" applyAlignment="1">
      <alignment horizontal="center" vertical="center" wrapText="1"/>
    </xf>
    <xf numFmtId="0" fontId="14" fillId="6" borderId="11" xfId="14" applyFont="1" applyFill="1" applyBorder="1"/>
    <xf numFmtId="164" fontId="14" fillId="6" borderId="11" xfId="3" applyNumberFormat="1" applyFont="1" applyFill="1" applyBorder="1" applyAlignment="1">
      <alignment horizontal="center" vertical="center" wrapText="1"/>
    </xf>
    <xf numFmtId="0" fontId="14" fillId="0" borderId="8" xfId="14" applyFont="1" applyBorder="1" applyAlignment="1">
      <alignment horizontal="center" vertical="center" wrapText="1"/>
    </xf>
    <xf numFmtId="3" fontId="14" fillId="0" borderId="8" xfId="3" applyNumberFormat="1" applyFont="1" applyBorder="1" applyAlignment="1">
      <alignment horizontal="center" vertical="center" wrapText="1"/>
    </xf>
    <xf numFmtId="0" fontId="14" fillId="0" borderId="8" xfId="14" applyFont="1" applyBorder="1" applyAlignment="1">
      <alignment horizontal="center" vertical="center" textRotation="90" wrapText="1"/>
    </xf>
    <xf numFmtId="164" fontId="14" fillId="0" borderId="8" xfId="14" applyNumberFormat="1" applyFont="1" applyBorder="1" applyAlignment="1">
      <alignment horizontal="center" vertical="center" wrapText="1"/>
    </xf>
    <xf numFmtId="49" fontId="14" fillId="0" borderId="8" xfId="14" applyNumberFormat="1" applyFont="1" applyBorder="1" applyAlignment="1">
      <alignment horizontal="center" vertical="center" wrapText="1"/>
    </xf>
    <xf numFmtId="0" fontId="14" fillId="0" borderId="8" xfId="14" applyFont="1" applyBorder="1" applyAlignment="1">
      <alignment vertical="center" wrapText="1"/>
    </xf>
    <xf numFmtId="0" fontId="14" fillId="0" borderId="8" xfId="14" applyFont="1" applyBorder="1" applyAlignment="1">
      <alignment horizontal="center" vertical="center"/>
    </xf>
    <xf numFmtId="0" fontId="14" fillId="13" borderId="8" xfId="14" applyFont="1" applyFill="1" applyBorder="1" applyAlignment="1">
      <alignment horizontal="center" vertical="center" wrapText="1"/>
    </xf>
    <xf numFmtId="0" fontId="14" fillId="2" borderId="8" xfId="14" applyFont="1" applyFill="1" applyBorder="1" applyAlignment="1">
      <alignment vertical="center" wrapText="1"/>
    </xf>
    <xf numFmtId="164" fontId="14" fillId="13" borderId="8" xfId="14" applyNumberFormat="1" applyFont="1" applyFill="1" applyBorder="1" applyAlignment="1">
      <alignment horizontal="center" vertical="center" wrapText="1"/>
    </xf>
    <xf numFmtId="165" fontId="14" fillId="17" borderId="8" xfId="14" applyNumberFormat="1" applyFont="1" applyFill="1" applyBorder="1" applyAlignment="1">
      <alignment horizontal="center" vertical="center" wrapText="1"/>
    </xf>
    <xf numFmtId="165" fontId="14" fillId="2" borderId="8" xfId="14" applyNumberFormat="1" applyFont="1" applyFill="1" applyBorder="1" applyAlignment="1">
      <alignment horizontal="center" vertical="center" wrapText="1"/>
    </xf>
    <xf numFmtId="49" fontId="14" fillId="2" borderId="8" xfId="14" applyNumberFormat="1" applyFont="1" applyFill="1" applyBorder="1" applyAlignment="1">
      <alignment horizontal="center" vertical="center" wrapText="1"/>
    </xf>
    <xf numFmtId="0" fontId="14" fillId="2" borderId="8" xfId="14" applyFont="1" applyFill="1" applyBorder="1" applyAlignment="1">
      <alignment horizontal="center" vertical="center" wrapText="1"/>
    </xf>
    <xf numFmtId="49" fontId="18" fillId="0" borderId="8" xfId="14" applyNumberFormat="1" applyFont="1" applyBorder="1" applyAlignment="1">
      <alignment horizontal="center" vertical="center" wrapText="1"/>
    </xf>
    <xf numFmtId="0" fontId="18" fillId="0" borderId="8" xfId="14" applyFont="1" applyBorder="1" applyAlignment="1">
      <alignment vertical="center" wrapText="1"/>
    </xf>
    <xf numFmtId="164" fontId="18" fillId="17" borderId="8" xfId="14" applyNumberFormat="1" applyFont="1" applyFill="1" applyBorder="1" applyAlignment="1">
      <alignment horizontal="center" vertical="center" wrapText="1"/>
    </xf>
    <xf numFmtId="0" fontId="14" fillId="6" borderId="8" xfId="14" applyFont="1" applyFill="1" applyBorder="1"/>
    <xf numFmtId="164" fontId="14" fillId="6" borderId="8" xfId="3" applyNumberFormat="1" applyFont="1" applyFill="1" applyBorder="1" applyAlignment="1">
      <alignment horizontal="center" vertical="center" wrapText="1"/>
    </xf>
    <xf numFmtId="49" fontId="14" fillId="0" borderId="17" xfId="14" applyNumberFormat="1" applyFont="1" applyBorder="1" applyAlignment="1">
      <alignment horizontal="center" vertical="center" wrapText="1"/>
    </xf>
    <xf numFmtId="0" fontId="14" fillId="0" borderId="19" xfId="3" applyFont="1" applyBorder="1" applyAlignment="1">
      <alignment horizontal="center" vertical="center"/>
    </xf>
    <xf numFmtId="164" fontId="14" fillId="17" borderId="8" xfId="3" applyNumberFormat="1" applyFont="1" applyFill="1" applyBorder="1" applyAlignment="1">
      <alignment horizontal="center" vertical="center"/>
    </xf>
    <xf numFmtId="164" fontId="14" fillId="2" borderId="17" xfId="3" applyNumberFormat="1" applyFont="1" applyFill="1" applyBorder="1" applyAlignment="1">
      <alignment horizontal="left" vertical="center" wrapText="1"/>
    </xf>
    <xf numFmtId="0" fontId="11" fillId="2" borderId="8" xfId="3" applyFill="1" applyBorder="1"/>
    <xf numFmtId="49" fontId="34" fillId="0" borderId="8" xfId="14" quotePrefix="1" applyNumberFormat="1" applyFont="1" applyBorder="1" applyAlignment="1">
      <alignment horizontal="center" vertical="center" wrapText="1"/>
    </xf>
    <xf numFmtId="49" fontId="14" fillId="0" borderId="8" xfId="14" quotePrefix="1" applyNumberFormat="1" applyFont="1" applyBorder="1" applyAlignment="1">
      <alignment horizontal="center" vertical="center" wrapText="1"/>
    </xf>
    <xf numFmtId="0" fontId="14" fillId="2" borderId="8" xfId="3" applyFont="1" applyFill="1" applyBorder="1" applyAlignment="1">
      <alignment wrapText="1"/>
    </xf>
    <xf numFmtId="0" fontId="14" fillId="15" borderId="19" xfId="3" applyFont="1" applyFill="1" applyBorder="1" applyAlignment="1">
      <alignment horizontal="center" wrapText="1"/>
    </xf>
    <xf numFmtId="165" fontId="14" fillId="15" borderId="19" xfId="3" applyNumberFormat="1" applyFont="1" applyFill="1" applyBorder="1" applyAlignment="1">
      <alignment horizontal="center"/>
    </xf>
    <xf numFmtId="0" fontId="14" fillId="15" borderId="11" xfId="3" applyFont="1" applyFill="1" applyBorder="1" applyAlignment="1">
      <alignment wrapText="1"/>
    </xf>
    <xf numFmtId="0" fontId="14" fillId="15" borderId="34" xfId="3" applyFont="1" applyFill="1" applyBorder="1" applyAlignment="1">
      <alignment horizontal="center" wrapText="1"/>
    </xf>
    <xf numFmtId="0" fontId="14" fillId="2" borderId="11" xfId="3" applyFont="1" applyFill="1" applyBorder="1" applyAlignment="1">
      <alignment horizontal="center"/>
    </xf>
    <xf numFmtId="165" fontId="14" fillId="17" borderId="11" xfId="3" applyNumberFormat="1" applyFont="1" applyFill="1" applyBorder="1" applyAlignment="1">
      <alignment horizontal="center"/>
    </xf>
    <xf numFmtId="165" fontId="14" fillId="15" borderId="34" xfId="3" applyNumberFormat="1" applyFont="1" applyFill="1" applyBorder="1" applyAlignment="1">
      <alignment horizontal="center"/>
    </xf>
    <xf numFmtId="164" fontId="14" fillId="17" borderId="8" xfId="14" applyNumberFormat="1" applyFont="1" applyFill="1" applyBorder="1" applyAlignment="1">
      <alignment horizontal="center" vertical="center" wrapText="1"/>
    </xf>
    <xf numFmtId="0" fontId="14" fillId="8" borderId="8" xfId="3" applyFont="1" applyFill="1" applyBorder="1" applyAlignment="1">
      <alignment horizontal="left" vertical="center" wrapText="1"/>
    </xf>
    <xf numFmtId="164" fontId="14" fillId="2" borderId="8" xfId="14" applyNumberFormat="1" applyFont="1" applyFill="1" applyBorder="1" applyAlignment="1">
      <alignment horizontal="center" vertical="center" wrapText="1"/>
    </xf>
    <xf numFmtId="164" fontId="18" fillId="0" borderId="8" xfId="14" applyNumberFormat="1" applyFont="1" applyBorder="1" applyAlignment="1">
      <alignment horizontal="center" vertical="center" wrapText="1"/>
    </xf>
    <xf numFmtId="0" fontId="35" fillId="0" borderId="8" xfId="14" applyFont="1" applyBorder="1" applyAlignment="1">
      <alignment vertical="center" wrapText="1"/>
    </xf>
    <xf numFmtId="164" fontId="14" fillId="10" borderId="8" xfId="14" applyNumberFormat="1" applyFont="1" applyFill="1" applyBorder="1" applyAlignment="1">
      <alignment horizontal="center" vertical="center" wrapText="1"/>
    </xf>
    <xf numFmtId="0" fontId="30" fillId="0" borderId="8" xfId="14" applyBorder="1"/>
    <xf numFmtId="164" fontId="18" fillId="17" borderId="8" xfId="3" applyNumberFormat="1" applyFont="1" applyFill="1" applyBorder="1" applyAlignment="1">
      <alignment horizontal="center" vertical="center" wrapText="1"/>
    </xf>
    <xf numFmtId="164" fontId="14" fillId="2" borderId="19" xfId="3" applyNumberFormat="1" applyFont="1" applyFill="1" applyBorder="1" applyAlignment="1">
      <alignment horizontal="center" vertical="center" wrapText="1"/>
    </xf>
    <xf numFmtId="0" fontId="14" fillId="0" borderId="19" xfId="3" applyFont="1" applyBorder="1" applyAlignment="1">
      <alignment wrapText="1"/>
    </xf>
    <xf numFmtId="0" fontId="14" fillId="17" borderId="8" xfId="14" applyFont="1" applyFill="1" applyBorder="1" applyAlignment="1">
      <alignment horizontal="center" vertical="center" wrapText="1"/>
    </xf>
    <xf numFmtId="0" fontId="18" fillId="0" borderId="19" xfId="3" applyFont="1" applyBorder="1" applyAlignment="1">
      <alignment wrapText="1"/>
    </xf>
    <xf numFmtId="0" fontId="18" fillId="2" borderId="19" xfId="3" applyFont="1" applyFill="1" applyBorder="1" applyAlignment="1">
      <alignment wrapText="1"/>
    </xf>
    <xf numFmtId="165" fontId="18" fillId="0" borderId="19" xfId="3" applyNumberFormat="1" applyFont="1" applyBorder="1" applyAlignment="1">
      <alignment horizontal="center" vertical="center" wrapText="1"/>
    </xf>
    <xf numFmtId="0" fontId="35" fillId="0" borderId="8" xfId="14" applyFont="1" applyBorder="1" applyAlignment="1">
      <alignment horizontal="center" vertical="center" wrapText="1"/>
    </xf>
    <xf numFmtId="0" fontId="14" fillId="0" borderId="8" xfId="14" quotePrefix="1" applyFont="1" applyBorder="1" applyAlignment="1">
      <alignment horizontal="center" vertical="center" wrapText="1"/>
    </xf>
    <xf numFmtId="164" fontId="14" fillId="2" borderId="42" xfId="3" applyNumberFormat="1" applyFont="1" applyFill="1" applyBorder="1" applyAlignment="1">
      <alignment horizontal="center" vertical="center" wrapText="1"/>
    </xf>
    <xf numFmtId="0" fontId="18" fillId="2" borderId="8" xfId="14" applyFont="1" applyFill="1" applyBorder="1" applyAlignment="1">
      <alignment vertical="center" wrapText="1"/>
    </xf>
    <xf numFmtId="0" fontId="18" fillId="0" borderId="8" xfId="14" quotePrefix="1" applyFont="1" applyBorder="1" applyAlignment="1">
      <alignment horizontal="center" vertical="center" wrapText="1"/>
    </xf>
    <xf numFmtId="0" fontId="18" fillId="0" borderId="8" xfId="14" applyFont="1" applyBorder="1" applyAlignment="1">
      <alignment horizontal="center" vertical="center" wrapText="1"/>
    </xf>
    <xf numFmtId="49" fontId="14" fillId="0" borderId="8" xfId="14" applyNumberFormat="1" applyFont="1" applyBorder="1" applyAlignment="1">
      <alignment horizontal="center" vertical="center"/>
    </xf>
    <xf numFmtId="0" fontId="18" fillId="0" borderId="8" xfId="14" applyFont="1" applyBorder="1" applyAlignment="1">
      <alignment horizontal="right" vertical="center" wrapText="1"/>
    </xf>
    <xf numFmtId="0" fontId="18" fillId="2" borderId="8" xfId="14" applyFont="1" applyFill="1" applyBorder="1" applyAlignment="1">
      <alignment horizontal="right" vertical="center" wrapText="1"/>
    </xf>
    <xf numFmtId="0" fontId="14" fillId="2" borderId="8" xfId="14" applyFont="1" applyFill="1" applyBorder="1" applyAlignment="1">
      <alignment horizontal="center" vertical="center"/>
    </xf>
    <xf numFmtId="0" fontId="18" fillId="0" borderId="8" xfId="3" applyFont="1" applyBorder="1" applyAlignment="1">
      <alignment horizontal="right" vertical="center" wrapText="1"/>
    </xf>
    <xf numFmtId="164" fontId="15" fillId="17" borderId="8" xfId="3" applyNumberFormat="1" applyFont="1" applyFill="1" applyBorder="1" applyAlignment="1">
      <alignment horizontal="center" vertical="center" wrapText="1"/>
    </xf>
    <xf numFmtId="0" fontId="14" fillId="0" borderId="8" xfId="3" applyFont="1" applyBorder="1" applyAlignment="1">
      <alignment horizontal="center" vertical="center" textRotation="255" wrapText="1"/>
    </xf>
    <xf numFmtId="167" fontId="14" fillId="0" borderId="8" xfId="3" applyNumberFormat="1" applyFont="1" applyBorder="1" applyAlignment="1">
      <alignment horizontal="center" vertical="center"/>
    </xf>
    <xf numFmtId="0" fontId="38" fillId="0" borderId="8" xfId="3" applyFont="1" applyBorder="1" applyAlignment="1">
      <alignment vertical="center" wrapText="1"/>
    </xf>
    <xf numFmtId="0" fontId="39" fillId="0" borderId="8" xfId="16" applyFont="1" applyBorder="1" applyAlignment="1" applyProtection="1">
      <alignment vertical="center" wrapText="1"/>
    </xf>
    <xf numFmtId="0" fontId="14" fillId="0" borderId="8" xfId="16" applyFont="1" applyBorder="1" applyAlignment="1" applyProtection="1">
      <alignment vertical="center" wrapText="1"/>
    </xf>
    <xf numFmtId="0" fontId="15" fillId="6" borderId="11" xfId="3" applyFont="1" applyFill="1" applyBorder="1" applyAlignment="1">
      <alignment horizontal="center" vertical="center" textRotation="90" wrapText="1"/>
    </xf>
    <xf numFmtId="3" fontId="14" fillId="0" borderId="33" xfId="3" applyNumberFormat="1" applyFont="1" applyBorder="1" applyAlignment="1">
      <alignment horizontal="center" vertical="center" wrapText="1"/>
    </xf>
    <xf numFmtId="49" fontId="15" fillId="16" borderId="8" xfId="3" quotePrefix="1" applyNumberFormat="1" applyFont="1" applyFill="1" applyBorder="1" applyAlignment="1">
      <alignment horizontal="center" vertical="center" wrapText="1"/>
    </xf>
    <xf numFmtId="3" fontId="14" fillId="0" borderId="8" xfId="3" applyNumberFormat="1" applyFont="1" applyBorder="1" applyAlignment="1">
      <alignment horizontal="center" wrapText="1"/>
    </xf>
    <xf numFmtId="0" fontId="15" fillId="25" borderId="8" xfId="3" applyFont="1" applyFill="1" applyBorder="1" applyAlignment="1">
      <alignment horizontal="center" vertical="center" wrapText="1"/>
    </xf>
    <xf numFmtId="164" fontId="15" fillId="25" borderId="8" xfId="3" applyNumberFormat="1" applyFont="1" applyFill="1" applyBorder="1" applyAlignment="1">
      <alignment horizontal="center" vertical="center" wrapText="1"/>
    </xf>
    <xf numFmtId="0" fontId="18" fillId="0" borderId="0" xfId="3" applyFont="1" applyAlignment="1">
      <alignment horizontal="center"/>
    </xf>
    <xf numFmtId="0" fontId="14" fillId="2" borderId="8" xfId="3" applyFont="1" applyFill="1" applyBorder="1" applyAlignment="1">
      <alignment horizontal="center" wrapText="1"/>
    </xf>
    <xf numFmtId="0" fontId="14" fillId="13" borderId="8" xfId="3" applyFont="1" applyFill="1" applyBorder="1" applyAlignment="1">
      <alignment horizontal="right" vertical="center"/>
    </xf>
    <xf numFmtId="0" fontId="15" fillId="10" borderId="8" xfId="3" applyFont="1" applyFill="1" applyBorder="1" applyAlignment="1">
      <alignment horizontal="center" vertical="center" wrapText="1"/>
    </xf>
    <xf numFmtId="0" fontId="14" fillId="13" borderId="8" xfId="3" applyFont="1" applyFill="1" applyBorder="1" applyAlignment="1">
      <alignment vertical="center" wrapText="1"/>
    </xf>
    <xf numFmtId="0" fontId="14" fillId="13" borderId="8" xfId="3" applyFont="1" applyFill="1" applyBorder="1" applyAlignment="1">
      <alignment horizontal="center" vertical="center"/>
    </xf>
    <xf numFmtId="0" fontId="15" fillId="12" borderId="8" xfId="3" applyFont="1" applyFill="1" applyBorder="1" applyAlignment="1">
      <alignment horizontal="center" vertical="center" wrapText="1"/>
    </xf>
    <xf numFmtId="0" fontId="11" fillId="0" borderId="0" xfId="3" applyAlignment="1">
      <alignment horizontal="left" wrapText="1"/>
    </xf>
    <xf numFmtId="0" fontId="14" fillId="2" borderId="8" xfId="3" applyFont="1" applyFill="1" applyBorder="1" applyAlignment="1">
      <alignment horizontal="center" shrinkToFit="1"/>
    </xf>
    <xf numFmtId="0" fontId="22" fillId="2" borderId="8" xfId="8" applyFont="1" applyFill="1" applyBorder="1" applyAlignment="1">
      <alignment horizontal="center"/>
    </xf>
    <xf numFmtId="0" fontId="22" fillId="0" borderId="8" xfId="8" applyFont="1" applyBorder="1" applyAlignment="1">
      <alignment horizontal="center"/>
    </xf>
    <xf numFmtId="49" fontId="14" fillId="2" borderId="8" xfId="3" applyNumberFormat="1" applyFont="1" applyFill="1" applyBorder="1" applyAlignment="1">
      <alignment horizontal="center" wrapText="1"/>
    </xf>
    <xf numFmtId="49" fontId="14" fillId="2" borderId="8" xfId="3" applyNumberFormat="1" applyFont="1" applyFill="1" applyBorder="1" applyAlignment="1">
      <alignment horizontal="center"/>
    </xf>
    <xf numFmtId="0" fontId="15" fillId="6" borderId="8" xfId="3" applyFont="1" applyFill="1" applyBorder="1" applyAlignment="1">
      <alignment horizontal="center" vertical="center" textRotation="90" wrapText="1"/>
    </xf>
    <xf numFmtId="0" fontId="14" fillId="2" borderId="8" xfId="8" applyFont="1" applyFill="1" applyBorder="1" applyAlignment="1">
      <alignment horizontal="center"/>
    </xf>
    <xf numFmtId="0" fontId="14" fillId="13" borderId="8" xfId="3" applyFont="1" applyFill="1" applyBorder="1" applyAlignment="1">
      <alignment horizontal="left" vertical="center" wrapText="1"/>
    </xf>
    <xf numFmtId="0" fontId="14" fillId="13" borderId="15" xfId="3" applyFont="1" applyFill="1" applyBorder="1" applyAlignment="1">
      <alignment horizontal="left" vertical="center" wrapText="1"/>
    </xf>
    <xf numFmtId="0" fontId="15" fillId="12" borderId="15" xfId="3" applyFont="1" applyFill="1" applyBorder="1" applyAlignment="1">
      <alignment horizontal="center" vertical="center" wrapText="1"/>
    </xf>
    <xf numFmtId="164" fontId="15" fillId="12" borderId="15" xfId="3" applyNumberFormat="1" applyFont="1" applyFill="1" applyBorder="1" applyAlignment="1">
      <alignment horizontal="center" vertical="center" wrapText="1"/>
    </xf>
    <xf numFmtId="164" fontId="15" fillId="0" borderId="17" xfId="3" applyNumberFormat="1" applyFont="1" applyBorder="1" applyAlignment="1">
      <alignment horizontal="center" vertical="center" wrapText="1"/>
    </xf>
    <xf numFmtId="0" fontId="14" fillId="0" borderId="0" xfId="3" applyFont="1" applyAlignment="1">
      <alignment horizontal="center" vertical="center" wrapText="1"/>
    </xf>
    <xf numFmtId="164" fontId="14" fillId="0" borderId="0" xfId="3" applyNumberFormat="1" applyFont="1" applyAlignment="1">
      <alignment horizontal="center" vertical="center" wrapText="1"/>
    </xf>
    <xf numFmtId="164" fontId="14" fillId="0" borderId="18" xfId="3" applyNumberFormat="1" applyFont="1" applyBorder="1" applyAlignment="1">
      <alignment horizontal="center" vertical="center" wrapText="1"/>
    </xf>
    <xf numFmtId="1" fontId="14" fillId="0" borderId="8" xfId="10" applyNumberFormat="1" applyFont="1" applyBorder="1" applyAlignment="1">
      <alignment horizontal="center" vertical="center" wrapText="1"/>
    </xf>
    <xf numFmtId="49" fontId="11" fillId="6" borderId="8" xfId="0" applyNumberFormat="1" applyFont="1" applyFill="1" applyBorder="1" applyAlignment="1">
      <alignment horizontal="center" vertical="center" textRotation="90" wrapText="1"/>
    </xf>
    <xf numFmtId="0" fontId="14" fillId="6" borderId="8" xfId="0" applyFont="1" applyFill="1" applyBorder="1" applyAlignment="1">
      <alignment horizontal="left" vertical="center" wrapText="1"/>
    </xf>
    <xf numFmtId="0" fontId="11" fillId="6" borderId="8" xfId="14" applyFont="1" applyFill="1" applyBorder="1" applyAlignment="1">
      <alignment horizontal="center"/>
    </xf>
    <xf numFmtId="0" fontId="11" fillId="6" borderId="8" xfId="0" applyFont="1" applyFill="1" applyBorder="1" applyAlignment="1">
      <alignment horizontal="center" textRotation="90" wrapText="1"/>
    </xf>
    <xf numFmtId="3" fontId="11" fillId="6" borderId="8" xfId="0" applyNumberFormat="1" applyFont="1" applyFill="1" applyBorder="1" applyAlignment="1">
      <alignment horizontal="center" vertical="center" textRotation="90" wrapText="1"/>
    </xf>
    <xf numFmtId="3" fontId="11" fillId="6" borderId="8" xfId="0" applyNumberFormat="1" applyFont="1" applyFill="1" applyBorder="1" applyAlignment="1">
      <alignment horizontal="center" vertical="center" wrapText="1"/>
    </xf>
    <xf numFmtId="165" fontId="11" fillId="6" borderId="17" xfId="3" applyNumberFormat="1" applyFill="1" applyBorder="1" applyAlignment="1">
      <alignment horizontal="center" vertical="center" wrapText="1"/>
    </xf>
    <xf numFmtId="49" fontId="14" fillId="16" borderId="8" xfId="0" quotePrefix="1" applyNumberFormat="1" applyFont="1" applyFill="1" applyBorder="1" applyAlignment="1">
      <alignment horizontal="left" vertical="center" wrapText="1"/>
    </xf>
    <xf numFmtId="49" fontId="14" fillId="16" borderId="8" xfId="0" applyNumberFormat="1" applyFont="1" applyFill="1" applyBorder="1" applyAlignment="1">
      <alignment horizontal="center" vertical="center" wrapText="1"/>
    </xf>
    <xf numFmtId="165" fontId="14" fillId="16" borderId="17" xfId="0" applyNumberFormat="1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vertical="center" wrapText="1"/>
    </xf>
    <xf numFmtId="49" fontId="14" fillId="0" borderId="8" xfId="10" applyNumberFormat="1" applyFont="1" applyBorder="1" applyAlignment="1">
      <alignment horizontal="center" vertical="center" wrapText="1"/>
    </xf>
    <xf numFmtId="164" fontId="14" fillId="0" borderId="8" xfId="10" applyNumberFormat="1" applyFont="1" applyBorder="1" applyAlignment="1">
      <alignment horizontal="left" vertical="center" wrapText="1"/>
    </xf>
    <xf numFmtId="164" fontId="14" fillId="0" borderId="8" xfId="10" applyNumberFormat="1" applyFont="1" applyBorder="1" applyAlignment="1">
      <alignment horizontal="center" wrapText="1"/>
    </xf>
    <xf numFmtId="164" fontId="15" fillId="12" borderId="8" xfId="10" applyNumberFormat="1" applyFont="1" applyFill="1" applyBorder="1" applyAlignment="1">
      <alignment horizontal="center" vertical="center" wrapText="1"/>
    </xf>
    <xf numFmtId="164" fontId="15" fillId="24" borderId="8" xfId="10" applyNumberFormat="1" applyFont="1" applyFill="1" applyBorder="1" applyAlignment="1">
      <alignment horizontal="center" vertical="center" wrapText="1"/>
    </xf>
    <xf numFmtId="1" fontId="14" fillId="0" borderId="8" xfId="10" applyNumberFormat="1" applyFont="1" applyBorder="1" applyAlignment="1">
      <alignment horizontal="center" wrapText="1"/>
    </xf>
    <xf numFmtId="164" fontId="14" fillId="10" borderId="8" xfId="10" applyNumberFormat="1" applyFont="1" applyFill="1" applyBorder="1" applyAlignment="1">
      <alignment horizontal="center" vertical="center" wrapText="1"/>
    </xf>
    <xf numFmtId="49" fontId="14" fillId="0" borderId="8" xfId="10" applyNumberFormat="1" applyFont="1" applyBorder="1" applyAlignment="1">
      <alignment horizontal="center" vertical="center"/>
    </xf>
    <xf numFmtId="0" fontId="14" fillId="0" borderId="0" xfId="0" applyFont="1" applyAlignment="1">
      <alignment vertical="top" wrapText="1"/>
    </xf>
    <xf numFmtId="164" fontId="15" fillId="2" borderId="8" xfId="10" applyNumberFormat="1" applyFont="1" applyFill="1" applyBorder="1" applyAlignment="1">
      <alignment horizontal="center" vertical="center" wrapText="1"/>
    </xf>
    <xf numFmtId="164" fontId="15" fillId="10" borderId="8" xfId="10" applyNumberFormat="1" applyFont="1" applyFill="1" applyBorder="1" applyAlignment="1">
      <alignment horizontal="center" vertical="center" wrapText="1"/>
    </xf>
    <xf numFmtId="1" fontId="11" fillId="6" borderId="8" xfId="10" applyNumberFormat="1" applyFont="1" applyFill="1" applyBorder="1" applyAlignment="1">
      <alignment horizontal="center" wrapText="1"/>
    </xf>
    <xf numFmtId="164" fontId="11" fillId="6" borderId="8" xfId="10" applyNumberFormat="1" applyFont="1" applyFill="1" applyBorder="1" applyAlignment="1">
      <alignment horizontal="center" wrapText="1"/>
    </xf>
    <xf numFmtId="164" fontId="11" fillId="6" borderId="8" xfId="10" applyNumberFormat="1" applyFont="1" applyFill="1" applyBorder="1" applyAlignment="1">
      <alignment horizontal="center" vertical="center" wrapText="1"/>
    </xf>
    <xf numFmtId="164" fontId="11" fillId="6" borderId="8" xfId="10" applyNumberFormat="1" applyFont="1" applyFill="1" applyBorder="1" applyAlignment="1">
      <alignment horizontal="center" vertical="center"/>
    </xf>
    <xf numFmtId="164" fontId="14" fillId="0" borderId="15" xfId="10" applyNumberFormat="1" applyFont="1" applyBorder="1" applyAlignment="1">
      <alignment horizontal="left" vertical="center" wrapText="1"/>
    </xf>
    <xf numFmtId="49" fontId="21" fillId="0" borderId="8" xfId="10" applyNumberFormat="1" applyFont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/>
    </xf>
    <xf numFmtId="164" fontId="14" fillId="0" borderId="8" xfId="0" applyNumberFormat="1" applyFont="1" applyBorder="1" applyAlignment="1">
      <alignment horizontal="center" vertical="center"/>
    </xf>
    <xf numFmtId="164" fontId="14" fillId="17" borderId="8" xfId="10" applyNumberFormat="1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/>
    </xf>
    <xf numFmtId="164" fontId="14" fillId="17" borderId="8" xfId="0" applyNumberFormat="1" applyFont="1" applyFill="1" applyBorder="1" applyAlignment="1">
      <alignment horizontal="center" vertical="center"/>
    </xf>
    <xf numFmtId="49" fontId="14" fillId="2" borderId="8" xfId="10" applyNumberFormat="1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164" fontId="14" fillId="0" borderId="8" xfId="10" applyNumberFormat="1" applyFont="1" applyBorder="1" applyAlignment="1">
      <alignment horizontal="center" vertical="center"/>
    </xf>
    <xf numFmtId="164" fontId="18" fillId="17" borderId="8" xfId="0" applyNumberFormat="1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8" fillId="0" borderId="8" xfId="0" applyFont="1" applyBorder="1" applyAlignment="1">
      <alignment wrapText="1"/>
    </xf>
    <xf numFmtId="1" fontId="14" fillId="2" borderId="8" xfId="10" applyNumberFormat="1" applyFont="1" applyFill="1" applyBorder="1" applyAlignment="1">
      <alignment horizontal="center" wrapText="1"/>
    </xf>
    <xf numFmtId="49" fontId="14" fillId="0" borderId="15" xfId="10" applyNumberFormat="1" applyFont="1" applyBorder="1" applyAlignment="1">
      <alignment horizontal="center" vertical="center" wrapText="1"/>
    </xf>
    <xf numFmtId="1" fontId="14" fillId="0" borderId="15" xfId="10" applyNumberFormat="1" applyFont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/>
    </xf>
    <xf numFmtId="164" fontId="14" fillId="0" borderId="15" xfId="0" applyNumberFormat="1" applyFont="1" applyBorder="1" applyAlignment="1">
      <alignment horizontal="center" vertical="center"/>
    </xf>
    <xf numFmtId="164" fontId="14" fillId="2" borderId="15" xfId="0" applyNumberFormat="1" applyFont="1" applyFill="1" applyBorder="1" applyAlignment="1">
      <alignment horizontal="center" vertical="center"/>
    </xf>
    <xf numFmtId="164" fontId="14" fillId="17" borderId="15" xfId="0" applyNumberFormat="1" applyFont="1" applyFill="1" applyBorder="1" applyAlignment="1">
      <alignment horizontal="center" vertical="center"/>
    </xf>
    <xf numFmtId="164" fontId="18" fillId="0" borderId="8" xfId="10" applyNumberFormat="1" applyFont="1" applyBorder="1" applyAlignment="1">
      <alignment horizontal="left" vertical="center" wrapText="1"/>
    </xf>
    <xf numFmtId="49" fontId="14" fillId="0" borderId="18" xfId="10" applyNumberFormat="1" applyFont="1" applyBorder="1" applyAlignment="1">
      <alignment horizontal="center" vertical="center" wrapText="1"/>
    </xf>
    <xf numFmtId="1" fontId="14" fillId="0" borderId="18" xfId="10" applyNumberFormat="1" applyFont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/>
    </xf>
    <xf numFmtId="164" fontId="14" fillId="0" borderId="18" xfId="0" applyNumberFormat="1" applyFont="1" applyBorder="1" applyAlignment="1">
      <alignment horizontal="center" vertical="center"/>
    </xf>
    <xf numFmtId="164" fontId="14" fillId="2" borderId="18" xfId="0" applyNumberFormat="1" applyFont="1" applyFill="1" applyBorder="1" applyAlignment="1">
      <alignment horizontal="center" vertical="center"/>
    </xf>
    <xf numFmtId="164" fontId="14" fillId="17" borderId="18" xfId="0" applyNumberFormat="1" applyFont="1" applyFill="1" applyBorder="1" applyAlignment="1">
      <alignment horizontal="center" vertical="center"/>
    </xf>
    <xf numFmtId="164" fontId="14" fillId="2" borderId="18" xfId="10" applyNumberFormat="1" applyFont="1" applyFill="1" applyBorder="1" applyAlignment="1">
      <alignment horizontal="left" vertical="center" wrapText="1"/>
    </xf>
    <xf numFmtId="164" fontId="14" fillId="0" borderId="18" xfId="10" applyNumberFormat="1" applyFont="1" applyBorder="1" applyAlignment="1">
      <alignment horizontal="center" vertical="center" wrapText="1"/>
    </xf>
    <xf numFmtId="164" fontId="14" fillId="0" borderId="18" xfId="10" applyNumberFormat="1" applyFont="1" applyBorder="1" applyAlignment="1">
      <alignment horizontal="center" vertical="center"/>
    </xf>
    <xf numFmtId="164" fontId="18" fillId="2" borderId="18" xfId="10" applyNumberFormat="1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49" fontId="21" fillId="0" borderId="17" xfId="10" applyNumberFormat="1" applyFont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center" wrapText="1"/>
    </xf>
    <xf numFmtId="164" fontId="14" fillId="17" borderId="18" xfId="3" applyNumberFormat="1" applyFont="1" applyFill="1" applyBorder="1" applyAlignment="1">
      <alignment horizontal="center" vertical="center" wrapText="1"/>
    </xf>
    <xf numFmtId="0" fontId="14" fillId="2" borderId="30" xfId="0" applyFont="1" applyFill="1" applyBorder="1" applyAlignment="1">
      <alignment horizontal="center" vertical="center"/>
    </xf>
    <xf numFmtId="1" fontId="14" fillId="0" borderId="30" xfId="10" applyNumberFormat="1" applyFont="1" applyBorder="1" applyAlignment="1">
      <alignment horizontal="center" vertical="center" wrapText="1"/>
    </xf>
    <xf numFmtId="164" fontId="14" fillId="0" borderId="30" xfId="10" applyNumberFormat="1" applyFont="1" applyBorder="1" applyAlignment="1">
      <alignment horizontal="center" vertical="center"/>
    </xf>
    <xf numFmtId="164" fontId="14" fillId="2" borderId="30" xfId="3" applyNumberFormat="1" applyFont="1" applyFill="1" applyBorder="1" applyAlignment="1">
      <alignment horizontal="center" vertical="center" wrapText="1"/>
    </xf>
    <xf numFmtId="1" fontId="14" fillId="0" borderId="18" xfId="10" applyNumberFormat="1" applyFont="1" applyBorder="1" applyAlignment="1">
      <alignment horizontal="center" wrapText="1"/>
    </xf>
    <xf numFmtId="164" fontId="14" fillId="2" borderId="18" xfId="10" applyNumberFormat="1" applyFont="1" applyFill="1" applyBorder="1" applyAlignment="1">
      <alignment horizontal="center" vertical="center"/>
    </xf>
    <xf numFmtId="49" fontId="14" fillId="0" borderId="33" xfId="10" applyNumberFormat="1" applyFont="1" applyBorder="1" applyAlignment="1">
      <alignment horizontal="center" vertical="center" wrapText="1"/>
    </xf>
    <xf numFmtId="49" fontId="14" fillId="0" borderId="32" xfId="10" applyNumberFormat="1" applyFont="1" applyBorder="1" applyAlignment="1">
      <alignment horizontal="center" vertical="center" wrapText="1"/>
    </xf>
    <xf numFmtId="0" fontId="18" fillId="0" borderId="18" xfId="0" applyFont="1" applyBorder="1" applyAlignment="1">
      <alignment wrapText="1"/>
    </xf>
    <xf numFmtId="0" fontId="14" fillId="0" borderId="18" xfId="12" applyFont="1" applyBorder="1" applyAlignment="1">
      <alignment horizontal="center" vertical="center"/>
    </xf>
    <xf numFmtId="49" fontId="14" fillId="0" borderId="17" xfId="10" applyNumberFormat="1" applyFont="1" applyBorder="1" applyAlignment="1">
      <alignment horizontal="center" vertical="center" wrapText="1"/>
    </xf>
    <xf numFmtId="0" fontId="18" fillId="0" borderId="30" xfId="0" applyFont="1" applyBorder="1" applyAlignment="1">
      <alignment wrapText="1"/>
    </xf>
    <xf numFmtId="1" fontId="14" fillId="0" borderId="34" xfId="10" applyNumberFormat="1" applyFont="1" applyBorder="1" applyAlignment="1">
      <alignment horizontal="center" vertical="center" wrapText="1"/>
    </xf>
    <xf numFmtId="0" fontId="14" fillId="0" borderId="11" xfId="12" applyFont="1" applyBorder="1" applyAlignment="1">
      <alignment horizontal="center" vertical="center"/>
    </xf>
    <xf numFmtId="164" fontId="14" fillId="0" borderId="11" xfId="0" applyNumberFormat="1" applyFont="1" applyBorder="1" applyAlignment="1">
      <alignment horizontal="center" vertical="center"/>
    </xf>
    <xf numFmtId="164" fontId="14" fillId="2" borderId="11" xfId="0" applyNumberFormat="1" applyFont="1" applyFill="1" applyBorder="1" applyAlignment="1">
      <alignment horizontal="center" vertical="center"/>
    </xf>
    <xf numFmtId="49" fontId="18" fillId="0" borderId="18" xfId="10" applyNumberFormat="1" applyFont="1" applyBorder="1" applyAlignment="1">
      <alignment horizontal="center" vertical="center" wrapText="1"/>
    </xf>
    <xf numFmtId="49" fontId="18" fillId="0" borderId="38" xfId="1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vertical="center" wrapText="1"/>
    </xf>
    <xf numFmtId="164" fontId="14" fillId="2" borderId="8" xfId="10" applyNumberFormat="1" applyFont="1" applyFill="1" applyBorder="1" applyAlignment="1">
      <alignment horizontal="center" wrapText="1"/>
    </xf>
    <xf numFmtId="49" fontId="14" fillId="0" borderId="38" xfId="10" applyNumberFormat="1" applyFont="1" applyBorder="1" applyAlignment="1">
      <alignment horizontal="center" vertical="center" wrapText="1"/>
    </xf>
    <xf numFmtId="49" fontId="14" fillId="0" borderId="11" xfId="1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right" vertical="center" wrapText="1"/>
    </xf>
    <xf numFmtId="0" fontId="14" fillId="0" borderId="15" xfId="0" applyFont="1" applyBorder="1" applyAlignment="1">
      <alignment horizontal="right" vertical="center" wrapText="1"/>
    </xf>
    <xf numFmtId="164" fontId="14" fillId="0" borderId="15" xfId="10" applyNumberFormat="1" applyFont="1" applyBorder="1" applyAlignment="1">
      <alignment horizontal="center" vertical="center" wrapText="1"/>
    </xf>
    <xf numFmtId="164" fontId="17" fillId="2" borderId="15" xfId="3" applyNumberFormat="1" applyFont="1" applyFill="1" applyBorder="1" applyAlignment="1">
      <alignment horizontal="center" vertical="center" wrapText="1"/>
    </xf>
    <xf numFmtId="164" fontId="17" fillId="10" borderId="15" xfId="3" applyNumberFormat="1" applyFont="1" applyFill="1" applyBorder="1" applyAlignment="1">
      <alignment horizontal="center" vertical="center" wrapText="1"/>
    </xf>
    <xf numFmtId="0" fontId="14" fillId="0" borderId="38" xfId="0" applyFont="1" applyBorder="1" applyAlignment="1">
      <alignment horizontal="right" vertical="center" wrapText="1"/>
    </xf>
    <xf numFmtId="1" fontId="14" fillId="0" borderId="38" xfId="10" applyNumberFormat="1" applyFont="1" applyBorder="1" applyAlignment="1">
      <alignment horizontal="center" vertical="center" wrapText="1"/>
    </xf>
    <xf numFmtId="164" fontId="14" fillId="0" borderId="38" xfId="10" applyNumberFormat="1" applyFont="1" applyBorder="1" applyAlignment="1">
      <alignment horizontal="center" vertical="center" wrapText="1"/>
    </xf>
    <xf numFmtId="164" fontId="14" fillId="2" borderId="38" xfId="3" applyNumberFormat="1" applyFont="1" applyFill="1" applyBorder="1" applyAlignment="1">
      <alignment horizontal="center" vertical="center" wrapText="1"/>
    </xf>
    <xf numFmtId="164" fontId="14" fillId="10" borderId="38" xfId="3" applyNumberFormat="1" applyFont="1" applyFill="1" applyBorder="1" applyAlignment="1">
      <alignment horizontal="center" vertical="center" wrapText="1"/>
    </xf>
    <xf numFmtId="0" fontId="14" fillId="22" borderId="8" xfId="0" applyFont="1" applyFill="1" applyBorder="1" applyAlignment="1">
      <alignment vertical="center" wrapText="1"/>
    </xf>
    <xf numFmtId="0" fontId="14" fillId="22" borderId="11" xfId="0" applyFont="1" applyFill="1" applyBorder="1" applyAlignment="1">
      <alignment vertical="center" wrapText="1"/>
    </xf>
    <xf numFmtId="164" fontId="14" fillId="0" borderId="11" xfId="10" applyNumberFormat="1" applyFont="1" applyBorder="1" applyAlignment="1">
      <alignment horizontal="center" vertical="center" wrapText="1"/>
    </xf>
    <xf numFmtId="164" fontId="14" fillId="2" borderId="46" xfId="3" applyNumberFormat="1" applyFont="1" applyFill="1" applyBorder="1" applyAlignment="1">
      <alignment horizontal="center" vertical="center" wrapText="1"/>
    </xf>
    <xf numFmtId="49" fontId="14" fillId="2" borderId="11" xfId="0" quotePrefix="1" applyNumberFormat="1" applyFont="1" applyFill="1" applyBorder="1" applyAlignment="1">
      <alignment horizontal="center" vertical="center" wrapText="1"/>
    </xf>
    <xf numFmtId="49" fontId="15" fillId="2" borderId="11" xfId="0" quotePrefix="1" applyNumberFormat="1" applyFont="1" applyFill="1" applyBorder="1" applyAlignment="1">
      <alignment horizontal="left" vertical="center" wrapText="1"/>
    </xf>
    <xf numFmtId="1" fontId="14" fillId="2" borderId="11" xfId="10" applyNumberFormat="1" applyFont="1" applyFill="1" applyBorder="1" applyAlignment="1">
      <alignment horizontal="center" vertical="center" wrapText="1"/>
    </xf>
    <xf numFmtId="164" fontId="14" fillId="2" borderId="11" xfId="10" applyNumberFormat="1" applyFont="1" applyFill="1" applyBorder="1" applyAlignment="1">
      <alignment horizontal="center" vertical="center" wrapText="1"/>
    </xf>
    <xf numFmtId="164" fontId="14" fillId="12" borderId="11" xfId="10" applyNumberFormat="1" applyFont="1" applyFill="1" applyBorder="1" applyAlignment="1">
      <alignment horizontal="center" vertical="center"/>
    </xf>
    <xf numFmtId="164" fontId="18" fillId="12" borderId="11" xfId="10" applyNumberFormat="1" applyFont="1" applyFill="1" applyBorder="1" applyAlignment="1">
      <alignment horizontal="center" vertical="center" wrapText="1"/>
    </xf>
    <xf numFmtId="0" fontId="14" fillId="2" borderId="8" xfId="0" applyFont="1" applyFill="1" applyBorder="1"/>
    <xf numFmtId="1" fontId="14" fillId="2" borderId="8" xfId="10" applyNumberFormat="1" applyFont="1" applyFill="1" applyBorder="1" applyAlignment="1">
      <alignment horizontal="center" vertical="center" wrapText="1"/>
    </xf>
    <xf numFmtId="164" fontId="14" fillId="12" borderId="8" xfId="10" applyNumberFormat="1" applyFont="1" applyFill="1" applyBorder="1" applyAlignment="1">
      <alignment horizontal="center" vertical="center"/>
    </xf>
    <xf numFmtId="164" fontId="14" fillId="12" borderId="8" xfId="10" applyNumberFormat="1" applyFont="1" applyFill="1" applyBorder="1" applyAlignment="1">
      <alignment horizontal="center" vertical="center" wrapText="1"/>
    </xf>
    <xf numFmtId="49" fontId="14" fillId="2" borderId="19" xfId="10" applyNumberFormat="1" applyFont="1" applyFill="1" applyBorder="1" applyAlignment="1">
      <alignment horizontal="center" vertical="center" wrapText="1"/>
    </xf>
    <xf numFmtId="14" fontId="14" fillId="2" borderId="8" xfId="0" applyNumberFormat="1" applyFont="1" applyFill="1" applyBorder="1" applyAlignment="1">
      <alignment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wrapText="1"/>
    </xf>
    <xf numFmtId="0" fontId="18" fillId="0" borderId="8" xfId="0" applyFont="1" applyBorder="1" applyAlignment="1">
      <alignment horizontal="left" vertical="center"/>
    </xf>
    <xf numFmtId="49" fontId="18" fillId="0" borderId="8" xfId="10" applyNumberFormat="1" applyFont="1" applyBorder="1" applyAlignment="1">
      <alignment horizontal="center" vertical="center" wrapText="1"/>
    </xf>
    <xf numFmtId="1" fontId="18" fillId="0" borderId="8" xfId="10" applyNumberFormat="1" applyFont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164" fontId="18" fillId="0" borderId="8" xfId="0" applyNumberFormat="1" applyFont="1" applyBorder="1" applyAlignment="1">
      <alignment horizontal="center" vertical="center"/>
    </xf>
    <xf numFmtId="49" fontId="14" fillId="0" borderId="19" xfId="10" applyNumberFormat="1" applyFont="1" applyBorder="1" applyAlignment="1">
      <alignment horizontal="center" vertical="center" wrapText="1"/>
    </xf>
    <xf numFmtId="164" fontId="14" fillId="26" borderId="8" xfId="0" applyNumberFormat="1" applyFont="1" applyFill="1" applyBorder="1" applyAlignment="1">
      <alignment horizontal="center" vertical="center"/>
    </xf>
    <xf numFmtId="49" fontId="14" fillId="16" borderId="11" xfId="0" quotePrefix="1" applyNumberFormat="1" applyFont="1" applyFill="1" applyBorder="1" applyAlignment="1">
      <alignment horizontal="left" vertical="center" wrapText="1"/>
    </xf>
    <xf numFmtId="49" fontId="14" fillId="2" borderId="8" xfId="0" quotePrefix="1" applyNumberFormat="1" applyFont="1" applyFill="1" applyBorder="1" applyAlignment="1">
      <alignment horizontal="center" vertical="center" wrapText="1"/>
    </xf>
    <xf numFmtId="49" fontId="14" fillId="2" borderId="8" xfId="0" quotePrefix="1" applyNumberFormat="1" applyFont="1" applyFill="1" applyBorder="1" applyAlignment="1">
      <alignment horizontal="left" vertical="center" wrapText="1"/>
    </xf>
    <xf numFmtId="164" fontId="14" fillId="13" borderId="8" xfId="10" applyNumberFormat="1" applyFont="1" applyFill="1" applyBorder="1" applyAlignment="1">
      <alignment horizontal="center" wrapText="1"/>
    </xf>
    <xf numFmtId="164" fontId="14" fillId="0" borderId="8" xfId="10" applyNumberFormat="1" applyFont="1" applyBorder="1" applyAlignment="1">
      <alignment horizontal="right" vertical="center" wrapText="1"/>
    </xf>
    <xf numFmtId="164" fontId="11" fillId="6" borderId="8" xfId="3" applyNumberFormat="1" applyFill="1" applyBorder="1" applyAlignment="1">
      <alignment horizontal="center" vertical="center" wrapText="1"/>
    </xf>
    <xf numFmtId="164" fontId="14" fillId="9" borderId="8" xfId="10" applyNumberFormat="1" applyFont="1" applyFill="1" applyBorder="1" applyAlignment="1">
      <alignment horizontal="center" vertical="center"/>
    </xf>
    <xf numFmtId="164" fontId="14" fillId="9" borderId="8" xfId="10" applyNumberFormat="1" applyFont="1" applyFill="1" applyBorder="1" applyAlignment="1">
      <alignment horizontal="center" vertical="center" wrapText="1"/>
    </xf>
    <xf numFmtId="164" fontId="15" fillId="9" borderId="8" xfId="3" applyNumberFormat="1" applyFont="1" applyFill="1" applyBorder="1" applyAlignment="1">
      <alignment horizontal="center" vertical="center" wrapText="1"/>
    </xf>
    <xf numFmtId="0" fontId="42" fillId="0" borderId="8" xfId="0" applyFont="1" applyBorder="1" applyAlignment="1">
      <alignment vertical="center" wrapText="1"/>
    </xf>
    <xf numFmtId="164" fontId="14" fillId="16" borderId="8" xfId="0" applyNumberFormat="1" applyFont="1" applyFill="1" applyBorder="1" applyAlignment="1">
      <alignment horizontal="center" vertical="center" wrapText="1"/>
    </xf>
    <xf numFmtId="164" fontId="14" fillId="2" borderId="8" xfId="10" applyNumberFormat="1" applyFont="1" applyFill="1" applyBorder="1" applyAlignment="1">
      <alignment horizontal="left" vertical="center" wrapText="1"/>
    </xf>
    <xf numFmtId="1" fontId="14" fillId="0" borderId="8" xfId="10" applyNumberFormat="1" applyFont="1" applyBorder="1" applyAlignment="1">
      <alignment horizontal="center" vertical="center"/>
    </xf>
    <xf numFmtId="164" fontId="14" fillId="2" borderId="8" xfId="10" applyNumberFormat="1" applyFont="1" applyFill="1" applyBorder="1" applyAlignment="1">
      <alignment horizontal="center"/>
    </xf>
    <xf numFmtId="1" fontId="14" fillId="0" borderId="8" xfId="10" applyNumberFormat="1" applyFont="1" applyBorder="1" applyAlignment="1">
      <alignment horizontal="center"/>
    </xf>
    <xf numFmtId="164" fontId="14" fillId="0" borderId="8" xfId="10" applyNumberFormat="1" applyFont="1" applyBorder="1" applyAlignment="1">
      <alignment horizontal="center"/>
    </xf>
    <xf numFmtId="1" fontId="14" fillId="2" borderId="8" xfId="10" applyNumberFormat="1" applyFont="1" applyFill="1" applyBorder="1" applyAlignment="1">
      <alignment horizontal="center" vertical="center"/>
    </xf>
    <xf numFmtId="164" fontId="14" fillId="2" borderId="8" xfId="10" applyNumberFormat="1" applyFont="1" applyFill="1" applyBorder="1" applyAlignment="1">
      <alignment horizontal="center" vertical="center"/>
    </xf>
    <xf numFmtId="49" fontId="14" fillId="2" borderId="8" xfId="10" applyNumberFormat="1" applyFont="1" applyFill="1" applyBorder="1" applyAlignment="1">
      <alignment horizontal="center" vertical="center"/>
    </xf>
    <xf numFmtId="164" fontId="14" fillId="0" borderId="8" xfId="10" applyNumberFormat="1" applyFont="1" applyBorder="1" applyAlignment="1">
      <alignment horizontal="left" vertical="center" wrapText="1" shrinkToFit="1"/>
    </xf>
    <xf numFmtId="1" fontId="14" fillId="2" borderId="8" xfId="10" applyNumberFormat="1" applyFont="1" applyFill="1" applyBorder="1" applyAlignment="1">
      <alignment horizontal="center"/>
    </xf>
    <xf numFmtId="49" fontId="14" fillId="11" borderId="8" xfId="0" quotePrefix="1" applyNumberFormat="1" applyFont="1" applyFill="1" applyBorder="1" applyAlignment="1">
      <alignment horizontal="center" vertical="center" wrapText="1"/>
    </xf>
    <xf numFmtId="49" fontId="14" fillId="11" borderId="15" xfId="0" quotePrefix="1" applyNumberFormat="1" applyFont="1" applyFill="1" applyBorder="1" applyAlignment="1">
      <alignment horizontal="left" vertical="center" wrapText="1"/>
    </xf>
    <xf numFmtId="49" fontId="14" fillId="11" borderId="8" xfId="0" applyNumberFormat="1" applyFont="1" applyFill="1" applyBorder="1" applyAlignment="1">
      <alignment horizontal="center" vertical="center" wrapText="1"/>
    </xf>
    <xf numFmtId="49" fontId="14" fillId="11" borderId="11" xfId="0" applyNumberFormat="1" applyFont="1" applyFill="1" applyBorder="1" applyAlignment="1">
      <alignment horizontal="center" vertical="center" wrapText="1"/>
    </xf>
    <xf numFmtId="164" fontId="14" fillId="9" borderId="8" xfId="0" applyNumberFormat="1" applyFont="1" applyFill="1" applyBorder="1" applyAlignment="1">
      <alignment horizontal="center" wrapText="1"/>
    </xf>
    <xf numFmtId="164" fontId="15" fillId="9" borderId="8" xfId="0" applyNumberFormat="1" applyFont="1" applyFill="1" applyBorder="1" applyAlignment="1">
      <alignment horizontal="center" wrapText="1"/>
    </xf>
    <xf numFmtId="164" fontId="14" fillId="2" borderId="15" xfId="10" applyNumberFormat="1" applyFont="1" applyFill="1" applyBorder="1" applyAlignment="1">
      <alignment horizontal="left" vertical="center" wrapText="1"/>
    </xf>
    <xf numFmtId="0" fontId="14" fillId="27" borderId="8" xfId="0" applyFont="1" applyFill="1" applyBorder="1" applyAlignment="1">
      <alignment wrapText="1"/>
    </xf>
    <xf numFmtId="164" fontId="11" fillId="6" borderId="15" xfId="10" applyNumberFormat="1" applyFont="1" applyFill="1" applyBorder="1" applyAlignment="1">
      <alignment horizontal="center" vertical="center" wrapText="1"/>
    </xf>
    <xf numFmtId="164" fontId="11" fillId="6" borderId="15" xfId="10" applyNumberFormat="1" applyFont="1" applyFill="1" applyBorder="1" applyAlignment="1">
      <alignment horizontal="center" vertical="center"/>
    </xf>
    <xf numFmtId="164" fontId="11" fillId="6" borderId="15" xfId="3" applyNumberFormat="1" applyFill="1" applyBorder="1" applyAlignment="1">
      <alignment horizontal="center" vertical="center" wrapText="1"/>
    </xf>
    <xf numFmtId="0" fontId="14" fillId="0" borderId="18" xfId="0" applyFont="1" applyBorder="1" applyAlignment="1">
      <alignment wrapText="1"/>
    </xf>
    <xf numFmtId="49" fontId="14" fillId="2" borderId="8" xfId="0" quotePrefix="1" applyNumberFormat="1" applyFont="1" applyFill="1" applyBorder="1" applyAlignment="1">
      <alignment horizontal="center" wrapText="1"/>
    </xf>
    <xf numFmtId="0" fontId="14" fillId="2" borderId="8" xfId="0" applyFont="1" applyFill="1" applyBorder="1" applyAlignment="1">
      <alignment wrapText="1"/>
    </xf>
    <xf numFmtId="0" fontId="18" fillId="2" borderId="8" xfId="0" applyFont="1" applyFill="1" applyBorder="1" applyAlignment="1">
      <alignment horizontal="center" wrapText="1"/>
    </xf>
    <xf numFmtId="49" fontId="14" fillId="2" borderId="8" xfId="0" applyNumberFormat="1" applyFont="1" applyFill="1" applyBorder="1" applyAlignment="1">
      <alignment horizontal="center" wrapText="1"/>
    </xf>
    <xf numFmtId="49" fontId="18" fillId="0" borderId="8" xfId="0" applyNumberFormat="1" applyFont="1" applyBorder="1" applyAlignment="1">
      <alignment horizontal="center"/>
    </xf>
    <xf numFmtId="164" fontId="14" fillId="2" borderId="8" xfId="0" applyNumberFormat="1" applyFont="1" applyFill="1" applyBorder="1" applyAlignment="1">
      <alignment horizontal="center" wrapText="1"/>
    </xf>
    <xf numFmtId="164" fontId="14" fillId="2" borderId="8" xfId="0" applyNumberFormat="1" applyFont="1" applyFill="1" applyBorder="1" applyAlignment="1">
      <alignment horizontal="center" vertical="center" wrapText="1"/>
    </xf>
    <xf numFmtId="164" fontId="14" fillId="17" borderId="8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/>
    </xf>
    <xf numFmtId="49" fontId="18" fillId="0" borderId="15" xfId="0" applyNumberFormat="1" applyFont="1" applyBorder="1" applyAlignment="1">
      <alignment horizontal="center"/>
    </xf>
    <xf numFmtId="0" fontId="14" fillId="2" borderId="15" xfId="0" applyFont="1" applyFill="1" applyBorder="1" applyAlignment="1">
      <alignment horizontal="center"/>
    </xf>
    <xf numFmtId="164" fontId="14" fillId="2" borderId="15" xfId="0" applyNumberFormat="1" applyFont="1" applyFill="1" applyBorder="1" applyAlignment="1">
      <alignment horizontal="center" vertical="center" wrapText="1"/>
    </xf>
    <xf numFmtId="164" fontId="14" fillId="17" borderId="15" xfId="0" applyNumberFormat="1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/>
    </xf>
    <xf numFmtId="49" fontId="18" fillId="0" borderId="18" xfId="0" applyNumberFormat="1" applyFont="1" applyBorder="1" applyAlignment="1">
      <alignment horizontal="center"/>
    </xf>
    <xf numFmtId="0" fontId="14" fillId="2" borderId="18" xfId="0" applyFont="1" applyFill="1" applyBorder="1" applyAlignment="1">
      <alignment horizontal="center"/>
    </xf>
    <xf numFmtId="0" fontId="14" fillId="0" borderId="18" xfId="0" applyFont="1" applyBorder="1" applyAlignment="1">
      <alignment horizontal="center" wrapText="1"/>
    </xf>
    <xf numFmtId="164" fontId="14" fillId="2" borderId="18" xfId="0" applyNumberFormat="1" applyFont="1" applyFill="1" applyBorder="1" applyAlignment="1">
      <alignment horizontal="center" vertical="center" wrapText="1"/>
    </xf>
    <xf numFmtId="164" fontId="14" fillId="17" borderId="18" xfId="0" applyNumberFormat="1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49" fontId="18" fillId="0" borderId="38" xfId="0" applyNumberFormat="1" applyFont="1" applyBorder="1" applyAlignment="1">
      <alignment horizontal="center"/>
    </xf>
    <xf numFmtId="0" fontId="14" fillId="2" borderId="38" xfId="0" applyFont="1" applyFill="1" applyBorder="1" applyAlignment="1">
      <alignment horizontal="center"/>
    </xf>
    <xf numFmtId="164" fontId="14" fillId="2" borderId="38" xfId="0" applyNumberFormat="1" applyFont="1" applyFill="1" applyBorder="1" applyAlignment="1">
      <alignment horizontal="center" vertical="center" wrapText="1"/>
    </xf>
    <xf numFmtId="164" fontId="14" fillId="17" borderId="38" xfId="0" applyNumberFormat="1" applyFont="1" applyFill="1" applyBorder="1" applyAlignment="1">
      <alignment horizontal="center" vertical="center" wrapText="1"/>
    </xf>
    <xf numFmtId="0" fontId="14" fillId="0" borderId="38" xfId="0" applyFont="1" applyBorder="1" applyAlignment="1">
      <alignment horizontal="center"/>
    </xf>
    <xf numFmtId="49" fontId="18" fillId="0" borderId="32" xfId="0" applyNumberFormat="1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164" fontId="18" fillId="2" borderId="8" xfId="0" applyNumberFormat="1" applyFont="1" applyFill="1" applyBorder="1" applyAlignment="1">
      <alignment horizontal="center" wrapText="1"/>
    </xf>
    <xf numFmtId="49" fontId="18" fillId="0" borderId="39" xfId="0" applyNumberFormat="1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2" borderId="15" xfId="0" applyFont="1" applyFill="1" applyBorder="1" applyAlignment="1">
      <alignment horizontal="center" wrapText="1"/>
    </xf>
    <xf numFmtId="49" fontId="14" fillId="0" borderId="18" xfId="0" applyNumberFormat="1" applyFont="1" applyBorder="1" applyAlignment="1">
      <alignment horizontal="center"/>
    </xf>
    <xf numFmtId="0" fontId="18" fillId="2" borderId="18" xfId="0" applyFont="1" applyFill="1" applyBorder="1" applyAlignment="1">
      <alignment horizontal="center" wrapText="1"/>
    </xf>
    <xf numFmtId="49" fontId="14" fillId="16" borderId="18" xfId="0" applyNumberFormat="1" applyFont="1" applyFill="1" applyBorder="1" applyAlignment="1">
      <alignment horizontal="center" wrapText="1"/>
    </xf>
    <xf numFmtId="0" fontId="18" fillId="16" borderId="18" xfId="0" applyFont="1" applyFill="1" applyBorder="1" applyAlignment="1">
      <alignment wrapText="1"/>
    </xf>
    <xf numFmtId="0" fontId="14" fillId="16" borderId="18" xfId="0" applyFont="1" applyFill="1" applyBorder="1" applyAlignment="1">
      <alignment horizontal="center" wrapText="1"/>
    </xf>
    <xf numFmtId="164" fontId="15" fillId="16" borderId="18" xfId="0" applyNumberFormat="1" applyFont="1" applyFill="1" applyBorder="1" applyAlignment="1">
      <alignment horizontal="center" wrapText="1"/>
    </xf>
    <xf numFmtId="49" fontId="14" fillId="16" borderId="11" xfId="0" applyNumberFormat="1" applyFont="1" applyFill="1" applyBorder="1" applyAlignment="1">
      <alignment horizontal="center" wrapText="1"/>
    </xf>
    <xf numFmtId="0" fontId="14" fillId="16" borderId="11" xfId="0" applyFont="1" applyFill="1" applyBorder="1" applyAlignment="1">
      <alignment wrapText="1"/>
    </xf>
    <xf numFmtId="0" fontId="14" fillId="16" borderId="11" xfId="0" applyFont="1" applyFill="1" applyBorder="1" applyAlignment="1">
      <alignment horizontal="center" wrapText="1"/>
    </xf>
    <xf numFmtId="164" fontId="15" fillId="16" borderId="11" xfId="0" applyNumberFormat="1" applyFont="1" applyFill="1" applyBorder="1" applyAlignment="1">
      <alignment horizontal="center" wrapText="1"/>
    </xf>
    <xf numFmtId="49" fontId="14" fillId="0" borderId="8" xfId="0" applyNumberFormat="1" applyFont="1" applyBorder="1" applyAlignment="1">
      <alignment horizontal="center"/>
    </xf>
    <xf numFmtId="164" fontId="18" fillId="17" borderId="8" xfId="0" applyNumberFormat="1" applyFont="1" applyFill="1" applyBorder="1" applyAlignment="1">
      <alignment horizontal="center" wrapText="1"/>
    </xf>
    <xf numFmtId="49" fontId="14" fillId="22" borderId="8" xfId="0" applyNumberFormat="1" applyFont="1" applyFill="1" applyBorder="1" applyAlignment="1">
      <alignment horizontal="center"/>
    </xf>
    <xf numFmtId="0" fontId="18" fillId="22" borderId="8" xfId="0" applyFont="1" applyFill="1" applyBorder="1" applyAlignment="1">
      <alignment wrapText="1"/>
    </xf>
    <xf numFmtId="0" fontId="14" fillId="22" borderId="8" xfId="0" applyFont="1" applyFill="1" applyBorder="1" applyAlignment="1">
      <alignment horizontal="center"/>
    </xf>
    <xf numFmtId="0" fontId="14" fillId="0" borderId="8" xfId="0" applyFont="1" applyBorder="1" applyAlignment="1">
      <alignment horizontal="right" wrapText="1"/>
    </xf>
    <xf numFmtId="0" fontId="18" fillId="0" borderId="8" xfId="0" applyFont="1" applyBorder="1" applyAlignment="1">
      <alignment horizontal="right" wrapText="1"/>
    </xf>
    <xf numFmtId="0" fontId="14" fillId="22" borderId="8" xfId="0" applyFont="1" applyFill="1" applyBorder="1" applyAlignment="1">
      <alignment wrapText="1"/>
    </xf>
    <xf numFmtId="49" fontId="14" fillId="15" borderId="8" xfId="0" applyNumberFormat="1" applyFont="1" applyFill="1" applyBorder="1" applyAlignment="1">
      <alignment horizontal="center"/>
    </xf>
    <xf numFmtId="0" fontId="14" fillId="0" borderId="8" xfId="0" applyFont="1" applyBorder="1" applyAlignment="1">
      <alignment horizontal="left" wrapText="1"/>
    </xf>
    <xf numFmtId="0" fontId="14" fillId="15" borderId="8" xfId="0" applyFont="1" applyFill="1" applyBorder="1" applyAlignment="1">
      <alignment horizontal="center"/>
    </xf>
    <xf numFmtId="164" fontId="14" fillId="17" borderId="8" xfId="0" applyNumberFormat="1" applyFont="1" applyFill="1" applyBorder="1" applyAlignment="1">
      <alignment horizontal="center" wrapText="1"/>
    </xf>
    <xf numFmtId="0" fontId="14" fillId="0" borderId="0" xfId="0" applyFont="1" applyAlignment="1">
      <alignment horizontal="left" wrapText="1"/>
    </xf>
    <xf numFmtId="0" fontId="14" fillId="2" borderId="8" xfId="12" applyFont="1" applyFill="1" applyBorder="1" applyAlignment="1">
      <alignment horizontal="center" vertical="center"/>
    </xf>
    <xf numFmtId="164" fontId="14" fillId="0" borderId="19" xfId="3" applyNumberFormat="1" applyFont="1" applyBorder="1" applyAlignment="1">
      <alignment horizontal="center" vertical="center" wrapText="1"/>
    </xf>
    <xf numFmtId="0" fontId="43" fillId="0" borderId="16" xfId="0" applyFont="1" applyBorder="1" applyAlignment="1">
      <alignment wrapText="1"/>
    </xf>
    <xf numFmtId="0" fontId="43" fillId="0" borderId="19" xfId="0" applyFont="1" applyBorder="1" applyAlignment="1">
      <alignment wrapText="1"/>
    </xf>
    <xf numFmtId="0" fontId="43" fillId="0" borderId="20" xfId="0" applyFont="1" applyBorder="1" applyAlignment="1">
      <alignment wrapText="1"/>
    </xf>
    <xf numFmtId="0" fontId="43" fillId="0" borderId="11" xfId="0" applyFont="1" applyBorder="1" applyAlignment="1">
      <alignment wrapText="1"/>
    </xf>
    <xf numFmtId="0" fontId="43" fillId="0" borderId="34" xfId="0" applyFont="1" applyBorder="1"/>
    <xf numFmtId="0" fontId="43" fillId="28" borderId="33" xfId="0" applyFont="1" applyFill="1" applyBorder="1" applyAlignment="1">
      <alignment wrapText="1"/>
    </xf>
    <xf numFmtId="0" fontId="44" fillId="0" borderId="11" xfId="0" applyFont="1" applyBorder="1" applyAlignment="1">
      <alignment wrapText="1"/>
    </xf>
    <xf numFmtId="0" fontId="44" fillId="0" borderId="34" xfId="0" applyFont="1" applyBorder="1" applyAlignment="1">
      <alignment wrapText="1"/>
    </xf>
    <xf numFmtId="0" fontId="45" fillId="0" borderId="34" xfId="0" applyFont="1" applyBorder="1"/>
    <xf numFmtId="0" fontId="44" fillId="15" borderId="34" xfId="0" applyFont="1" applyFill="1" applyBorder="1"/>
    <xf numFmtId="0" fontId="44" fillId="0" borderId="34" xfId="0" applyFont="1" applyBorder="1"/>
    <xf numFmtId="0" fontId="46" fillId="15" borderId="34" xfId="0" applyFont="1" applyFill="1" applyBorder="1"/>
    <xf numFmtId="0" fontId="47" fillId="0" borderId="34" xfId="0" applyFont="1" applyBorder="1"/>
    <xf numFmtId="0" fontId="44" fillId="29" borderId="34" xfId="0" applyFont="1" applyFill="1" applyBorder="1"/>
    <xf numFmtId="0" fontId="44" fillId="0" borderId="33" xfId="0" applyFont="1" applyBorder="1"/>
    <xf numFmtId="0" fontId="46" fillId="28" borderId="34" xfId="0" applyFont="1" applyFill="1" applyBorder="1"/>
    <xf numFmtId="4" fontId="46" fillId="0" borderId="34" xfId="0" applyNumberFormat="1" applyFont="1" applyBorder="1" applyAlignment="1">
      <alignment wrapText="1"/>
    </xf>
    <xf numFmtId="0" fontId="46" fillId="0" borderId="34" xfId="0" applyFont="1" applyBorder="1"/>
    <xf numFmtId="164" fontId="14" fillId="0" borderId="15" xfId="3" applyNumberFormat="1" applyFont="1" applyBorder="1" applyAlignment="1">
      <alignment horizontal="center" vertical="center" wrapText="1"/>
    </xf>
    <xf numFmtId="164" fontId="18" fillId="0" borderId="8" xfId="3" applyNumberFormat="1" applyFont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12" borderId="17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/>
    </xf>
    <xf numFmtId="164" fontId="14" fillId="17" borderId="11" xfId="3" applyNumberFormat="1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2" borderId="16" xfId="0" applyFont="1" applyFill="1" applyBorder="1" applyAlignment="1">
      <alignment horizontal="center" vertical="center" wrapText="1"/>
    </xf>
    <xf numFmtId="164" fontId="14" fillId="2" borderId="8" xfId="11" applyNumberFormat="1" applyFont="1" applyFill="1" applyBorder="1" applyAlignment="1">
      <alignment horizontal="center" vertical="center"/>
    </xf>
    <xf numFmtId="0" fontId="18" fillId="0" borderId="15" xfId="0" applyFont="1" applyBorder="1" applyAlignment="1">
      <alignment horizontal="left" vertical="center"/>
    </xf>
    <xf numFmtId="0" fontId="14" fillId="2" borderId="8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2" borderId="8" xfId="3" applyFont="1" applyFill="1" applyBorder="1" applyAlignment="1">
      <alignment horizontal="left" vertical="center" wrapText="1"/>
    </xf>
    <xf numFmtId="0" fontId="14" fillId="0" borderId="17" xfId="0" applyFont="1" applyBorder="1" applyAlignment="1">
      <alignment horizontal="center" vertical="center" wrapText="1"/>
    </xf>
    <xf numFmtId="164" fontId="24" fillId="0" borderId="18" xfId="3" applyNumberFormat="1" applyFont="1" applyBorder="1" applyAlignment="1">
      <alignment horizontal="center" vertical="center" wrapText="1"/>
    </xf>
    <xf numFmtId="164" fontId="18" fillId="0" borderId="36" xfId="3" applyNumberFormat="1" applyFont="1" applyBorder="1" applyAlignment="1">
      <alignment horizontal="center" vertical="center" wrapText="1"/>
    </xf>
    <xf numFmtId="164" fontId="18" fillId="0" borderId="8" xfId="3" applyNumberFormat="1" applyFont="1" applyBorder="1" applyAlignment="1">
      <alignment horizontal="center" vertical="center"/>
    </xf>
    <xf numFmtId="165" fontId="14" fillId="0" borderId="34" xfId="3" applyNumberFormat="1" applyFont="1" applyBorder="1" applyAlignment="1">
      <alignment horizontal="center"/>
    </xf>
    <xf numFmtId="164" fontId="15" fillId="12" borderId="17" xfId="10" applyNumberFormat="1" applyFont="1" applyFill="1" applyBorder="1" applyAlignment="1">
      <alignment horizontal="center" vertical="center" wrapText="1"/>
    </xf>
    <xf numFmtId="164" fontId="15" fillId="24" borderId="17" xfId="10" applyNumberFormat="1" applyFont="1" applyFill="1" applyBorder="1" applyAlignment="1">
      <alignment horizontal="center" vertical="center" wrapText="1"/>
    </xf>
    <xf numFmtId="164" fontId="18" fillId="2" borderId="17" xfId="10" applyNumberFormat="1" applyFont="1" applyFill="1" applyBorder="1" applyAlignment="1">
      <alignment horizontal="center" vertical="center" wrapText="1"/>
    </xf>
    <xf numFmtId="164" fontId="14" fillId="2" borderId="17" xfId="10" applyNumberFormat="1" applyFont="1" applyFill="1" applyBorder="1" applyAlignment="1">
      <alignment horizontal="center" vertical="center" wrapText="1"/>
    </xf>
    <xf numFmtId="164" fontId="14" fillId="22" borderId="8" xfId="10" applyNumberFormat="1" applyFont="1" applyFill="1" applyBorder="1" applyAlignment="1">
      <alignment horizontal="center" vertical="center" wrapText="1"/>
    </xf>
    <xf numFmtId="164" fontId="15" fillId="2" borderId="17" xfId="10" applyNumberFormat="1" applyFont="1" applyFill="1" applyBorder="1" applyAlignment="1">
      <alignment horizontal="center" vertical="center" wrapText="1"/>
    </xf>
    <xf numFmtId="164" fontId="11" fillId="6" borderId="17" xfId="10" applyNumberFormat="1" applyFont="1" applyFill="1" applyBorder="1" applyAlignment="1">
      <alignment horizontal="center" vertical="center"/>
    </xf>
    <xf numFmtId="164" fontId="14" fillId="16" borderId="17" xfId="0" applyNumberFormat="1" applyFont="1" applyFill="1" applyBorder="1" applyAlignment="1">
      <alignment horizontal="center" vertical="center" wrapText="1"/>
    </xf>
    <xf numFmtId="164" fontId="15" fillId="0" borderId="17" xfId="10" applyNumberFormat="1" applyFont="1" applyBorder="1" applyAlignment="1">
      <alignment horizontal="center" vertical="center" wrapText="1"/>
    </xf>
    <xf numFmtId="164" fontId="14" fillId="0" borderId="36" xfId="3" applyNumberFormat="1" applyFont="1" applyBorder="1" applyAlignment="1">
      <alignment horizontal="center" vertical="center" wrapText="1"/>
    </xf>
    <xf numFmtId="164" fontId="14" fillId="0" borderId="32" xfId="3" applyNumberFormat="1" applyFont="1" applyBorder="1" applyAlignment="1">
      <alignment horizontal="center" vertical="center" wrapText="1"/>
    </xf>
    <xf numFmtId="164" fontId="14" fillId="0" borderId="33" xfId="3" applyNumberFormat="1" applyFont="1" applyBorder="1" applyAlignment="1">
      <alignment horizontal="center" vertical="center" wrapText="1"/>
    </xf>
    <xf numFmtId="164" fontId="14" fillId="0" borderId="32" xfId="10" applyNumberFormat="1" applyFont="1" applyBorder="1" applyAlignment="1">
      <alignment horizontal="center" vertical="center" wrapText="1"/>
    </xf>
    <xf numFmtId="164" fontId="8" fillId="0" borderId="41" xfId="3" applyNumberFormat="1" applyFont="1" applyBorder="1" applyAlignment="1">
      <alignment horizontal="center" vertical="center" wrapText="1"/>
    </xf>
    <xf numFmtId="164" fontId="8" fillId="0" borderId="32" xfId="3" applyNumberFormat="1" applyFont="1" applyBorder="1" applyAlignment="1">
      <alignment horizontal="center" vertical="center" wrapText="1"/>
    </xf>
    <xf numFmtId="164" fontId="14" fillId="0" borderId="41" xfId="3" applyNumberFormat="1" applyFont="1" applyBorder="1" applyAlignment="1">
      <alignment horizontal="center" vertical="center" wrapText="1"/>
    </xf>
    <xf numFmtId="164" fontId="14" fillId="0" borderId="39" xfId="0" applyNumberFormat="1" applyFont="1" applyBorder="1" applyAlignment="1">
      <alignment horizontal="center" vertical="center"/>
    </xf>
    <xf numFmtId="164" fontId="14" fillId="0" borderId="17" xfId="0" applyNumberFormat="1" applyFont="1" applyBorder="1" applyAlignment="1">
      <alignment horizontal="center" vertical="center"/>
    </xf>
    <xf numFmtId="164" fontId="14" fillId="0" borderId="39" xfId="3" applyNumberFormat="1" applyFont="1" applyBorder="1" applyAlignment="1">
      <alignment horizontal="center" vertical="center" wrapText="1"/>
    </xf>
    <xf numFmtId="164" fontId="14" fillId="2" borderId="33" xfId="3" applyNumberFormat="1" applyFont="1" applyFill="1" applyBorder="1" applyAlignment="1">
      <alignment horizontal="center" vertical="center" wrapText="1"/>
    </xf>
    <xf numFmtId="164" fontId="14" fillId="2" borderId="36" xfId="3" applyNumberFormat="1" applyFont="1" applyFill="1" applyBorder="1" applyAlignment="1">
      <alignment horizontal="center" vertical="center" wrapText="1"/>
    </xf>
    <xf numFmtId="164" fontId="14" fillId="12" borderId="17" xfId="10" applyNumberFormat="1" applyFont="1" applyFill="1" applyBorder="1" applyAlignment="1">
      <alignment horizontal="center" vertical="center" wrapText="1"/>
    </xf>
    <xf numFmtId="164" fontId="18" fillId="0" borderId="17" xfId="0" applyNumberFormat="1" applyFont="1" applyBorder="1" applyAlignment="1">
      <alignment horizontal="center" vertical="center"/>
    </xf>
    <xf numFmtId="164" fontId="8" fillId="0" borderId="17" xfId="0" applyNumberFormat="1" applyFont="1" applyBorder="1" applyAlignment="1">
      <alignment horizontal="center" vertical="center"/>
    </xf>
    <xf numFmtId="164" fontId="14" fillId="9" borderId="8" xfId="0" applyNumberFormat="1" applyFont="1" applyFill="1" applyBorder="1" applyAlignment="1">
      <alignment horizontal="center" vertical="center" wrapText="1"/>
    </xf>
    <xf numFmtId="164" fontId="15" fillId="9" borderId="17" xfId="3" applyNumberFormat="1" applyFont="1" applyFill="1" applyBorder="1" applyAlignment="1">
      <alignment horizontal="center" vertical="center" wrapText="1"/>
    </xf>
    <xf numFmtId="164" fontId="14" fillId="9" borderId="8" xfId="3" applyNumberFormat="1" applyFont="1" applyFill="1" applyBorder="1" applyAlignment="1">
      <alignment horizontal="center" vertical="center" wrapText="1"/>
    </xf>
    <xf numFmtId="164" fontId="14" fillId="0" borderId="17" xfId="10" applyNumberFormat="1" applyFont="1" applyBorder="1" applyAlignment="1">
      <alignment horizontal="center" vertical="center"/>
    </xf>
    <xf numFmtId="164" fontId="15" fillId="9" borderId="17" xfId="10" applyNumberFormat="1" applyFont="1" applyFill="1" applyBorder="1" applyAlignment="1">
      <alignment horizontal="center" vertical="center" wrapText="1"/>
    </xf>
    <xf numFmtId="164" fontId="14" fillId="0" borderId="17" xfId="10" applyNumberFormat="1" applyFont="1" applyBorder="1" applyAlignment="1">
      <alignment horizontal="center" vertical="center" wrapText="1"/>
    </xf>
    <xf numFmtId="164" fontId="11" fillId="6" borderId="36" xfId="10" applyNumberFormat="1" applyFont="1" applyFill="1" applyBorder="1" applyAlignment="1">
      <alignment horizontal="center" vertical="center"/>
    </xf>
    <xf numFmtId="164" fontId="15" fillId="9" borderId="17" xfId="0" applyNumberFormat="1" applyFont="1" applyFill="1" applyBorder="1" applyAlignment="1">
      <alignment horizontal="center" wrapText="1"/>
    </xf>
    <xf numFmtId="164" fontId="14" fillId="0" borderId="17" xfId="0" applyNumberFormat="1" applyFont="1" applyBorder="1" applyAlignment="1">
      <alignment horizontal="center" vertical="center" wrapText="1"/>
    </xf>
    <xf numFmtId="164" fontId="14" fillId="0" borderId="36" xfId="0" applyNumberFormat="1" applyFont="1" applyBorder="1" applyAlignment="1">
      <alignment horizontal="center" vertical="center" wrapText="1"/>
    </xf>
    <xf numFmtId="164" fontId="14" fillId="0" borderId="32" xfId="0" applyNumberFormat="1" applyFont="1" applyBorder="1" applyAlignment="1">
      <alignment horizontal="center" vertical="center" wrapText="1"/>
    </xf>
    <xf numFmtId="164" fontId="14" fillId="0" borderId="39" xfId="0" applyNumberFormat="1" applyFont="1" applyBorder="1" applyAlignment="1">
      <alignment horizontal="center" vertical="center" wrapText="1"/>
    </xf>
    <xf numFmtId="164" fontId="14" fillId="0" borderId="17" xfId="0" applyNumberFormat="1" applyFont="1" applyBorder="1" applyAlignment="1">
      <alignment horizontal="center"/>
    </xf>
    <xf numFmtId="164" fontId="14" fillId="0" borderId="17" xfId="0" applyNumberFormat="1" applyFont="1" applyBorder="1" applyAlignment="1">
      <alignment horizontal="center" wrapText="1"/>
    </xf>
    <xf numFmtId="164" fontId="14" fillId="2" borderId="36" xfId="0" applyNumberFormat="1" applyFont="1" applyFill="1" applyBorder="1" applyAlignment="1">
      <alignment horizontal="center" wrapText="1"/>
    </xf>
    <xf numFmtId="164" fontId="14" fillId="2" borderId="32" xfId="0" applyNumberFormat="1" applyFont="1" applyFill="1" applyBorder="1" applyAlignment="1">
      <alignment horizontal="center"/>
    </xf>
    <xf numFmtId="0" fontId="14" fillId="2" borderId="19" xfId="3" applyFont="1" applyFill="1" applyBorder="1" applyAlignment="1">
      <alignment horizontal="center" vertical="center" wrapText="1"/>
    </xf>
    <xf numFmtId="0" fontId="14" fillId="0" borderId="20" xfId="3" applyFont="1" applyBorder="1" applyAlignment="1">
      <alignment horizontal="center" vertical="center" wrapText="1"/>
    </xf>
    <xf numFmtId="0" fontId="14" fillId="2" borderId="30" xfId="3" applyFont="1" applyFill="1" applyBorder="1" applyAlignment="1">
      <alignment horizontal="center" vertical="center"/>
    </xf>
    <xf numFmtId="49" fontId="14" fillId="2" borderId="17" xfId="3" quotePrefix="1" applyNumberFormat="1" applyFont="1" applyFill="1" applyBorder="1" applyAlignment="1">
      <alignment horizontal="center" vertical="center" wrapText="1"/>
    </xf>
    <xf numFmtId="164" fontId="14" fillId="6" borderId="17" xfId="3" applyNumberFormat="1" applyFont="1" applyFill="1" applyBorder="1" applyAlignment="1">
      <alignment horizontal="center" vertical="center" wrapText="1"/>
    </xf>
    <xf numFmtId="164" fontId="24" fillId="15" borderId="17" xfId="3" applyNumberFormat="1" applyFont="1" applyFill="1" applyBorder="1" applyAlignment="1">
      <alignment horizontal="center" vertical="center" wrapText="1"/>
    </xf>
    <xf numFmtId="164" fontId="24" fillId="23" borderId="15" xfId="3" applyNumberFormat="1" applyFont="1" applyFill="1" applyBorder="1" applyAlignment="1">
      <alignment horizontal="center" vertical="center" wrapText="1"/>
    </xf>
    <xf numFmtId="164" fontId="24" fillId="20" borderId="15" xfId="3" applyNumberFormat="1" applyFont="1" applyFill="1" applyBorder="1" applyAlignment="1">
      <alignment horizontal="center" vertical="center" wrapText="1"/>
    </xf>
    <xf numFmtId="164" fontId="24" fillId="15" borderId="36" xfId="3" applyNumberFormat="1" applyFont="1" applyFill="1" applyBorder="1" applyAlignment="1">
      <alignment horizontal="center" vertical="center" wrapText="1"/>
    </xf>
    <xf numFmtId="164" fontId="24" fillId="0" borderId="39" xfId="3" applyNumberFormat="1" applyFont="1" applyBorder="1" applyAlignment="1">
      <alignment horizontal="center" vertical="center" wrapText="1"/>
    </xf>
    <xf numFmtId="164" fontId="24" fillId="23" borderId="38" xfId="3" applyNumberFormat="1" applyFont="1" applyFill="1" applyBorder="1" applyAlignment="1">
      <alignment horizontal="center" vertical="center" wrapText="1"/>
    </xf>
    <xf numFmtId="164" fontId="24" fillId="20" borderId="38" xfId="3" applyNumberFormat="1" applyFont="1" applyFill="1" applyBorder="1" applyAlignment="1">
      <alignment horizontal="center" vertical="center" wrapText="1"/>
    </xf>
    <xf numFmtId="164" fontId="24" fillId="15" borderId="39" xfId="3" applyNumberFormat="1" applyFont="1" applyFill="1" applyBorder="1" applyAlignment="1">
      <alignment horizontal="center" vertical="center" wrapText="1"/>
    </xf>
    <xf numFmtId="164" fontId="18" fillId="15" borderId="39" xfId="3" applyNumberFormat="1" applyFont="1" applyFill="1" applyBorder="1" applyAlignment="1">
      <alignment horizontal="center" vertical="center" wrapText="1"/>
    </xf>
    <xf numFmtId="164" fontId="24" fillId="15" borderId="32" xfId="3" applyNumberFormat="1" applyFont="1" applyFill="1" applyBorder="1" applyAlignment="1">
      <alignment horizontal="center" vertical="center" wrapText="1"/>
    </xf>
    <xf numFmtId="164" fontId="24" fillId="23" borderId="11" xfId="3" applyNumberFormat="1" applyFont="1" applyFill="1" applyBorder="1" applyAlignment="1">
      <alignment horizontal="center" vertical="center" wrapText="1"/>
    </xf>
    <xf numFmtId="164" fontId="24" fillId="20" borderId="11" xfId="3" applyNumberFormat="1" applyFont="1" applyFill="1" applyBorder="1" applyAlignment="1">
      <alignment horizontal="center" vertical="center" wrapText="1"/>
    </xf>
    <xf numFmtId="164" fontId="24" fillId="15" borderId="33" xfId="3" applyNumberFormat="1" applyFont="1" applyFill="1" applyBorder="1" applyAlignment="1">
      <alignment horizontal="center" vertical="center" wrapText="1"/>
    </xf>
    <xf numFmtId="164" fontId="24" fillId="0" borderId="33" xfId="3" applyNumberFormat="1" applyFont="1" applyBorder="1" applyAlignment="1">
      <alignment horizontal="center" vertical="center" wrapText="1"/>
    </xf>
    <xf numFmtId="164" fontId="18" fillId="2" borderId="11" xfId="3" applyNumberFormat="1" applyFont="1" applyFill="1" applyBorder="1" applyAlignment="1">
      <alignment horizontal="center" vertical="center" wrapText="1"/>
    </xf>
    <xf numFmtId="164" fontId="26" fillId="0" borderId="33" xfId="3" applyNumberFormat="1" applyFont="1" applyBorder="1" applyAlignment="1">
      <alignment horizontal="center" vertical="center" wrapText="1"/>
    </xf>
    <xf numFmtId="164" fontId="17" fillId="0" borderId="18" xfId="3" applyNumberFormat="1" applyFont="1" applyBorder="1"/>
    <xf numFmtId="164" fontId="14" fillId="12" borderId="8" xfId="0" applyNumberFormat="1" applyFont="1" applyFill="1" applyBorder="1" applyAlignment="1">
      <alignment horizontal="center" vertical="center" wrapText="1"/>
    </xf>
    <xf numFmtId="164" fontId="14" fillId="0" borderId="15" xfId="0" applyNumberFormat="1" applyFont="1" applyBorder="1" applyAlignment="1">
      <alignment horizontal="center" vertical="center" wrapText="1"/>
    </xf>
    <xf numFmtId="164" fontId="14" fillId="0" borderId="18" xfId="0" applyNumberFormat="1" applyFont="1" applyBorder="1" applyAlignment="1">
      <alignment horizontal="center" vertical="center" wrapText="1"/>
    </xf>
    <xf numFmtId="164" fontId="14" fillId="0" borderId="8" xfId="0" applyNumberFormat="1" applyFont="1" applyBorder="1" applyAlignment="1">
      <alignment horizontal="center" vertical="center" wrapText="1"/>
    </xf>
    <xf numFmtId="164" fontId="14" fillId="0" borderId="38" xfId="0" applyNumberFormat="1" applyFont="1" applyBorder="1" applyAlignment="1">
      <alignment horizontal="center" vertical="center" wrapText="1"/>
    </xf>
    <xf numFmtId="164" fontId="18" fillId="9" borderId="8" xfId="0" applyNumberFormat="1" applyFont="1" applyFill="1" applyBorder="1" applyAlignment="1">
      <alignment horizontal="center" wrapText="1"/>
    </xf>
    <xf numFmtId="164" fontId="14" fillId="9" borderId="8" xfId="0" applyNumberFormat="1" applyFont="1" applyFill="1" applyBorder="1" applyAlignment="1">
      <alignment horizontal="center"/>
    </xf>
    <xf numFmtId="164" fontId="14" fillId="12" borderId="15" xfId="0" applyNumberFormat="1" applyFont="1" applyFill="1" applyBorder="1" applyAlignment="1">
      <alignment horizontal="center" vertical="center" wrapText="1"/>
    </xf>
    <xf numFmtId="164" fontId="15" fillId="9" borderId="8" xfId="0" applyNumberFormat="1" applyFont="1" applyFill="1" applyBorder="1" applyAlignment="1">
      <alignment horizontal="center"/>
    </xf>
    <xf numFmtId="164" fontId="19" fillId="9" borderId="8" xfId="0" applyNumberFormat="1" applyFont="1" applyFill="1" applyBorder="1" applyAlignment="1">
      <alignment horizontal="center" wrapText="1"/>
    </xf>
    <xf numFmtId="164" fontId="14" fillId="0" borderId="8" xfId="0" applyNumberFormat="1" applyFont="1" applyBorder="1" applyAlignment="1">
      <alignment horizontal="center" wrapText="1"/>
    </xf>
    <xf numFmtId="164" fontId="14" fillId="15" borderId="8" xfId="0" applyNumberFormat="1" applyFont="1" applyFill="1" applyBorder="1" applyAlignment="1">
      <alignment horizontal="center" wrapText="1"/>
    </xf>
    <xf numFmtId="164" fontId="14" fillId="15" borderId="15" xfId="0" applyNumberFormat="1" applyFont="1" applyFill="1" applyBorder="1" applyAlignment="1">
      <alignment horizontal="center" wrapText="1"/>
    </xf>
    <xf numFmtId="164" fontId="14" fillId="15" borderId="18" xfId="0" applyNumberFormat="1" applyFont="1" applyFill="1" applyBorder="1" applyAlignment="1">
      <alignment horizontal="center" wrapText="1"/>
    </xf>
    <xf numFmtId="164" fontId="14" fillId="0" borderId="18" xfId="0" applyNumberFormat="1" applyFont="1" applyBorder="1" applyAlignment="1">
      <alignment horizontal="center" wrapText="1"/>
    </xf>
    <xf numFmtId="164" fontId="14" fillId="15" borderId="38" xfId="0" applyNumberFormat="1" applyFont="1" applyFill="1" applyBorder="1" applyAlignment="1">
      <alignment horizontal="center" wrapText="1"/>
    </xf>
    <xf numFmtId="164" fontId="18" fillId="15" borderId="18" xfId="0" applyNumberFormat="1" applyFont="1" applyFill="1" applyBorder="1" applyAlignment="1">
      <alignment horizontal="center" wrapText="1"/>
    </xf>
    <xf numFmtId="164" fontId="18" fillId="0" borderId="8" xfId="0" applyNumberFormat="1" applyFont="1" applyBorder="1" applyAlignment="1">
      <alignment horizontal="center"/>
    </xf>
    <xf numFmtId="164" fontId="18" fillId="0" borderId="15" xfId="0" applyNumberFormat="1" applyFont="1" applyBorder="1" applyAlignment="1">
      <alignment horizontal="center"/>
    </xf>
    <xf numFmtId="164" fontId="14" fillId="16" borderId="18" xfId="0" applyNumberFormat="1" applyFont="1" applyFill="1" applyBorder="1" applyAlignment="1">
      <alignment horizontal="center" wrapText="1"/>
    </xf>
    <xf numFmtId="164" fontId="14" fillId="16" borderId="11" xfId="0" applyNumberFormat="1" applyFont="1" applyFill="1" applyBorder="1" applyAlignment="1">
      <alignment horizontal="center" wrapText="1"/>
    </xf>
    <xf numFmtId="164" fontId="14" fillId="0" borderId="8" xfId="0" applyNumberFormat="1" applyFont="1" applyBorder="1" applyAlignment="1">
      <alignment horizontal="center"/>
    </xf>
    <xf numFmtId="164" fontId="14" fillId="22" borderId="8" xfId="0" applyNumberFormat="1" applyFont="1" applyFill="1" applyBorder="1" applyAlignment="1">
      <alignment horizontal="center"/>
    </xf>
    <xf numFmtId="0" fontId="18" fillId="0" borderId="8" xfId="0" applyFont="1" applyBorder="1" applyAlignment="1">
      <alignment vertical="center" wrapText="1"/>
    </xf>
    <xf numFmtId="0" fontId="18" fillId="2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8" xfId="3" applyFont="1" applyBorder="1" applyAlignment="1">
      <alignment vertical="center" wrapText="1"/>
    </xf>
    <xf numFmtId="164" fontId="6" fillId="2" borderId="8" xfId="3" applyNumberFormat="1" applyFont="1" applyFill="1" applyBorder="1" applyAlignment="1">
      <alignment horizontal="center" vertical="center" wrapText="1"/>
    </xf>
    <xf numFmtId="164" fontId="6" fillId="10" borderId="8" xfId="3" applyNumberFormat="1" applyFont="1" applyFill="1" applyBorder="1" applyAlignment="1">
      <alignment horizontal="center" vertical="center" wrapText="1"/>
    </xf>
    <xf numFmtId="0" fontId="6" fillId="0" borderId="15" xfId="3" applyFont="1" applyBorder="1" applyAlignment="1">
      <alignment horizontal="right"/>
    </xf>
    <xf numFmtId="0" fontId="6" fillId="0" borderId="8" xfId="3" applyFont="1" applyBorder="1" applyAlignment="1">
      <alignment horizontal="left"/>
    </xf>
    <xf numFmtId="0" fontId="6" fillId="2" borderId="8" xfId="3" applyFont="1" applyFill="1" applyBorder="1" applyAlignment="1">
      <alignment horizontal="left"/>
    </xf>
    <xf numFmtId="0" fontId="6" fillId="0" borderId="8" xfId="3" applyFont="1" applyBorder="1" applyAlignment="1">
      <alignment horizontal="center" vertical="center"/>
    </xf>
    <xf numFmtId="0" fontId="6" fillId="0" borderId="15" xfId="8" applyFont="1" applyBorder="1" applyAlignment="1">
      <alignment horizontal="center"/>
    </xf>
    <xf numFmtId="0" fontId="6" fillId="0" borderId="8" xfId="8" applyFont="1" applyBorder="1" applyAlignment="1">
      <alignment horizontal="center" vertical="center"/>
    </xf>
    <xf numFmtId="49" fontId="6" fillId="0" borderId="8" xfId="12" applyNumberFormat="1" applyFont="1" applyBorder="1" applyAlignment="1">
      <alignment horizontal="center"/>
    </xf>
    <xf numFmtId="0" fontId="6" fillId="0" borderId="8" xfId="12" applyFont="1" applyBorder="1" applyAlignment="1">
      <alignment horizontal="center"/>
    </xf>
    <xf numFmtId="0" fontId="6" fillId="0" borderId="15" xfId="0" applyFont="1" applyBorder="1" applyAlignment="1">
      <alignment horizontal="left" vertical="center" wrapText="1"/>
    </xf>
    <xf numFmtId="0" fontId="18" fillId="0" borderId="0" xfId="0" applyFont="1" applyAlignment="1">
      <alignment horizontal="center"/>
    </xf>
    <xf numFmtId="164" fontId="6" fillId="0" borderId="17" xfId="10" applyNumberFormat="1" applyFont="1" applyBorder="1" applyAlignment="1">
      <alignment horizontal="center" vertical="center" wrapText="1"/>
    </xf>
    <xf numFmtId="164" fontId="6" fillId="2" borderId="17" xfId="10" applyNumberFormat="1" applyFont="1" applyFill="1" applyBorder="1" applyAlignment="1">
      <alignment horizontal="center" vertical="center" wrapText="1"/>
    </xf>
    <xf numFmtId="164" fontId="6" fillId="17" borderId="8" xfId="14" applyNumberFormat="1" applyFont="1" applyFill="1" applyBorder="1" applyAlignment="1">
      <alignment horizontal="center" vertical="center" wrapText="1"/>
    </xf>
    <xf numFmtId="165" fontId="6" fillId="17" borderId="8" xfId="14" applyNumberFormat="1" applyFont="1" applyFill="1" applyBorder="1" applyAlignment="1">
      <alignment horizontal="center" vertical="center" wrapText="1"/>
    </xf>
    <xf numFmtId="164" fontId="6" fillId="17" borderId="8" xfId="3" applyNumberFormat="1" applyFont="1" applyFill="1" applyBorder="1" applyAlignment="1">
      <alignment horizontal="center" vertical="center"/>
    </xf>
    <xf numFmtId="0" fontId="6" fillId="0" borderId="8" xfId="16" applyFont="1" applyFill="1" applyBorder="1" applyAlignment="1" applyProtection="1">
      <alignment vertical="center" wrapText="1"/>
    </xf>
    <xf numFmtId="164" fontId="6" fillId="0" borderId="8" xfId="3" applyNumberFormat="1" applyFont="1" applyBorder="1" applyAlignment="1">
      <alignment horizontal="center" vertical="center"/>
    </xf>
    <xf numFmtId="0" fontId="6" fillId="0" borderId="8" xfId="8" applyFont="1" applyBorder="1" applyAlignment="1">
      <alignment horizontal="center"/>
    </xf>
    <xf numFmtId="49" fontId="6" fillId="0" borderId="8" xfId="8" applyNumberFormat="1" applyFont="1" applyBorder="1"/>
    <xf numFmtId="0" fontId="6" fillId="2" borderId="8" xfId="8" applyFont="1" applyFill="1" applyBorder="1" applyAlignment="1">
      <alignment horizontal="center"/>
    </xf>
    <xf numFmtId="0" fontId="6" fillId="2" borderId="8" xfId="8" applyFont="1" applyFill="1" applyBorder="1" applyAlignment="1">
      <alignment horizontal="center" vertical="center"/>
    </xf>
    <xf numFmtId="164" fontId="6" fillId="2" borderId="8" xfId="8" applyNumberFormat="1" applyFont="1" applyFill="1" applyBorder="1" applyAlignment="1">
      <alignment horizontal="center" vertical="center"/>
    </xf>
    <xf numFmtId="164" fontId="6" fillId="0" borderId="8" xfId="8" applyNumberFormat="1" applyFont="1" applyBorder="1" applyAlignment="1">
      <alignment horizontal="center" vertical="center"/>
    </xf>
    <xf numFmtId="164" fontId="6" fillId="17" borderId="8" xfId="8" applyNumberFormat="1" applyFont="1" applyFill="1" applyBorder="1" applyAlignment="1">
      <alignment horizontal="center" vertical="center"/>
    </xf>
    <xf numFmtId="49" fontId="6" fillId="0" borderId="8" xfId="8" applyNumberFormat="1" applyFont="1" applyBorder="1" applyAlignment="1">
      <alignment horizontal="center" vertical="center"/>
    </xf>
    <xf numFmtId="49" fontId="6" fillId="0" borderId="15" xfId="8" applyNumberFormat="1" applyFont="1" applyBorder="1"/>
    <xf numFmtId="0" fontId="6" fillId="0" borderId="15" xfId="8" applyFont="1" applyBorder="1" applyAlignment="1">
      <alignment horizontal="center" vertical="center"/>
    </xf>
    <xf numFmtId="0" fontId="14" fillId="0" borderId="36" xfId="3" applyFont="1" applyBorder="1" applyAlignment="1">
      <alignment horizontal="center" vertical="center"/>
    </xf>
    <xf numFmtId="0" fontId="14" fillId="0" borderId="39" xfId="3" applyFont="1" applyBorder="1" applyAlignment="1">
      <alignment horizontal="center" vertical="center"/>
    </xf>
    <xf numFmtId="0" fontId="14" fillId="0" borderId="32" xfId="3" applyFont="1" applyBorder="1" applyAlignment="1">
      <alignment horizontal="center" vertical="center"/>
    </xf>
    <xf numFmtId="0" fontId="18" fillId="0" borderId="0" xfId="0" applyFont="1" applyAlignment="1">
      <alignment wrapText="1"/>
    </xf>
    <xf numFmtId="0" fontId="19" fillId="0" borderId="8" xfId="0" applyFont="1" applyBorder="1" applyAlignment="1">
      <alignment wrapText="1"/>
    </xf>
    <xf numFmtId="0" fontId="14" fillId="2" borderId="15" xfId="3" applyFont="1" applyFill="1" applyBorder="1" applyAlignment="1">
      <alignment horizontal="center" vertical="center" wrapText="1"/>
    </xf>
    <xf numFmtId="164" fontId="14" fillId="10" borderId="15" xfId="3" applyNumberFormat="1" applyFont="1" applyFill="1" applyBorder="1" applyAlignment="1">
      <alignment horizontal="center" vertical="center" wrapText="1"/>
    </xf>
    <xf numFmtId="164" fontId="19" fillId="17" borderId="8" xfId="0" applyNumberFormat="1" applyFont="1" applyFill="1" applyBorder="1" applyAlignment="1">
      <alignment horizontal="center" wrapText="1"/>
    </xf>
    <xf numFmtId="164" fontId="19" fillId="2" borderId="8" xfId="0" applyNumberFormat="1" applyFont="1" applyFill="1" applyBorder="1" applyAlignment="1">
      <alignment horizontal="center" wrapText="1"/>
    </xf>
    <xf numFmtId="0" fontId="48" fillId="0" borderId="19" xfId="0" applyFont="1" applyBorder="1" applyAlignment="1">
      <alignment wrapText="1"/>
    </xf>
    <xf numFmtId="0" fontId="50" fillId="0" borderId="8" xfId="0" applyFont="1" applyBorder="1" applyAlignment="1">
      <alignment wrapText="1"/>
    </xf>
    <xf numFmtId="164" fontId="17" fillId="0" borderId="8" xfId="3" applyNumberFormat="1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164" fontId="18" fillId="0" borderId="8" xfId="0" applyNumberFormat="1" applyFont="1" applyBorder="1" applyAlignment="1">
      <alignment horizontal="center" vertical="center" wrapText="1"/>
    </xf>
    <xf numFmtId="164" fontId="14" fillId="2" borderId="11" xfId="0" applyNumberFormat="1" applyFont="1" applyFill="1" applyBorder="1" applyAlignment="1">
      <alignment horizontal="center" wrapText="1"/>
    </xf>
    <xf numFmtId="0" fontId="14" fillId="0" borderId="18" xfId="3" applyFont="1" applyBorder="1" applyAlignment="1">
      <alignment vertical="center" wrapText="1"/>
    </xf>
    <xf numFmtId="0" fontId="6" fillId="0" borderId="15" xfId="3" applyFont="1" applyBorder="1" applyAlignment="1">
      <alignment vertical="center" wrapText="1"/>
    </xf>
    <xf numFmtId="164" fontId="8" fillId="10" borderId="8" xfId="3" applyNumberFormat="1" applyFont="1" applyFill="1" applyBorder="1" applyAlignment="1">
      <alignment horizontal="center" vertical="center" wrapText="1"/>
    </xf>
    <xf numFmtId="0" fontId="14" fillId="0" borderId="17" xfId="3" applyFont="1" applyBorder="1" applyAlignment="1">
      <alignment horizontal="center" vertical="center" wrapText="1"/>
    </xf>
    <xf numFmtId="164" fontId="14" fillId="0" borderId="11" xfId="0" applyNumberFormat="1" applyFont="1" applyBorder="1" applyAlignment="1">
      <alignment horizontal="center" vertical="center" wrapText="1"/>
    </xf>
    <xf numFmtId="49" fontId="14" fillId="0" borderId="11" xfId="11" applyNumberFormat="1" applyFont="1" applyBorder="1" applyAlignment="1">
      <alignment horizontal="center" vertical="center"/>
    </xf>
    <xf numFmtId="0" fontId="48" fillId="0" borderId="18" xfId="0" applyFont="1" applyBorder="1" applyAlignment="1">
      <alignment horizontal="left" vertical="center"/>
    </xf>
    <xf numFmtId="169" fontId="14" fillId="2" borderId="18" xfId="3" applyNumberFormat="1" applyFont="1" applyFill="1" applyBorder="1" applyAlignment="1">
      <alignment horizontal="center" vertical="center" wrapText="1"/>
    </xf>
    <xf numFmtId="169" fontId="14" fillId="2" borderId="15" xfId="3" applyNumberFormat="1" applyFont="1" applyFill="1" applyBorder="1" applyAlignment="1">
      <alignment horizontal="center" vertical="center" wrapText="1"/>
    </xf>
    <xf numFmtId="164" fontId="32" fillId="2" borderId="8" xfId="11" applyNumberFormat="1" applyFont="1" applyFill="1" applyBorder="1" applyAlignment="1">
      <alignment horizontal="center" vertical="center"/>
    </xf>
    <xf numFmtId="0" fontId="48" fillId="0" borderId="18" xfId="0" applyFont="1" applyBorder="1" applyAlignment="1">
      <alignment horizontal="left" vertical="center" wrapText="1"/>
    </xf>
    <xf numFmtId="164" fontId="18" fillId="2" borderId="8" xfId="3" applyNumberFormat="1" applyFont="1" applyFill="1" applyBorder="1" applyAlignment="1">
      <alignment horizontal="center" vertical="center"/>
    </xf>
    <xf numFmtId="165" fontId="14" fillId="17" borderId="8" xfId="3" applyNumberFormat="1" applyFont="1" applyFill="1" applyBorder="1" applyAlignment="1">
      <alignment horizontal="center"/>
    </xf>
    <xf numFmtId="0" fontId="48" fillId="0" borderId="19" xfId="0" applyFont="1" applyBorder="1" applyAlignment="1">
      <alignment vertical="center" wrapText="1"/>
    </xf>
    <xf numFmtId="0" fontId="14" fillId="15" borderId="8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/>
    </xf>
    <xf numFmtId="0" fontId="5" fillId="0" borderId="8" xfId="3" applyFont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164" fontId="14" fillId="2" borderId="8" xfId="3" applyNumberFormat="1" applyFont="1" applyFill="1" applyBorder="1" applyAlignment="1">
      <alignment vertical="center" wrapText="1"/>
    </xf>
    <xf numFmtId="165" fontId="14" fillId="11" borderId="8" xfId="0" applyNumberFormat="1" applyFont="1" applyFill="1" applyBorder="1" applyAlignment="1">
      <alignment horizontal="left" vertical="center" wrapText="1"/>
    </xf>
    <xf numFmtId="165" fontId="14" fillId="2" borderId="8" xfId="0" applyNumberFormat="1" applyFont="1" applyFill="1" applyBorder="1" applyAlignment="1">
      <alignment horizontal="left" vertical="center" wrapText="1"/>
    </xf>
    <xf numFmtId="164" fontId="14" fillId="2" borderId="8" xfId="3" applyNumberFormat="1" applyFont="1" applyFill="1" applyBorder="1" applyAlignment="1">
      <alignment horizontal="left" vertical="center" wrapText="1"/>
    </xf>
    <xf numFmtId="164" fontId="51" fillId="2" borderId="8" xfId="3" applyNumberFormat="1" applyFont="1" applyFill="1" applyBorder="1" applyAlignment="1">
      <alignment vertical="center" wrapText="1"/>
    </xf>
    <xf numFmtId="165" fontId="51" fillId="2" borderId="8" xfId="0" applyNumberFormat="1" applyFont="1" applyFill="1" applyBorder="1" applyAlignment="1">
      <alignment horizontal="left" vertical="center" wrapText="1"/>
    </xf>
    <xf numFmtId="164" fontId="18" fillId="2" borderId="8" xfId="3" applyNumberFormat="1" applyFont="1" applyFill="1" applyBorder="1" applyAlignment="1">
      <alignment vertical="center" wrapText="1"/>
    </xf>
    <xf numFmtId="3" fontId="14" fillId="2" borderId="8" xfId="5" applyNumberFormat="1" applyFont="1" applyFill="1" applyBorder="1" applyAlignment="1">
      <alignment horizontal="left" vertical="center" wrapText="1"/>
    </xf>
    <xf numFmtId="3" fontId="14" fillId="2" borderId="8" xfId="5" applyNumberFormat="1" applyFont="1" applyFill="1" applyBorder="1" applyAlignment="1">
      <alignment horizontal="center" vertical="center" wrapText="1"/>
    </xf>
    <xf numFmtId="0" fontId="3" fillId="2" borderId="8" xfId="3" applyFont="1" applyFill="1" applyBorder="1" applyAlignment="1">
      <alignment horizontal="left" vertical="center" wrapText="1"/>
    </xf>
    <xf numFmtId="0" fontId="3" fillId="2" borderId="8" xfId="3" applyFont="1" applyFill="1" applyBorder="1" applyAlignment="1">
      <alignment horizontal="center" vertical="center" wrapText="1"/>
    </xf>
    <xf numFmtId="0" fontId="18" fillId="2" borderId="8" xfId="3" applyFont="1" applyFill="1" applyBorder="1" applyAlignment="1">
      <alignment horizontal="left" vertical="center" wrapText="1"/>
    </xf>
    <xf numFmtId="0" fontId="18" fillId="2" borderId="8" xfId="3" applyFont="1" applyFill="1" applyBorder="1" applyAlignment="1">
      <alignment horizontal="center" vertical="center"/>
    </xf>
    <xf numFmtId="164" fontId="18" fillId="2" borderId="8" xfId="3" applyNumberFormat="1" applyFont="1" applyFill="1" applyBorder="1" applyAlignment="1">
      <alignment horizontal="left" vertical="center" wrapText="1"/>
    </xf>
    <xf numFmtId="165" fontId="14" fillId="11" borderId="8" xfId="0" applyNumberFormat="1" applyFont="1" applyFill="1" applyBorder="1" applyAlignment="1">
      <alignment horizontal="left" wrapText="1"/>
    </xf>
    <xf numFmtId="164" fontId="15" fillId="2" borderId="8" xfId="3" applyNumberFormat="1" applyFont="1" applyFill="1" applyBorder="1" applyAlignment="1">
      <alignment horizontal="left" vertical="center" wrapText="1"/>
    </xf>
    <xf numFmtId="0" fontId="17" fillId="0" borderId="17" xfId="3" applyFont="1" applyBorder="1" applyAlignment="1">
      <alignment horizontal="center" vertical="center"/>
    </xf>
    <xf numFmtId="0" fontId="24" fillId="0" borderId="17" xfId="3" applyFont="1" applyBorder="1" applyAlignment="1">
      <alignment horizontal="center" vertical="center"/>
    </xf>
    <xf numFmtId="0" fontId="18" fillId="0" borderId="17" xfId="3" applyFont="1" applyBorder="1" applyAlignment="1">
      <alignment horizontal="center" vertical="center"/>
    </xf>
    <xf numFmtId="0" fontId="14" fillId="2" borderId="17" xfId="3" applyFont="1" applyFill="1" applyBorder="1" applyAlignment="1">
      <alignment horizontal="center" vertical="center"/>
    </xf>
    <xf numFmtId="0" fontId="14" fillId="2" borderId="33" xfId="3" applyFont="1" applyFill="1" applyBorder="1" applyAlignment="1">
      <alignment horizontal="center" vertical="center"/>
    </xf>
    <xf numFmtId="0" fontId="14" fillId="0" borderId="8" xfId="3" applyFont="1" applyBorder="1" applyAlignment="1" applyProtection="1">
      <alignment horizontal="left" vertical="center" wrapText="1"/>
      <protection locked="0"/>
    </xf>
    <xf numFmtId="164" fontId="3" fillId="2" borderId="8" xfId="3" applyNumberFormat="1" applyFont="1" applyFill="1" applyBorder="1" applyAlignment="1">
      <alignment vertical="center" wrapText="1"/>
    </xf>
    <xf numFmtId="0" fontId="8" fillId="0" borderId="8" xfId="3" applyFont="1" applyBorder="1" applyAlignment="1" applyProtection="1">
      <alignment horizontal="left" vertical="center" wrapText="1"/>
      <protection locked="0"/>
    </xf>
    <xf numFmtId="0" fontId="3" fillId="0" borderId="8" xfId="3" applyFont="1" applyBorder="1" applyAlignment="1" applyProtection="1">
      <alignment horizontal="left" vertical="center" wrapText="1"/>
      <protection locked="0"/>
    </xf>
    <xf numFmtId="164" fontId="3" fillId="2" borderId="8" xfId="3" applyNumberFormat="1" applyFont="1" applyFill="1" applyBorder="1" applyAlignment="1">
      <alignment horizontal="left" vertical="center" wrapText="1"/>
    </xf>
    <xf numFmtId="0" fontId="14" fillId="0" borderId="8" xfId="0" applyFont="1" applyBorder="1" applyAlignment="1" applyProtection="1">
      <alignment horizontal="center" vertical="center" wrapText="1"/>
      <protection locked="0"/>
    </xf>
    <xf numFmtId="165" fontId="14" fillId="11" borderId="8" xfId="0" applyNumberFormat="1" applyFont="1" applyFill="1" applyBorder="1" applyAlignment="1" applyProtection="1">
      <alignment horizontal="center" vertical="center" wrapText="1"/>
      <protection locked="0"/>
    </xf>
    <xf numFmtId="165" fontId="8" fillId="2" borderId="8" xfId="0" applyNumberFormat="1" applyFont="1" applyFill="1" applyBorder="1" applyAlignment="1" applyProtection="1">
      <alignment horizontal="center" vertical="center" wrapText="1"/>
      <protection locked="0"/>
    </xf>
    <xf numFmtId="165" fontId="14" fillId="2" borderId="8" xfId="0" applyNumberFormat="1" applyFont="1" applyFill="1" applyBorder="1" applyAlignment="1" applyProtection="1">
      <alignment horizontal="left" vertical="center" wrapText="1"/>
      <protection locked="0"/>
    </xf>
    <xf numFmtId="165" fontId="14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4" fillId="11" borderId="8" xfId="0" applyFont="1" applyFill="1" applyBorder="1" applyAlignment="1">
      <alignment wrapText="1"/>
    </xf>
    <xf numFmtId="165" fontId="14" fillId="0" borderId="8" xfId="0" applyNumberFormat="1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 applyProtection="1">
      <alignment vertical="center" wrapText="1"/>
      <protection locked="0"/>
    </xf>
    <xf numFmtId="0" fontId="14" fillId="0" borderId="8" xfId="0" applyFont="1" applyBorder="1" applyAlignment="1" applyProtection="1">
      <alignment horizontal="center"/>
      <protection locked="0"/>
    </xf>
    <xf numFmtId="0" fontId="14" fillId="0" borderId="8" xfId="3" applyFont="1" applyBorder="1" applyAlignment="1" applyProtection="1">
      <alignment horizontal="center" vertical="center" wrapText="1"/>
      <protection locked="0"/>
    </xf>
    <xf numFmtId="164" fontId="51" fillId="2" borderId="8" xfId="3" applyNumberFormat="1" applyFont="1" applyFill="1" applyBorder="1" applyAlignment="1">
      <alignment horizontal="left" vertical="center" wrapText="1"/>
    </xf>
    <xf numFmtId="0" fontId="14" fillId="0" borderId="8" xfId="3" applyFont="1" applyBorder="1" applyAlignment="1" applyProtection="1">
      <alignment horizontal="left"/>
      <protection locked="0"/>
    </xf>
    <xf numFmtId="165" fontId="14" fillId="11" borderId="8" xfId="3" applyNumberFormat="1" applyFont="1" applyFill="1" applyBorder="1" applyAlignment="1" applyProtection="1">
      <alignment horizontal="left" vertical="center" wrapText="1"/>
      <protection locked="0"/>
    </xf>
    <xf numFmtId="164" fontId="14" fillId="0" borderId="8" xfId="3" applyNumberFormat="1" applyFont="1" applyBorder="1" applyAlignment="1" applyProtection="1">
      <alignment horizontal="left" vertical="center"/>
      <protection locked="0"/>
    </xf>
    <xf numFmtId="164" fontId="14" fillId="0" borderId="8" xfId="3" applyNumberFormat="1" applyFont="1" applyBorder="1" applyAlignment="1" applyProtection="1">
      <alignment horizontal="left" vertical="center" wrapText="1"/>
      <protection locked="0"/>
    </xf>
    <xf numFmtId="0" fontId="14" fillId="0" borderId="8" xfId="3" applyFont="1" applyBorder="1" applyProtection="1">
      <protection locked="0"/>
    </xf>
    <xf numFmtId="164" fontId="14" fillId="2" borderId="8" xfId="3" applyNumberFormat="1" applyFont="1" applyFill="1" applyBorder="1" applyAlignment="1" applyProtection="1">
      <alignment horizontal="left" vertical="center"/>
      <protection locked="0"/>
    </xf>
    <xf numFmtId="0" fontId="14" fillId="2" borderId="8" xfId="3" applyFont="1" applyFill="1" applyBorder="1" applyProtection="1">
      <protection locked="0"/>
    </xf>
    <xf numFmtId="0" fontId="14" fillId="2" borderId="8" xfId="11" applyFont="1" applyFill="1" applyBorder="1" applyAlignment="1">
      <alignment horizontal="left" vertical="center" wrapText="1"/>
    </xf>
    <xf numFmtId="0" fontId="14" fillId="2" borderId="8" xfId="11" applyFont="1" applyFill="1" applyBorder="1" applyAlignment="1">
      <alignment horizontal="left" vertical="center"/>
    </xf>
    <xf numFmtId="0" fontId="14" fillId="2" borderId="8" xfId="3" applyFont="1" applyFill="1" applyBorder="1" applyAlignment="1">
      <alignment horizontal="left" wrapText="1"/>
    </xf>
    <xf numFmtId="0" fontId="21" fillId="2" borderId="8" xfId="3" applyFont="1" applyFill="1" applyBorder="1" applyAlignment="1">
      <alignment horizontal="center" vertical="center" wrapText="1"/>
    </xf>
    <xf numFmtId="0" fontId="21" fillId="2" borderId="8" xfId="3" applyFont="1" applyFill="1" applyBorder="1" applyAlignment="1">
      <alignment horizontal="left" vertical="center" wrapText="1"/>
    </xf>
    <xf numFmtId="0" fontId="21" fillId="2" borderId="8" xfId="3" applyFont="1" applyFill="1" applyBorder="1" applyAlignment="1">
      <alignment horizontal="center" vertical="center"/>
    </xf>
    <xf numFmtId="0" fontId="14" fillId="0" borderId="8" xfId="11" applyFont="1" applyBorder="1" applyProtection="1">
      <protection locked="0"/>
    </xf>
    <xf numFmtId="164" fontId="27" fillId="0" borderId="17" xfId="11" applyNumberFormat="1" applyFont="1" applyBorder="1" applyAlignment="1">
      <alignment horizontal="center" vertical="center"/>
    </xf>
    <xf numFmtId="0" fontId="14" fillId="0" borderId="33" xfId="3" applyFont="1" applyBorder="1" applyAlignment="1">
      <alignment wrapText="1"/>
    </xf>
    <xf numFmtId="164" fontId="15" fillId="2" borderId="17" xfId="3" applyNumberFormat="1" applyFont="1" applyFill="1" applyBorder="1" applyAlignment="1">
      <alignment horizontal="center" vertical="center"/>
    </xf>
    <xf numFmtId="0" fontId="14" fillId="0" borderId="8" xfId="11" applyFont="1" applyBorder="1" applyAlignment="1" applyProtection="1">
      <alignment wrapText="1"/>
      <protection locked="0"/>
    </xf>
    <xf numFmtId="49" fontId="14" fillId="2" borderId="8" xfId="11" applyNumberFormat="1" applyFont="1" applyFill="1" applyBorder="1" applyAlignment="1">
      <alignment horizontal="left" vertical="center"/>
    </xf>
    <xf numFmtId="164" fontId="15" fillId="0" borderId="8" xfId="3" applyNumberFormat="1" applyFont="1" applyBorder="1" applyAlignment="1" applyProtection="1">
      <alignment horizontal="center" vertical="center"/>
      <protection locked="0"/>
    </xf>
    <xf numFmtId="0" fontId="21" fillId="0" borderId="8" xfId="11" applyFont="1" applyBorder="1" applyProtection="1">
      <protection locked="0"/>
    </xf>
    <xf numFmtId="0" fontId="14" fillId="0" borderId="8" xfId="11" applyFont="1" applyBorder="1" applyAlignment="1" applyProtection="1">
      <alignment horizontal="left" vertical="center"/>
      <protection locked="0"/>
    </xf>
    <xf numFmtId="4" fontId="14" fillId="2" borderId="8" xfId="3" applyNumberFormat="1" applyFont="1" applyFill="1" applyBorder="1" applyAlignment="1">
      <alignment wrapText="1"/>
    </xf>
    <xf numFmtId="164" fontId="11" fillId="2" borderId="8" xfId="3" applyNumberFormat="1" applyFill="1" applyBorder="1" applyProtection="1">
      <protection locked="0"/>
    </xf>
    <xf numFmtId="3" fontId="51" fillId="2" borderId="8" xfId="5" applyNumberFormat="1" applyFont="1" applyFill="1" applyBorder="1" applyAlignment="1">
      <alignment horizontal="left" vertical="center" wrapText="1"/>
    </xf>
    <xf numFmtId="0" fontId="51" fillId="2" borderId="8" xfId="3" applyFont="1" applyFill="1" applyBorder="1" applyAlignment="1">
      <alignment horizontal="left"/>
    </xf>
    <xf numFmtId="0" fontId="14" fillId="2" borderId="8" xfId="5" applyFont="1" applyFill="1" applyBorder="1" applyAlignment="1">
      <alignment horizontal="center" vertical="center" wrapText="1"/>
    </xf>
    <xf numFmtId="164" fontId="14" fillId="0" borderId="8" xfId="3" applyNumberFormat="1" applyFont="1" applyBorder="1" applyProtection="1">
      <protection locked="0"/>
    </xf>
    <xf numFmtId="0" fontId="51" fillId="2" borderId="8" xfId="5" applyFont="1" applyFill="1" applyBorder="1" applyAlignment="1">
      <alignment horizontal="left" vertical="center" wrapText="1"/>
    </xf>
    <xf numFmtId="164" fontId="11" fillId="0" borderId="8" xfId="3" applyNumberFormat="1" applyBorder="1" applyProtection="1">
      <protection locked="0"/>
    </xf>
    <xf numFmtId="0" fontId="51" fillId="0" borderId="8" xfId="11" applyFont="1" applyBorder="1" applyAlignment="1">
      <alignment horizontal="left" vertical="center" wrapText="1"/>
    </xf>
    <xf numFmtId="165" fontId="14" fillId="0" borderId="8" xfId="0" applyNumberFormat="1" applyFont="1" applyBorder="1" applyAlignment="1">
      <alignment horizontal="left" vertical="center" wrapText="1"/>
    </xf>
    <xf numFmtId="0" fontId="11" fillId="0" borderId="8" xfId="3" applyBorder="1" applyAlignment="1">
      <alignment horizontal="left"/>
    </xf>
    <xf numFmtId="164" fontId="11" fillId="0" borderId="8" xfId="3" applyNumberFormat="1" applyBorder="1"/>
    <xf numFmtId="3" fontId="14" fillId="2" borderId="8" xfId="13" applyNumberFormat="1" applyFont="1" applyFill="1" applyBorder="1" applyAlignment="1">
      <alignment horizontal="left" vertical="center" wrapText="1"/>
    </xf>
    <xf numFmtId="164" fontId="14" fillId="2" borderId="8" xfId="3" applyNumberFormat="1" applyFont="1" applyFill="1" applyBorder="1" applyAlignment="1">
      <alignment wrapText="1"/>
    </xf>
    <xf numFmtId="0" fontId="14" fillId="2" borderId="8" xfId="13" applyFont="1" applyFill="1" applyBorder="1" applyAlignment="1">
      <alignment horizontal="center" vertical="center" wrapText="1"/>
    </xf>
    <xf numFmtId="0" fontId="14" fillId="2" borderId="8" xfId="5" applyFont="1" applyFill="1" applyBorder="1" applyAlignment="1">
      <alignment horizontal="left" vertical="center" wrapText="1"/>
    </xf>
    <xf numFmtId="0" fontId="14" fillId="0" borderId="8" xfId="14" applyFont="1" applyBorder="1" applyAlignment="1">
      <alignment horizontal="left" vertical="center" wrapText="1"/>
    </xf>
    <xf numFmtId="0" fontId="14" fillId="2" borderId="8" xfId="14" applyFont="1" applyFill="1" applyBorder="1" applyAlignment="1">
      <alignment horizontal="left" vertical="center" wrapText="1"/>
    </xf>
    <xf numFmtId="0" fontId="50" fillId="0" borderId="8" xfId="14" applyFont="1" applyBorder="1" applyAlignment="1">
      <alignment horizontal="left" vertical="center" wrapText="1"/>
    </xf>
    <xf numFmtId="0" fontId="50" fillId="0" borderId="8" xfId="14" applyFont="1" applyBorder="1" applyAlignment="1">
      <alignment horizontal="left" wrapText="1"/>
    </xf>
    <xf numFmtId="0" fontId="35" fillId="0" borderId="8" xfId="14" applyFont="1" applyBorder="1" applyAlignment="1">
      <alignment horizontal="left" vertical="center" wrapText="1"/>
    </xf>
    <xf numFmtId="0" fontId="35" fillId="0" borderId="8" xfId="14" applyFont="1" applyBorder="1" applyAlignment="1">
      <alignment horizontal="center" vertical="center"/>
    </xf>
    <xf numFmtId="0" fontId="35" fillId="0" borderId="8" xfId="14" quotePrefix="1" applyFont="1" applyBorder="1" applyAlignment="1">
      <alignment horizontal="center" vertical="center"/>
    </xf>
    <xf numFmtId="0" fontId="18" fillId="0" borderId="8" xfId="3" applyFont="1" applyBorder="1" applyAlignment="1">
      <alignment wrapText="1"/>
    </xf>
    <xf numFmtId="3" fontId="14" fillId="0" borderId="8" xfId="3" applyNumberFormat="1" applyFont="1" applyBorder="1" applyAlignment="1">
      <alignment vertical="center" wrapText="1"/>
    </xf>
    <xf numFmtId="3" fontId="14" fillId="2" borderId="8" xfId="3" applyNumberFormat="1" applyFont="1" applyFill="1" applyBorder="1" applyAlignment="1">
      <alignment vertical="center" wrapText="1"/>
    </xf>
    <xf numFmtId="3" fontId="14" fillId="0" borderId="8" xfId="6" applyNumberFormat="1" applyFont="1" applyBorder="1" applyAlignment="1">
      <alignment vertical="center" wrapText="1"/>
    </xf>
    <xf numFmtId="3" fontId="14" fillId="0" borderId="8" xfId="15" applyNumberFormat="1" applyFont="1" applyBorder="1" applyAlignment="1">
      <alignment vertical="center" wrapText="1"/>
    </xf>
    <xf numFmtId="0" fontId="11" fillId="0" borderId="8" xfId="3" applyBorder="1" applyAlignment="1">
      <alignment horizontal="left" wrapText="1"/>
    </xf>
    <xf numFmtId="3" fontId="14" fillId="0" borderId="8" xfId="5" applyNumberFormat="1" applyFont="1" applyBorder="1" applyAlignment="1">
      <alignment vertical="center" wrapText="1"/>
    </xf>
    <xf numFmtId="0" fontId="14" fillId="2" borderId="8" xfId="5" applyFont="1" applyFill="1" applyBorder="1" applyAlignment="1">
      <alignment vertical="center" wrapText="1"/>
    </xf>
    <xf numFmtId="3" fontId="18" fillId="0" borderId="8" xfId="13" applyNumberFormat="1" applyFont="1" applyBorder="1" applyAlignment="1">
      <alignment vertical="center" wrapText="1"/>
    </xf>
    <xf numFmtId="0" fontId="13" fillId="0" borderId="8" xfId="8" applyBorder="1" applyAlignment="1">
      <alignment wrapText="1"/>
    </xf>
    <xf numFmtId="0" fontId="14" fillId="0" borderId="8" xfId="0" applyFont="1" applyBorder="1" applyAlignment="1">
      <alignment horizontal="left"/>
    </xf>
    <xf numFmtId="0" fontId="14" fillId="0" borderId="8" xfId="0" applyFont="1" applyBorder="1" applyAlignment="1">
      <alignment horizontal="left" vertical="center"/>
    </xf>
    <xf numFmtId="0" fontId="18" fillId="0" borderId="8" xfId="0" applyFont="1" applyBorder="1" applyAlignment="1">
      <alignment horizontal="center" wrapText="1"/>
    </xf>
    <xf numFmtId="0" fontId="18" fillId="2" borderId="8" xfId="0" applyFont="1" applyFill="1" applyBorder="1" applyAlignment="1">
      <alignment wrapText="1"/>
    </xf>
    <xf numFmtId="0" fontId="3" fillId="0" borderId="8" xfId="3" applyFont="1" applyBorder="1" applyAlignment="1">
      <alignment vertical="center" wrapText="1"/>
    </xf>
    <xf numFmtId="0" fontId="3" fillId="0" borderId="8" xfId="8" applyFont="1" applyBorder="1" applyAlignment="1">
      <alignment horizontal="center" vertical="center"/>
    </xf>
    <xf numFmtId="0" fontId="3" fillId="2" borderId="8" xfId="8" applyFont="1" applyFill="1" applyBorder="1" applyAlignment="1">
      <alignment vertical="center" wrapText="1"/>
    </xf>
    <xf numFmtId="0" fontId="3" fillId="2" borderId="8" xfId="8" applyFont="1" applyFill="1" applyBorder="1" applyAlignment="1">
      <alignment horizontal="center" vertical="center"/>
    </xf>
    <xf numFmtId="164" fontId="3" fillId="0" borderId="8" xfId="10" applyNumberFormat="1" applyFont="1" applyBorder="1" applyAlignment="1">
      <alignment horizontal="left" vertical="center" wrapText="1"/>
    </xf>
    <xf numFmtId="0" fontId="3" fillId="0" borderId="8" xfId="8" applyFont="1" applyBorder="1" applyAlignment="1">
      <alignment vertical="center" wrapText="1"/>
    </xf>
    <xf numFmtId="164" fontId="3" fillId="0" borderId="8" xfId="8" applyNumberFormat="1" applyFont="1" applyBorder="1" applyAlignment="1">
      <alignment vertical="center" wrapText="1"/>
    </xf>
    <xf numFmtId="3" fontId="3" fillId="0" borderId="8" xfId="13" applyNumberFormat="1" applyFont="1" applyBorder="1" applyAlignment="1">
      <alignment vertical="center" wrapText="1"/>
    </xf>
    <xf numFmtId="3" fontId="3" fillId="0" borderId="8" xfId="3" applyNumberFormat="1" applyFont="1" applyBorder="1" applyAlignment="1">
      <alignment vertical="center" wrapText="1"/>
    </xf>
    <xf numFmtId="0" fontId="3" fillId="0" borderId="8" xfId="8" applyFont="1" applyBorder="1" applyAlignment="1">
      <alignment horizontal="center" vertical="center" wrapText="1"/>
    </xf>
    <xf numFmtId="0" fontId="18" fillId="0" borderId="8" xfId="14" applyFont="1" applyBorder="1" applyAlignment="1">
      <alignment horizontal="left" vertical="center" wrapText="1"/>
    </xf>
    <xf numFmtId="0" fontId="18" fillId="2" borderId="8" xfId="0" applyFont="1" applyFill="1" applyBorder="1" applyAlignment="1">
      <alignment horizontal="left" wrapText="1"/>
    </xf>
    <xf numFmtId="165" fontId="18" fillId="2" borderId="8" xfId="0" applyNumberFormat="1" applyFont="1" applyFill="1" applyBorder="1" applyAlignment="1">
      <alignment horizontal="center" wrapText="1"/>
    </xf>
    <xf numFmtId="0" fontId="25" fillId="2" borderId="8" xfId="0" applyFont="1" applyFill="1" applyBorder="1" applyAlignment="1">
      <alignment wrapText="1"/>
    </xf>
    <xf numFmtId="0" fontId="25" fillId="2" borderId="8" xfId="0" applyFont="1" applyFill="1" applyBorder="1" applyAlignment="1">
      <alignment horizontal="left" wrapText="1"/>
    </xf>
    <xf numFmtId="0" fontId="25" fillId="2" borderId="8" xfId="0" applyFont="1" applyFill="1" applyBorder="1" applyAlignment="1">
      <alignment horizontal="center"/>
    </xf>
    <xf numFmtId="0" fontId="19" fillId="23" borderId="8" xfId="0" applyFont="1" applyFill="1" applyBorder="1" applyAlignment="1">
      <alignment horizontal="left" wrapText="1"/>
    </xf>
    <xf numFmtId="0" fontId="15" fillId="23" borderId="8" xfId="0" applyFont="1" applyFill="1" applyBorder="1" applyAlignment="1">
      <alignment horizontal="center" wrapText="1"/>
    </xf>
    <xf numFmtId="0" fontId="18" fillId="23" borderId="8" xfId="0" applyFont="1" applyFill="1" applyBorder="1" applyAlignment="1">
      <alignment horizontal="left" wrapText="1"/>
    </xf>
    <xf numFmtId="0" fontId="19" fillId="23" borderId="8" xfId="0" applyFont="1" applyFill="1" applyBorder="1" applyAlignment="1">
      <alignment horizontal="center" wrapText="1"/>
    </xf>
    <xf numFmtId="0" fontId="18" fillId="23" borderId="8" xfId="0" applyFont="1" applyFill="1" applyBorder="1" applyAlignment="1">
      <alignment wrapText="1"/>
    </xf>
    <xf numFmtId="0" fontId="18" fillId="23" borderId="8" xfId="0" applyFont="1" applyFill="1" applyBorder="1" applyAlignment="1">
      <alignment horizontal="center" wrapText="1"/>
    </xf>
    <xf numFmtId="0" fontId="18" fillId="23" borderId="8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left" wrapText="1"/>
    </xf>
    <xf numFmtId="0" fontId="14" fillId="23" borderId="8" xfId="0" applyFont="1" applyFill="1" applyBorder="1" applyAlignment="1">
      <alignment wrapText="1"/>
    </xf>
    <xf numFmtId="0" fontId="19" fillId="2" borderId="8" xfId="0" applyFont="1" applyFill="1" applyBorder="1" applyAlignment="1">
      <alignment horizontal="left" wrapText="1"/>
    </xf>
    <xf numFmtId="0" fontId="19" fillId="2" borderId="8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19" fillId="2" borderId="8" xfId="0" applyFont="1" applyFill="1" applyBorder="1" applyAlignment="1">
      <alignment horizontal="center" wrapText="1"/>
    </xf>
    <xf numFmtId="3" fontId="18" fillId="2" borderId="8" xfId="0" applyNumberFormat="1" applyFont="1" applyFill="1" applyBorder="1" applyAlignment="1">
      <alignment horizontal="center" wrapText="1"/>
    </xf>
    <xf numFmtId="0" fontId="18" fillId="0" borderId="8" xfId="0" applyFont="1" applyBorder="1" applyAlignment="1">
      <alignment horizontal="left" wrapText="1"/>
    </xf>
    <xf numFmtId="0" fontId="18" fillId="15" borderId="8" xfId="0" applyFont="1" applyFill="1" applyBorder="1" applyAlignment="1">
      <alignment horizontal="center" wrapText="1"/>
    </xf>
    <xf numFmtId="0" fontId="25" fillId="0" borderId="8" xfId="0" applyFont="1" applyBorder="1" applyAlignment="1">
      <alignment wrapText="1"/>
    </xf>
    <xf numFmtId="0" fontId="25" fillId="0" borderId="8" xfId="0" applyFont="1" applyBorder="1" applyAlignment="1">
      <alignment horizontal="left" wrapText="1"/>
    </xf>
    <xf numFmtId="0" fontId="25" fillId="0" borderId="8" xfId="0" applyFont="1" applyBorder="1" applyAlignment="1">
      <alignment horizontal="center"/>
    </xf>
    <xf numFmtId="0" fontId="19" fillId="0" borderId="8" xfId="0" applyFont="1" applyBorder="1" applyAlignment="1">
      <alignment horizontal="left" wrapText="1"/>
    </xf>
    <xf numFmtId="0" fontId="14" fillId="15" borderId="8" xfId="0" applyFont="1" applyFill="1" applyBorder="1" applyAlignment="1">
      <alignment wrapText="1"/>
    </xf>
    <xf numFmtId="0" fontId="14" fillId="15" borderId="8" xfId="0" applyFont="1" applyFill="1" applyBorder="1" applyAlignment="1">
      <alignment horizontal="left" wrapText="1"/>
    </xf>
    <xf numFmtId="0" fontId="0" fillId="15" borderId="8" xfId="0" applyFill="1" applyBorder="1" applyAlignment="1">
      <alignment horizontal="left" wrapText="1"/>
    </xf>
    <xf numFmtId="0" fontId="18" fillId="15" borderId="8" xfId="0" applyFont="1" applyFill="1" applyBorder="1" applyAlignment="1">
      <alignment horizontal="left" wrapText="1"/>
    </xf>
    <xf numFmtId="0" fontId="11" fillId="0" borderId="17" xfId="0" applyFont="1" applyBorder="1"/>
    <xf numFmtId="0" fontId="14" fillId="0" borderId="33" xfId="0" applyFont="1" applyBorder="1"/>
    <xf numFmtId="0" fontId="11" fillId="0" borderId="33" xfId="0" applyFont="1" applyBorder="1"/>
    <xf numFmtId="0" fontId="14" fillId="0" borderId="20" xfId="0" applyFont="1" applyBorder="1"/>
    <xf numFmtId="0" fontId="14" fillId="0" borderId="32" xfId="0" applyFont="1" applyBorder="1" applyAlignment="1">
      <alignment horizontal="center" vertical="center"/>
    </xf>
    <xf numFmtId="0" fontId="14" fillId="15" borderId="33" xfId="0" applyFont="1" applyFill="1" applyBorder="1"/>
    <xf numFmtId="0" fontId="14" fillId="15" borderId="20" xfId="0" applyFont="1" applyFill="1" applyBorder="1"/>
    <xf numFmtId="0" fontId="14" fillId="15" borderId="32" xfId="0" applyFont="1" applyFill="1" applyBorder="1"/>
    <xf numFmtId="0" fontId="18" fillId="15" borderId="33" xfId="0" applyFont="1" applyFill="1" applyBorder="1"/>
    <xf numFmtId="0" fontId="18" fillId="0" borderId="33" xfId="0" applyFont="1" applyBorder="1"/>
    <xf numFmtId="0" fontId="18" fillId="0" borderId="33" xfId="0" applyFont="1" applyBorder="1" applyAlignment="1">
      <alignment wrapText="1"/>
    </xf>
    <xf numFmtId="0" fontId="14" fillId="0" borderId="32" xfId="0" applyFont="1" applyBorder="1"/>
    <xf numFmtId="0" fontId="14" fillId="0" borderId="41" xfId="0" applyFont="1" applyBorder="1"/>
    <xf numFmtId="0" fontId="11" fillId="0" borderId="8" xfId="0" applyFont="1" applyBorder="1" applyAlignment="1">
      <alignment wrapText="1"/>
    </xf>
    <xf numFmtId="0" fontId="11" fillId="0" borderId="8" xfId="0" applyFont="1" applyBorder="1" applyAlignment="1">
      <alignment horizontal="center" wrapText="1"/>
    </xf>
    <xf numFmtId="0" fontId="18" fillId="0" borderId="8" xfId="0" applyFont="1" applyBorder="1" applyAlignment="1" applyProtection="1">
      <alignment wrapText="1"/>
      <protection locked="0"/>
    </xf>
    <xf numFmtId="0" fontId="18" fillId="0" borderId="8" xfId="0" applyFont="1" applyBorder="1" applyProtection="1">
      <protection locked="0"/>
    </xf>
    <xf numFmtId="0" fontId="14" fillId="0" borderId="8" xfId="0" applyFont="1" applyBorder="1" applyProtection="1">
      <protection locked="0"/>
    </xf>
    <xf numFmtId="0" fontId="25" fillId="0" borderId="8" xfId="0" applyFont="1" applyBorder="1" applyProtection="1">
      <protection locked="0"/>
    </xf>
    <xf numFmtId="0" fontId="15" fillId="15" borderId="8" xfId="0" applyFont="1" applyFill="1" applyBorder="1" applyAlignment="1" applyProtection="1">
      <alignment wrapText="1"/>
      <protection locked="0"/>
    </xf>
    <xf numFmtId="0" fontId="19" fillId="15" borderId="8" xfId="0" applyFont="1" applyFill="1" applyBorder="1" applyAlignment="1" applyProtection="1">
      <alignment wrapText="1"/>
      <protection locked="0"/>
    </xf>
    <xf numFmtId="0" fontId="18" fillId="15" borderId="8" xfId="0" applyFont="1" applyFill="1" applyBorder="1" applyProtection="1">
      <protection locked="0"/>
    </xf>
    <xf numFmtId="0" fontId="15" fillId="0" borderId="8" xfId="0" applyFont="1" applyBorder="1" applyAlignment="1" applyProtection="1">
      <alignment wrapText="1"/>
      <protection locked="0"/>
    </xf>
    <xf numFmtId="0" fontId="19" fillId="0" borderId="8" xfId="0" applyFont="1" applyBorder="1" applyAlignment="1" applyProtection="1">
      <alignment wrapText="1"/>
      <protection locked="0"/>
    </xf>
    <xf numFmtId="0" fontId="8" fillId="0" borderId="8" xfId="0" applyFont="1" applyBorder="1" applyAlignment="1" applyProtection="1">
      <alignment wrapText="1"/>
      <protection locked="0"/>
    </xf>
    <xf numFmtId="0" fontId="18" fillId="15" borderId="8" xfId="0" applyFont="1" applyFill="1" applyBorder="1" applyAlignment="1" applyProtection="1">
      <alignment wrapText="1"/>
      <protection locked="0"/>
    </xf>
    <xf numFmtId="0" fontId="14" fillId="0" borderId="8" xfId="0" applyFont="1" applyBorder="1" applyAlignment="1" applyProtection="1">
      <alignment wrapText="1"/>
      <protection locked="0"/>
    </xf>
    <xf numFmtId="0" fontId="14" fillId="0" borderId="8" xfId="14" applyFont="1" applyBorder="1" applyProtection="1">
      <protection locked="0"/>
    </xf>
    <xf numFmtId="164" fontId="14" fillId="0" borderId="8" xfId="14" applyNumberFormat="1" applyFont="1" applyBorder="1" applyProtection="1">
      <protection locked="0"/>
    </xf>
    <xf numFmtId="0" fontId="11" fillId="0" borderId="8" xfId="3" applyBorder="1" applyProtection="1">
      <protection locked="0"/>
    </xf>
    <xf numFmtId="0" fontId="30" fillId="0" borderId="8" xfId="14" applyBorder="1" applyProtection="1">
      <protection locked="0"/>
    </xf>
    <xf numFmtId="0" fontId="35" fillId="0" borderId="8" xfId="14" applyFont="1" applyBorder="1" applyProtection="1">
      <protection locked="0"/>
    </xf>
    <xf numFmtId="0" fontId="26" fillId="0" borderId="8" xfId="14" applyFont="1" applyBorder="1" applyAlignment="1">
      <alignment horizontal="left" vertical="center" wrapText="1"/>
    </xf>
    <xf numFmtId="0" fontId="18" fillId="0" borderId="8" xfId="3" applyFont="1" applyBorder="1" applyProtection="1">
      <protection locked="0"/>
    </xf>
    <xf numFmtId="0" fontId="14" fillId="0" borderId="8" xfId="14" applyFont="1" applyBorder="1" applyAlignment="1" applyProtection="1">
      <alignment horizontal="left" vertical="center"/>
      <protection locked="0"/>
    </xf>
    <xf numFmtId="3" fontId="14" fillId="0" borderId="8" xfId="15" applyNumberFormat="1" applyFont="1" applyBorder="1" applyAlignment="1">
      <alignment horizontal="left" vertical="center" wrapText="1"/>
    </xf>
    <xf numFmtId="0" fontId="11" fillId="0" borderId="8" xfId="14" applyFont="1" applyBorder="1" applyProtection="1">
      <protection locked="0"/>
    </xf>
    <xf numFmtId="0" fontId="36" fillId="0" borderId="8" xfId="14" applyFont="1" applyBorder="1" applyProtection="1">
      <protection locked="0"/>
    </xf>
    <xf numFmtId="0" fontId="54" fillId="0" borderId="8" xfId="0" applyFont="1" applyBorder="1" applyAlignment="1">
      <alignment wrapText="1"/>
    </xf>
    <xf numFmtId="165" fontId="14" fillId="11" borderId="8" xfId="3" applyNumberFormat="1" applyFont="1" applyFill="1" applyBorder="1" applyAlignment="1" applyProtection="1">
      <alignment horizontal="center" vertical="center" wrapText="1"/>
      <protection locked="0"/>
    </xf>
    <xf numFmtId="0" fontId="52" fillId="0" borderId="8" xfId="0" applyFont="1" applyBorder="1"/>
    <xf numFmtId="0" fontId="14" fillId="0" borderId="8" xfId="3" applyFont="1" applyBorder="1" applyAlignment="1" applyProtection="1">
      <alignment horizontal="center" vertical="center"/>
      <protection locked="0"/>
    </xf>
    <xf numFmtId="0" fontId="0" fillId="0" borderId="8" xfId="0" applyBorder="1"/>
    <xf numFmtId="0" fontId="3" fillId="0" borderId="8" xfId="8" applyFont="1" applyBorder="1" applyAlignment="1" applyProtection="1">
      <alignment horizontal="left" vertical="center" wrapText="1"/>
      <protection locked="0"/>
    </xf>
    <xf numFmtId="0" fontId="11" fillId="0" borderId="8" xfId="3" applyBorder="1" applyAlignment="1" applyProtection="1">
      <alignment horizontal="left" wrapText="1"/>
      <protection locked="0"/>
    </xf>
    <xf numFmtId="0" fontId="0" fillId="0" borderId="8" xfId="0" applyBorder="1" applyProtection="1">
      <protection locked="0"/>
    </xf>
    <xf numFmtId="0" fontId="3" fillId="2" borderId="8" xfId="8" applyFont="1" applyFill="1" applyBorder="1" applyAlignment="1" applyProtection="1">
      <alignment horizontal="left" vertical="center" wrapText="1"/>
      <protection locked="0"/>
    </xf>
    <xf numFmtId="0" fontId="11" fillId="0" borderId="8" xfId="3" applyBorder="1" applyAlignment="1" applyProtection="1">
      <alignment wrapText="1"/>
      <protection locked="0"/>
    </xf>
    <xf numFmtId="0" fontId="14" fillId="0" borderId="8" xfId="3" applyFont="1" applyBorder="1" applyAlignment="1">
      <alignment horizontal="left" vertical="center"/>
    </xf>
    <xf numFmtId="165" fontId="14" fillId="0" borderId="8" xfId="0" applyNumberFormat="1" applyFont="1" applyBorder="1" applyAlignment="1" applyProtection="1">
      <alignment horizontal="left" vertical="center" wrapText="1"/>
      <protection locked="0"/>
    </xf>
    <xf numFmtId="0" fontId="14" fillId="0" borderId="40" xfId="0" applyFont="1" applyBorder="1"/>
    <xf numFmtId="0" fontId="14" fillId="0" borderId="20" xfId="0" applyFont="1" applyBorder="1" applyAlignment="1">
      <alignment vertical="center" wrapText="1"/>
    </xf>
    <xf numFmtId="164" fontId="18" fillId="23" borderId="39" xfId="3" applyNumberFormat="1" applyFont="1" applyFill="1" applyBorder="1" applyAlignment="1">
      <alignment horizontal="center" vertical="center" wrapText="1"/>
    </xf>
    <xf numFmtId="164" fontId="24" fillId="23" borderId="32" xfId="3" applyNumberFormat="1" applyFont="1" applyFill="1" applyBorder="1" applyAlignment="1">
      <alignment horizontal="center" vertical="center" wrapText="1"/>
    </xf>
    <xf numFmtId="164" fontId="18" fillId="15" borderId="53" xfId="3" applyNumberFormat="1" applyFont="1" applyFill="1" applyBorder="1" applyAlignment="1">
      <alignment horizontal="center" vertical="center" wrapText="1"/>
    </xf>
    <xf numFmtId="164" fontId="24" fillId="15" borderId="54" xfId="3" applyNumberFormat="1" applyFont="1" applyFill="1" applyBorder="1" applyAlignment="1">
      <alignment horizontal="center" vertical="center" wrapText="1"/>
    </xf>
    <xf numFmtId="0" fontId="2" fillId="0" borderId="8" xfId="8" applyFont="1" applyBorder="1" applyAlignment="1">
      <alignment vertical="center" wrapText="1"/>
    </xf>
    <xf numFmtId="0" fontId="2" fillId="0" borderId="8" xfId="8" applyFont="1" applyBorder="1" applyAlignment="1">
      <alignment horizontal="left" vertical="center" wrapText="1"/>
    </xf>
    <xf numFmtId="0" fontId="2" fillId="0" borderId="8" xfId="8" applyFont="1" applyBorder="1" applyAlignment="1">
      <alignment vertical="center"/>
    </xf>
    <xf numFmtId="0" fontId="2" fillId="0" borderId="8" xfId="8" applyFont="1" applyBorder="1" applyAlignment="1">
      <alignment horizontal="right" vertical="center" wrapText="1"/>
    </xf>
    <xf numFmtId="0" fontId="2" fillId="0" borderId="8" xfId="8" applyFont="1" applyBorder="1"/>
    <xf numFmtId="0" fontId="2" fillId="2" borderId="8" xfId="8" applyFont="1" applyFill="1" applyBorder="1" applyAlignment="1">
      <alignment vertical="center" wrapText="1"/>
    </xf>
    <xf numFmtId="0" fontId="14" fillId="0" borderId="15" xfId="3" applyFont="1" applyBorder="1" applyAlignment="1">
      <alignment horizontal="left" vertical="center" wrapText="1"/>
    </xf>
    <xf numFmtId="0" fontId="14" fillId="0" borderId="11" xfId="3" applyFont="1" applyBorder="1" applyAlignment="1">
      <alignment horizontal="left" vertical="center" wrapText="1"/>
    </xf>
    <xf numFmtId="0" fontId="18" fillId="0" borderId="15" xfId="3" applyFont="1" applyBorder="1" applyAlignment="1">
      <alignment horizontal="left" vertical="center" wrapText="1"/>
    </xf>
    <xf numFmtId="0" fontId="18" fillId="0" borderId="11" xfId="3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wrapText="1"/>
    </xf>
    <xf numFmtId="0" fontId="14" fillId="0" borderId="11" xfId="0" applyFont="1" applyBorder="1" applyAlignment="1">
      <alignment horizontal="left" wrapText="1"/>
    </xf>
    <xf numFmtId="0" fontId="14" fillId="0" borderId="15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164" fontId="18" fillId="0" borderId="30" xfId="10" applyNumberFormat="1" applyFont="1" applyBorder="1" applyAlignment="1">
      <alignment horizontal="left" vertical="center" wrapText="1"/>
    </xf>
    <xf numFmtId="164" fontId="18" fillId="0" borderId="18" xfId="10" applyNumberFormat="1" applyFont="1" applyBorder="1" applyAlignment="1">
      <alignment horizontal="left" vertical="center" wrapText="1"/>
    </xf>
    <xf numFmtId="0" fontId="14" fillId="0" borderId="36" xfId="0" applyFont="1" applyBorder="1" applyAlignment="1">
      <alignment horizontal="left" vertical="center" wrapText="1"/>
    </xf>
    <xf numFmtId="0" fontId="14" fillId="0" borderId="47" xfId="0" applyFont="1" applyBorder="1" applyAlignment="1">
      <alignment horizontal="left" vertical="center" wrapText="1"/>
    </xf>
    <xf numFmtId="0" fontId="14" fillId="0" borderId="48" xfId="0" applyFont="1" applyBorder="1" applyAlignment="1">
      <alignment horizontal="left" vertical="center" wrapText="1"/>
    </xf>
    <xf numFmtId="0" fontId="14" fillId="0" borderId="38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left" vertical="center" wrapText="1"/>
    </xf>
    <xf numFmtId="0" fontId="48" fillId="0" borderId="51" xfId="0" applyFont="1" applyBorder="1" applyAlignment="1">
      <alignment horizontal="left" vertical="center" wrapText="1"/>
    </xf>
    <xf numFmtId="0" fontId="14" fillId="0" borderId="52" xfId="0" applyFont="1" applyBorder="1" applyAlignment="1">
      <alignment horizontal="left" vertical="center" wrapText="1"/>
    </xf>
    <xf numFmtId="164" fontId="14" fillId="0" borderId="15" xfId="10" applyNumberFormat="1" applyFont="1" applyBorder="1" applyAlignment="1">
      <alignment horizontal="left" vertical="center" wrapText="1"/>
    </xf>
    <xf numFmtId="164" fontId="14" fillId="0" borderId="11" xfId="10" applyNumberFormat="1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4" fillId="0" borderId="39" xfId="0" applyFont="1" applyBorder="1" applyAlignment="1">
      <alignment horizontal="left" wrapText="1"/>
    </xf>
    <xf numFmtId="0" fontId="14" fillId="0" borderId="43" xfId="0" applyFont="1" applyBorder="1" applyAlignment="1">
      <alignment horizontal="left" wrapText="1"/>
    </xf>
    <xf numFmtId="0" fontId="14" fillId="0" borderId="44" xfId="0" applyFont="1" applyBorder="1" applyAlignment="1">
      <alignment horizontal="left" vertical="center" wrapText="1"/>
    </xf>
    <xf numFmtId="0" fontId="14" fillId="0" borderId="45" xfId="0" applyFont="1" applyBorder="1" applyAlignment="1">
      <alignment horizontal="left" vertical="center" wrapText="1"/>
    </xf>
    <xf numFmtId="0" fontId="14" fillId="10" borderId="15" xfId="0" applyFont="1" applyFill="1" applyBorder="1" applyAlignment="1">
      <alignment horizontal="left" vertical="center" wrapText="1"/>
    </xf>
    <xf numFmtId="0" fontId="14" fillId="10" borderId="21" xfId="0" applyFont="1" applyFill="1" applyBorder="1" applyAlignment="1">
      <alignment horizontal="left" vertical="center" wrapText="1"/>
    </xf>
    <xf numFmtId="0" fontId="14" fillId="10" borderId="11" xfId="0" applyFont="1" applyFill="1" applyBorder="1" applyAlignment="1">
      <alignment horizontal="left" vertical="center" wrapText="1"/>
    </xf>
    <xf numFmtId="0" fontId="48" fillId="10" borderId="15" xfId="0" applyFont="1" applyFill="1" applyBorder="1" applyAlignment="1">
      <alignment horizontal="left" vertical="center" wrapText="1"/>
    </xf>
    <xf numFmtId="164" fontId="14" fillId="2" borderId="15" xfId="3" applyNumberFormat="1" applyFont="1" applyFill="1" applyBorder="1" applyAlignment="1">
      <alignment vertical="center" wrapText="1"/>
    </xf>
    <xf numFmtId="164" fontId="14" fillId="2" borderId="21" xfId="3" applyNumberFormat="1" applyFont="1" applyFill="1" applyBorder="1" applyAlignment="1">
      <alignment vertical="center" wrapText="1"/>
    </xf>
    <xf numFmtId="164" fontId="14" fillId="2" borderId="11" xfId="3" applyNumberFormat="1" applyFont="1" applyFill="1" applyBorder="1" applyAlignment="1">
      <alignment vertical="center" wrapText="1"/>
    </xf>
    <xf numFmtId="0" fontId="14" fillId="0" borderId="15" xfId="3" applyFont="1" applyBorder="1" applyAlignment="1">
      <alignment vertical="center" wrapText="1"/>
    </xf>
    <xf numFmtId="0" fontId="14" fillId="0" borderId="11" xfId="3" applyFont="1" applyBorder="1" applyAlignment="1">
      <alignment vertical="center" wrapText="1"/>
    </xf>
    <xf numFmtId="0" fontId="14" fillId="0" borderId="15" xfId="11" applyFont="1" applyBorder="1" applyAlignment="1">
      <alignment horizontal="left" vertical="center" wrapText="1"/>
    </xf>
    <xf numFmtId="0" fontId="14" fillId="0" borderId="21" xfId="11" applyFont="1" applyBorder="1" applyAlignment="1">
      <alignment horizontal="left" vertical="center" wrapText="1"/>
    </xf>
    <xf numFmtId="0" fontId="14" fillId="0" borderId="11" xfId="11" applyFont="1" applyBorder="1" applyAlignment="1">
      <alignment horizontal="left" vertical="center" wrapText="1"/>
    </xf>
    <xf numFmtId="0" fontId="14" fillId="0" borderId="21" xfId="3" applyFont="1" applyBorder="1" applyAlignment="1">
      <alignment vertical="center" wrapText="1"/>
    </xf>
    <xf numFmtId="0" fontId="14" fillId="0" borderId="21" xfId="3" applyFont="1" applyBorder="1" applyAlignment="1">
      <alignment horizontal="left" vertical="center" wrapText="1"/>
    </xf>
    <xf numFmtId="164" fontId="14" fillId="10" borderId="15" xfId="3" applyNumberFormat="1" applyFont="1" applyFill="1" applyBorder="1" applyAlignment="1">
      <alignment horizontal="left" vertical="center" wrapText="1"/>
    </xf>
    <xf numFmtId="164" fontId="14" fillId="10" borderId="21" xfId="3" applyNumberFormat="1" applyFont="1" applyFill="1" applyBorder="1" applyAlignment="1">
      <alignment horizontal="left" vertical="center" wrapText="1"/>
    </xf>
    <xf numFmtId="164" fontId="14" fillId="10" borderId="11" xfId="3" applyNumberFormat="1" applyFont="1" applyFill="1" applyBorder="1" applyAlignment="1">
      <alignment horizontal="left" vertical="center" wrapText="1"/>
    </xf>
    <xf numFmtId="0" fontId="14" fillId="0" borderId="15" xfId="3" applyFont="1" applyBorder="1" applyAlignment="1">
      <alignment horizontal="right" vertical="center" wrapText="1"/>
    </xf>
    <xf numFmtId="0" fontId="14" fillId="0" borderId="11" xfId="3" applyFont="1" applyBorder="1" applyAlignment="1">
      <alignment horizontal="right" vertical="center" wrapText="1"/>
    </xf>
    <xf numFmtId="0" fontId="14" fillId="0" borderId="15" xfId="3" applyFont="1" applyBorder="1" applyAlignment="1">
      <alignment horizontal="right" wrapText="1"/>
    </xf>
    <xf numFmtId="0" fontId="14" fillId="0" borderId="11" xfId="3" applyFont="1" applyBorder="1" applyAlignment="1">
      <alignment horizontal="right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8" fillId="0" borderId="35" xfId="3" applyFont="1" applyBorder="1" applyAlignment="1">
      <alignment horizontal="left" vertical="top" wrapText="1"/>
    </xf>
    <xf numFmtId="0" fontId="18" fillId="0" borderId="11" xfId="3" applyFont="1" applyBorder="1" applyAlignment="1">
      <alignment horizontal="left" vertical="top" wrapText="1"/>
    </xf>
    <xf numFmtId="0" fontId="18" fillId="0" borderId="38" xfId="3" applyFont="1" applyBorder="1" applyAlignment="1">
      <alignment horizontal="left" vertical="center" wrapText="1"/>
    </xf>
    <xf numFmtId="0" fontId="18" fillId="0" borderId="30" xfId="3" applyFont="1" applyBorder="1" applyAlignment="1">
      <alignment horizontal="left" vertical="center" wrapText="1"/>
    </xf>
    <xf numFmtId="0" fontId="18" fillId="0" borderId="21" xfId="3" applyFont="1" applyBorder="1" applyAlignment="1">
      <alignment horizontal="left" vertical="center" wrapText="1"/>
    </xf>
    <xf numFmtId="0" fontId="14" fillId="2" borderId="15" xfId="3" applyFont="1" applyFill="1" applyBorder="1" applyAlignment="1">
      <alignment horizontal="left" vertical="center" wrapText="1"/>
    </xf>
    <xf numFmtId="0" fontId="14" fillId="2" borderId="21" xfId="3" applyFont="1" applyFill="1" applyBorder="1" applyAlignment="1">
      <alignment horizontal="left" vertical="center" wrapText="1"/>
    </xf>
    <xf numFmtId="0" fontId="14" fillId="2" borderId="11" xfId="3" applyFont="1" applyFill="1" applyBorder="1" applyAlignment="1">
      <alignment horizontal="left" vertical="center" wrapText="1"/>
    </xf>
    <xf numFmtId="0" fontId="14" fillId="0" borderId="8" xfId="3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3" fontId="14" fillId="0" borderId="13" xfId="0" applyNumberFormat="1" applyFont="1" applyBorder="1" applyAlignment="1">
      <alignment horizontal="center" vertical="center" wrapText="1"/>
    </xf>
    <xf numFmtId="164" fontId="15" fillId="17" borderId="8" xfId="3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textRotation="90" wrapText="1"/>
    </xf>
    <xf numFmtId="0" fontId="14" fillId="0" borderId="12" xfId="0" applyFont="1" applyBorder="1" applyAlignment="1">
      <alignment horizontal="center" vertical="center" textRotation="90" wrapText="1"/>
    </xf>
    <xf numFmtId="0" fontId="14" fillId="0" borderId="5" xfId="0" applyFont="1" applyBorder="1" applyAlignment="1">
      <alignment horizontal="center" vertical="center" textRotation="90" wrapText="1"/>
    </xf>
    <xf numFmtId="0" fontId="14" fillId="0" borderId="13" xfId="0" applyFont="1" applyBorder="1" applyAlignment="1">
      <alignment horizontal="center" vertical="center" textRotation="90" wrapText="1"/>
    </xf>
    <xf numFmtId="0" fontId="14" fillId="0" borderId="23" xfId="0" applyFont="1" applyBorder="1" applyAlignment="1">
      <alignment vertical="center" wrapText="1"/>
    </xf>
    <xf numFmtId="0" fontId="14" fillId="0" borderId="26" xfId="0" applyFont="1" applyBorder="1" applyAlignment="1">
      <alignment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textRotation="90" wrapText="1"/>
    </xf>
    <xf numFmtId="0" fontId="14" fillId="3" borderId="28" xfId="0" applyFont="1" applyFill="1" applyBorder="1" applyAlignment="1">
      <alignment horizontal="center" vertical="center" textRotation="90" wrapText="1"/>
    </xf>
    <xf numFmtId="3" fontId="14" fillId="0" borderId="5" xfId="0" applyNumberFormat="1" applyFont="1" applyBorder="1" applyAlignment="1">
      <alignment horizontal="center" vertical="center" textRotation="90" wrapText="1"/>
    </xf>
    <xf numFmtId="3" fontId="14" fillId="0" borderId="13" xfId="0" applyNumberFormat="1" applyFont="1" applyBorder="1" applyAlignment="1">
      <alignment horizontal="center" vertical="center" textRotation="90" wrapText="1"/>
    </xf>
    <xf numFmtId="0" fontId="43" fillId="0" borderId="15" xfId="0" applyFont="1" applyBorder="1" applyAlignment="1">
      <alignment wrapText="1"/>
    </xf>
    <xf numFmtId="0" fontId="43" fillId="0" borderId="11" xfId="0" applyFont="1" applyBorder="1" applyAlignment="1">
      <alignment wrapText="1"/>
    </xf>
    <xf numFmtId="0" fontId="43" fillId="0" borderId="17" xfId="0" applyFont="1" applyBorder="1" applyAlignment="1">
      <alignment wrapText="1"/>
    </xf>
    <xf numFmtId="0" fontId="43" fillId="0" borderId="49" xfId="0" applyFont="1" applyBorder="1" applyAlignment="1">
      <alignment wrapText="1"/>
    </xf>
    <xf numFmtId="0" fontId="43" fillId="0" borderId="21" xfId="0" applyFont="1" applyBorder="1" applyAlignment="1">
      <alignment wrapText="1"/>
    </xf>
    <xf numFmtId="0" fontId="43" fillId="0" borderId="50" xfId="0" applyFont="1" applyBorder="1" applyAlignment="1">
      <alignment wrapText="1"/>
    </xf>
    <xf numFmtId="0" fontId="43" fillId="0" borderId="16" xfId="0" applyFont="1" applyBorder="1" applyAlignment="1">
      <alignment wrapText="1"/>
    </xf>
    <xf numFmtId="0" fontId="43" fillId="28" borderId="20" xfId="0" applyFont="1" applyFill="1" applyBorder="1" applyAlignment="1">
      <alignment wrapText="1"/>
    </xf>
    <xf numFmtId="0" fontId="43" fillId="28" borderId="47" xfId="0" applyFont="1" applyFill="1" applyBorder="1" applyAlignment="1">
      <alignment wrapText="1"/>
    </xf>
    <xf numFmtId="0" fontId="43" fillId="28" borderId="36" xfId="0" applyFont="1" applyFill="1" applyBorder="1" applyAlignment="1">
      <alignment wrapText="1"/>
    </xf>
  </cellXfs>
  <cellStyles count="23">
    <cellStyle name="Hipersaitas" xfId="16" builtinId="8"/>
    <cellStyle name="Įprastas" xfId="0" builtinId="0"/>
    <cellStyle name="Įprastas 10 2 2 2 2" xfId="12" xr:uid="{D78F32D0-585F-4267-A4A0-D31A37074FB6}"/>
    <cellStyle name="Įprastas 10 2 2 2 3" xfId="18" xr:uid="{01CB3727-F344-4980-AB7D-1467DAB4F4B1}"/>
    <cellStyle name="Įprastas 10 2 2 2 4" xfId="8" xr:uid="{5960026F-A2B3-4930-B46E-0691E1B6C408}"/>
    <cellStyle name="Įprastas 2 2" xfId="3" xr:uid="{F9ADD20A-130E-4CF8-8E95-A574A1D13DE3}"/>
    <cellStyle name="Įprastas 2 3" xfId="14" xr:uid="{1C73A921-F4C5-42DD-82C5-E17285ABF91F}"/>
    <cellStyle name="Įprastas 2 3 3" xfId="4" xr:uid="{CAE711AE-F15F-49D0-9A34-F5C556C938A2}"/>
    <cellStyle name="Įprastas 2 5" xfId="17" xr:uid="{91E70D3B-3767-49D3-B56A-57EE48572012}"/>
    <cellStyle name="Įprastas 2 6" xfId="1" xr:uid="{86F2ACF4-7643-456B-8410-0C15622C6553}"/>
    <cellStyle name="Įprastas 3 3" xfId="15" xr:uid="{F9DF598B-B821-4F6B-8012-D1DEFAA4C0A7}"/>
    <cellStyle name="Įprastas 4 2 2 2 2 2 2" xfId="10" xr:uid="{3886B98B-8AFC-48D0-98E5-45D0C4223645}"/>
    <cellStyle name="Įprastas 4 2 2 2 3" xfId="9" xr:uid="{0AD2D522-5C0B-4B38-8C26-33A1538A9E41}"/>
    <cellStyle name="Įprastas 4 2 3" xfId="11" xr:uid="{B878BD93-91AF-4E00-AE52-AB6EA84FD9C6}"/>
    <cellStyle name="Įprastas 4 3" xfId="13" xr:uid="{345E74B6-F196-45B6-A17D-E33C503CE915}"/>
    <cellStyle name="Įprastas 5 2" xfId="5" xr:uid="{DD84A9A7-9801-4AFA-8E1A-9DA05D79368C}"/>
    <cellStyle name="Įprastas 6 2" xfId="6" xr:uid="{0681369F-3F45-4D89-93CA-1EB58E493348}"/>
    <cellStyle name="Kablelis 2" xfId="20" xr:uid="{F13B573C-6E5B-41D2-BA86-0D8DDF0843CB}"/>
    <cellStyle name="Procentai 2" xfId="7" xr:uid="{4EFF6A91-A57E-4680-B76F-E085075AB106}"/>
    <cellStyle name="Procentai 2 3" xfId="19" xr:uid="{FEAA415F-6CCF-4719-8903-4A91A569D79A}"/>
    <cellStyle name="Procentai 2 4" xfId="2" xr:uid="{20A810FC-C80D-4B6C-8CDB-635DFBC753B3}"/>
    <cellStyle name="Procentai 3" xfId="21" xr:uid="{6FB83330-9815-49A5-B273-2DEA8FDED102}"/>
    <cellStyle name="Procentai 3 2" xfId="22" xr:uid="{C913905D-A782-4F68-9E7B-4DFD58682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982FB-819C-4BBC-A853-D6D245751CC0}">
  <dimension ref="B1:D108"/>
  <sheetViews>
    <sheetView topLeftCell="B19" workbookViewId="0">
      <selection activeCell="B24" sqref="B24"/>
    </sheetView>
  </sheetViews>
  <sheetFormatPr defaultRowHeight="12.75"/>
  <cols>
    <col min="2" max="2" width="45.28515625" customWidth="1"/>
    <col min="3" max="3" width="12.85546875" style="19" customWidth="1"/>
    <col min="4" max="4" width="23.85546875" customWidth="1"/>
  </cols>
  <sheetData>
    <row r="1" spans="2:4" ht="13.5" thickBot="1">
      <c r="C1"/>
    </row>
    <row r="2" spans="2:4" ht="30.75" thickBot="1">
      <c r="B2" s="1" t="s">
        <v>0</v>
      </c>
      <c r="C2" s="2" t="s">
        <v>1</v>
      </c>
      <c r="D2" s="3" t="s">
        <v>2</v>
      </c>
    </row>
    <row r="3" spans="2:4" ht="24.75" customHeight="1">
      <c r="B3" s="4"/>
      <c r="C3" s="5"/>
      <c r="D3" s="6"/>
    </row>
    <row r="4" spans="2:4" ht="25.5" customHeight="1">
      <c r="B4" s="7" t="s">
        <v>3</v>
      </c>
      <c r="C4" s="8">
        <v>1</v>
      </c>
      <c r="D4" s="9" t="s">
        <v>4</v>
      </c>
    </row>
    <row r="5" spans="2:4" ht="25.5" customHeight="1">
      <c r="B5" s="10" t="s">
        <v>5</v>
      </c>
      <c r="C5" s="8">
        <v>2</v>
      </c>
      <c r="D5" s="9" t="s">
        <v>6</v>
      </c>
    </row>
    <row r="6" spans="2:4" ht="25.5" customHeight="1">
      <c r="B6" s="10" t="s">
        <v>7</v>
      </c>
      <c r="C6" s="8">
        <v>3</v>
      </c>
      <c r="D6" s="9" t="s">
        <v>8</v>
      </c>
    </row>
    <row r="7" spans="2:4" ht="25.5" customHeight="1">
      <c r="B7" s="10" t="s">
        <v>9</v>
      </c>
      <c r="C7" s="8">
        <v>4</v>
      </c>
      <c r="D7" s="9" t="s">
        <v>10</v>
      </c>
    </row>
    <row r="8" spans="2:4" ht="25.5" customHeight="1">
      <c r="B8" s="10" t="s">
        <v>11</v>
      </c>
      <c r="C8" s="8">
        <v>5</v>
      </c>
      <c r="D8" s="9" t="s">
        <v>12</v>
      </c>
    </row>
    <row r="9" spans="2:4" ht="25.5" customHeight="1">
      <c r="B9" s="10" t="s">
        <v>13</v>
      </c>
      <c r="C9" s="8">
        <v>6</v>
      </c>
      <c r="D9" s="9" t="s">
        <v>14</v>
      </c>
    </row>
    <row r="10" spans="2:4" ht="25.5" customHeight="1">
      <c r="B10" s="10" t="s">
        <v>15</v>
      </c>
      <c r="C10" s="8">
        <v>7</v>
      </c>
      <c r="D10" s="9" t="s">
        <v>16</v>
      </c>
    </row>
    <row r="11" spans="2:4" ht="25.5" customHeight="1">
      <c r="B11" s="10" t="s">
        <v>17</v>
      </c>
      <c r="C11" s="8" t="s">
        <v>18</v>
      </c>
      <c r="D11" s="11" t="s">
        <v>19</v>
      </c>
    </row>
    <row r="12" spans="2:4" ht="25.5" customHeight="1">
      <c r="B12" s="12" t="s">
        <v>20</v>
      </c>
      <c r="C12" s="13" t="s">
        <v>21</v>
      </c>
      <c r="D12" s="11" t="s">
        <v>19</v>
      </c>
    </row>
    <row r="13" spans="2:4" ht="25.5" customHeight="1">
      <c r="B13" s="10" t="s">
        <v>22</v>
      </c>
      <c r="C13" s="8" t="s">
        <v>23</v>
      </c>
      <c r="D13" s="11" t="s">
        <v>19</v>
      </c>
    </row>
    <row r="14" spans="2:4" ht="25.5" customHeight="1">
      <c r="B14" s="10" t="s">
        <v>24</v>
      </c>
      <c r="C14" s="8" t="s">
        <v>25</v>
      </c>
      <c r="D14" s="11" t="s">
        <v>19</v>
      </c>
    </row>
    <row r="15" spans="2:4" ht="25.5" customHeight="1">
      <c r="B15" s="10" t="s">
        <v>26</v>
      </c>
      <c r="C15" s="8" t="s">
        <v>27</v>
      </c>
      <c r="D15" s="11" t="s">
        <v>19</v>
      </c>
    </row>
    <row r="16" spans="2:4" ht="25.5" customHeight="1">
      <c r="B16" s="10" t="s">
        <v>28</v>
      </c>
      <c r="C16" s="8" t="s">
        <v>29</v>
      </c>
      <c r="D16" s="11" t="s">
        <v>19</v>
      </c>
    </row>
    <row r="17" spans="2:4" ht="25.5" customHeight="1">
      <c r="B17" s="10" t="s">
        <v>30</v>
      </c>
      <c r="C17" s="8" t="s">
        <v>31</v>
      </c>
      <c r="D17" s="11" t="s">
        <v>19</v>
      </c>
    </row>
    <row r="18" spans="2:4" ht="25.5" customHeight="1">
      <c r="B18" s="10" t="s">
        <v>32</v>
      </c>
      <c r="C18" s="8" t="s">
        <v>33</v>
      </c>
      <c r="D18" s="11" t="s">
        <v>19</v>
      </c>
    </row>
    <row r="19" spans="2:4" ht="25.5" customHeight="1">
      <c r="B19" s="10" t="s">
        <v>34</v>
      </c>
      <c r="C19" s="8" t="s">
        <v>35</v>
      </c>
      <c r="D19" s="11" t="s">
        <v>19</v>
      </c>
    </row>
    <row r="20" spans="2:4" ht="25.5" customHeight="1">
      <c r="B20" s="10" t="s">
        <v>36</v>
      </c>
      <c r="C20" s="8" t="s">
        <v>37</v>
      </c>
      <c r="D20" s="11" t="s">
        <v>19</v>
      </c>
    </row>
    <row r="21" spans="2:4" ht="25.5" customHeight="1">
      <c r="B21" s="10" t="s">
        <v>38</v>
      </c>
      <c r="C21" s="8">
        <v>8</v>
      </c>
      <c r="D21" s="9" t="s">
        <v>39</v>
      </c>
    </row>
    <row r="22" spans="2:4" ht="25.5" customHeight="1">
      <c r="B22" s="10" t="s">
        <v>40</v>
      </c>
      <c r="C22" s="8" t="s">
        <v>41</v>
      </c>
      <c r="D22" s="11" t="s">
        <v>19</v>
      </c>
    </row>
    <row r="23" spans="2:4" ht="25.5" customHeight="1">
      <c r="B23" s="10" t="s">
        <v>42</v>
      </c>
      <c r="C23" s="8" t="s">
        <v>43</v>
      </c>
      <c r="D23" s="11" t="s">
        <v>19</v>
      </c>
    </row>
    <row r="24" spans="2:4" ht="25.5" customHeight="1">
      <c r="B24" s="10" t="s">
        <v>44</v>
      </c>
      <c r="C24" s="8" t="s">
        <v>45</v>
      </c>
      <c r="D24" s="11" t="s">
        <v>19</v>
      </c>
    </row>
    <row r="25" spans="2:4" ht="25.5" customHeight="1">
      <c r="B25" s="10" t="s">
        <v>46</v>
      </c>
      <c r="C25" s="8" t="s">
        <v>47</v>
      </c>
      <c r="D25" s="11" t="s">
        <v>19</v>
      </c>
    </row>
    <row r="26" spans="2:4" ht="25.5" customHeight="1">
      <c r="B26" s="10" t="s">
        <v>48</v>
      </c>
      <c r="C26" s="8" t="s">
        <v>49</v>
      </c>
      <c r="D26" s="11" t="s">
        <v>19</v>
      </c>
    </row>
    <row r="27" spans="2:4" ht="25.5" customHeight="1">
      <c r="B27" s="10" t="s">
        <v>50</v>
      </c>
      <c r="C27" s="8" t="s">
        <v>51</v>
      </c>
      <c r="D27" s="11" t="s">
        <v>19</v>
      </c>
    </row>
    <row r="28" spans="2:4" ht="25.5" customHeight="1">
      <c r="B28" s="10" t="s">
        <v>52</v>
      </c>
      <c r="C28" s="8" t="s">
        <v>53</v>
      </c>
      <c r="D28" s="11" t="s">
        <v>19</v>
      </c>
    </row>
    <row r="29" spans="2:4" ht="25.5" customHeight="1">
      <c r="B29" s="10" t="s">
        <v>54</v>
      </c>
      <c r="C29" s="8" t="s">
        <v>55</v>
      </c>
      <c r="D29" s="11" t="s">
        <v>19</v>
      </c>
    </row>
    <row r="30" spans="2:4" ht="25.5" customHeight="1">
      <c r="B30" s="10" t="s">
        <v>56</v>
      </c>
      <c r="C30" s="8">
        <v>9</v>
      </c>
      <c r="D30" s="9" t="s">
        <v>57</v>
      </c>
    </row>
    <row r="31" spans="2:4" ht="25.5" customHeight="1">
      <c r="B31" s="10" t="s">
        <v>58</v>
      </c>
      <c r="C31" s="8" t="s">
        <v>59</v>
      </c>
      <c r="D31" s="9" t="s">
        <v>60</v>
      </c>
    </row>
    <row r="32" spans="2:4" ht="25.5" customHeight="1">
      <c r="B32" s="10" t="s">
        <v>61</v>
      </c>
      <c r="C32" s="8" t="s">
        <v>62</v>
      </c>
      <c r="D32" s="11" t="s">
        <v>19</v>
      </c>
    </row>
    <row r="33" spans="2:4" ht="25.5" customHeight="1">
      <c r="B33" s="10" t="s">
        <v>63</v>
      </c>
      <c r="C33" s="8" t="s">
        <v>64</v>
      </c>
      <c r="D33" s="11" t="s">
        <v>19</v>
      </c>
    </row>
    <row r="34" spans="2:4" ht="25.5" customHeight="1">
      <c r="B34" s="14" t="s">
        <v>65</v>
      </c>
      <c r="C34" s="8">
        <v>10</v>
      </c>
      <c r="D34" s="9" t="s">
        <v>66</v>
      </c>
    </row>
    <row r="35" spans="2:4" ht="25.5" customHeight="1">
      <c r="B35" s="10" t="s">
        <v>67</v>
      </c>
      <c r="C35" s="8">
        <v>11</v>
      </c>
      <c r="D35" s="9" t="s">
        <v>68</v>
      </c>
    </row>
    <row r="36" spans="2:4" ht="25.5" customHeight="1">
      <c r="B36" s="10" t="s">
        <v>69</v>
      </c>
      <c r="C36" s="8" t="s">
        <v>70</v>
      </c>
      <c r="D36" s="11" t="s">
        <v>19</v>
      </c>
    </row>
    <row r="37" spans="2:4" ht="25.5" customHeight="1">
      <c r="B37" s="10" t="s">
        <v>71</v>
      </c>
      <c r="C37" s="8" t="s">
        <v>72</v>
      </c>
      <c r="D37" s="11" t="s">
        <v>19</v>
      </c>
    </row>
    <row r="38" spans="2:4" ht="25.5" customHeight="1">
      <c r="B38" s="10" t="s">
        <v>73</v>
      </c>
      <c r="C38" s="8" t="s">
        <v>74</v>
      </c>
      <c r="D38" s="11" t="s">
        <v>19</v>
      </c>
    </row>
    <row r="39" spans="2:4" ht="25.5" customHeight="1">
      <c r="B39" s="10" t="s">
        <v>75</v>
      </c>
      <c r="C39" s="8" t="s">
        <v>76</v>
      </c>
      <c r="D39" s="11" t="s">
        <v>19</v>
      </c>
    </row>
    <row r="40" spans="2:4" ht="25.5" customHeight="1">
      <c r="B40" s="10" t="s">
        <v>77</v>
      </c>
      <c r="C40" s="8" t="s">
        <v>78</v>
      </c>
      <c r="D40" s="11" t="s">
        <v>19</v>
      </c>
    </row>
    <row r="41" spans="2:4" ht="25.5" customHeight="1">
      <c r="B41" s="10" t="s">
        <v>79</v>
      </c>
      <c r="C41" s="8" t="s">
        <v>80</v>
      </c>
      <c r="D41" s="11" t="s">
        <v>19</v>
      </c>
    </row>
    <row r="42" spans="2:4" ht="25.5" customHeight="1">
      <c r="B42" s="10" t="s">
        <v>81</v>
      </c>
      <c r="C42" s="8" t="s">
        <v>82</v>
      </c>
      <c r="D42" s="11" t="s">
        <v>19</v>
      </c>
    </row>
    <row r="43" spans="2:4" ht="25.5" customHeight="1">
      <c r="B43" s="10" t="s">
        <v>83</v>
      </c>
      <c r="C43" s="8" t="s">
        <v>84</v>
      </c>
      <c r="D43" s="11" t="s">
        <v>19</v>
      </c>
    </row>
    <row r="44" spans="2:4" ht="25.5" customHeight="1">
      <c r="B44" s="10" t="s">
        <v>85</v>
      </c>
      <c r="C44" s="8" t="s">
        <v>86</v>
      </c>
      <c r="D44" s="11" t="s">
        <v>19</v>
      </c>
    </row>
    <row r="45" spans="2:4" ht="25.5" customHeight="1">
      <c r="B45" s="10" t="s">
        <v>87</v>
      </c>
      <c r="C45" s="8" t="s">
        <v>88</v>
      </c>
      <c r="D45" s="11" t="s">
        <v>19</v>
      </c>
    </row>
    <row r="46" spans="2:4" ht="25.5" customHeight="1">
      <c r="B46" s="10" t="s">
        <v>89</v>
      </c>
      <c r="C46" s="8" t="s">
        <v>90</v>
      </c>
      <c r="D46" s="11" t="s">
        <v>19</v>
      </c>
    </row>
    <row r="47" spans="2:4" ht="25.5" customHeight="1">
      <c r="B47" s="10" t="s">
        <v>91</v>
      </c>
      <c r="C47" s="8" t="s">
        <v>92</v>
      </c>
      <c r="D47" s="11" t="s">
        <v>19</v>
      </c>
    </row>
    <row r="48" spans="2:4" ht="25.5" customHeight="1">
      <c r="B48" s="10" t="s">
        <v>93</v>
      </c>
      <c r="C48" s="8" t="s">
        <v>94</v>
      </c>
      <c r="D48" s="11" t="s">
        <v>19</v>
      </c>
    </row>
    <row r="49" spans="2:4" ht="25.5" customHeight="1">
      <c r="B49" s="10" t="s">
        <v>95</v>
      </c>
      <c r="C49" s="8" t="s">
        <v>96</v>
      </c>
      <c r="D49" s="11" t="s">
        <v>19</v>
      </c>
    </row>
    <row r="50" spans="2:4" ht="25.5" customHeight="1">
      <c r="B50" s="10" t="s">
        <v>97</v>
      </c>
      <c r="C50" s="8" t="s">
        <v>98</v>
      </c>
      <c r="D50" s="11" t="s">
        <v>19</v>
      </c>
    </row>
    <row r="51" spans="2:4" ht="25.5" customHeight="1">
      <c r="B51" s="10" t="s">
        <v>99</v>
      </c>
      <c r="C51" s="8" t="s">
        <v>100</v>
      </c>
      <c r="D51" s="11" t="s">
        <v>19</v>
      </c>
    </row>
    <row r="52" spans="2:4" ht="25.5" customHeight="1">
      <c r="B52" s="10" t="s">
        <v>101</v>
      </c>
      <c r="C52" s="8" t="s">
        <v>102</v>
      </c>
      <c r="D52" s="11" t="s">
        <v>19</v>
      </c>
    </row>
    <row r="53" spans="2:4" ht="25.5" customHeight="1">
      <c r="B53" s="10" t="s">
        <v>103</v>
      </c>
      <c r="C53" s="8" t="s">
        <v>104</v>
      </c>
      <c r="D53" s="11" t="s">
        <v>19</v>
      </c>
    </row>
    <row r="54" spans="2:4" ht="25.5" customHeight="1">
      <c r="B54" s="10" t="s">
        <v>105</v>
      </c>
      <c r="C54" s="8" t="s">
        <v>106</v>
      </c>
      <c r="D54" s="11" t="s">
        <v>19</v>
      </c>
    </row>
    <row r="55" spans="2:4" ht="25.5" customHeight="1">
      <c r="B55" s="10" t="s">
        <v>107</v>
      </c>
      <c r="C55" s="8" t="s">
        <v>108</v>
      </c>
      <c r="D55" s="11" t="s">
        <v>19</v>
      </c>
    </row>
    <row r="56" spans="2:4" ht="25.5" customHeight="1">
      <c r="B56" s="10" t="s">
        <v>109</v>
      </c>
      <c r="C56" s="8" t="s">
        <v>110</v>
      </c>
      <c r="D56" s="11" t="s">
        <v>19</v>
      </c>
    </row>
    <row r="57" spans="2:4" ht="25.5" customHeight="1">
      <c r="B57" s="10" t="s">
        <v>111</v>
      </c>
      <c r="C57" s="8" t="s">
        <v>112</v>
      </c>
      <c r="D57" s="11" t="s">
        <v>19</v>
      </c>
    </row>
    <row r="58" spans="2:4" ht="25.5" customHeight="1">
      <c r="B58" s="10" t="s">
        <v>113</v>
      </c>
      <c r="C58" s="8" t="s">
        <v>114</v>
      </c>
      <c r="D58" s="11" t="s">
        <v>19</v>
      </c>
    </row>
    <row r="59" spans="2:4" ht="25.5" customHeight="1">
      <c r="B59" s="10" t="s">
        <v>115</v>
      </c>
      <c r="C59" s="8" t="s">
        <v>116</v>
      </c>
      <c r="D59" s="11" t="s">
        <v>19</v>
      </c>
    </row>
    <row r="60" spans="2:4" ht="25.5" customHeight="1">
      <c r="B60" s="10" t="s">
        <v>117</v>
      </c>
      <c r="C60" s="8" t="s">
        <v>118</v>
      </c>
      <c r="D60" s="11" t="s">
        <v>19</v>
      </c>
    </row>
    <row r="61" spans="2:4" ht="25.5" customHeight="1">
      <c r="B61" s="10" t="s">
        <v>119</v>
      </c>
      <c r="C61" s="8" t="s">
        <v>120</v>
      </c>
      <c r="D61" s="11" t="s">
        <v>19</v>
      </c>
    </row>
    <row r="62" spans="2:4" ht="25.5" customHeight="1">
      <c r="B62" s="10" t="s">
        <v>121</v>
      </c>
      <c r="C62" s="8" t="s">
        <v>122</v>
      </c>
      <c r="D62" s="11" t="s">
        <v>19</v>
      </c>
    </row>
    <row r="63" spans="2:4" ht="25.5" customHeight="1">
      <c r="B63" s="10" t="s">
        <v>123</v>
      </c>
      <c r="C63" s="8">
        <v>12</v>
      </c>
      <c r="D63" s="9" t="s">
        <v>124</v>
      </c>
    </row>
    <row r="64" spans="2:4" ht="25.5" customHeight="1">
      <c r="B64" s="10" t="s">
        <v>125</v>
      </c>
      <c r="C64" s="8">
        <v>13</v>
      </c>
      <c r="D64" s="9" t="s">
        <v>126</v>
      </c>
    </row>
    <row r="65" spans="2:4" ht="25.5" customHeight="1">
      <c r="B65" s="10" t="s">
        <v>127</v>
      </c>
      <c r="C65" s="8">
        <v>14</v>
      </c>
      <c r="D65" s="9" t="s">
        <v>128</v>
      </c>
    </row>
    <row r="66" spans="2:4" ht="25.5" customHeight="1">
      <c r="B66" s="10" t="s">
        <v>129</v>
      </c>
      <c r="C66" s="8">
        <v>15</v>
      </c>
      <c r="D66" s="9" t="s">
        <v>130</v>
      </c>
    </row>
    <row r="67" spans="2:4" ht="25.5" customHeight="1">
      <c r="B67" s="10" t="s">
        <v>131</v>
      </c>
      <c r="C67" s="8" t="s">
        <v>132</v>
      </c>
      <c r="D67" s="11" t="s">
        <v>19</v>
      </c>
    </row>
    <row r="68" spans="2:4" ht="25.5" customHeight="1">
      <c r="B68" s="10" t="s">
        <v>133</v>
      </c>
      <c r="C68" s="8">
        <v>16</v>
      </c>
      <c r="D68" s="11" t="s">
        <v>134</v>
      </c>
    </row>
    <row r="69" spans="2:4" ht="25.5" customHeight="1">
      <c r="B69" s="10" t="s">
        <v>135</v>
      </c>
      <c r="C69" s="8" t="s">
        <v>136</v>
      </c>
      <c r="D69" s="11" t="s">
        <v>19</v>
      </c>
    </row>
    <row r="70" spans="2:4" ht="25.5" customHeight="1">
      <c r="B70" s="10" t="s">
        <v>137</v>
      </c>
      <c r="C70" s="8">
        <v>17</v>
      </c>
      <c r="D70" s="11" t="s">
        <v>138</v>
      </c>
    </row>
    <row r="71" spans="2:4" ht="25.5" customHeight="1">
      <c r="B71" s="10" t="s">
        <v>139</v>
      </c>
      <c r="C71" s="8">
        <v>18</v>
      </c>
      <c r="D71" s="9" t="s">
        <v>140</v>
      </c>
    </row>
    <row r="72" spans="2:4" ht="25.5" customHeight="1">
      <c r="B72" s="10" t="s">
        <v>141</v>
      </c>
      <c r="C72" s="8" t="s">
        <v>142</v>
      </c>
      <c r="D72" s="11" t="s">
        <v>19</v>
      </c>
    </row>
    <row r="73" spans="2:4" ht="25.5" customHeight="1">
      <c r="B73" s="10" t="s">
        <v>143</v>
      </c>
      <c r="C73" s="8">
        <v>19</v>
      </c>
      <c r="D73" s="11" t="s">
        <v>19</v>
      </c>
    </row>
    <row r="74" spans="2:4" ht="25.5" customHeight="1">
      <c r="B74" s="10" t="s">
        <v>144</v>
      </c>
      <c r="C74" s="8">
        <v>20</v>
      </c>
      <c r="D74" s="11" t="s">
        <v>19</v>
      </c>
    </row>
    <row r="75" spans="2:4" ht="25.5" customHeight="1">
      <c r="B75" s="10" t="s">
        <v>145</v>
      </c>
      <c r="C75" s="8">
        <v>21</v>
      </c>
      <c r="D75" s="11" t="s">
        <v>19</v>
      </c>
    </row>
    <row r="76" spans="2:4" ht="25.5" customHeight="1">
      <c r="B76" s="10" t="s">
        <v>146</v>
      </c>
      <c r="C76" s="8">
        <v>22</v>
      </c>
      <c r="D76" s="11" t="s">
        <v>19</v>
      </c>
    </row>
    <row r="77" spans="2:4" ht="25.5" customHeight="1">
      <c r="B77" s="10" t="s">
        <v>147</v>
      </c>
      <c r="C77" s="8">
        <v>23</v>
      </c>
      <c r="D77" s="11" t="s">
        <v>19</v>
      </c>
    </row>
    <row r="78" spans="2:4" ht="25.5" customHeight="1">
      <c r="B78" s="10" t="s">
        <v>148</v>
      </c>
      <c r="C78" s="8">
        <v>24</v>
      </c>
      <c r="D78" s="11" t="s">
        <v>19</v>
      </c>
    </row>
    <row r="79" spans="2:4" ht="25.5" customHeight="1">
      <c r="B79" s="10" t="s">
        <v>149</v>
      </c>
      <c r="C79" s="8">
        <v>25</v>
      </c>
      <c r="D79" s="11" t="s">
        <v>19</v>
      </c>
    </row>
    <row r="80" spans="2:4" ht="25.5" customHeight="1">
      <c r="B80" s="10" t="s">
        <v>150</v>
      </c>
      <c r="C80" s="8">
        <v>26</v>
      </c>
      <c r="D80" s="11" t="s">
        <v>19</v>
      </c>
    </row>
    <row r="81" spans="2:4" ht="25.5" customHeight="1">
      <c r="B81" s="10" t="s">
        <v>151</v>
      </c>
      <c r="C81" s="8">
        <v>27</v>
      </c>
      <c r="D81" s="11" t="s">
        <v>19</v>
      </c>
    </row>
    <row r="82" spans="2:4" ht="25.5" customHeight="1">
      <c r="B82" s="10" t="s">
        <v>152</v>
      </c>
      <c r="C82" s="8">
        <v>28</v>
      </c>
      <c r="D82" s="11" t="s">
        <v>19</v>
      </c>
    </row>
    <row r="83" spans="2:4" ht="25.5" customHeight="1">
      <c r="B83" s="10" t="s">
        <v>153</v>
      </c>
      <c r="C83" s="8">
        <v>29</v>
      </c>
      <c r="D83" s="11" t="s">
        <v>19</v>
      </c>
    </row>
    <row r="84" spans="2:4" ht="25.5" customHeight="1">
      <c r="B84" s="10" t="s">
        <v>154</v>
      </c>
      <c r="C84" s="8">
        <v>30</v>
      </c>
      <c r="D84" s="11" t="s">
        <v>19</v>
      </c>
    </row>
    <row r="85" spans="2:4" ht="25.5" customHeight="1">
      <c r="B85" s="10" t="s">
        <v>155</v>
      </c>
      <c r="C85" s="8">
        <v>31</v>
      </c>
      <c r="D85" s="11" t="s">
        <v>19</v>
      </c>
    </row>
    <row r="86" spans="2:4" ht="25.5" customHeight="1">
      <c r="B86" s="10" t="s">
        <v>156</v>
      </c>
      <c r="C86" s="8">
        <v>32</v>
      </c>
      <c r="D86" s="9" t="s">
        <v>157</v>
      </c>
    </row>
    <row r="87" spans="2:4" ht="25.5" customHeight="1">
      <c r="B87" s="10" t="s">
        <v>158</v>
      </c>
      <c r="C87" s="8">
        <v>33</v>
      </c>
      <c r="D87" s="9" t="s">
        <v>159</v>
      </c>
    </row>
    <row r="88" spans="2:4" ht="25.5" customHeight="1">
      <c r="B88" s="10" t="s">
        <v>160</v>
      </c>
      <c r="C88" s="8">
        <v>34</v>
      </c>
      <c r="D88" s="9" t="s">
        <v>161</v>
      </c>
    </row>
    <row r="89" spans="2:4" ht="25.5" customHeight="1">
      <c r="B89" s="10" t="s">
        <v>162</v>
      </c>
      <c r="C89" s="8">
        <v>35</v>
      </c>
      <c r="D89" s="11" t="s">
        <v>163</v>
      </c>
    </row>
    <row r="90" spans="2:4" ht="25.5" customHeight="1">
      <c r="B90" s="10" t="s">
        <v>164</v>
      </c>
      <c r="C90" s="8">
        <v>36</v>
      </c>
      <c r="D90" s="9" t="s">
        <v>165</v>
      </c>
    </row>
    <row r="91" spans="2:4" ht="40.5" customHeight="1">
      <c r="B91" s="10" t="s">
        <v>166</v>
      </c>
      <c r="C91" s="15">
        <v>37</v>
      </c>
      <c r="D91" s="11" t="s">
        <v>167</v>
      </c>
    </row>
    <row r="92" spans="2:4" ht="40.5" customHeight="1" thickBot="1">
      <c r="B92" s="16" t="s">
        <v>168</v>
      </c>
      <c r="C92" s="17">
        <v>38</v>
      </c>
      <c r="D92" s="18" t="s">
        <v>169</v>
      </c>
    </row>
    <row r="93" spans="2:4" ht="40.5" customHeight="1">
      <c r="D93" s="20" t="s">
        <v>170</v>
      </c>
    </row>
    <row r="94" spans="2:4" ht="40.5" customHeight="1"/>
    <row r="95" spans="2:4" ht="40.5" customHeight="1"/>
    <row r="96" spans="2:4" ht="40.5" customHeight="1"/>
    <row r="97" ht="40.5" customHeight="1"/>
    <row r="98" ht="40.5" customHeight="1"/>
    <row r="99" ht="40.5" customHeight="1"/>
    <row r="100" ht="40.5" customHeight="1"/>
    <row r="101" ht="40.5" customHeight="1"/>
    <row r="102" ht="40.5" customHeight="1"/>
    <row r="103" ht="40.5" customHeight="1"/>
    <row r="104" ht="40.5" customHeight="1"/>
    <row r="105" ht="40.5" customHeight="1"/>
    <row r="106" ht="40.5" customHeight="1"/>
    <row r="107" ht="40.5" customHeight="1"/>
    <row r="108" ht="40.5" customHeight="1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4194E-4848-40B3-BE0A-A3395C61CAD7}">
  <sheetPr>
    <pageSetUpPr fitToPage="1"/>
  </sheetPr>
  <dimension ref="A1:P1816"/>
  <sheetViews>
    <sheetView showGridLines="0" showZeros="0" tabSelected="1" zoomScale="90" zoomScaleNormal="90" zoomScaleSheetLayoutView="85" zoomScalePageLayoutView="55" workbookViewId="0">
      <pane ySplit="5" topLeftCell="A789" activePane="bottomLeft" state="frozen"/>
      <selection pane="bottomLeft" activeCell="T21" sqref="T21"/>
    </sheetView>
  </sheetViews>
  <sheetFormatPr defaultRowHeight="12.75" customHeight="1"/>
  <cols>
    <col min="1" max="1" width="6.42578125" style="21" customWidth="1"/>
    <col min="2" max="3" width="8.7109375" style="21" customWidth="1"/>
    <col min="4" max="4" width="37.28515625" style="24" customWidth="1"/>
    <col min="5" max="5" width="8.140625" style="21" customWidth="1"/>
    <col min="6" max="6" width="10.140625" style="21" customWidth="1"/>
    <col min="7" max="7" width="7.42578125" style="21" customWidth="1"/>
    <col min="8" max="8" width="9" style="25" customWidth="1"/>
    <col min="9" max="10" width="8.7109375" style="26" customWidth="1"/>
    <col min="11" max="11" width="10.5703125" style="26" customWidth="1"/>
    <col min="12" max="12" width="6.85546875" style="21" customWidth="1"/>
    <col min="13" max="13" width="20.140625" style="21" customWidth="1"/>
    <col min="14" max="14" width="29.5703125" style="21" customWidth="1"/>
    <col min="15" max="15" width="11.7109375" style="21" customWidth="1"/>
    <col min="16" max="16" width="22.28515625" customWidth="1"/>
    <col min="17" max="17" width="14.28515625" customWidth="1"/>
  </cols>
  <sheetData>
    <row r="1" spans="1:16" ht="38.450000000000003" customHeight="1">
      <c r="D1" s="1189" t="s">
        <v>2539</v>
      </c>
      <c r="E1" s="1189"/>
      <c r="F1" s="1189"/>
      <c r="G1" s="1189"/>
      <c r="H1" s="1114"/>
      <c r="I1" s="22"/>
      <c r="J1" s="22"/>
      <c r="K1" s="22"/>
      <c r="O1" s="1175" t="s">
        <v>2541</v>
      </c>
      <c r="P1" s="1176"/>
    </row>
    <row r="2" spans="1:16" ht="10.5" customHeight="1" thickBot="1">
      <c r="G2" s="158"/>
    </row>
    <row r="3" spans="1:16" s="26" customFormat="1" ht="54.6" customHeight="1">
      <c r="A3" s="1190" t="s">
        <v>171</v>
      </c>
      <c r="B3" s="1192" t="s">
        <v>172</v>
      </c>
      <c r="C3" s="1192" t="s">
        <v>173</v>
      </c>
      <c r="D3" s="1194" t="s">
        <v>174</v>
      </c>
      <c r="E3" s="1196" t="s">
        <v>175</v>
      </c>
      <c r="F3" s="1198" t="s">
        <v>176</v>
      </c>
      <c r="G3" s="1200" t="s">
        <v>177</v>
      </c>
      <c r="H3" s="154" t="s">
        <v>178</v>
      </c>
      <c r="I3" s="155" t="s">
        <v>179</v>
      </c>
      <c r="J3" s="155" t="s">
        <v>180</v>
      </c>
      <c r="K3" s="155" t="s">
        <v>181</v>
      </c>
      <c r="L3" s="156" t="s">
        <v>182</v>
      </c>
      <c r="M3" s="925" t="s">
        <v>1036</v>
      </c>
      <c r="N3" s="926" t="s">
        <v>1037</v>
      </c>
      <c r="O3" s="925" t="s">
        <v>2162</v>
      </c>
      <c r="P3" s="1186" t="s">
        <v>183</v>
      </c>
    </row>
    <row r="4" spans="1:16" s="26" customFormat="1" ht="11.25" customHeight="1" thickBot="1">
      <c r="A4" s="1191"/>
      <c r="B4" s="1193"/>
      <c r="C4" s="1193"/>
      <c r="D4" s="1195"/>
      <c r="E4" s="1197"/>
      <c r="F4" s="1199"/>
      <c r="G4" s="1201"/>
      <c r="H4" s="1188"/>
      <c r="I4" s="1188"/>
      <c r="J4" s="157"/>
      <c r="K4" s="157"/>
      <c r="L4" s="158"/>
      <c r="M4" s="158"/>
      <c r="N4" s="158"/>
      <c r="O4" s="158"/>
      <c r="P4" s="1187"/>
    </row>
    <row r="5" spans="1:16" s="26" customFormat="1" ht="11.25" customHeight="1">
      <c r="A5" s="31">
        <v>1</v>
      </c>
      <c r="B5" s="31">
        <v>2</v>
      </c>
      <c r="C5" s="31">
        <v>3</v>
      </c>
      <c r="D5" s="31">
        <v>4</v>
      </c>
      <c r="E5" s="31">
        <v>5</v>
      </c>
      <c r="F5" s="31">
        <v>6</v>
      </c>
      <c r="G5" s="31">
        <v>7</v>
      </c>
      <c r="H5" s="31">
        <v>8</v>
      </c>
      <c r="I5" s="31">
        <v>9</v>
      </c>
      <c r="J5" s="31">
        <v>10</v>
      </c>
      <c r="K5" s="31">
        <v>11</v>
      </c>
      <c r="L5" s="31">
        <v>12</v>
      </c>
      <c r="M5" s="31">
        <v>13</v>
      </c>
      <c r="N5" s="31">
        <v>14</v>
      </c>
      <c r="O5" s="31">
        <v>15</v>
      </c>
      <c r="P5" s="31">
        <v>16</v>
      </c>
    </row>
    <row r="6" spans="1:16" s="26" customFormat="1" ht="22.5">
      <c r="A6" s="32">
        <v>1</v>
      </c>
      <c r="B6" s="33"/>
      <c r="C6" s="33"/>
      <c r="D6" s="34" t="s">
        <v>184</v>
      </c>
      <c r="E6" s="35"/>
      <c r="F6" s="33"/>
      <c r="G6" s="36"/>
      <c r="H6" s="35"/>
      <c r="I6" s="35"/>
      <c r="J6" s="35"/>
      <c r="K6" s="35"/>
      <c r="L6" s="21"/>
      <c r="M6" s="30"/>
      <c r="N6" s="29"/>
      <c r="O6" s="174"/>
      <c r="P6" s="953"/>
    </row>
    <row r="7" spans="1:16" s="26" customFormat="1" ht="33.75">
      <c r="A7" s="32">
        <v>1</v>
      </c>
      <c r="B7" s="37" t="s">
        <v>185</v>
      </c>
      <c r="C7" s="37" t="s">
        <v>185</v>
      </c>
      <c r="D7" s="38" t="s">
        <v>186</v>
      </c>
      <c r="E7" s="28"/>
      <c r="F7" s="27"/>
      <c r="G7" s="85"/>
      <c r="H7" s="85">
        <f>SUM(H15,H23,H31,H39,H47,H55,H63,H71,H79,H87,H94,H102,H110,H118,H126,H134,H142,H150,H158,H200,H167,H171,H178,H182,H186,H188,H192,H195,H165,H202,H206,H209,H213)</f>
        <v>54926.699999999983</v>
      </c>
      <c r="I7" s="85">
        <f>SUM(I15,I23,I31,I39,I47,I55,I63,I71,I79,I87,I94,I102,I110,I118,I126,I134,I142,I150,I158,I200,I167,I171,I178,I182,I186,I188,I192,I195,I165,I202,I206,I209,I213)</f>
        <v>65348.099999999977</v>
      </c>
      <c r="J7" s="85">
        <f>SUM(J15,J23,J31,J39,J47,J55,J63,J71,J79,J87,J94,J102,J110,J118,J126,J134,J142,J150,J158,J200,J167,J171,J178,J182,J186,J188,J192,J195,J165,J202,J206,J209,J213)</f>
        <v>67602.899999999994</v>
      </c>
      <c r="K7" s="85">
        <f>SUM(K15,K23,K31,K39,K47,K55,K63,K71,K79,K87,K94,K102,K110,K118,K126,K134,K142,K150,K158,K200,K167,K171,K178,K182,K186,K188,K192,K195,K165,K202,K206,K209,K213)</f>
        <v>68638.7</v>
      </c>
      <c r="L7" s="21"/>
      <c r="M7" s="30"/>
      <c r="N7" s="29"/>
      <c r="O7" s="174"/>
      <c r="P7" s="953"/>
    </row>
    <row r="8" spans="1:16" s="26" customFormat="1" ht="12.6" customHeight="1">
      <c r="A8" s="32">
        <v>1</v>
      </c>
      <c r="B8" s="39"/>
      <c r="C8" s="39" t="s">
        <v>187</v>
      </c>
      <c r="D8" s="1185" t="s">
        <v>188</v>
      </c>
      <c r="E8" s="39" t="s">
        <v>70</v>
      </c>
      <c r="F8" s="41" t="s">
        <v>189</v>
      </c>
      <c r="G8" s="41" t="s">
        <v>190</v>
      </c>
      <c r="H8" s="159">
        <v>3093.5</v>
      </c>
      <c r="I8" s="141">
        <v>3492.4</v>
      </c>
      <c r="J8" s="45">
        <v>3771.8</v>
      </c>
      <c r="K8" s="45">
        <v>3771.8</v>
      </c>
      <c r="L8" s="21"/>
      <c r="M8" s="30"/>
      <c r="N8" s="29"/>
      <c r="O8" s="174"/>
      <c r="P8" s="954"/>
    </row>
    <row r="9" spans="1:16" s="26" customFormat="1" ht="11.25" customHeight="1">
      <c r="A9" s="32">
        <v>1</v>
      </c>
      <c r="B9" s="39"/>
      <c r="C9" s="39"/>
      <c r="D9" s="1185"/>
      <c r="E9" s="39" t="s">
        <v>70</v>
      </c>
      <c r="F9" s="41" t="s">
        <v>189</v>
      </c>
      <c r="G9" s="41" t="s">
        <v>191</v>
      </c>
      <c r="H9" s="160">
        <v>14.8</v>
      </c>
      <c r="I9" s="142">
        <v>9.4</v>
      </c>
      <c r="J9" s="42"/>
      <c r="K9" s="42"/>
      <c r="L9" s="21"/>
      <c r="M9" s="30"/>
      <c r="N9" s="29"/>
      <c r="O9" s="174"/>
      <c r="P9" s="954"/>
    </row>
    <row r="10" spans="1:16" s="26" customFormat="1" ht="11.25" customHeight="1">
      <c r="A10" s="32">
        <v>1</v>
      </c>
      <c r="B10" s="39"/>
      <c r="C10" s="39"/>
      <c r="D10" s="1185"/>
      <c r="E10" s="39" t="s">
        <v>70</v>
      </c>
      <c r="F10" s="41" t="s">
        <v>189</v>
      </c>
      <c r="G10" s="41" t="s">
        <v>192</v>
      </c>
      <c r="H10" s="160"/>
      <c r="I10" s="142"/>
      <c r="J10" s="42"/>
      <c r="K10" s="42"/>
      <c r="L10" s="21"/>
      <c r="M10" s="30"/>
      <c r="N10" s="29"/>
      <c r="O10" s="174"/>
      <c r="P10" s="954"/>
    </row>
    <row r="11" spans="1:16" s="26" customFormat="1" ht="11.25">
      <c r="A11" s="32">
        <v>1</v>
      </c>
      <c r="B11" s="39"/>
      <c r="C11" s="39"/>
      <c r="D11" s="1185"/>
      <c r="E11" s="39" t="s">
        <v>70</v>
      </c>
      <c r="F11" s="41" t="s">
        <v>189</v>
      </c>
      <c r="G11" s="41" t="s">
        <v>193</v>
      </c>
      <c r="H11" s="160">
        <v>1042.7</v>
      </c>
      <c r="I11" s="142">
        <f>1136.4+50</f>
        <v>1186.4000000000001</v>
      </c>
      <c r="J11" s="42">
        <f>1194.6+50</f>
        <v>1244.5999999999999</v>
      </c>
      <c r="K11" s="42">
        <f>1256.4+50</f>
        <v>1306.4000000000001</v>
      </c>
      <c r="L11" s="21" t="s">
        <v>194</v>
      </c>
      <c r="M11" s="30"/>
      <c r="N11" s="29"/>
      <c r="O11" s="174"/>
      <c r="P11" s="954"/>
    </row>
    <row r="12" spans="1:16" s="26" customFormat="1" ht="11.25" customHeight="1">
      <c r="A12" s="32">
        <v>1</v>
      </c>
      <c r="B12" s="39"/>
      <c r="C12" s="39"/>
      <c r="D12" s="1185"/>
      <c r="E12" s="39" t="s">
        <v>70</v>
      </c>
      <c r="F12" s="41" t="s">
        <v>189</v>
      </c>
      <c r="G12" s="41" t="s">
        <v>195</v>
      </c>
      <c r="H12" s="160">
        <v>2.1</v>
      </c>
      <c r="I12" s="142">
        <f>25.5+4+9.9</f>
        <v>39.4</v>
      </c>
      <c r="J12" s="43">
        <v>25.5</v>
      </c>
      <c r="K12" s="43">
        <v>25.5</v>
      </c>
      <c r="L12" s="21"/>
      <c r="M12" s="30"/>
      <c r="N12" s="29"/>
      <c r="O12" s="174"/>
      <c r="P12" s="954"/>
    </row>
    <row r="13" spans="1:16" s="26" customFormat="1" ht="11.25" customHeight="1">
      <c r="A13" s="32">
        <v>1</v>
      </c>
      <c r="B13" s="39"/>
      <c r="C13" s="39"/>
      <c r="D13" s="1185"/>
      <c r="E13" s="39" t="s">
        <v>70</v>
      </c>
      <c r="F13" s="41" t="s">
        <v>189</v>
      </c>
      <c r="G13" s="41" t="s">
        <v>196</v>
      </c>
      <c r="H13" s="160">
        <v>183</v>
      </c>
      <c r="I13" s="142">
        <v>237</v>
      </c>
      <c r="J13" s="42">
        <v>237</v>
      </c>
      <c r="K13" s="42">
        <v>237</v>
      </c>
      <c r="L13" s="21"/>
      <c r="M13" s="30"/>
      <c r="N13" s="29"/>
      <c r="O13" s="174"/>
      <c r="P13" s="954"/>
    </row>
    <row r="14" spans="1:16" s="26" customFormat="1" ht="11.25" customHeight="1">
      <c r="A14" s="32">
        <v>1</v>
      </c>
      <c r="B14" s="39"/>
      <c r="C14" s="39"/>
      <c r="D14" s="1185"/>
      <c r="E14" s="39" t="s">
        <v>70</v>
      </c>
      <c r="F14" s="41" t="s">
        <v>189</v>
      </c>
      <c r="G14" s="41" t="s">
        <v>197</v>
      </c>
      <c r="H14" s="160">
        <v>0</v>
      </c>
      <c r="I14" s="142">
        <v>0</v>
      </c>
      <c r="J14" s="42">
        <v>0</v>
      </c>
      <c r="K14" s="42">
        <v>0</v>
      </c>
      <c r="L14" s="21"/>
      <c r="M14" s="30"/>
      <c r="N14" s="29"/>
      <c r="O14" s="174"/>
      <c r="P14" s="954"/>
    </row>
    <row r="15" spans="1:16" s="26" customFormat="1" ht="11.25" customHeight="1">
      <c r="A15" s="32">
        <v>1</v>
      </c>
      <c r="B15" s="39"/>
      <c r="C15" s="39"/>
      <c r="D15" s="1185"/>
      <c r="E15" s="39" t="s">
        <v>70</v>
      </c>
      <c r="F15" s="41" t="s">
        <v>189</v>
      </c>
      <c r="G15" s="48" t="s">
        <v>198</v>
      </c>
      <c r="H15" s="143">
        <f t="shared" ref="H15:K15" si="0">SUM(H8:H14)</f>
        <v>4336.1000000000004</v>
      </c>
      <c r="I15" s="143">
        <f t="shared" si="0"/>
        <v>4964.6000000000004</v>
      </c>
      <c r="J15" s="143">
        <f t="shared" si="0"/>
        <v>5278.9</v>
      </c>
      <c r="K15" s="143">
        <f t="shared" si="0"/>
        <v>5340.7000000000007</v>
      </c>
      <c r="L15" s="21"/>
      <c r="M15" s="30"/>
      <c r="N15" s="29"/>
      <c r="O15" s="174"/>
      <c r="P15" s="954"/>
    </row>
    <row r="16" spans="1:16" s="26" customFormat="1" ht="11.25" customHeight="1">
      <c r="A16" s="32">
        <v>1</v>
      </c>
      <c r="B16" s="39"/>
      <c r="C16" s="39" t="s">
        <v>199</v>
      </c>
      <c r="D16" s="1185" t="s">
        <v>200</v>
      </c>
      <c r="E16" s="39" t="s">
        <v>72</v>
      </c>
      <c r="F16" s="41" t="s">
        <v>201</v>
      </c>
      <c r="G16" s="41" t="s">
        <v>190</v>
      </c>
      <c r="H16" s="160">
        <v>2643.4</v>
      </c>
      <c r="I16" s="142">
        <v>3073.4</v>
      </c>
      <c r="J16" s="45">
        <v>3319.3</v>
      </c>
      <c r="K16" s="45">
        <v>3319.3</v>
      </c>
      <c r="L16" s="21"/>
      <c r="M16" s="30"/>
      <c r="N16" s="29"/>
      <c r="O16" s="174"/>
      <c r="P16" s="954"/>
    </row>
    <row r="17" spans="1:16" s="26" customFormat="1" ht="11.25" customHeight="1">
      <c r="A17" s="32">
        <v>1</v>
      </c>
      <c r="B17" s="39"/>
      <c r="C17" s="39"/>
      <c r="D17" s="1185"/>
      <c r="E17" s="39" t="s">
        <v>72</v>
      </c>
      <c r="F17" s="41" t="s">
        <v>201</v>
      </c>
      <c r="G17" s="41" t="s">
        <v>191</v>
      </c>
      <c r="H17" s="160">
        <v>14</v>
      </c>
      <c r="I17" s="142">
        <v>15.2</v>
      </c>
      <c r="J17" s="42"/>
      <c r="K17" s="42"/>
      <c r="L17" s="21"/>
      <c r="M17" s="30"/>
      <c r="N17" s="29"/>
      <c r="O17" s="174"/>
      <c r="P17" s="954"/>
    </row>
    <row r="18" spans="1:16" s="26" customFormat="1" ht="11.25" customHeight="1">
      <c r="A18" s="32">
        <v>1</v>
      </c>
      <c r="B18" s="39"/>
      <c r="C18" s="39"/>
      <c r="D18" s="1185"/>
      <c r="E18" s="39" t="s">
        <v>72</v>
      </c>
      <c r="F18" s="41" t="s">
        <v>201</v>
      </c>
      <c r="G18" s="41" t="s">
        <v>192</v>
      </c>
      <c r="H18" s="160"/>
      <c r="I18" s="142"/>
      <c r="J18" s="42"/>
      <c r="K18" s="42"/>
      <c r="L18" s="21"/>
      <c r="M18" s="30"/>
      <c r="N18" s="29"/>
      <c r="O18" s="174"/>
      <c r="P18" s="954"/>
    </row>
    <row r="19" spans="1:16" s="26" customFormat="1" ht="19.5" customHeight="1">
      <c r="A19" s="32">
        <v>1</v>
      </c>
      <c r="B19" s="39"/>
      <c r="C19" s="39"/>
      <c r="D19" s="1185"/>
      <c r="E19" s="39" t="s">
        <v>72</v>
      </c>
      <c r="F19" s="41" t="s">
        <v>201</v>
      </c>
      <c r="G19" s="59" t="s">
        <v>193</v>
      </c>
      <c r="H19" s="160">
        <v>959.8</v>
      </c>
      <c r="I19" s="142">
        <f>1053.5+20</f>
        <v>1073.5</v>
      </c>
      <c r="J19" s="42">
        <f>1108.3+20</f>
        <v>1128.3</v>
      </c>
      <c r="K19" s="42">
        <f>1166.5+20</f>
        <v>1186.5</v>
      </c>
      <c r="L19" s="21" t="s">
        <v>194</v>
      </c>
      <c r="M19" s="30"/>
      <c r="N19" s="29"/>
      <c r="O19" s="174"/>
      <c r="P19" s="954"/>
    </row>
    <row r="20" spans="1:16" s="26" customFormat="1" ht="11.25" customHeight="1">
      <c r="A20" s="32">
        <v>1</v>
      </c>
      <c r="B20" s="39"/>
      <c r="C20" s="39"/>
      <c r="D20" s="1185"/>
      <c r="E20" s="39" t="s">
        <v>72</v>
      </c>
      <c r="F20" s="41" t="s">
        <v>201</v>
      </c>
      <c r="G20" s="41" t="s">
        <v>196</v>
      </c>
      <c r="H20" s="160">
        <v>176.8</v>
      </c>
      <c r="I20" s="142">
        <v>181.5</v>
      </c>
      <c r="J20" s="42">
        <v>181.5</v>
      </c>
      <c r="K20" s="42">
        <v>181.5</v>
      </c>
      <c r="L20" s="21"/>
      <c r="M20" s="30"/>
      <c r="N20" s="29"/>
      <c r="O20" s="174"/>
      <c r="P20" s="954"/>
    </row>
    <row r="21" spans="1:16" s="26" customFormat="1" ht="11.25" customHeight="1">
      <c r="A21" s="32">
        <v>1</v>
      </c>
      <c r="B21" s="39"/>
      <c r="C21" s="39"/>
      <c r="D21" s="1185"/>
      <c r="E21" s="39" t="s">
        <v>72</v>
      </c>
      <c r="F21" s="41" t="s">
        <v>201</v>
      </c>
      <c r="G21" s="41" t="s">
        <v>195</v>
      </c>
      <c r="H21" s="160">
        <v>0</v>
      </c>
      <c r="I21" s="142">
        <f>20.5+3.3+9.5</f>
        <v>33.299999999999997</v>
      </c>
      <c r="J21" s="43">
        <v>20.5</v>
      </c>
      <c r="K21" s="43">
        <v>20.5</v>
      </c>
      <c r="L21" s="21"/>
      <c r="M21" s="30"/>
      <c r="N21" s="29"/>
      <c r="O21" s="174"/>
      <c r="P21" s="954"/>
    </row>
    <row r="22" spans="1:16" s="26" customFormat="1" ht="22.5">
      <c r="A22" s="32">
        <v>1</v>
      </c>
      <c r="B22" s="39"/>
      <c r="C22" s="39"/>
      <c r="D22" s="1185"/>
      <c r="E22" s="39" t="s">
        <v>72</v>
      </c>
      <c r="F22" s="41" t="s">
        <v>201</v>
      </c>
      <c r="G22" s="41" t="s">
        <v>202</v>
      </c>
      <c r="H22" s="160">
        <v>0</v>
      </c>
      <c r="I22" s="142"/>
      <c r="J22" s="42"/>
      <c r="K22" s="42"/>
      <c r="L22" s="21"/>
      <c r="M22" s="30"/>
      <c r="N22" s="29"/>
      <c r="O22" s="174"/>
      <c r="P22" s="954"/>
    </row>
    <row r="23" spans="1:16" s="26" customFormat="1" ht="11.25" customHeight="1">
      <c r="A23" s="32">
        <v>1</v>
      </c>
      <c r="B23" s="39"/>
      <c r="C23" s="39"/>
      <c r="D23" s="1185"/>
      <c r="E23" s="39" t="s">
        <v>72</v>
      </c>
      <c r="F23" s="41" t="s">
        <v>201</v>
      </c>
      <c r="G23" s="48" t="s">
        <v>198</v>
      </c>
      <c r="H23" s="143">
        <f>SUM(H16:H22)</f>
        <v>3794</v>
      </c>
      <c r="I23" s="143">
        <f t="shared" ref="I23:K23" si="1">SUM(I16:I22)</f>
        <v>4376.9000000000005</v>
      </c>
      <c r="J23" s="143">
        <f t="shared" si="1"/>
        <v>4649.6000000000004</v>
      </c>
      <c r="K23" s="143">
        <f t="shared" si="1"/>
        <v>4707.8</v>
      </c>
      <c r="L23" s="21"/>
      <c r="M23" s="30"/>
      <c r="N23" s="29"/>
      <c r="O23" s="174"/>
      <c r="P23" s="954"/>
    </row>
    <row r="24" spans="1:16" s="26" customFormat="1" ht="11.25" customHeight="1">
      <c r="A24" s="32">
        <v>1</v>
      </c>
      <c r="B24" s="39"/>
      <c r="C24" s="39" t="s">
        <v>203</v>
      </c>
      <c r="D24" s="1185" t="s">
        <v>204</v>
      </c>
      <c r="E24" s="39" t="s">
        <v>80</v>
      </c>
      <c r="F24" s="41" t="s">
        <v>205</v>
      </c>
      <c r="G24" s="41" t="s">
        <v>190</v>
      </c>
      <c r="H24" s="160">
        <v>768.4</v>
      </c>
      <c r="I24" s="142">
        <v>858.6</v>
      </c>
      <c r="J24" s="52">
        <v>909.4</v>
      </c>
      <c r="K24" s="52">
        <v>909.4</v>
      </c>
      <c r="L24" s="21"/>
      <c r="M24" s="30"/>
      <c r="N24" s="29"/>
      <c r="O24" s="174"/>
      <c r="P24" s="954"/>
    </row>
    <row r="25" spans="1:16" s="26" customFormat="1" ht="11.25" customHeight="1">
      <c r="A25" s="32">
        <v>1</v>
      </c>
      <c r="B25" s="39"/>
      <c r="C25" s="39"/>
      <c r="D25" s="1185"/>
      <c r="E25" s="39" t="s">
        <v>80</v>
      </c>
      <c r="F25" s="41" t="s">
        <v>205</v>
      </c>
      <c r="G25" s="41" t="s">
        <v>191</v>
      </c>
      <c r="H25" s="160">
        <v>0.5</v>
      </c>
      <c r="I25" s="142">
        <v>1.9</v>
      </c>
      <c r="J25" s="42"/>
      <c r="K25" s="42"/>
      <c r="L25" s="21"/>
      <c r="M25" s="30"/>
      <c r="N25" s="29"/>
      <c r="O25" s="174"/>
      <c r="P25" s="954"/>
    </row>
    <row r="26" spans="1:16" s="26" customFormat="1" ht="11.25" customHeight="1">
      <c r="A26" s="32">
        <v>1</v>
      </c>
      <c r="B26" s="39"/>
      <c r="C26" s="39"/>
      <c r="D26" s="1185"/>
      <c r="E26" s="39" t="s">
        <v>80</v>
      </c>
      <c r="F26" s="41" t="s">
        <v>205</v>
      </c>
      <c r="G26" s="41" t="s">
        <v>192</v>
      </c>
      <c r="H26" s="160"/>
      <c r="I26" s="142"/>
      <c r="J26" s="42"/>
      <c r="K26" s="42"/>
      <c r="L26" s="21"/>
      <c r="M26" s="30"/>
      <c r="N26" s="29"/>
      <c r="O26" s="174"/>
      <c r="P26" s="954"/>
    </row>
    <row r="27" spans="1:16" s="26" customFormat="1" ht="16.5" customHeight="1">
      <c r="A27" s="32">
        <v>1</v>
      </c>
      <c r="B27" s="39"/>
      <c r="C27" s="39"/>
      <c r="D27" s="1185"/>
      <c r="E27" s="39" t="s">
        <v>80</v>
      </c>
      <c r="F27" s="41" t="s">
        <v>205</v>
      </c>
      <c r="G27" s="59" t="s">
        <v>193</v>
      </c>
      <c r="H27" s="160">
        <v>656.4</v>
      </c>
      <c r="I27" s="142">
        <f>736.4+19</f>
        <v>755.4</v>
      </c>
      <c r="J27" s="42">
        <f>776.9+19</f>
        <v>795.9</v>
      </c>
      <c r="K27" s="42">
        <f>819.9+19</f>
        <v>838.9</v>
      </c>
      <c r="L27" s="21" t="s">
        <v>194</v>
      </c>
      <c r="M27" s="30"/>
      <c r="N27" s="29"/>
      <c r="O27" s="174"/>
      <c r="P27" s="954"/>
    </row>
    <row r="28" spans="1:16" s="26" customFormat="1" ht="11.25" customHeight="1">
      <c r="A28" s="32">
        <v>1</v>
      </c>
      <c r="B28" s="39"/>
      <c r="C28" s="39"/>
      <c r="D28" s="1185"/>
      <c r="E28" s="39" t="s">
        <v>80</v>
      </c>
      <c r="F28" s="41" t="s">
        <v>205</v>
      </c>
      <c r="G28" s="41" t="s">
        <v>195</v>
      </c>
      <c r="H28" s="160">
        <v>4.7</v>
      </c>
      <c r="I28" s="142">
        <f>9.9</f>
        <v>9.9</v>
      </c>
      <c r="J28" s="42"/>
      <c r="K28" s="42"/>
      <c r="L28" s="21"/>
      <c r="M28" s="30"/>
      <c r="N28" s="29"/>
      <c r="O28" s="174"/>
      <c r="P28" s="954"/>
    </row>
    <row r="29" spans="1:16" s="26" customFormat="1" ht="11.25" customHeight="1">
      <c r="A29" s="32">
        <v>1</v>
      </c>
      <c r="B29" s="39"/>
      <c r="C29" s="39"/>
      <c r="D29" s="1185"/>
      <c r="E29" s="39" t="s">
        <v>80</v>
      </c>
      <c r="F29" s="41" t="s">
        <v>205</v>
      </c>
      <c r="G29" s="41" t="s">
        <v>196</v>
      </c>
      <c r="H29" s="160">
        <v>41.9</v>
      </c>
      <c r="I29" s="142">
        <v>48.8</v>
      </c>
      <c r="J29" s="42">
        <v>48.8</v>
      </c>
      <c r="K29" s="42">
        <v>48.8</v>
      </c>
      <c r="L29" s="21"/>
      <c r="M29" s="30"/>
      <c r="N29" s="29"/>
      <c r="O29" s="174"/>
      <c r="P29" s="954"/>
    </row>
    <row r="30" spans="1:16" s="26" customFormat="1" ht="11.25" customHeight="1">
      <c r="A30" s="32">
        <v>1</v>
      </c>
      <c r="B30" s="39"/>
      <c r="C30" s="39"/>
      <c r="D30" s="1185"/>
      <c r="E30" s="39" t="s">
        <v>80</v>
      </c>
      <c r="F30" s="41" t="s">
        <v>205</v>
      </c>
      <c r="G30" s="41" t="s">
        <v>197</v>
      </c>
      <c r="H30" s="160">
        <v>0</v>
      </c>
      <c r="I30" s="142">
        <v>0</v>
      </c>
      <c r="J30" s="42">
        <v>0</v>
      </c>
      <c r="K30" s="42">
        <v>0</v>
      </c>
      <c r="L30" s="21"/>
      <c r="M30" s="30"/>
      <c r="N30" s="29"/>
      <c r="O30" s="174"/>
      <c r="P30" s="954"/>
    </row>
    <row r="31" spans="1:16" s="26" customFormat="1" ht="11.25" customHeight="1">
      <c r="A31" s="32">
        <v>1</v>
      </c>
      <c r="B31" s="39"/>
      <c r="C31" s="39"/>
      <c r="D31" s="1185"/>
      <c r="E31" s="39" t="s">
        <v>80</v>
      </c>
      <c r="F31" s="41" t="s">
        <v>205</v>
      </c>
      <c r="G31" s="48" t="s">
        <v>198</v>
      </c>
      <c r="H31" s="143">
        <f t="shared" ref="H31:K31" si="2">SUM(H24:H30)</f>
        <v>1471.9</v>
      </c>
      <c r="I31" s="143">
        <f t="shared" si="2"/>
        <v>1674.6000000000001</v>
      </c>
      <c r="J31" s="143">
        <f t="shared" si="2"/>
        <v>1754.1</v>
      </c>
      <c r="K31" s="143">
        <f t="shared" si="2"/>
        <v>1797.1</v>
      </c>
      <c r="L31" s="21"/>
      <c r="M31" s="30"/>
      <c r="N31" s="29"/>
      <c r="O31" s="174"/>
      <c r="P31" s="954"/>
    </row>
    <row r="32" spans="1:16" s="26" customFormat="1" ht="11.25" customHeight="1">
      <c r="A32" s="32">
        <v>1</v>
      </c>
      <c r="B32" s="39"/>
      <c r="C32" s="39" t="s">
        <v>206</v>
      </c>
      <c r="D32" s="1185" t="s">
        <v>207</v>
      </c>
      <c r="E32" s="54" t="s">
        <v>74</v>
      </c>
      <c r="F32" s="41" t="s">
        <v>208</v>
      </c>
      <c r="G32" s="41" t="s">
        <v>190</v>
      </c>
      <c r="H32" s="160">
        <v>2673.3</v>
      </c>
      <c r="I32" s="142">
        <v>2903.7</v>
      </c>
      <c r="J32" s="45">
        <v>3136</v>
      </c>
      <c r="K32" s="45">
        <v>3136</v>
      </c>
      <c r="L32" s="21"/>
      <c r="M32" s="30"/>
      <c r="N32" s="29"/>
      <c r="O32" s="174"/>
      <c r="P32" s="954"/>
    </row>
    <row r="33" spans="1:16" s="26" customFormat="1" ht="11.25" customHeight="1">
      <c r="A33" s="32">
        <v>1</v>
      </c>
      <c r="B33" s="39"/>
      <c r="C33" s="39"/>
      <c r="D33" s="1185"/>
      <c r="E33" s="54" t="s">
        <v>74</v>
      </c>
      <c r="F33" s="41" t="s">
        <v>208</v>
      </c>
      <c r="G33" s="41" t="s">
        <v>191</v>
      </c>
      <c r="H33" s="160">
        <v>3.5</v>
      </c>
      <c r="I33" s="142">
        <v>3.8</v>
      </c>
      <c r="J33" s="42"/>
      <c r="K33" s="42"/>
      <c r="L33" s="21"/>
      <c r="M33" s="30"/>
      <c r="N33" s="29"/>
      <c r="O33" s="174"/>
      <c r="P33" s="954"/>
    </row>
    <row r="34" spans="1:16" s="26" customFormat="1" ht="11.25" customHeight="1">
      <c r="A34" s="32">
        <v>1</v>
      </c>
      <c r="B34" s="39"/>
      <c r="C34" s="39"/>
      <c r="D34" s="1185"/>
      <c r="E34" s="54" t="s">
        <v>74</v>
      </c>
      <c r="F34" s="41" t="s">
        <v>208</v>
      </c>
      <c r="G34" s="41" t="s">
        <v>192</v>
      </c>
      <c r="H34" s="160"/>
      <c r="I34" s="142"/>
      <c r="J34" s="42"/>
      <c r="K34" s="42"/>
      <c r="L34" s="21"/>
      <c r="M34" s="30"/>
      <c r="N34" s="29"/>
      <c r="O34" s="174"/>
      <c r="P34" s="954"/>
    </row>
    <row r="35" spans="1:16" s="26" customFormat="1" ht="22.5" customHeight="1">
      <c r="A35" s="32">
        <v>1</v>
      </c>
      <c r="B35" s="39"/>
      <c r="C35" s="39"/>
      <c r="D35" s="1185"/>
      <c r="E35" s="54" t="s">
        <v>74</v>
      </c>
      <c r="F35" s="41" t="s">
        <v>208</v>
      </c>
      <c r="G35" s="59" t="s">
        <v>193</v>
      </c>
      <c r="H35" s="160">
        <v>588.79999999999995</v>
      </c>
      <c r="I35" s="142">
        <f>667+24.7</f>
        <v>691.7</v>
      </c>
      <c r="J35" s="42">
        <f>700.1+24.7</f>
        <v>724.80000000000007</v>
      </c>
      <c r="K35" s="42">
        <f>735.2+24.7</f>
        <v>759.90000000000009</v>
      </c>
      <c r="L35" s="21" t="s">
        <v>194</v>
      </c>
      <c r="M35" s="30"/>
      <c r="N35" s="29"/>
      <c r="O35" s="174"/>
      <c r="P35" s="954"/>
    </row>
    <row r="36" spans="1:16" s="26" customFormat="1" ht="11.25" customHeight="1">
      <c r="A36" s="32">
        <v>1</v>
      </c>
      <c r="B36" s="39"/>
      <c r="C36" s="39"/>
      <c r="D36" s="1185"/>
      <c r="E36" s="54" t="s">
        <v>74</v>
      </c>
      <c r="F36" s="41" t="s">
        <v>208</v>
      </c>
      <c r="G36" s="41" t="s">
        <v>195</v>
      </c>
      <c r="H36" s="160"/>
      <c r="I36" s="142">
        <f>37.3+3.9</f>
        <v>41.199999999999996</v>
      </c>
      <c r="J36" s="43">
        <v>37.299999999999997</v>
      </c>
      <c r="K36" s="43">
        <v>37.299999999999997</v>
      </c>
      <c r="L36" s="21"/>
      <c r="M36" s="30"/>
      <c r="N36" s="29"/>
      <c r="O36" s="174"/>
      <c r="P36" s="954"/>
    </row>
    <row r="37" spans="1:16" s="26" customFormat="1" ht="11.25" customHeight="1">
      <c r="A37" s="32">
        <v>1</v>
      </c>
      <c r="B37" s="39"/>
      <c r="C37" s="39"/>
      <c r="D37" s="1185"/>
      <c r="E37" s="54" t="s">
        <v>74</v>
      </c>
      <c r="F37" s="41" t="s">
        <v>208</v>
      </c>
      <c r="G37" s="41" t="s">
        <v>196</v>
      </c>
      <c r="H37" s="160">
        <v>140.80000000000001</v>
      </c>
      <c r="I37" s="142">
        <v>160.1</v>
      </c>
      <c r="J37" s="42">
        <v>160.1</v>
      </c>
      <c r="K37" s="42">
        <v>160.1</v>
      </c>
      <c r="L37" s="21"/>
      <c r="M37" s="30"/>
      <c r="N37" s="29"/>
      <c r="O37" s="174"/>
      <c r="P37" s="954"/>
    </row>
    <row r="38" spans="1:16" s="26" customFormat="1" ht="11.25" customHeight="1">
      <c r="A38" s="32">
        <v>1</v>
      </c>
      <c r="B38" s="39"/>
      <c r="C38" s="39"/>
      <c r="D38" s="1185"/>
      <c r="E38" s="54" t="s">
        <v>74</v>
      </c>
      <c r="F38" s="41" t="s">
        <v>208</v>
      </c>
      <c r="G38" s="41" t="s">
        <v>197</v>
      </c>
      <c r="H38" s="160">
        <v>0</v>
      </c>
      <c r="I38" s="142">
        <v>0</v>
      </c>
      <c r="J38" s="42">
        <v>0</v>
      </c>
      <c r="K38" s="42">
        <v>0</v>
      </c>
      <c r="L38" s="21"/>
      <c r="M38" s="30"/>
      <c r="N38" s="29"/>
      <c r="O38" s="174"/>
      <c r="P38" s="954"/>
    </row>
    <row r="39" spans="1:16" s="26" customFormat="1" ht="11.25" customHeight="1">
      <c r="A39" s="32">
        <v>1</v>
      </c>
      <c r="B39" s="39"/>
      <c r="C39" s="39"/>
      <c r="D39" s="1185"/>
      <c r="E39" s="54" t="s">
        <v>74</v>
      </c>
      <c r="F39" s="41" t="s">
        <v>208</v>
      </c>
      <c r="G39" s="48" t="s">
        <v>198</v>
      </c>
      <c r="H39" s="143">
        <f t="shared" ref="H39:K39" si="3">SUM(H32:H38)</f>
        <v>3406.4000000000005</v>
      </c>
      <c r="I39" s="143">
        <f t="shared" si="3"/>
        <v>3800.4999999999995</v>
      </c>
      <c r="J39" s="143">
        <f t="shared" si="3"/>
        <v>4058.2000000000003</v>
      </c>
      <c r="K39" s="143">
        <f t="shared" si="3"/>
        <v>4093.3</v>
      </c>
      <c r="L39" s="21"/>
      <c r="M39" s="30"/>
      <c r="N39" s="29"/>
      <c r="O39" s="174"/>
      <c r="P39" s="954"/>
    </row>
    <row r="40" spans="1:16" s="26" customFormat="1" ht="11.25" customHeight="1">
      <c r="A40" s="32">
        <v>1</v>
      </c>
      <c r="B40" s="39"/>
      <c r="C40" s="39" t="s">
        <v>209</v>
      </c>
      <c r="D40" s="1185" t="s">
        <v>210</v>
      </c>
      <c r="E40" s="54" t="s">
        <v>76</v>
      </c>
      <c r="F40" s="41" t="s">
        <v>211</v>
      </c>
      <c r="G40" s="41" t="s">
        <v>190</v>
      </c>
      <c r="H40" s="160">
        <v>3241.8</v>
      </c>
      <c r="I40" s="142">
        <v>3645.6</v>
      </c>
      <c r="J40" s="45">
        <v>3937.2</v>
      </c>
      <c r="K40" s="45">
        <v>3937.2</v>
      </c>
      <c r="L40" s="21"/>
      <c r="M40" s="30"/>
      <c r="N40" s="29"/>
      <c r="O40" s="174"/>
      <c r="P40" s="954"/>
    </row>
    <row r="41" spans="1:16" s="26" customFormat="1" ht="11.25" customHeight="1">
      <c r="A41" s="32">
        <v>1</v>
      </c>
      <c r="B41" s="39"/>
      <c r="C41" s="39"/>
      <c r="D41" s="1185"/>
      <c r="E41" s="54" t="s">
        <v>76</v>
      </c>
      <c r="F41" s="41" t="s">
        <v>211</v>
      </c>
      <c r="G41" s="41" t="s">
        <v>191</v>
      </c>
      <c r="H41" s="160"/>
      <c r="I41" s="142"/>
      <c r="J41" s="42"/>
      <c r="K41" s="42"/>
      <c r="L41" s="21"/>
      <c r="M41" s="30"/>
      <c r="N41" s="29"/>
      <c r="O41" s="174"/>
      <c r="P41" s="954"/>
    </row>
    <row r="42" spans="1:16" s="26" customFormat="1" ht="11.25" customHeight="1">
      <c r="A42" s="32">
        <v>1</v>
      </c>
      <c r="B42" s="39"/>
      <c r="C42" s="39"/>
      <c r="D42" s="1185"/>
      <c r="E42" s="54" t="s">
        <v>76</v>
      </c>
      <c r="F42" s="41" t="s">
        <v>211</v>
      </c>
      <c r="G42" s="41" t="s">
        <v>192</v>
      </c>
      <c r="H42" s="160"/>
      <c r="I42" s="142"/>
      <c r="J42" s="42"/>
      <c r="K42" s="42"/>
      <c r="L42" s="21"/>
      <c r="M42" s="30"/>
      <c r="N42" s="29"/>
      <c r="O42" s="174"/>
      <c r="P42" s="954"/>
    </row>
    <row r="43" spans="1:16" s="26" customFormat="1" ht="11.25" customHeight="1">
      <c r="A43" s="32">
        <v>1</v>
      </c>
      <c r="B43" s="39"/>
      <c r="C43" s="39"/>
      <c r="D43" s="1185"/>
      <c r="E43" s="54" t="s">
        <v>76</v>
      </c>
      <c r="F43" s="41" t="s">
        <v>211</v>
      </c>
      <c r="G43" s="59" t="s">
        <v>193</v>
      </c>
      <c r="H43" s="160">
        <v>1215.5999999999999</v>
      </c>
      <c r="I43" s="142">
        <f>1412.5+23.9</f>
        <v>1436.4</v>
      </c>
      <c r="J43" s="42">
        <f>1484+23.9</f>
        <v>1507.9</v>
      </c>
      <c r="K43" s="42">
        <f>1559.8+23.9</f>
        <v>1583.7</v>
      </c>
      <c r="L43" s="21" t="s">
        <v>194</v>
      </c>
      <c r="M43" s="30"/>
      <c r="N43" s="29"/>
      <c r="O43" s="174"/>
      <c r="P43" s="954"/>
    </row>
    <row r="44" spans="1:16" s="26" customFormat="1" ht="11.25" customHeight="1">
      <c r="A44" s="32">
        <v>1</v>
      </c>
      <c r="B44" s="39"/>
      <c r="C44" s="39"/>
      <c r="D44" s="1185"/>
      <c r="E44" s="54" t="s">
        <v>76</v>
      </c>
      <c r="F44" s="41" t="s">
        <v>211</v>
      </c>
      <c r="G44" s="41" t="s">
        <v>196</v>
      </c>
      <c r="H44" s="160">
        <v>105.8</v>
      </c>
      <c r="I44" s="142">
        <v>118.7</v>
      </c>
      <c r="J44" s="42">
        <v>118.7</v>
      </c>
      <c r="K44" s="42">
        <v>118.7</v>
      </c>
      <c r="L44" s="21"/>
      <c r="M44" s="30"/>
      <c r="N44" s="29"/>
      <c r="O44" s="174"/>
      <c r="P44" s="954"/>
    </row>
    <row r="45" spans="1:16" s="26" customFormat="1" ht="22.5" customHeight="1">
      <c r="A45" s="32">
        <v>1</v>
      </c>
      <c r="B45" s="39"/>
      <c r="C45" s="39"/>
      <c r="D45" s="1185"/>
      <c r="E45" s="54" t="s">
        <v>76</v>
      </c>
      <c r="F45" s="41" t="s">
        <v>211</v>
      </c>
      <c r="G45" s="41" t="s">
        <v>195</v>
      </c>
      <c r="H45" s="160">
        <v>135.69999999999999</v>
      </c>
      <c r="I45" s="142">
        <f>174+2.9+22.8</f>
        <v>199.70000000000002</v>
      </c>
      <c r="J45" s="43">
        <v>174</v>
      </c>
      <c r="K45" s="43">
        <v>174</v>
      </c>
      <c r="L45" s="21"/>
      <c r="M45" s="30"/>
      <c r="N45" s="29"/>
      <c r="O45" s="174"/>
      <c r="P45" s="954"/>
    </row>
    <row r="46" spans="1:16" s="26" customFormat="1" ht="11.25" customHeight="1">
      <c r="A46" s="32">
        <v>1</v>
      </c>
      <c r="B46" s="39"/>
      <c r="C46" s="39"/>
      <c r="D46" s="1185"/>
      <c r="E46" s="54" t="s">
        <v>76</v>
      </c>
      <c r="F46" s="41" t="s">
        <v>211</v>
      </c>
      <c r="G46" s="41" t="s">
        <v>197</v>
      </c>
      <c r="H46" s="160">
        <v>0</v>
      </c>
      <c r="I46" s="142">
        <v>0</v>
      </c>
      <c r="J46" s="42">
        <v>0</v>
      </c>
      <c r="K46" s="42"/>
      <c r="L46" s="21"/>
      <c r="M46" s="30"/>
      <c r="N46" s="29"/>
      <c r="O46" s="174"/>
      <c r="P46" s="954"/>
    </row>
    <row r="47" spans="1:16" s="26" customFormat="1" ht="11.25" customHeight="1">
      <c r="A47" s="32">
        <v>1</v>
      </c>
      <c r="B47" s="39"/>
      <c r="C47" s="39"/>
      <c r="D47" s="1185"/>
      <c r="E47" s="54" t="s">
        <v>76</v>
      </c>
      <c r="F47" s="41" t="s">
        <v>211</v>
      </c>
      <c r="G47" s="48" t="s">
        <v>198</v>
      </c>
      <c r="H47" s="143">
        <f t="shared" ref="H47:K47" si="4">SUM(H40:H46)</f>
        <v>4698.8999999999996</v>
      </c>
      <c r="I47" s="143">
        <f t="shared" si="4"/>
        <v>5400.4</v>
      </c>
      <c r="J47" s="143">
        <f t="shared" si="4"/>
        <v>5737.8</v>
      </c>
      <c r="K47" s="143">
        <f t="shared" si="4"/>
        <v>5813.5999999999995</v>
      </c>
      <c r="L47" s="21"/>
      <c r="M47" s="30"/>
      <c r="N47" s="29"/>
      <c r="O47" s="174"/>
      <c r="P47" s="954"/>
    </row>
    <row r="48" spans="1:16" s="26" customFormat="1" ht="11.25" customHeight="1">
      <c r="A48" s="32">
        <v>1</v>
      </c>
      <c r="B48" s="39"/>
      <c r="C48" s="39" t="s">
        <v>212</v>
      </c>
      <c r="D48" s="1185" t="s">
        <v>213</v>
      </c>
      <c r="E48" s="55" t="s">
        <v>78</v>
      </c>
      <c r="F48" s="41" t="s">
        <v>214</v>
      </c>
      <c r="G48" s="41" t="s">
        <v>190</v>
      </c>
      <c r="H48" s="160">
        <v>1950.3</v>
      </c>
      <c r="I48" s="142">
        <v>2253.5</v>
      </c>
      <c r="J48" s="45">
        <v>2433.8000000000002</v>
      </c>
      <c r="K48" s="45">
        <v>2433.8000000000002</v>
      </c>
      <c r="L48" s="21"/>
      <c r="M48" s="30"/>
      <c r="N48" s="29"/>
      <c r="O48" s="174"/>
      <c r="P48" s="954"/>
    </row>
    <row r="49" spans="1:16" s="26" customFormat="1" ht="11.25" customHeight="1">
      <c r="A49" s="32">
        <v>1</v>
      </c>
      <c r="B49" s="39"/>
      <c r="C49" s="39"/>
      <c r="D49" s="1185"/>
      <c r="E49" s="55" t="s">
        <v>78</v>
      </c>
      <c r="F49" s="41" t="s">
        <v>214</v>
      </c>
      <c r="G49" s="41" t="s">
        <v>191</v>
      </c>
      <c r="H49" s="160">
        <v>16.3</v>
      </c>
      <c r="I49" s="142">
        <v>7.6</v>
      </c>
      <c r="J49" s="42"/>
      <c r="K49" s="42"/>
      <c r="L49" s="21"/>
      <c r="M49" s="30"/>
      <c r="N49" s="29"/>
      <c r="O49" s="174"/>
      <c r="P49" s="954"/>
    </row>
    <row r="50" spans="1:16" s="26" customFormat="1" ht="11.25" customHeight="1">
      <c r="A50" s="32">
        <v>1</v>
      </c>
      <c r="B50" s="39"/>
      <c r="C50" s="39"/>
      <c r="D50" s="1185"/>
      <c r="E50" s="55" t="s">
        <v>78</v>
      </c>
      <c r="F50" s="41" t="s">
        <v>214</v>
      </c>
      <c r="G50" s="41" t="s">
        <v>192</v>
      </c>
      <c r="H50" s="160"/>
      <c r="I50" s="142"/>
      <c r="J50" s="42"/>
      <c r="K50" s="42"/>
      <c r="L50" s="21"/>
      <c r="M50" s="30"/>
      <c r="N50" s="29"/>
      <c r="O50" s="174"/>
      <c r="P50" s="954"/>
    </row>
    <row r="51" spans="1:16" s="26" customFormat="1" ht="11.25" customHeight="1">
      <c r="A51" s="32">
        <v>1</v>
      </c>
      <c r="B51" s="39"/>
      <c r="C51" s="39"/>
      <c r="D51" s="1185"/>
      <c r="E51" s="55" t="s">
        <v>78</v>
      </c>
      <c r="F51" s="41" t="s">
        <v>214</v>
      </c>
      <c r="G51" s="59" t="s">
        <v>193</v>
      </c>
      <c r="H51" s="160">
        <v>1358.9</v>
      </c>
      <c r="I51" s="142">
        <f>1533.5+42.8</f>
        <v>1576.3</v>
      </c>
      <c r="J51" s="42">
        <f>1615+42.8</f>
        <v>1657.8</v>
      </c>
      <c r="K51" s="42">
        <f>1701.1+42.8</f>
        <v>1743.8999999999999</v>
      </c>
      <c r="L51" s="21" t="s">
        <v>194</v>
      </c>
      <c r="M51" s="30"/>
      <c r="N51" s="29"/>
      <c r="O51" s="174"/>
      <c r="P51" s="954"/>
    </row>
    <row r="52" spans="1:16" s="26" customFormat="1" ht="11.25" customHeight="1">
      <c r="A52" s="32">
        <v>1</v>
      </c>
      <c r="B52" s="39"/>
      <c r="C52" s="39"/>
      <c r="D52" s="1185"/>
      <c r="E52" s="55" t="s">
        <v>78</v>
      </c>
      <c r="F52" s="41" t="s">
        <v>214</v>
      </c>
      <c r="G52" s="41" t="s">
        <v>195</v>
      </c>
      <c r="H52" s="160">
        <v>16</v>
      </c>
      <c r="I52" s="142">
        <f>13.9+0.4+21</f>
        <v>35.299999999999997</v>
      </c>
      <c r="J52" s="43">
        <v>13.9</v>
      </c>
      <c r="K52" s="43">
        <v>13.9</v>
      </c>
      <c r="L52" s="21"/>
      <c r="M52" s="30"/>
      <c r="N52" s="29"/>
      <c r="O52" s="174"/>
      <c r="P52" s="954"/>
    </row>
    <row r="53" spans="1:16" s="26" customFormat="1" ht="11.25" customHeight="1">
      <c r="A53" s="32">
        <v>1</v>
      </c>
      <c r="B53" s="39"/>
      <c r="C53" s="39"/>
      <c r="D53" s="1185"/>
      <c r="E53" s="55" t="s">
        <v>78</v>
      </c>
      <c r="F53" s="41" t="s">
        <v>214</v>
      </c>
      <c r="G53" s="41" t="s">
        <v>196</v>
      </c>
      <c r="H53" s="160">
        <v>85.6</v>
      </c>
      <c r="I53" s="142">
        <v>98.9</v>
      </c>
      <c r="J53" s="42">
        <v>98.9</v>
      </c>
      <c r="K53" s="42">
        <v>98.9</v>
      </c>
      <c r="L53" s="21"/>
      <c r="M53" s="30"/>
      <c r="N53" s="29"/>
      <c r="O53" s="174"/>
      <c r="P53" s="954"/>
    </row>
    <row r="54" spans="1:16" s="26" customFormat="1" ht="11.25" customHeight="1">
      <c r="A54" s="32">
        <v>1</v>
      </c>
      <c r="B54" s="39"/>
      <c r="C54" s="39"/>
      <c r="D54" s="1185"/>
      <c r="E54" s="55" t="s">
        <v>78</v>
      </c>
      <c r="F54" s="41" t="s">
        <v>214</v>
      </c>
      <c r="G54" s="41" t="s">
        <v>197</v>
      </c>
      <c r="H54" s="160">
        <v>0</v>
      </c>
      <c r="I54" s="142">
        <v>0</v>
      </c>
      <c r="J54" s="42">
        <v>0</v>
      </c>
      <c r="K54" s="42"/>
      <c r="L54" s="21"/>
      <c r="M54" s="30"/>
      <c r="N54" s="29"/>
      <c r="O54" s="174"/>
      <c r="P54" s="954"/>
    </row>
    <row r="55" spans="1:16" s="26" customFormat="1" ht="11.25" customHeight="1">
      <c r="A55" s="32">
        <v>1</v>
      </c>
      <c r="B55" s="39"/>
      <c r="C55" s="39"/>
      <c r="D55" s="1185"/>
      <c r="E55" s="55" t="s">
        <v>78</v>
      </c>
      <c r="F55" s="41" t="s">
        <v>214</v>
      </c>
      <c r="G55" s="48" t="s">
        <v>198</v>
      </c>
      <c r="H55" s="143">
        <f t="shared" ref="H55:K55" si="5">SUM(H48:H54)</f>
        <v>3427.1</v>
      </c>
      <c r="I55" s="143">
        <f t="shared" si="5"/>
        <v>3971.6</v>
      </c>
      <c r="J55" s="143">
        <f t="shared" si="5"/>
        <v>4204.3999999999996</v>
      </c>
      <c r="K55" s="143">
        <f t="shared" si="5"/>
        <v>4290.4999999999991</v>
      </c>
      <c r="L55" s="21"/>
      <c r="M55" s="30"/>
      <c r="N55" s="29"/>
      <c r="O55" s="174"/>
      <c r="P55" s="954"/>
    </row>
    <row r="56" spans="1:16" s="26" customFormat="1" ht="11.25" customHeight="1">
      <c r="A56" s="32">
        <v>1</v>
      </c>
      <c r="B56" s="39"/>
      <c r="C56" s="39" t="s">
        <v>215</v>
      </c>
      <c r="D56" s="1185" t="s">
        <v>216</v>
      </c>
      <c r="E56" s="54" t="s">
        <v>82</v>
      </c>
      <c r="F56" s="41" t="s">
        <v>217</v>
      </c>
      <c r="G56" s="41" t="s">
        <v>190</v>
      </c>
      <c r="H56" s="160">
        <v>481.9</v>
      </c>
      <c r="I56" s="142">
        <v>473.2</v>
      </c>
      <c r="J56" s="52">
        <v>511.1</v>
      </c>
      <c r="K56" s="52">
        <v>511.1</v>
      </c>
      <c r="L56" s="21"/>
      <c r="M56" s="30"/>
      <c r="N56" s="29"/>
      <c r="O56" s="174"/>
      <c r="P56" s="954"/>
    </row>
    <row r="57" spans="1:16" s="26" customFormat="1" ht="11.25" customHeight="1">
      <c r="A57" s="32">
        <v>1</v>
      </c>
      <c r="B57" s="39"/>
      <c r="C57" s="39"/>
      <c r="D57" s="1185"/>
      <c r="E57" s="54" t="s">
        <v>82</v>
      </c>
      <c r="F57" s="41" t="s">
        <v>217</v>
      </c>
      <c r="G57" s="41" t="s">
        <v>191</v>
      </c>
      <c r="H57" s="160">
        <v>2.9</v>
      </c>
      <c r="I57" s="142">
        <v>1.7</v>
      </c>
      <c r="J57" s="42"/>
      <c r="K57" s="42"/>
      <c r="L57" s="21"/>
      <c r="M57" s="30"/>
      <c r="N57" s="29"/>
      <c r="O57" s="174"/>
      <c r="P57" s="954"/>
    </row>
    <row r="58" spans="1:16" s="26" customFormat="1" ht="11.25" customHeight="1">
      <c r="A58" s="32">
        <v>1</v>
      </c>
      <c r="B58" s="39"/>
      <c r="C58" s="39"/>
      <c r="D58" s="1185"/>
      <c r="E58" s="54" t="s">
        <v>82</v>
      </c>
      <c r="F58" s="41" t="s">
        <v>217</v>
      </c>
      <c r="G58" s="41" t="s">
        <v>192</v>
      </c>
      <c r="H58" s="160"/>
      <c r="I58" s="142"/>
      <c r="J58" s="42"/>
      <c r="K58" s="42"/>
      <c r="L58" s="21"/>
      <c r="M58" s="30"/>
      <c r="N58" s="29"/>
      <c r="O58" s="174"/>
      <c r="P58" s="954"/>
    </row>
    <row r="59" spans="1:16" s="26" customFormat="1" ht="11.25" customHeight="1">
      <c r="A59" s="32">
        <v>1</v>
      </c>
      <c r="B59" s="39"/>
      <c r="C59" s="39"/>
      <c r="D59" s="1185"/>
      <c r="E59" s="54" t="s">
        <v>82</v>
      </c>
      <c r="F59" s="41" t="s">
        <v>217</v>
      </c>
      <c r="G59" s="59" t="s">
        <v>193</v>
      </c>
      <c r="H59" s="160">
        <v>590.29999999999995</v>
      </c>
      <c r="I59" s="142">
        <f>573.7+9.5</f>
        <v>583.20000000000005</v>
      </c>
      <c r="J59" s="42">
        <f>605.3+9.5</f>
        <v>614.79999999999995</v>
      </c>
      <c r="K59" s="42">
        <f>638.6+9.5</f>
        <v>648.1</v>
      </c>
      <c r="L59" s="21" t="s">
        <v>194</v>
      </c>
      <c r="M59" s="30"/>
      <c r="N59" s="29"/>
      <c r="O59" s="174"/>
      <c r="P59" s="954"/>
    </row>
    <row r="60" spans="1:16" s="26" customFormat="1" ht="11.25" customHeight="1">
      <c r="A60" s="32">
        <v>1</v>
      </c>
      <c r="B60" s="39"/>
      <c r="C60" s="39"/>
      <c r="D60" s="1185"/>
      <c r="E60" s="54" t="s">
        <v>82</v>
      </c>
      <c r="F60" s="41" t="s">
        <v>217</v>
      </c>
      <c r="G60" s="41" t="s">
        <v>196</v>
      </c>
      <c r="H60" s="160">
        <v>48.2</v>
      </c>
      <c r="I60" s="142">
        <v>56</v>
      </c>
      <c r="J60" s="42">
        <v>56</v>
      </c>
      <c r="K60" s="42">
        <v>56</v>
      </c>
      <c r="L60" s="21"/>
      <c r="M60" s="30"/>
      <c r="N60" s="29"/>
      <c r="O60" s="174"/>
      <c r="P60" s="954"/>
    </row>
    <row r="61" spans="1:16" s="26" customFormat="1" ht="11.25" customHeight="1">
      <c r="A61" s="32">
        <v>1</v>
      </c>
      <c r="B61" s="39"/>
      <c r="C61" s="39"/>
      <c r="D61" s="1185"/>
      <c r="E61" s="54" t="s">
        <v>82</v>
      </c>
      <c r="F61" s="41" t="s">
        <v>217</v>
      </c>
      <c r="G61" s="41" t="s">
        <v>195</v>
      </c>
      <c r="H61" s="160">
        <v>10</v>
      </c>
      <c r="I61" s="142">
        <f>6.2</f>
        <v>6.2</v>
      </c>
      <c r="J61" s="42"/>
      <c r="K61" s="42"/>
      <c r="L61" s="21"/>
      <c r="M61" s="30"/>
      <c r="N61" s="29"/>
      <c r="O61" s="174"/>
      <c r="P61" s="954"/>
    </row>
    <row r="62" spans="1:16" s="26" customFormat="1" ht="11.25" customHeight="1">
      <c r="A62" s="32">
        <v>1</v>
      </c>
      <c r="B62" s="39"/>
      <c r="C62" s="39"/>
      <c r="D62" s="1185"/>
      <c r="E62" s="54" t="s">
        <v>82</v>
      </c>
      <c r="F62" s="41" t="s">
        <v>217</v>
      </c>
      <c r="G62" s="41" t="s">
        <v>197</v>
      </c>
      <c r="H62" s="160">
        <v>0</v>
      </c>
      <c r="I62" s="142">
        <v>0</v>
      </c>
      <c r="J62" s="42">
        <v>0</v>
      </c>
      <c r="K62" s="42">
        <v>0</v>
      </c>
      <c r="L62" s="21"/>
      <c r="M62" s="30"/>
      <c r="N62" s="29"/>
      <c r="O62" s="174"/>
      <c r="P62" s="954"/>
    </row>
    <row r="63" spans="1:16" s="26" customFormat="1" ht="11.25" customHeight="1">
      <c r="A63" s="32">
        <v>1</v>
      </c>
      <c r="B63" s="39"/>
      <c r="C63" s="39"/>
      <c r="D63" s="1185"/>
      <c r="E63" s="54" t="s">
        <v>82</v>
      </c>
      <c r="F63" s="41" t="s">
        <v>217</v>
      </c>
      <c r="G63" s="48" t="s">
        <v>198</v>
      </c>
      <c r="H63" s="143">
        <f t="shared" ref="H63:K63" si="6">SUM(H56:H62)</f>
        <v>1133.3</v>
      </c>
      <c r="I63" s="143">
        <f t="shared" si="6"/>
        <v>1120.3</v>
      </c>
      <c r="J63" s="143">
        <f t="shared" si="6"/>
        <v>1181.9000000000001</v>
      </c>
      <c r="K63" s="143">
        <f t="shared" si="6"/>
        <v>1215.2</v>
      </c>
      <c r="L63" s="21"/>
      <c r="M63" s="30"/>
      <c r="N63" s="29"/>
      <c r="O63" s="174"/>
      <c r="P63" s="954"/>
    </row>
    <row r="64" spans="1:16" s="26" customFormat="1" ht="11.25" customHeight="1">
      <c r="A64" s="32">
        <v>1</v>
      </c>
      <c r="B64" s="39"/>
      <c r="C64" s="39" t="s">
        <v>218</v>
      </c>
      <c r="D64" s="1185" t="s">
        <v>219</v>
      </c>
      <c r="E64" s="54" t="s">
        <v>84</v>
      </c>
      <c r="F64" s="41" t="s">
        <v>220</v>
      </c>
      <c r="G64" s="41" t="s">
        <v>190</v>
      </c>
      <c r="H64" s="160">
        <v>749.2</v>
      </c>
      <c r="I64" s="142">
        <v>852.9</v>
      </c>
      <c r="J64" s="56">
        <v>921.1</v>
      </c>
      <c r="K64" s="56">
        <v>921.1</v>
      </c>
      <c r="L64" s="21"/>
      <c r="M64" s="30"/>
      <c r="N64" s="29"/>
      <c r="O64" s="174"/>
      <c r="P64" s="954"/>
    </row>
    <row r="65" spans="1:16" s="26" customFormat="1" ht="11.25" customHeight="1">
      <c r="A65" s="32">
        <v>1</v>
      </c>
      <c r="B65" s="39"/>
      <c r="C65" s="39"/>
      <c r="D65" s="1185"/>
      <c r="E65" s="54" t="s">
        <v>84</v>
      </c>
      <c r="F65" s="41" t="s">
        <v>220</v>
      </c>
      <c r="G65" s="41" t="s">
        <v>191</v>
      </c>
      <c r="H65" s="160"/>
      <c r="I65" s="142"/>
      <c r="J65" s="42"/>
      <c r="K65" s="42"/>
      <c r="L65" s="21"/>
      <c r="M65" s="30"/>
      <c r="N65" s="29"/>
      <c r="O65" s="174"/>
      <c r="P65" s="954"/>
    </row>
    <row r="66" spans="1:16" s="26" customFormat="1" ht="11.25" customHeight="1">
      <c r="A66" s="32">
        <v>1</v>
      </c>
      <c r="B66" s="39"/>
      <c r="C66" s="39"/>
      <c r="D66" s="1185"/>
      <c r="E66" s="54" t="s">
        <v>84</v>
      </c>
      <c r="F66" s="41" t="s">
        <v>220</v>
      </c>
      <c r="G66" s="41" t="s">
        <v>192</v>
      </c>
      <c r="H66" s="160"/>
      <c r="I66" s="142"/>
      <c r="J66" s="42"/>
      <c r="K66" s="42"/>
      <c r="L66" s="21"/>
      <c r="M66" s="30"/>
      <c r="N66" s="29"/>
      <c r="O66" s="174"/>
      <c r="P66" s="954"/>
    </row>
    <row r="67" spans="1:16" s="26" customFormat="1" ht="11.25" customHeight="1">
      <c r="A67" s="32">
        <v>1</v>
      </c>
      <c r="B67" s="39"/>
      <c r="C67" s="39"/>
      <c r="D67" s="1185"/>
      <c r="E67" s="54" t="s">
        <v>84</v>
      </c>
      <c r="F67" s="41" t="s">
        <v>220</v>
      </c>
      <c r="G67" s="59" t="s">
        <v>193</v>
      </c>
      <c r="H67" s="160">
        <v>392.5</v>
      </c>
      <c r="I67" s="142">
        <f>439.8+26</f>
        <v>465.8</v>
      </c>
      <c r="J67" s="42">
        <f>467.7+26</f>
        <v>493.7</v>
      </c>
      <c r="K67" s="42">
        <f>492.3+26</f>
        <v>518.29999999999995</v>
      </c>
      <c r="L67" s="21" t="s">
        <v>194</v>
      </c>
      <c r="M67" s="30"/>
      <c r="N67" s="29"/>
      <c r="O67" s="174"/>
      <c r="P67" s="954"/>
    </row>
    <row r="68" spans="1:16" s="26" customFormat="1" ht="11.25" customHeight="1">
      <c r="A68" s="32">
        <v>1</v>
      </c>
      <c r="B68" s="39"/>
      <c r="C68" s="39"/>
      <c r="D68" s="1185"/>
      <c r="E68" s="54" t="s">
        <v>84</v>
      </c>
      <c r="F68" s="41" t="s">
        <v>220</v>
      </c>
      <c r="G68" s="41" t="s">
        <v>195</v>
      </c>
      <c r="H68" s="160">
        <v>2.1</v>
      </c>
      <c r="I68" s="142">
        <f>2.3</f>
        <v>2.2999999999999998</v>
      </c>
      <c r="J68" s="42"/>
      <c r="K68" s="42"/>
      <c r="L68" s="21"/>
      <c r="M68" s="30"/>
      <c r="N68" s="29"/>
      <c r="O68" s="174"/>
      <c r="P68" s="954"/>
    </row>
    <row r="69" spans="1:16" s="26" customFormat="1" ht="11.25" customHeight="1">
      <c r="A69" s="32">
        <v>1</v>
      </c>
      <c r="B69" s="39"/>
      <c r="C69" s="39"/>
      <c r="D69" s="1185"/>
      <c r="E69" s="54" t="s">
        <v>84</v>
      </c>
      <c r="F69" s="41" t="s">
        <v>220</v>
      </c>
      <c r="G69" s="41" t="s">
        <v>196</v>
      </c>
      <c r="H69" s="160">
        <v>10.1</v>
      </c>
      <c r="I69" s="142">
        <v>24.1</v>
      </c>
      <c r="J69" s="42">
        <v>24.1</v>
      </c>
      <c r="K69" s="42">
        <v>24.1</v>
      </c>
      <c r="L69" s="21"/>
      <c r="M69" s="30"/>
      <c r="N69" s="29"/>
      <c r="O69" s="174"/>
      <c r="P69" s="954"/>
    </row>
    <row r="70" spans="1:16" s="26" customFormat="1" ht="11.25" customHeight="1">
      <c r="A70" s="32">
        <v>1</v>
      </c>
      <c r="B70" s="39"/>
      <c r="C70" s="39"/>
      <c r="D70" s="1185"/>
      <c r="E70" s="54" t="s">
        <v>84</v>
      </c>
      <c r="F70" s="41" t="s">
        <v>220</v>
      </c>
      <c r="G70" s="41" t="s">
        <v>197</v>
      </c>
      <c r="H70" s="160">
        <v>0</v>
      </c>
      <c r="I70" s="142">
        <v>0</v>
      </c>
      <c r="J70" s="42">
        <v>0</v>
      </c>
      <c r="K70" s="42">
        <v>0</v>
      </c>
      <c r="L70" s="21"/>
      <c r="M70" s="30"/>
      <c r="N70" s="29"/>
      <c r="O70" s="174"/>
      <c r="P70" s="954"/>
    </row>
    <row r="71" spans="1:16" s="26" customFormat="1" ht="11.25" customHeight="1">
      <c r="A71" s="32">
        <v>1</v>
      </c>
      <c r="B71" s="39"/>
      <c r="C71" s="39"/>
      <c r="D71" s="1185"/>
      <c r="E71" s="54" t="s">
        <v>84</v>
      </c>
      <c r="F71" s="41" t="s">
        <v>220</v>
      </c>
      <c r="G71" s="48" t="s">
        <v>198</v>
      </c>
      <c r="H71" s="143">
        <f t="shared" ref="H71:K71" si="7">SUM(H64:H70)</f>
        <v>1153.8999999999999</v>
      </c>
      <c r="I71" s="143">
        <f t="shared" si="7"/>
        <v>1345.1</v>
      </c>
      <c r="J71" s="143">
        <f t="shared" si="7"/>
        <v>1438.8999999999999</v>
      </c>
      <c r="K71" s="143">
        <f t="shared" si="7"/>
        <v>1463.5</v>
      </c>
      <c r="L71" s="21"/>
      <c r="M71" s="30"/>
      <c r="N71" s="29"/>
      <c r="O71" s="174"/>
      <c r="P71" s="954"/>
    </row>
    <row r="72" spans="1:16" s="26" customFormat="1" ht="11.25" customHeight="1">
      <c r="A72" s="32">
        <v>1</v>
      </c>
      <c r="B72" s="39"/>
      <c r="C72" s="39" t="s">
        <v>221</v>
      </c>
      <c r="D72" s="1185" t="s">
        <v>222</v>
      </c>
      <c r="E72" s="54" t="s">
        <v>86</v>
      </c>
      <c r="F72" s="41" t="s">
        <v>223</v>
      </c>
      <c r="G72" s="41" t="s">
        <v>190</v>
      </c>
      <c r="H72" s="160">
        <v>1949.8</v>
      </c>
      <c r="I72" s="142">
        <v>2277.4</v>
      </c>
      <c r="J72" s="45">
        <v>2459.6</v>
      </c>
      <c r="K72" s="45">
        <v>2459.6</v>
      </c>
      <c r="L72" s="21"/>
      <c r="M72" s="30"/>
      <c r="N72" s="29"/>
      <c r="O72" s="174"/>
      <c r="P72" s="954"/>
    </row>
    <row r="73" spans="1:16" s="26" customFormat="1" ht="11.25" customHeight="1">
      <c r="A73" s="32">
        <v>1</v>
      </c>
      <c r="B73" s="39"/>
      <c r="C73" s="39"/>
      <c r="D73" s="1185"/>
      <c r="E73" s="54" t="s">
        <v>86</v>
      </c>
      <c r="F73" s="41" t="s">
        <v>223</v>
      </c>
      <c r="G73" s="41" t="s">
        <v>191</v>
      </c>
      <c r="H73" s="160">
        <v>29.5</v>
      </c>
      <c r="I73" s="142">
        <v>9.3000000000000007</v>
      </c>
      <c r="J73" s="42"/>
      <c r="K73" s="42"/>
      <c r="L73" s="21"/>
      <c r="M73" s="30"/>
      <c r="N73" s="29"/>
      <c r="O73" s="174"/>
      <c r="P73" s="954"/>
    </row>
    <row r="74" spans="1:16" s="26" customFormat="1" ht="11.25" customHeight="1">
      <c r="A74" s="32">
        <v>1</v>
      </c>
      <c r="B74" s="39"/>
      <c r="C74" s="39"/>
      <c r="D74" s="1185"/>
      <c r="E74" s="54" t="s">
        <v>86</v>
      </c>
      <c r="F74" s="41" t="s">
        <v>223</v>
      </c>
      <c r="G74" s="41" t="s">
        <v>192</v>
      </c>
      <c r="H74" s="160"/>
      <c r="I74" s="142"/>
      <c r="J74" s="42"/>
      <c r="K74" s="42"/>
      <c r="L74" s="21"/>
      <c r="M74" s="30"/>
      <c r="N74" s="29"/>
      <c r="O74" s="174"/>
      <c r="P74" s="954"/>
    </row>
    <row r="75" spans="1:16" s="26" customFormat="1" ht="11.25" customHeight="1">
      <c r="A75" s="32">
        <v>1</v>
      </c>
      <c r="B75" s="39"/>
      <c r="C75" s="39"/>
      <c r="D75" s="1185"/>
      <c r="E75" s="54" t="s">
        <v>86</v>
      </c>
      <c r="F75" s="41" t="s">
        <v>223</v>
      </c>
      <c r="G75" s="59" t="s">
        <v>193</v>
      </c>
      <c r="H75" s="160">
        <v>1384.1</v>
      </c>
      <c r="I75" s="142">
        <f>1512.4+33.1</f>
        <v>1545.5</v>
      </c>
      <c r="J75" s="42">
        <f>1596.5+33.1</f>
        <v>1629.6</v>
      </c>
      <c r="K75" s="42">
        <f>1685.6+33.1</f>
        <v>1718.6999999999998</v>
      </c>
      <c r="L75" s="21" t="s">
        <v>194</v>
      </c>
      <c r="M75" s="30"/>
      <c r="N75" s="29"/>
      <c r="O75" s="174"/>
      <c r="P75" s="954"/>
    </row>
    <row r="76" spans="1:16" s="26" customFormat="1" ht="11.25" customHeight="1">
      <c r="A76" s="32">
        <v>1</v>
      </c>
      <c r="B76" s="39"/>
      <c r="C76" s="39"/>
      <c r="D76" s="1185"/>
      <c r="E76" s="54" t="s">
        <v>86</v>
      </c>
      <c r="F76" s="41" t="s">
        <v>223</v>
      </c>
      <c r="G76" s="41" t="s">
        <v>195</v>
      </c>
      <c r="H76" s="160">
        <v>22.2</v>
      </c>
      <c r="I76" s="142">
        <f>17.6</f>
        <v>17.600000000000001</v>
      </c>
      <c r="J76" s="42"/>
      <c r="K76" s="42"/>
      <c r="L76" s="21"/>
      <c r="M76" s="30"/>
      <c r="N76" s="29"/>
      <c r="O76" s="174"/>
      <c r="P76" s="954"/>
    </row>
    <row r="77" spans="1:16" s="26" customFormat="1" ht="11.25" customHeight="1">
      <c r="A77" s="32">
        <v>1</v>
      </c>
      <c r="B77" s="39"/>
      <c r="C77" s="39"/>
      <c r="D77" s="1185"/>
      <c r="E77" s="54" t="s">
        <v>86</v>
      </c>
      <c r="F77" s="41" t="s">
        <v>223</v>
      </c>
      <c r="G77" s="41" t="s">
        <v>196</v>
      </c>
      <c r="H77" s="160">
        <v>118.7</v>
      </c>
      <c r="I77" s="142">
        <v>133.4</v>
      </c>
      <c r="J77" s="42">
        <v>133.4</v>
      </c>
      <c r="K77" s="42">
        <v>133.4</v>
      </c>
      <c r="L77" s="21"/>
      <c r="M77" s="30"/>
      <c r="N77" s="29"/>
      <c r="O77" s="174"/>
      <c r="P77" s="954"/>
    </row>
    <row r="78" spans="1:16" s="26" customFormat="1" ht="11.25" customHeight="1">
      <c r="A78" s="32">
        <v>1</v>
      </c>
      <c r="B78" s="39"/>
      <c r="C78" s="39"/>
      <c r="D78" s="1185"/>
      <c r="E78" s="54" t="s">
        <v>86</v>
      </c>
      <c r="F78" s="41" t="s">
        <v>223</v>
      </c>
      <c r="G78" s="41" t="s">
        <v>197</v>
      </c>
      <c r="H78" s="160">
        <v>0</v>
      </c>
      <c r="I78" s="142">
        <v>0</v>
      </c>
      <c r="J78" s="42">
        <v>0</v>
      </c>
      <c r="K78" s="42">
        <v>0</v>
      </c>
      <c r="L78" s="21"/>
      <c r="M78" s="30"/>
      <c r="N78" s="29"/>
      <c r="O78" s="174"/>
      <c r="P78" s="954"/>
    </row>
    <row r="79" spans="1:16" s="26" customFormat="1" ht="11.25" customHeight="1">
      <c r="A79" s="32">
        <v>1</v>
      </c>
      <c r="B79" s="39"/>
      <c r="C79" s="39"/>
      <c r="D79" s="1185"/>
      <c r="E79" s="54" t="s">
        <v>86</v>
      </c>
      <c r="F79" s="41" t="s">
        <v>223</v>
      </c>
      <c r="G79" s="48" t="s">
        <v>198</v>
      </c>
      <c r="H79" s="143">
        <f t="shared" ref="H79:K79" si="8">SUM(H72:H78)</f>
        <v>3504.2999999999993</v>
      </c>
      <c r="I79" s="143">
        <f t="shared" si="8"/>
        <v>3983.2000000000003</v>
      </c>
      <c r="J79" s="143">
        <f t="shared" si="8"/>
        <v>4222.5999999999995</v>
      </c>
      <c r="K79" s="143">
        <f t="shared" si="8"/>
        <v>4311.6999999999989</v>
      </c>
      <c r="L79" s="21"/>
      <c r="M79" s="30"/>
      <c r="N79" s="29"/>
      <c r="O79" s="174"/>
      <c r="P79" s="954"/>
    </row>
    <row r="80" spans="1:16" s="26" customFormat="1" ht="11.25" customHeight="1">
      <c r="A80" s="32">
        <v>1</v>
      </c>
      <c r="B80" s="39"/>
      <c r="C80" s="39" t="s">
        <v>224</v>
      </c>
      <c r="D80" s="1185" t="s">
        <v>225</v>
      </c>
      <c r="E80" s="54" t="s">
        <v>88</v>
      </c>
      <c r="F80" s="41" t="s">
        <v>226</v>
      </c>
      <c r="G80" s="41" t="s">
        <v>190</v>
      </c>
      <c r="H80" s="160">
        <v>1178.4000000000001</v>
      </c>
      <c r="I80" s="142">
        <v>1333.4</v>
      </c>
      <c r="J80" s="45">
        <v>1440.1</v>
      </c>
      <c r="K80" s="45">
        <v>1440.1</v>
      </c>
      <c r="L80" s="21"/>
      <c r="M80" s="30"/>
      <c r="N80" s="29"/>
      <c r="O80" s="174"/>
      <c r="P80" s="954"/>
    </row>
    <row r="81" spans="1:16" s="26" customFormat="1" ht="11.25" customHeight="1">
      <c r="A81" s="32">
        <v>1</v>
      </c>
      <c r="B81" s="39"/>
      <c r="C81" s="39"/>
      <c r="D81" s="1185"/>
      <c r="E81" s="54" t="s">
        <v>88</v>
      </c>
      <c r="F81" s="41" t="s">
        <v>226</v>
      </c>
      <c r="G81" s="41" t="s">
        <v>191</v>
      </c>
      <c r="H81" s="160">
        <v>2.7</v>
      </c>
      <c r="I81" s="142">
        <v>1.9</v>
      </c>
      <c r="J81" s="42"/>
      <c r="K81" s="42"/>
      <c r="L81" s="21"/>
      <c r="M81" s="30"/>
      <c r="N81" s="29"/>
      <c r="O81" s="174"/>
      <c r="P81" s="954"/>
    </row>
    <row r="82" spans="1:16" s="26" customFormat="1" ht="11.25" customHeight="1">
      <c r="A82" s="32">
        <v>1</v>
      </c>
      <c r="B82" s="39"/>
      <c r="C82" s="39"/>
      <c r="D82" s="1185"/>
      <c r="E82" s="54" t="s">
        <v>88</v>
      </c>
      <c r="F82" s="41" t="s">
        <v>226</v>
      </c>
      <c r="G82" s="41" t="s">
        <v>192</v>
      </c>
      <c r="H82" s="160"/>
      <c r="I82" s="142"/>
      <c r="J82" s="42"/>
      <c r="K82" s="42"/>
      <c r="L82" s="21"/>
      <c r="M82" s="30"/>
      <c r="N82" s="29"/>
      <c r="O82" s="174"/>
      <c r="P82" s="954"/>
    </row>
    <row r="83" spans="1:16" s="26" customFormat="1" ht="11.25" customHeight="1">
      <c r="A83" s="32">
        <v>1</v>
      </c>
      <c r="B83" s="39"/>
      <c r="C83" s="39"/>
      <c r="D83" s="1185"/>
      <c r="E83" s="54" t="s">
        <v>88</v>
      </c>
      <c r="F83" s="41" t="s">
        <v>226</v>
      </c>
      <c r="G83" s="59" t="s">
        <v>193</v>
      </c>
      <c r="H83" s="160">
        <v>500.2</v>
      </c>
      <c r="I83" s="142">
        <f>606.1+14.4</f>
        <v>620.5</v>
      </c>
      <c r="J83" s="42">
        <f>638.9+14.4</f>
        <v>653.29999999999995</v>
      </c>
      <c r="K83" s="42">
        <f>673.6+14.4</f>
        <v>688</v>
      </c>
      <c r="L83" s="21" t="s">
        <v>194</v>
      </c>
      <c r="M83" s="30"/>
      <c r="N83" s="29"/>
      <c r="O83" s="174"/>
      <c r="P83" s="954"/>
    </row>
    <row r="84" spans="1:16" s="26" customFormat="1" ht="11.25" customHeight="1">
      <c r="A84" s="32">
        <v>1</v>
      </c>
      <c r="B84" s="39"/>
      <c r="C84" s="39"/>
      <c r="D84" s="1185"/>
      <c r="E84" s="54" t="s">
        <v>88</v>
      </c>
      <c r="F84" s="41" t="s">
        <v>226</v>
      </c>
      <c r="G84" s="41" t="s">
        <v>195</v>
      </c>
      <c r="H84" s="160">
        <v>2.7</v>
      </c>
      <c r="I84" s="142">
        <f>5.6</f>
        <v>5.6</v>
      </c>
      <c r="J84" s="42"/>
      <c r="K84" s="42"/>
      <c r="L84" s="21"/>
      <c r="M84" s="30"/>
      <c r="N84" s="29"/>
      <c r="O84" s="174"/>
      <c r="P84" s="954"/>
    </row>
    <row r="85" spans="1:16" s="26" customFormat="1" ht="11.25" customHeight="1">
      <c r="A85" s="32">
        <v>1</v>
      </c>
      <c r="B85" s="39"/>
      <c r="C85" s="39"/>
      <c r="D85" s="1185"/>
      <c r="E85" s="54" t="s">
        <v>88</v>
      </c>
      <c r="F85" s="41" t="s">
        <v>226</v>
      </c>
      <c r="G85" s="41" t="s">
        <v>196</v>
      </c>
      <c r="H85" s="160">
        <v>61.7</v>
      </c>
      <c r="I85" s="142">
        <v>79.7</v>
      </c>
      <c r="J85" s="905">
        <v>79.7</v>
      </c>
      <c r="K85" s="905">
        <v>79.7</v>
      </c>
      <c r="L85" s="21"/>
      <c r="M85" s="30"/>
      <c r="N85" s="29"/>
      <c r="O85" s="174"/>
      <c r="P85" s="954"/>
    </row>
    <row r="86" spans="1:16" s="26" customFormat="1" ht="11.25" customHeight="1">
      <c r="A86" s="32">
        <v>1</v>
      </c>
      <c r="B86" s="39"/>
      <c r="C86" s="39"/>
      <c r="D86" s="1185"/>
      <c r="E86" s="54" t="s">
        <v>88</v>
      </c>
      <c r="F86" s="41" t="s">
        <v>226</v>
      </c>
      <c r="G86" s="41" t="s">
        <v>197</v>
      </c>
      <c r="H86" s="160">
        <v>0</v>
      </c>
      <c r="I86" s="142">
        <v>0</v>
      </c>
      <c r="J86" s="42">
        <v>0</v>
      </c>
      <c r="K86" s="42">
        <v>0</v>
      </c>
      <c r="L86" s="21"/>
      <c r="M86" s="30"/>
      <c r="N86" s="29"/>
      <c r="O86" s="174"/>
      <c r="P86" s="954"/>
    </row>
    <row r="87" spans="1:16" s="26" customFormat="1" ht="11.25" customHeight="1">
      <c r="A87" s="32">
        <v>1</v>
      </c>
      <c r="B87" s="39"/>
      <c r="C87" s="39"/>
      <c r="D87" s="1185"/>
      <c r="E87" s="54" t="s">
        <v>88</v>
      </c>
      <c r="F87" s="41" t="s">
        <v>226</v>
      </c>
      <c r="G87" s="48" t="s">
        <v>198</v>
      </c>
      <c r="H87" s="143">
        <f t="shared" ref="H87:K87" si="9">SUM(H80:H86)</f>
        <v>1745.7000000000003</v>
      </c>
      <c r="I87" s="143">
        <f t="shared" si="9"/>
        <v>2041.1000000000001</v>
      </c>
      <c r="J87" s="143">
        <f t="shared" si="9"/>
        <v>2173.0999999999995</v>
      </c>
      <c r="K87" s="143">
        <f t="shared" si="9"/>
        <v>2207.7999999999997</v>
      </c>
      <c r="L87" s="21"/>
      <c r="M87" s="30"/>
      <c r="N87" s="29"/>
      <c r="O87" s="174"/>
      <c r="P87" s="954"/>
    </row>
    <row r="88" spans="1:16" s="26" customFormat="1" ht="11.25" customHeight="1">
      <c r="A88" s="32">
        <v>1</v>
      </c>
      <c r="B88" s="39"/>
      <c r="C88" s="39" t="s">
        <v>227</v>
      </c>
      <c r="D88" s="1185" t="s">
        <v>228</v>
      </c>
      <c r="E88" s="54" t="s">
        <v>90</v>
      </c>
      <c r="F88" s="41" t="s">
        <v>229</v>
      </c>
      <c r="G88" s="41" t="s">
        <v>190</v>
      </c>
      <c r="H88" s="160">
        <v>1555.1</v>
      </c>
      <c r="I88" s="142">
        <v>1731.6</v>
      </c>
      <c r="J88" s="45">
        <v>1870.1</v>
      </c>
      <c r="K88" s="45">
        <v>1870.1</v>
      </c>
      <c r="L88" s="21"/>
      <c r="M88" s="30"/>
      <c r="N88" s="29"/>
      <c r="O88" s="174"/>
      <c r="P88" s="954"/>
    </row>
    <row r="89" spans="1:16" s="26" customFormat="1" ht="11.25" customHeight="1">
      <c r="A89" s="32">
        <v>1</v>
      </c>
      <c r="B89" s="39"/>
      <c r="C89" s="39"/>
      <c r="D89" s="1185"/>
      <c r="E89" s="54" t="s">
        <v>90</v>
      </c>
      <c r="F89" s="41" t="s">
        <v>229</v>
      </c>
      <c r="G89" s="41" t="s">
        <v>192</v>
      </c>
      <c r="H89" s="160"/>
      <c r="I89" s="142"/>
      <c r="J89" s="57"/>
      <c r="K89" s="57"/>
      <c r="L89" s="21"/>
      <c r="M89" s="30"/>
      <c r="N89" s="29"/>
      <c r="O89" s="174"/>
      <c r="P89" s="954"/>
    </row>
    <row r="90" spans="1:16" s="26" customFormat="1" ht="16.5" customHeight="1">
      <c r="A90" s="32">
        <v>1</v>
      </c>
      <c r="B90" s="39"/>
      <c r="C90" s="39"/>
      <c r="D90" s="1185"/>
      <c r="E90" s="54" t="s">
        <v>90</v>
      </c>
      <c r="F90" s="41" t="s">
        <v>229</v>
      </c>
      <c r="G90" s="59" t="s">
        <v>193</v>
      </c>
      <c r="H90" s="160">
        <v>1289</v>
      </c>
      <c r="I90" s="142">
        <f>1383.5+20.5</f>
        <v>1404</v>
      </c>
      <c r="J90" s="42">
        <f>1458.9+20.5</f>
        <v>1479.4</v>
      </c>
      <c r="K90" s="42">
        <f>1538.7+20.5</f>
        <v>1559.2</v>
      </c>
      <c r="L90" s="21" t="s">
        <v>194</v>
      </c>
      <c r="M90" s="30"/>
      <c r="N90" s="29"/>
      <c r="O90" s="174"/>
      <c r="P90" s="954"/>
    </row>
    <row r="91" spans="1:16" s="26" customFormat="1" ht="11.25" customHeight="1">
      <c r="A91" s="32">
        <v>1</v>
      </c>
      <c r="B91" s="39"/>
      <c r="C91" s="39"/>
      <c r="D91" s="1185"/>
      <c r="E91" s="54" t="s">
        <v>90</v>
      </c>
      <c r="F91" s="41" t="s">
        <v>229</v>
      </c>
      <c r="G91" s="41" t="s">
        <v>195</v>
      </c>
      <c r="H91" s="160">
        <v>23.4</v>
      </c>
      <c r="I91" s="142">
        <f>28.7</f>
        <v>28.7</v>
      </c>
      <c r="J91" s="42"/>
      <c r="K91" s="42"/>
      <c r="L91" s="21"/>
      <c r="M91" s="30"/>
      <c r="N91" s="29"/>
      <c r="O91" s="174"/>
      <c r="P91" s="954"/>
    </row>
    <row r="92" spans="1:16" s="26" customFormat="1" ht="11.25" customHeight="1">
      <c r="A92" s="32">
        <v>1</v>
      </c>
      <c r="B92" s="39"/>
      <c r="C92" s="39"/>
      <c r="D92" s="1185"/>
      <c r="E92" s="54" t="s">
        <v>90</v>
      </c>
      <c r="F92" s="41" t="s">
        <v>229</v>
      </c>
      <c r="G92" s="41" t="s">
        <v>196</v>
      </c>
      <c r="H92" s="160">
        <v>136.19999999999999</v>
      </c>
      <c r="I92" s="142">
        <v>152.80000000000001</v>
      </c>
      <c r="J92" s="42">
        <v>152.80000000000001</v>
      </c>
      <c r="K92" s="42">
        <v>152.80000000000001</v>
      </c>
      <c r="L92" s="21"/>
      <c r="M92" s="30"/>
      <c r="N92" s="29"/>
      <c r="O92" s="174"/>
      <c r="P92" s="954"/>
    </row>
    <row r="93" spans="1:16" s="26" customFormat="1" ht="11.25" customHeight="1">
      <c r="A93" s="32">
        <v>1</v>
      </c>
      <c r="B93" s="39"/>
      <c r="C93" s="39"/>
      <c r="D93" s="1185"/>
      <c r="E93" s="54" t="s">
        <v>90</v>
      </c>
      <c r="F93" s="41" t="s">
        <v>229</v>
      </c>
      <c r="G93" s="41" t="s">
        <v>197</v>
      </c>
      <c r="H93" s="160">
        <v>0</v>
      </c>
      <c r="I93" s="142">
        <v>0</v>
      </c>
      <c r="J93" s="42">
        <v>0</v>
      </c>
      <c r="K93" s="42">
        <v>0</v>
      </c>
      <c r="L93" s="21"/>
      <c r="M93" s="30"/>
      <c r="N93" s="29"/>
      <c r="O93" s="174"/>
      <c r="P93" s="954"/>
    </row>
    <row r="94" spans="1:16" s="26" customFormat="1" ht="11.25" customHeight="1">
      <c r="A94" s="32">
        <v>1</v>
      </c>
      <c r="B94" s="39"/>
      <c r="C94" s="39"/>
      <c r="D94" s="1185"/>
      <c r="E94" s="54" t="s">
        <v>90</v>
      </c>
      <c r="F94" s="41" t="s">
        <v>229</v>
      </c>
      <c r="G94" s="48" t="s">
        <v>198</v>
      </c>
      <c r="H94" s="143">
        <f t="shared" ref="H94:K94" si="10">SUM(H88:H93)</f>
        <v>3003.7</v>
      </c>
      <c r="I94" s="143">
        <f t="shared" si="10"/>
        <v>3317.1</v>
      </c>
      <c r="J94" s="143">
        <f t="shared" si="10"/>
        <v>3502.3</v>
      </c>
      <c r="K94" s="143">
        <f t="shared" si="10"/>
        <v>3582.1000000000004</v>
      </c>
      <c r="L94" s="21"/>
      <c r="M94" s="30"/>
      <c r="N94" s="29"/>
      <c r="O94" s="174"/>
      <c r="P94" s="954"/>
    </row>
    <row r="95" spans="1:16" s="26" customFormat="1" ht="11.25" customHeight="1">
      <c r="A95" s="32">
        <v>1</v>
      </c>
      <c r="B95" s="39"/>
      <c r="C95" s="39" t="s">
        <v>230</v>
      </c>
      <c r="D95" s="1185" t="s">
        <v>231</v>
      </c>
      <c r="E95" s="54" t="s">
        <v>92</v>
      </c>
      <c r="F95" s="41" t="s">
        <v>232</v>
      </c>
      <c r="G95" s="41" t="s">
        <v>190</v>
      </c>
      <c r="H95" s="160">
        <v>1524.7</v>
      </c>
      <c r="I95" s="142">
        <v>1596.9</v>
      </c>
      <c r="J95" s="45">
        <v>1724.7</v>
      </c>
      <c r="K95" s="45">
        <v>1724.7</v>
      </c>
      <c r="L95" s="21"/>
      <c r="M95" s="30"/>
      <c r="N95" s="29"/>
      <c r="O95" s="174"/>
      <c r="P95" s="954"/>
    </row>
    <row r="96" spans="1:16" s="26" customFormat="1" ht="11.25" customHeight="1">
      <c r="A96" s="32">
        <v>1</v>
      </c>
      <c r="B96" s="39"/>
      <c r="C96" s="39"/>
      <c r="D96" s="1185"/>
      <c r="E96" s="54" t="s">
        <v>92</v>
      </c>
      <c r="F96" s="41" t="s">
        <v>232</v>
      </c>
      <c r="G96" s="41" t="s">
        <v>191</v>
      </c>
      <c r="H96" s="160">
        <v>0.5</v>
      </c>
      <c r="I96" s="142">
        <v>1.9</v>
      </c>
      <c r="J96" s="42"/>
      <c r="K96" s="42"/>
      <c r="L96" s="21"/>
      <c r="M96" s="30"/>
      <c r="N96" s="29"/>
      <c r="O96" s="174"/>
      <c r="P96" s="954"/>
    </row>
    <row r="97" spans="1:16" s="26" customFormat="1" ht="11.25" customHeight="1">
      <c r="A97" s="32">
        <v>1</v>
      </c>
      <c r="B97" s="39"/>
      <c r="C97" s="39"/>
      <c r="D97" s="1185"/>
      <c r="E97" s="54" t="s">
        <v>92</v>
      </c>
      <c r="F97" s="41" t="s">
        <v>232</v>
      </c>
      <c r="G97" s="41" t="s">
        <v>192</v>
      </c>
      <c r="H97" s="160"/>
      <c r="I97" s="142"/>
      <c r="J97" s="42"/>
      <c r="K97" s="42"/>
      <c r="L97" s="21"/>
      <c r="M97" s="30"/>
      <c r="N97" s="29"/>
      <c r="O97" s="174"/>
      <c r="P97" s="954"/>
    </row>
    <row r="98" spans="1:16" s="26" customFormat="1" ht="11.25" customHeight="1">
      <c r="A98" s="32">
        <v>1</v>
      </c>
      <c r="B98" s="39"/>
      <c r="C98" s="39"/>
      <c r="D98" s="1185"/>
      <c r="E98" s="54" t="s">
        <v>92</v>
      </c>
      <c r="F98" s="41" t="s">
        <v>232</v>
      </c>
      <c r="G98" s="59" t="s">
        <v>193</v>
      </c>
      <c r="H98" s="160">
        <v>977</v>
      </c>
      <c r="I98" s="142">
        <f>1143.4+25.3</f>
        <v>1168.7</v>
      </c>
      <c r="J98" s="42">
        <f>1205.7+25.3</f>
        <v>1231</v>
      </c>
      <c r="K98" s="42">
        <f>1271.7+25.3</f>
        <v>1297</v>
      </c>
      <c r="L98" s="21" t="s">
        <v>194</v>
      </c>
      <c r="M98" s="30"/>
      <c r="N98" s="29"/>
      <c r="O98" s="174"/>
      <c r="P98" s="954"/>
    </row>
    <row r="99" spans="1:16" s="26" customFormat="1" ht="11.25" customHeight="1">
      <c r="A99" s="32">
        <v>1</v>
      </c>
      <c r="B99" s="39"/>
      <c r="C99" s="39"/>
      <c r="D99" s="1185"/>
      <c r="E99" s="54" t="s">
        <v>92</v>
      </c>
      <c r="F99" s="41" t="s">
        <v>232</v>
      </c>
      <c r="G99" s="41" t="s">
        <v>195</v>
      </c>
      <c r="H99" s="160">
        <v>18.100000000000001</v>
      </c>
      <c r="I99" s="142">
        <f>15.6</f>
        <v>15.6</v>
      </c>
      <c r="J99" s="42"/>
      <c r="K99" s="42"/>
      <c r="L99" s="21"/>
      <c r="M99" s="30"/>
      <c r="N99" s="29"/>
      <c r="O99" s="174"/>
      <c r="P99" s="954"/>
    </row>
    <row r="100" spans="1:16" s="26" customFormat="1" ht="11.25" customHeight="1">
      <c r="A100" s="32">
        <v>1</v>
      </c>
      <c r="B100" s="39"/>
      <c r="C100" s="39"/>
      <c r="D100" s="1185"/>
      <c r="E100" s="54" t="s">
        <v>92</v>
      </c>
      <c r="F100" s="41" t="s">
        <v>232</v>
      </c>
      <c r="G100" s="41" t="s">
        <v>196</v>
      </c>
      <c r="H100" s="160">
        <v>122.4</v>
      </c>
      <c r="I100" s="142">
        <v>133</v>
      </c>
      <c r="J100" s="42">
        <v>133</v>
      </c>
      <c r="K100" s="42">
        <v>133</v>
      </c>
      <c r="L100" s="21"/>
      <c r="M100" s="30"/>
      <c r="N100" s="29"/>
      <c r="O100" s="174"/>
      <c r="P100" s="954"/>
    </row>
    <row r="101" spans="1:16" s="26" customFormat="1" ht="11.25" customHeight="1">
      <c r="A101" s="32">
        <v>1</v>
      </c>
      <c r="B101" s="39"/>
      <c r="C101" s="39"/>
      <c r="D101" s="1185"/>
      <c r="E101" s="54" t="s">
        <v>92</v>
      </c>
      <c r="F101" s="41" t="s">
        <v>232</v>
      </c>
      <c r="G101" s="41" t="s">
        <v>197</v>
      </c>
      <c r="H101" s="160">
        <v>0</v>
      </c>
      <c r="I101" s="142">
        <v>0</v>
      </c>
      <c r="J101" s="42">
        <v>0</v>
      </c>
      <c r="K101" s="42">
        <v>0</v>
      </c>
      <c r="L101" s="21"/>
      <c r="M101" s="30"/>
      <c r="N101" s="29"/>
      <c r="O101" s="174"/>
      <c r="P101" s="954"/>
    </row>
    <row r="102" spans="1:16" s="26" customFormat="1" ht="11.25" customHeight="1">
      <c r="A102" s="32">
        <v>1</v>
      </c>
      <c r="B102" s="39"/>
      <c r="C102" s="39"/>
      <c r="D102" s="1185"/>
      <c r="E102" s="54" t="s">
        <v>92</v>
      </c>
      <c r="F102" s="41" t="s">
        <v>232</v>
      </c>
      <c r="G102" s="48" t="s">
        <v>198</v>
      </c>
      <c r="H102" s="143">
        <f t="shared" ref="H102:K102" si="11">SUM(H95:H101)</f>
        <v>2642.7</v>
      </c>
      <c r="I102" s="143">
        <f t="shared" si="11"/>
        <v>2916.1</v>
      </c>
      <c r="J102" s="143">
        <f t="shared" si="11"/>
        <v>3088.7</v>
      </c>
      <c r="K102" s="143">
        <f t="shared" si="11"/>
        <v>3154.7</v>
      </c>
      <c r="L102" s="21"/>
      <c r="M102" s="30"/>
      <c r="N102" s="29"/>
      <c r="O102" s="174"/>
      <c r="P102" s="954"/>
    </row>
    <row r="103" spans="1:16" s="26" customFormat="1" ht="11.25" customHeight="1">
      <c r="A103" s="32">
        <v>1</v>
      </c>
      <c r="B103" s="39"/>
      <c r="C103" s="39" t="s">
        <v>233</v>
      </c>
      <c r="D103" s="1185" t="s">
        <v>234</v>
      </c>
      <c r="E103" s="54" t="s">
        <v>94</v>
      </c>
      <c r="F103" s="41" t="s">
        <v>235</v>
      </c>
      <c r="G103" s="41" t="s">
        <v>190</v>
      </c>
      <c r="H103" s="160">
        <v>1605.7</v>
      </c>
      <c r="I103" s="142">
        <v>1838.9</v>
      </c>
      <c r="J103" s="45">
        <v>1986</v>
      </c>
      <c r="K103" s="45">
        <v>1986</v>
      </c>
      <c r="L103" s="21"/>
      <c r="M103" s="30"/>
      <c r="N103" s="29"/>
      <c r="O103" s="174"/>
      <c r="P103" s="954"/>
    </row>
    <row r="104" spans="1:16" s="26" customFormat="1" ht="11.25" customHeight="1">
      <c r="A104" s="32">
        <v>1</v>
      </c>
      <c r="B104" s="39"/>
      <c r="C104" s="39"/>
      <c r="D104" s="1185"/>
      <c r="E104" s="54" t="s">
        <v>94</v>
      </c>
      <c r="F104" s="41" t="s">
        <v>235</v>
      </c>
      <c r="G104" s="41" t="s">
        <v>191</v>
      </c>
      <c r="H104" s="160">
        <v>2.2000000000000002</v>
      </c>
      <c r="I104" s="142"/>
      <c r="J104" s="42"/>
      <c r="K104" s="42"/>
      <c r="L104" s="21"/>
      <c r="M104" s="30"/>
      <c r="N104" s="29"/>
      <c r="O104" s="174"/>
      <c r="P104" s="954"/>
    </row>
    <row r="105" spans="1:16" s="26" customFormat="1" ht="11.25" customHeight="1">
      <c r="A105" s="32">
        <v>1</v>
      </c>
      <c r="B105" s="39"/>
      <c r="C105" s="39"/>
      <c r="D105" s="1185"/>
      <c r="E105" s="54" t="s">
        <v>94</v>
      </c>
      <c r="F105" s="41" t="s">
        <v>235</v>
      </c>
      <c r="G105" s="41" t="s">
        <v>192</v>
      </c>
      <c r="H105" s="160"/>
      <c r="I105" s="142"/>
      <c r="J105" s="42"/>
      <c r="K105" s="42"/>
      <c r="L105" s="21"/>
      <c r="M105" s="30"/>
      <c r="N105" s="29"/>
      <c r="O105" s="174"/>
      <c r="P105" s="954"/>
    </row>
    <row r="106" spans="1:16" s="26" customFormat="1" ht="11.25" customHeight="1">
      <c r="A106" s="32">
        <v>1</v>
      </c>
      <c r="B106" s="39"/>
      <c r="C106" s="39"/>
      <c r="D106" s="1185"/>
      <c r="E106" s="54" t="s">
        <v>94</v>
      </c>
      <c r="F106" s="41" t="s">
        <v>235</v>
      </c>
      <c r="G106" s="59" t="s">
        <v>193</v>
      </c>
      <c r="H106" s="160">
        <v>1255</v>
      </c>
      <c r="I106" s="142">
        <f>1300.7+19.7</f>
        <v>1320.4</v>
      </c>
      <c r="J106" s="42">
        <f>1365.5+19.7</f>
        <v>1385.2</v>
      </c>
      <c r="K106" s="42">
        <f>1434.4+19.7</f>
        <v>1454.1000000000001</v>
      </c>
      <c r="L106" s="21" t="s">
        <v>194</v>
      </c>
      <c r="M106" s="30"/>
      <c r="N106" s="29"/>
      <c r="O106" s="174"/>
      <c r="P106" s="954"/>
    </row>
    <row r="107" spans="1:16" s="26" customFormat="1" ht="11.25" customHeight="1">
      <c r="A107" s="32">
        <v>1</v>
      </c>
      <c r="B107" s="39"/>
      <c r="C107" s="39"/>
      <c r="D107" s="1185"/>
      <c r="E107" s="54" t="s">
        <v>94</v>
      </c>
      <c r="F107" s="41" t="s">
        <v>235</v>
      </c>
      <c r="G107" s="41" t="s">
        <v>195</v>
      </c>
      <c r="H107" s="160">
        <v>20.3</v>
      </c>
      <c r="I107" s="142">
        <f>18</f>
        <v>18</v>
      </c>
      <c r="J107" s="42"/>
      <c r="K107" s="42"/>
      <c r="L107" s="21"/>
      <c r="M107" s="30"/>
      <c r="N107" s="29"/>
      <c r="O107" s="174"/>
      <c r="P107" s="954"/>
    </row>
    <row r="108" spans="1:16" s="26" customFormat="1" ht="11.25" customHeight="1">
      <c r="A108" s="32">
        <v>1</v>
      </c>
      <c r="B108" s="39"/>
      <c r="C108" s="39"/>
      <c r="D108" s="1185"/>
      <c r="E108" s="54" t="s">
        <v>94</v>
      </c>
      <c r="F108" s="41" t="s">
        <v>235</v>
      </c>
      <c r="G108" s="41" t="s">
        <v>196</v>
      </c>
      <c r="H108" s="160">
        <v>132</v>
      </c>
      <c r="I108" s="142">
        <v>128.9</v>
      </c>
      <c r="J108" s="42">
        <v>128.9</v>
      </c>
      <c r="K108" s="42">
        <v>128.9</v>
      </c>
      <c r="L108" s="21"/>
      <c r="M108" s="30"/>
      <c r="N108" s="29"/>
      <c r="O108" s="174"/>
      <c r="P108" s="954"/>
    </row>
    <row r="109" spans="1:16" s="26" customFormat="1" ht="11.25" customHeight="1">
      <c r="A109" s="32">
        <v>1</v>
      </c>
      <c r="B109" s="39"/>
      <c r="C109" s="39"/>
      <c r="D109" s="1185"/>
      <c r="E109" s="54" t="s">
        <v>94</v>
      </c>
      <c r="F109" s="41" t="s">
        <v>235</v>
      </c>
      <c r="G109" s="41" t="s">
        <v>197</v>
      </c>
      <c r="H109" s="160">
        <v>0</v>
      </c>
      <c r="I109" s="142">
        <v>0</v>
      </c>
      <c r="J109" s="42">
        <v>0</v>
      </c>
      <c r="K109" s="42">
        <v>0</v>
      </c>
      <c r="L109" s="21"/>
      <c r="M109" s="30"/>
      <c r="N109" s="29"/>
      <c r="O109" s="174"/>
      <c r="P109" s="954"/>
    </row>
    <row r="110" spans="1:16" s="26" customFormat="1" ht="11.25" customHeight="1">
      <c r="A110" s="32">
        <v>1</v>
      </c>
      <c r="B110" s="39"/>
      <c r="C110" s="39"/>
      <c r="D110" s="1185"/>
      <c r="E110" s="54" t="s">
        <v>94</v>
      </c>
      <c r="F110" s="41" t="s">
        <v>235</v>
      </c>
      <c r="G110" s="48" t="s">
        <v>198</v>
      </c>
      <c r="H110" s="143">
        <f t="shared" ref="H110:K110" si="12">SUM(H103:H109)</f>
        <v>3015.2000000000003</v>
      </c>
      <c r="I110" s="143">
        <f t="shared" si="12"/>
        <v>3306.2000000000003</v>
      </c>
      <c r="J110" s="143">
        <f t="shared" si="12"/>
        <v>3500.1</v>
      </c>
      <c r="K110" s="143">
        <f t="shared" si="12"/>
        <v>3569.0000000000005</v>
      </c>
      <c r="L110" s="21"/>
      <c r="M110" s="30"/>
      <c r="N110" s="29"/>
      <c r="O110" s="174"/>
      <c r="P110" s="954"/>
    </row>
    <row r="111" spans="1:16" s="26" customFormat="1" ht="11.25" customHeight="1">
      <c r="A111" s="32">
        <v>1</v>
      </c>
      <c r="B111" s="39"/>
      <c r="C111" s="39" t="s">
        <v>236</v>
      </c>
      <c r="D111" s="1185" t="s">
        <v>237</v>
      </c>
      <c r="E111" s="55" t="s">
        <v>96</v>
      </c>
      <c r="F111" s="41" t="s">
        <v>238</v>
      </c>
      <c r="G111" s="41" t="s">
        <v>190</v>
      </c>
      <c r="H111" s="160">
        <v>767</v>
      </c>
      <c r="I111" s="142">
        <v>830.4</v>
      </c>
      <c r="J111" s="52">
        <v>896.8</v>
      </c>
      <c r="K111" s="52">
        <v>896.8</v>
      </c>
      <c r="L111" s="21"/>
      <c r="M111" s="30"/>
      <c r="N111" s="29"/>
      <c r="O111" s="174"/>
      <c r="P111" s="954"/>
    </row>
    <row r="112" spans="1:16" s="26" customFormat="1" ht="11.25" customHeight="1">
      <c r="A112" s="32">
        <v>1</v>
      </c>
      <c r="B112" s="39"/>
      <c r="C112" s="39"/>
      <c r="D112" s="1185"/>
      <c r="E112" s="55" t="s">
        <v>96</v>
      </c>
      <c r="F112" s="41" t="s">
        <v>238</v>
      </c>
      <c r="G112" s="41" t="s">
        <v>191</v>
      </c>
      <c r="H112" s="160">
        <v>0.5</v>
      </c>
      <c r="I112" s="142">
        <v>1.7</v>
      </c>
      <c r="J112" s="42"/>
      <c r="K112" s="42"/>
      <c r="L112" s="21"/>
      <c r="M112" s="30"/>
      <c r="N112" s="29"/>
      <c r="O112" s="174"/>
      <c r="P112" s="954"/>
    </row>
    <row r="113" spans="1:16" s="26" customFormat="1" ht="11.25" customHeight="1">
      <c r="A113" s="32">
        <v>1</v>
      </c>
      <c r="B113" s="39"/>
      <c r="C113" s="39"/>
      <c r="D113" s="1185"/>
      <c r="E113" s="55" t="s">
        <v>96</v>
      </c>
      <c r="F113" s="41" t="s">
        <v>238</v>
      </c>
      <c r="G113" s="41" t="s">
        <v>192</v>
      </c>
      <c r="H113" s="160"/>
      <c r="I113" s="142"/>
      <c r="J113" s="42"/>
      <c r="K113" s="42"/>
      <c r="L113" s="21"/>
      <c r="M113" s="30"/>
      <c r="N113" s="29"/>
      <c r="O113" s="174"/>
      <c r="P113" s="954"/>
    </row>
    <row r="114" spans="1:16" s="26" customFormat="1" ht="11.25" customHeight="1">
      <c r="A114" s="32">
        <v>1</v>
      </c>
      <c r="B114" s="39"/>
      <c r="C114" s="39"/>
      <c r="D114" s="1185"/>
      <c r="E114" s="55" t="s">
        <v>96</v>
      </c>
      <c r="F114" s="41" t="s">
        <v>238</v>
      </c>
      <c r="G114" s="59" t="s">
        <v>193</v>
      </c>
      <c r="H114" s="160">
        <v>1264.5</v>
      </c>
      <c r="I114" s="142">
        <f>1312.5+6</f>
        <v>1318.5</v>
      </c>
      <c r="J114" s="43">
        <f>1384.2+6</f>
        <v>1390.2</v>
      </c>
      <c r="K114" s="43">
        <f>1460.4+6</f>
        <v>1466.4</v>
      </c>
      <c r="L114" s="21" t="s">
        <v>194</v>
      </c>
      <c r="M114" s="30"/>
      <c r="N114" s="29"/>
      <c r="O114" s="174"/>
      <c r="P114" s="954"/>
    </row>
    <row r="115" spans="1:16" s="26" customFormat="1" ht="11.25" customHeight="1">
      <c r="A115" s="32">
        <v>1</v>
      </c>
      <c r="B115" s="39"/>
      <c r="C115" s="39"/>
      <c r="D115" s="1185"/>
      <c r="E115" s="55" t="s">
        <v>96</v>
      </c>
      <c r="F115" s="41" t="s">
        <v>238</v>
      </c>
      <c r="G115" s="41" t="s">
        <v>195</v>
      </c>
      <c r="H115" s="160">
        <v>34</v>
      </c>
      <c r="I115" s="142">
        <f>33.6</f>
        <v>33.6</v>
      </c>
      <c r="J115" s="42"/>
      <c r="K115" s="42"/>
      <c r="L115" s="21"/>
      <c r="M115" s="30"/>
      <c r="N115" s="29"/>
      <c r="O115" s="174"/>
      <c r="P115" s="954"/>
    </row>
    <row r="116" spans="1:16" s="26" customFormat="1" ht="11.25" customHeight="1">
      <c r="A116" s="32">
        <v>1</v>
      </c>
      <c r="B116" s="39"/>
      <c r="C116" s="39"/>
      <c r="D116" s="1185"/>
      <c r="E116" s="55" t="s">
        <v>96</v>
      </c>
      <c r="F116" s="41" t="s">
        <v>238</v>
      </c>
      <c r="G116" s="41" t="s">
        <v>196</v>
      </c>
      <c r="H116" s="160">
        <v>119.1</v>
      </c>
      <c r="I116" s="142">
        <v>126.7</v>
      </c>
      <c r="J116" s="43">
        <v>126.7</v>
      </c>
      <c r="K116" s="43">
        <v>126.7</v>
      </c>
      <c r="L116" s="21"/>
      <c r="M116" s="30"/>
      <c r="N116" s="29"/>
      <c r="O116" s="174"/>
      <c r="P116" s="954"/>
    </row>
    <row r="117" spans="1:16" s="26" customFormat="1" ht="11.25" customHeight="1">
      <c r="A117" s="32">
        <v>1</v>
      </c>
      <c r="B117" s="39"/>
      <c r="C117" s="39"/>
      <c r="D117" s="1185"/>
      <c r="E117" s="55" t="s">
        <v>96</v>
      </c>
      <c r="F117" s="41" t="s">
        <v>238</v>
      </c>
      <c r="G117" s="41" t="s">
        <v>197</v>
      </c>
      <c r="H117" s="160">
        <v>0</v>
      </c>
      <c r="I117" s="142">
        <v>0</v>
      </c>
      <c r="J117" s="42">
        <v>0</v>
      </c>
      <c r="K117" s="42"/>
      <c r="L117" s="21"/>
      <c r="M117" s="30"/>
      <c r="N117" s="29"/>
      <c r="O117" s="174"/>
      <c r="P117" s="954"/>
    </row>
    <row r="118" spans="1:16" s="26" customFormat="1" ht="11.25" customHeight="1">
      <c r="A118" s="32">
        <v>1</v>
      </c>
      <c r="B118" s="39"/>
      <c r="C118" s="39"/>
      <c r="D118" s="1185"/>
      <c r="E118" s="55" t="s">
        <v>96</v>
      </c>
      <c r="F118" s="41" t="s">
        <v>238</v>
      </c>
      <c r="G118" s="48" t="s">
        <v>198</v>
      </c>
      <c r="H118" s="143">
        <f t="shared" ref="H118:K118" si="13">SUM(H111:H117)</f>
        <v>2185.1</v>
      </c>
      <c r="I118" s="143">
        <f t="shared" si="13"/>
        <v>2310.8999999999996</v>
      </c>
      <c r="J118" s="143">
        <f t="shared" si="13"/>
        <v>2413.6999999999998</v>
      </c>
      <c r="K118" s="143">
        <f t="shared" si="13"/>
        <v>2489.8999999999996</v>
      </c>
      <c r="L118" s="21"/>
      <c r="M118" s="30"/>
      <c r="N118" s="29"/>
      <c r="O118" s="174"/>
      <c r="P118" s="954"/>
    </row>
    <row r="119" spans="1:16" s="26" customFormat="1" ht="11.25" customHeight="1">
      <c r="A119" s="32">
        <v>1</v>
      </c>
      <c r="B119" s="39"/>
      <c r="C119" s="39" t="s">
        <v>239</v>
      </c>
      <c r="D119" s="1185" t="s">
        <v>240</v>
      </c>
      <c r="E119" s="55" t="s">
        <v>98</v>
      </c>
      <c r="F119" s="41" t="s">
        <v>241</v>
      </c>
      <c r="G119" s="41" t="s">
        <v>190</v>
      </c>
      <c r="H119" s="160">
        <v>682.2</v>
      </c>
      <c r="I119" s="142">
        <v>766.9</v>
      </c>
      <c r="J119" s="58">
        <v>828.3</v>
      </c>
      <c r="K119" s="58">
        <v>828.3</v>
      </c>
      <c r="L119" s="21"/>
      <c r="M119" s="30"/>
      <c r="N119" s="29"/>
      <c r="O119" s="174"/>
      <c r="P119" s="954"/>
    </row>
    <row r="120" spans="1:16" s="26" customFormat="1" ht="11.25" customHeight="1">
      <c r="A120" s="32">
        <v>1</v>
      </c>
      <c r="B120" s="39"/>
      <c r="C120" s="39"/>
      <c r="D120" s="1185"/>
      <c r="E120" s="55" t="s">
        <v>98</v>
      </c>
      <c r="F120" s="41" t="s">
        <v>241</v>
      </c>
      <c r="G120" s="41" t="s">
        <v>191</v>
      </c>
      <c r="H120" s="160">
        <v>7.5</v>
      </c>
      <c r="I120" s="142">
        <v>3.5</v>
      </c>
      <c r="J120" s="42"/>
      <c r="K120" s="42"/>
      <c r="L120" s="21"/>
      <c r="M120" s="30"/>
      <c r="N120" s="29"/>
      <c r="O120" s="174"/>
      <c r="P120" s="954"/>
    </row>
    <row r="121" spans="1:16" s="26" customFormat="1" ht="11.25" customHeight="1">
      <c r="A121" s="32">
        <v>1</v>
      </c>
      <c r="B121" s="39"/>
      <c r="C121" s="39"/>
      <c r="D121" s="1185"/>
      <c r="E121" s="55" t="s">
        <v>98</v>
      </c>
      <c r="F121" s="41" t="s">
        <v>241</v>
      </c>
      <c r="G121" s="41" t="s">
        <v>192</v>
      </c>
      <c r="H121" s="160"/>
      <c r="I121" s="142"/>
      <c r="J121" s="42"/>
      <c r="K121" s="42"/>
      <c r="L121" s="21"/>
      <c r="M121" s="30"/>
      <c r="N121" s="29"/>
      <c r="O121" s="174"/>
      <c r="P121" s="954"/>
    </row>
    <row r="122" spans="1:16" s="26" customFormat="1" ht="11.25" customHeight="1">
      <c r="A122" s="32">
        <v>1</v>
      </c>
      <c r="B122" s="39"/>
      <c r="C122" s="39"/>
      <c r="D122" s="1185"/>
      <c r="E122" s="55" t="s">
        <v>98</v>
      </c>
      <c r="F122" s="41" t="s">
        <v>241</v>
      </c>
      <c r="G122" s="59" t="s">
        <v>193</v>
      </c>
      <c r="H122" s="160">
        <v>1213.0999999999999</v>
      </c>
      <c r="I122" s="142">
        <f>1303.7+6.2</f>
        <v>1309.9000000000001</v>
      </c>
      <c r="J122" s="43">
        <f>1375.5+6.2</f>
        <v>1381.7</v>
      </c>
      <c r="K122" s="43">
        <f>1451.4+6.2</f>
        <v>1457.6000000000001</v>
      </c>
      <c r="L122" s="21" t="s">
        <v>194</v>
      </c>
      <c r="M122" s="30"/>
      <c r="N122" s="29"/>
      <c r="O122" s="174"/>
      <c r="P122" s="954"/>
    </row>
    <row r="123" spans="1:16" s="26" customFormat="1" ht="11.25" customHeight="1">
      <c r="A123" s="32">
        <v>1</v>
      </c>
      <c r="B123" s="39"/>
      <c r="C123" s="39"/>
      <c r="D123" s="1185"/>
      <c r="E123" s="55" t="s">
        <v>98</v>
      </c>
      <c r="F123" s="41" t="s">
        <v>241</v>
      </c>
      <c r="G123" s="41" t="s">
        <v>195</v>
      </c>
      <c r="H123" s="160">
        <v>30</v>
      </c>
      <c r="I123" s="142">
        <f>29.3</f>
        <v>29.3</v>
      </c>
      <c r="J123" s="43"/>
      <c r="K123" s="43"/>
      <c r="L123" s="21"/>
      <c r="M123" s="30"/>
      <c r="N123" s="29"/>
      <c r="O123" s="174"/>
      <c r="P123" s="954"/>
    </row>
    <row r="124" spans="1:16" s="26" customFormat="1" ht="11.25" customHeight="1">
      <c r="A124" s="32">
        <v>1</v>
      </c>
      <c r="B124" s="39"/>
      <c r="C124" s="39"/>
      <c r="D124" s="1185"/>
      <c r="E124" s="55" t="s">
        <v>98</v>
      </c>
      <c r="F124" s="41" t="s">
        <v>241</v>
      </c>
      <c r="G124" s="41" t="s">
        <v>196</v>
      </c>
      <c r="H124" s="160">
        <v>114.4</v>
      </c>
      <c r="I124" s="142">
        <v>117.5</v>
      </c>
      <c r="J124" s="43">
        <v>117.5</v>
      </c>
      <c r="K124" s="43">
        <v>117.5</v>
      </c>
      <c r="L124" s="21"/>
      <c r="M124" s="30"/>
      <c r="N124" s="29"/>
      <c r="O124" s="174"/>
      <c r="P124" s="954"/>
    </row>
    <row r="125" spans="1:16" s="26" customFormat="1" ht="11.25" customHeight="1">
      <c r="A125" s="32">
        <v>1</v>
      </c>
      <c r="B125" s="39"/>
      <c r="C125" s="39"/>
      <c r="D125" s="1185"/>
      <c r="E125" s="55" t="s">
        <v>98</v>
      </c>
      <c r="F125" s="41" t="s">
        <v>241</v>
      </c>
      <c r="G125" s="41" t="s">
        <v>197</v>
      </c>
      <c r="H125" s="160">
        <v>0</v>
      </c>
      <c r="I125" s="142">
        <v>0</v>
      </c>
      <c r="J125" s="42">
        <v>0</v>
      </c>
      <c r="K125" s="42">
        <v>0</v>
      </c>
      <c r="L125" s="21"/>
      <c r="M125" s="30"/>
      <c r="N125" s="29"/>
      <c r="O125" s="174"/>
      <c r="P125" s="954"/>
    </row>
    <row r="126" spans="1:16" s="26" customFormat="1" ht="11.25" customHeight="1">
      <c r="A126" s="32">
        <v>1</v>
      </c>
      <c r="B126" s="39"/>
      <c r="C126" s="39"/>
      <c r="D126" s="1185"/>
      <c r="E126" s="55" t="s">
        <v>98</v>
      </c>
      <c r="F126" s="41" t="s">
        <v>241</v>
      </c>
      <c r="G126" s="48" t="s">
        <v>198</v>
      </c>
      <c r="H126" s="143">
        <f t="shared" ref="H126:K126" si="14">SUM(H119:H125)</f>
        <v>2047.2</v>
      </c>
      <c r="I126" s="143">
        <f t="shared" si="14"/>
        <v>2227.1000000000004</v>
      </c>
      <c r="J126" s="143">
        <f t="shared" si="14"/>
        <v>2327.5</v>
      </c>
      <c r="K126" s="143">
        <f t="shared" si="14"/>
        <v>2403.4</v>
      </c>
      <c r="L126" s="21"/>
      <c r="M126" s="30"/>
      <c r="N126" s="29"/>
      <c r="O126" s="174"/>
      <c r="P126" s="954"/>
    </row>
    <row r="127" spans="1:16" s="26" customFormat="1" ht="11.25" customHeight="1">
      <c r="A127" s="32">
        <v>1</v>
      </c>
      <c r="B127" s="39"/>
      <c r="C127" s="39" t="s">
        <v>242</v>
      </c>
      <c r="D127" s="1185" t="s">
        <v>243</v>
      </c>
      <c r="E127" s="55" t="s">
        <v>100</v>
      </c>
      <c r="F127" s="41" t="s">
        <v>244</v>
      </c>
      <c r="G127" s="41" t="s">
        <v>190</v>
      </c>
      <c r="H127" s="160">
        <v>644.5</v>
      </c>
      <c r="I127" s="142">
        <v>692.5</v>
      </c>
      <c r="J127" s="52">
        <v>747.9</v>
      </c>
      <c r="K127" s="52">
        <v>747.9</v>
      </c>
      <c r="L127" s="21"/>
      <c r="M127" s="30"/>
      <c r="N127" s="29"/>
      <c r="O127" s="174"/>
      <c r="P127" s="954"/>
    </row>
    <row r="128" spans="1:16" s="26" customFormat="1" ht="11.25" customHeight="1">
      <c r="A128" s="32">
        <v>1</v>
      </c>
      <c r="B128" s="39"/>
      <c r="C128" s="39"/>
      <c r="D128" s="1185"/>
      <c r="E128" s="55" t="s">
        <v>100</v>
      </c>
      <c r="F128" s="41" t="s">
        <v>244</v>
      </c>
      <c r="G128" s="41" t="s">
        <v>191</v>
      </c>
      <c r="H128" s="160">
        <v>14.1</v>
      </c>
      <c r="I128" s="142">
        <v>3.4</v>
      </c>
      <c r="J128" s="42"/>
      <c r="K128" s="42"/>
      <c r="L128" s="21"/>
      <c r="M128" s="30"/>
      <c r="N128" s="29"/>
      <c r="O128" s="174"/>
      <c r="P128" s="954"/>
    </row>
    <row r="129" spans="1:16" s="26" customFormat="1" ht="11.25" customHeight="1">
      <c r="A129" s="32">
        <v>1</v>
      </c>
      <c r="B129" s="39"/>
      <c r="C129" s="39"/>
      <c r="D129" s="1185"/>
      <c r="E129" s="55" t="s">
        <v>100</v>
      </c>
      <c r="F129" s="41" t="s">
        <v>244</v>
      </c>
      <c r="G129" s="41" t="s">
        <v>192</v>
      </c>
      <c r="H129" s="160"/>
      <c r="I129" s="142"/>
      <c r="J129" s="42"/>
      <c r="K129" s="42"/>
      <c r="L129" s="21"/>
      <c r="M129" s="30"/>
      <c r="N129" s="29"/>
      <c r="O129" s="174"/>
      <c r="P129" s="954"/>
    </row>
    <row r="130" spans="1:16" s="26" customFormat="1" ht="11.25" customHeight="1">
      <c r="A130" s="32">
        <v>1</v>
      </c>
      <c r="B130" s="39"/>
      <c r="C130" s="39"/>
      <c r="D130" s="1185"/>
      <c r="E130" s="55" t="s">
        <v>100</v>
      </c>
      <c r="F130" s="41" t="s">
        <v>244</v>
      </c>
      <c r="G130" s="59" t="s">
        <v>193</v>
      </c>
      <c r="H130" s="160">
        <v>964.5</v>
      </c>
      <c r="I130" s="142">
        <f>1141.1+7</f>
        <v>1148.0999999999999</v>
      </c>
      <c r="J130" s="43">
        <f>1214.9+7</f>
        <v>1221.9000000000001</v>
      </c>
      <c r="K130" s="43">
        <f>1281+7</f>
        <v>1288</v>
      </c>
      <c r="L130" s="21" t="s">
        <v>194</v>
      </c>
      <c r="M130" s="30"/>
      <c r="N130" s="29"/>
      <c r="O130" s="174"/>
      <c r="P130" s="954"/>
    </row>
    <row r="131" spans="1:16" s="26" customFormat="1" ht="11.25" customHeight="1">
      <c r="A131" s="32">
        <v>1</v>
      </c>
      <c r="B131" s="39"/>
      <c r="C131" s="39"/>
      <c r="D131" s="1185"/>
      <c r="E131" s="55" t="s">
        <v>100</v>
      </c>
      <c r="F131" s="41" t="s">
        <v>244</v>
      </c>
      <c r="G131" s="41" t="s">
        <v>195</v>
      </c>
      <c r="H131" s="160">
        <v>30</v>
      </c>
      <c r="I131" s="142">
        <f>30.1</f>
        <v>30.1</v>
      </c>
      <c r="J131" s="43"/>
      <c r="K131" s="43"/>
      <c r="L131" s="21"/>
      <c r="M131" s="30"/>
      <c r="N131" s="29"/>
      <c r="O131" s="174"/>
      <c r="P131" s="954"/>
    </row>
    <row r="132" spans="1:16" s="26" customFormat="1" ht="11.25" customHeight="1">
      <c r="A132" s="32">
        <v>1</v>
      </c>
      <c r="B132" s="39"/>
      <c r="C132" s="39"/>
      <c r="D132" s="1185"/>
      <c r="E132" s="55" t="s">
        <v>100</v>
      </c>
      <c r="F132" s="41" t="s">
        <v>244</v>
      </c>
      <c r="G132" s="41" t="s">
        <v>196</v>
      </c>
      <c r="H132" s="160">
        <v>108.8</v>
      </c>
      <c r="I132" s="142">
        <v>119.9</v>
      </c>
      <c r="J132" s="43">
        <v>119.9</v>
      </c>
      <c r="K132" s="43">
        <v>119.9</v>
      </c>
      <c r="L132" s="21"/>
      <c r="M132" s="30"/>
      <c r="N132" s="29"/>
      <c r="O132" s="174"/>
      <c r="P132" s="954"/>
    </row>
    <row r="133" spans="1:16" s="26" customFormat="1" ht="11.25" customHeight="1">
      <c r="A133" s="32">
        <v>1</v>
      </c>
      <c r="B133" s="39"/>
      <c r="C133" s="39"/>
      <c r="D133" s="1185"/>
      <c r="E133" s="55" t="s">
        <v>100</v>
      </c>
      <c r="F133" s="41" t="s">
        <v>244</v>
      </c>
      <c r="G133" s="41" t="s">
        <v>197</v>
      </c>
      <c r="H133" s="160">
        <v>0</v>
      </c>
      <c r="I133" s="142"/>
      <c r="J133" s="42"/>
      <c r="K133" s="42"/>
      <c r="L133" s="21"/>
      <c r="M133" s="30"/>
      <c r="N133" s="29"/>
      <c r="O133" s="174"/>
      <c r="P133" s="954"/>
    </row>
    <row r="134" spans="1:16" s="26" customFormat="1" ht="11.25" customHeight="1">
      <c r="A134" s="32">
        <v>1</v>
      </c>
      <c r="B134" s="39"/>
      <c r="C134" s="39"/>
      <c r="D134" s="1185"/>
      <c r="E134" s="55" t="s">
        <v>100</v>
      </c>
      <c r="F134" s="41" t="s">
        <v>244</v>
      </c>
      <c r="G134" s="48" t="s">
        <v>198</v>
      </c>
      <c r="H134" s="143">
        <f t="shared" ref="H134:K134" si="15">SUM(H127:H133)</f>
        <v>1761.8999999999999</v>
      </c>
      <c r="I134" s="143">
        <f t="shared" si="15"/>
        <v>1994</v>
      </c>
      <c r="J134" s="143">
        <f t="shared" si="15"/>
        <v>2089.7000000000003</v>
      </c>
      <c r="K134" s="143">
        <f t="shared" si="15"/>
        <v>2155.8000000000002</v>
      </c>
      <c r="L134" s="21"/>
      <c r="M134" s="30"/>
      <c r="N134" s="29"/>
      <c r="O134" s="174"/>
      <c r="P134" s="954"/>
    </row>
    <row r="135" spans="1:16" s="26" customFormat="1" ht="11.25" customHeight="1">
      <c r="A135" s="32">
        <v>1</v>
      </c>
      <c r="B135" s="39"/>
      <c r="C135" s="39" t="s">
        <v>245</v>
      </c>
      <c r="D135" s="1185" t="s">
        <v>246</v>
      </c>
      <c r="E135" s="55" t="s">
        <v>102</v>
      </c>
      <c r="F135" s="41" t="s">
        <v>247</v>
      </c>
      <c r="G135" s="41" t="s">
        <v>190</v>
      </c>
      <c r="H135" s="160">
        <v>707.6</v>
      </c>
      <c r="I135" s="142">
        <v>832</v>
      </c>
      <c r="J135" s="52">
        <v>898.6</v>
      </c>
      <c r="K135" s="52">
        <v>898.6</v>
      </c>
      <c r="L135" s="21"/>
      <c r="M135" s="30"/>
      <c r="N135" s="29"/>
      <c r="O135" s="174"/>
      <c r="P135" s="954"/>
    </row>
    <row r="136" spans="1:16" s="26" customFormat="1" ht="11.25" customHeight="1">
      <c r="A136" s="32">
        <v>1</v>
      </c>
      <c r="B136" s="39"/>
      <c r="C136" s="39"/>
      <c r="D136" s="1185"/>
      <c r="E136" s="55" t="s">
        <v>102</v>
      </c>
      <c r="F136" s="41" t="s">
        <v>247</v>
      </c>
      <c r="G136" s="59" t="s">
        <v>191</v>
      </c>
      <c r="H136" s="160">
        <v>6</v>
      </c>
      <c r="I136" s="142">
        <v>5</v>
      </c>
      <c r="J136" s="52"/>
      <c r="K136" s="52"/>
      <c r="L136" s="21"/>
      <c r="M136" s="30"/>
      <c r="N136" s="29"/>
      <c r="O136" s="174"/>
      <c r="P136" s="954"/>
    </row>
    <row r="137" spans="1:16" s="26" customFormat="1" ht="11.25" customHeight="1">
      <c r="A137" s="32">
        <v>1</v>
      </c>
      <c r="B137" s="39"/>
      <c r="C137" s="39"/>
      <c r="D137" s="1185"/>
      <c r="E137" s="55" t="s">
        <v>102</v>
      </c>
      <c r="F137" s="41" t="s">
        <v>247</v>
      </c>
      <c r="G137" s="41" t="s">
        <v>192</v>
      </c>
      <c r="H137" s="160"/>
      <c r="I137" s="142"/>
      <c r="J137" s="56"/>
      <c r="K137" s="56"/>
      <c r="L137" s="21"/>
      <c r="M137" s="30"/>
      <c r="N137" s="29"/>
      <c r="O137" s="174"/>
      <c r="P137" s="954"/>
    </row>
    <row r="138" spans="1:16" s="26" customFormat="1" ht="11.25" customHeight="1">
      <c r="A138" s="32">
        <v>1</v>
      </c>
      <c r="B138" s="39"/>
      <c r="C138" s="39"/>
      <c r="D138" s="1185"/>
      <c r="E138" s="55" t="s">
        <v>102</v>
      </c>
      <c r="F138" s="41" t="s">
        <v>247</v>
      </c>
      <c r="G138" s="59" t="s">
        <v>193</v>
      </c>
      <c r="H138" s="160">
        <v>1231.9000000000001</v>
      </c>
      <c r="I138" s="142">
        <f>1401.9+6.5</f>
        <v>1408.4</v>
      </c>
      <c r="J138" s="43">
        <f>1478.4+6.5</f>
        <v>1484.9</v>
      </c>
      <c r="K138" s="43">
        <f>1559.5+6.5</f>
        <v>1566</v>
      </c>
      <c r="L138" s="21" t="s">
        <v>194</v>
      </c>
      <c r="M138" s="30"/>
      <c r="N138" s="29"/>
      <c r="O138" s="174"/>
      <c r="P138" s="954"/>
    </row>
    <row r="139" spans="1:16" s="26" customFormat="1" ht="11.25" customHeight="1">
      <c r="A139" s="32">
        <v>1</v>
      </c>
      <c r="B139" s="39"/>
      <c r="C139" s="39"/>
      <c r="D139" s="1185"/>
      <c r="E139" s="55" t="s">
        <v>102</v>
      </c>
      <c r="F139" s="41" t="s">
        <v>247</v>
      </c>
      <c r="G139" s="41" t="s">
        <v>195</v>
      </c>
      <c r="H139" s="160">
        <v>42.2</v>
      </c>
      <c r="I139" s="142">
        <f>32</f>
        <v>32</v>
      </c>
      <c r="J139" s="43"/>
      <c r="K139" s="43"/>
      <c r="L139" s="21"/>
      <c r="M139" s="30"/>
      <c r="N139" s="29"/>
      <c r="O139" s="174"/>
      <c r="P139" s="954"/>
    </row>
    <row r="140" spans="1:16" s="26" customFormat="1" ht="11.25" customHeight="1">
      <c r="A140" s="32">
        <v>1</v>
      </c>
      <c r="B140" s="39"/>
      <c r="C140" s="39"/>
      <c r="D140" s="1185"/>
      <c r="E140" s="55" t="s">
        <v>102</v>
      </c>
      <c r="F140" s="41" t="s">
        <v>247</v>
      </c>
      <c r="G140" s="41" t="s">
        <v>196</v>
      </c>
      <c r="H140" s="160">
        <v>93.5</v>
      </c>
      <c r="I140" s="142">
        <v>119.8</v>
      </c>
      <c r="J140" s="43">
        <v>119.8</v>
      </c>
      <c r="K140" s="43">
        <v>119.8</v>
      </c>
      <c r="L140" s="21"/>
      <c r="M140" s="30"/>
      <c r="N140" s="29"/>
      <c r="O140" s="174"/>
      <c r="P140" s="954"/>
    </row>
    <row r="141" spans="1:16" s="26" customFormat="1" ht="11.25" customHeight="1">
      <c r="A141" s="32">
        <v>1</v>
      </c>
      <c r="B141" s="39"/>
      <c r="C141" s="39"/>
      <c r="D141" s="1185"/>
      <c r="E141" s="55" t="s">
        <v>102</v>
      </c>
      <c r="F141" s="41" t="s">
        <v>247</v>
      </c>
      <c r="G141" s="41" t="s">
        <v>197</v>
      </c>
      <c r="H141" s="160">
        <v>0</v>
      </c>
      <c r="I141" s="142">
        <v>0</v>
      </c>
      <c r="J141" s="42">
        <v>0</v>
      </c>
      <c r="K141" s="42"/>
      <c r="L141" s="21"/>
      <c r="M141" s="30"/>
      <c r="N141" s="29"/>
      <c r="O141" s="174"/>
      <c r="P141" s="954"/>
    </row>
    <row r="142" spans="1:16" s="26" customFormat="1" ht="11.25" customHeight="1">
      <c r="A142" s="32">
        <v>1</v>
      </c>
      <c r="B142" s="39"/>
      <c r="C142" s="39"/>
      <c r="D142" s="1185"/>
      <c r="E142" s="55" t="s">
        <v>102</v>
      </c>
      <c r="F142" s="41" t="s">
        <v>247</v>
      </c>
      <c r="G142" s="48" t="s">
        <v>198</v>
      </c>
      <c r="H142" s="143">
        <f t="shared" ref="H142:K142" si="16">SUM(H135:H141)</f>
        <v>2081.1999999999998</v>
      </c>
      <c r="I142" s="143">
        <f t="shared" si="16"/>
        <v>2397.2000000000003</v>
      </c>
      <c r="J142" s="143">
        <f t="shared" si="16"/>
        <v>2503.3000000000002</v>
      </c>
      <c r="K142" s="143">
        <f t="shared" si="16"/>
        <v>2584.4</v>
      </c>
      <c r="L142" s="21"/>
      <c r="M142" s="30"/>
      <c r="N142" s="29"/>
      <c r="O142" s="174"/>
      <c r="P142" s="954"/>
    </row>
    <row r="143" spans="1:16" s="26" customFormat="1" ht="11.25" customHeight="1">
      <c r="A143" s="32">
        <v>1</v>
      </c>
      <c r="B143" s="39"/>
      <c r="C143" s="39" t="s">
        <v>248</v>
      </c>
      <c r="D143" s="1185" t="s">
        <v>249</v>
      </c>
      <c r="E143" s="55" t="s">
        <v>104</v>
      </c>
      <c r="F143" s="41" t="s">
        <v>250</v>
      </c>
      <c r="G143" s="41" t="s">
        <v>190</v>
      </c>
      <c r="H143" s="160">
        <v>654.29999999999995</v>
      </c>
      <c r="I143" s="142">
        <v>733.4</v>
      </c>
      <c r="J143" s="52">
        <v>792.1</v>
      </c>
      <c r="K143" s="52">
        <v>792.1</v>
      </c>
      <c r="L143" s="21"/>
      <c r="M143" s="30"/>
      <c r="N143" s="29"/>
      <c r="O143" s="174"/>
      <c r="P143" s="954"/>
    </row>
    <row r="144" spans="1:16" s="26" customFormat="1" ht="11.25" customHeight="1">
      <c r="A144" s="32">
        <v>1</v>
      </c>
      <c r="B144" s="39"/>
      <c r="C144" s="39"/>
      <c r="D144" s="1185"/>
      <c r="E144" s="55" t="s">
        <v>104</v>
      </c>
      <c r="F144" s="41" t="s">
        <v>250</v>
      </c>
      <c r="G144" s="41" t="s">
        <v>251</v>
      </c>
      <c r="H144" s="160">
        <v>0.5</v>
      </c>
      <c r="I144" s="142">
        <v>1.7</v>
      </c>
      <c r="J144" s="42"/>
      <c r="K144" s="42"/>
      <c r="L144" s="21"/>
      <c r="M144" s="30"/>
      <c r="N144" s="29"/>
      <c r="O144" s="174"/>
      <c r="P144" s="954"/>
    </row>
    <row r="145" spans="1:16" s="26" customFormat="1" ht="11.25" customHeight="1">
      <c r="A145" s="32">
        <v>1</v>
      </c>
      <c r="B145" s="39"/>
      <c r="C145" s="39"/>
      <c r="D145" s="1185"/>
      <c r="E145" s="55" t="s">
        <v>104</v>
      </c>
      <c r="F145" s="41" t="s">
        <v>250</v>
      </c>
      <c r="G145" s="41" t="s">
        <v>192</v>
      </c>
      <c r="H145" s="160"/>
      <c r="I145" s="142"/>
      <c r="J145" s="42"/>
      <c r="K145" s="42"/>
      <c r="L145" s="21"/>
      <c r="M145" s="30"/>
      <c r="N145" s="29"/>
      <c r="O145" s="174"/>
      <c r="P145" s="954"/>
    </row>
    <row r="146" spans="1:16" s="26" customFormat="1" ht="11.25" customHeight="1">
      <c r="A146" s="32">
        <v>1</v>
      </c>
      <c r="B146" s="39"/>
      <c r="C146" s="39"/>
      <c r="D146" s="1185"/>
      <c r="E146" s="55" t="s">
        <v>104</v>
      </c>
      <c r="F146" s="41" t="s">
        <v>250</v>
      </c>
      <c r="G146" s="59" t="s">
        <v>193</v>
      </c>
      <c r="H146" s="160">
        <v>1199.7</v>
      </c>
      <c r="I146" s="142">
        <f>1411.1+16.8</f>
        <v>1427.8999999999999</v>
      </c>
      <c r="J146" s="43">
        <f>1486.4+16.8</f>
        <v>1503.2</v>
      </c>
      <c r="K146" s="43">
        <f>1566.3+16.8</f>
        <v>1583.1</v>
      </c>
      <c r="L146" s="21" t="s">
        <v>194</v>
      </c>
      <c r="M146" s="30"/>
      <c r="N146" s="29"/>
      <c r="O146" s="174"/>
      <c r="P146" s="954"/>
    </row>
    <row r="147" spans="1:16" s="26" customFormat="1" ht="11.25" customHeight="1">
      <c r="A147" s="32">
        <v>1</v>
      </c>
      <c r="B147" s="39"/>
      <c r="C147" s="39"/>
      <c r="D147" s="1185"/>
      <c r="E147" s="55" t="s">
        <v>104</v>
      </c>
      <c r="F147" s="41" t="s">
        <v>250</v>
      </c>
      <c r="G147" s="41" t="s">
        <v>195</v>
      </c>
      <c r="H147" s="160">
        <v>28.4</v>
      </c>
      <c r="I147" s="142">
        <f>32.3</f>
        <v>32.299999999999997</v>
      </c>
      <c r="J147" s="43"/>
      <c r="K147" s="43"/>
      <c r="L147" s="21"/>
      <c r="M147" s="30"/>
      <c r="N147" s="29"/>
      <c r="O147" s="174"/>
      <c r="P147" s="954"/>
    </row>
    <row r="148" spans="1:16" s="26" customFormat="1" ht="11.25" customHeight="1">
      <c r="A148" s="32">
        <v>1</v>
      </c>
      <c r="B148" s="39"/>
      <c r="C148" s="39"/>
      <c r="D148" s="1185"/>
      <c r="E148" s="55" t="s">
        <v>104</v>
      </c>
      <c r="F148" s="41" t="s">
        <v>250</v>
      </c>
      <c r="G148" s="41" t="s">
        <v>196</v>
      </c>
      <c r="H148" s="160">
        <v>115.1</v>
      </c>
      <c r="I148" s="142">
        <v>153.9</v>
      </c>
      <c r="J148" s="43">
        <v>153.9</v>
      </c>
      <c r="K148" s="43">
        <v>153.9</v>
      </c>
      <c r="L148" s="21"/>
      <c r="M148" s="30"/>
      <c r="N148" s="29"/>
      <c r="O148" s="174"/>
      <c r="P148" s="954"/>
    </row>
    <row r="149" spans="1:16" s="26" customFormat="1" ht="11.25" customHeight="1">
      <c r="A149" s="32">
        <v>1</v>
      </c>
      <c r="B149" s="39"/>
      <c r="C149" s="39"/>
      <c r="D149" s="1185"/>
      <c r="E149" s="55" t="s">
        <v>104</v>
      </c>
      <c r="F149" s="41" t="s">
        <v>250</v>
      </c>
      <c r="G149" s="41" t="s">
        <v>197</v>
      </c>
      <c r="H149" s="160">
        <v>0</v>
      </c>
      <c r="I149" s="142"/>
      <c r="J149" s="43"/>
      <c r="K149" s="43"/>
      <c r="L149" s="21"/>
      <c r="M149" s="30"/>
      <c r="N149" s="29"/>
      <c r="O149" s="174"/>
      <c r="P149" s="954"/>
    </row>
    <row r="150" spans="1:16" s="26" customFormat="1" ht="11.25" customHeight="1">
      <c r="A150" s="32">
        <v>1</v>
      </c>
      <c r="B150" s="39"/>
      <c r="C150" s="39"/>
      <c r="D150" s="1185"/>
      <c r="E150" s="55" t="s">
        <v>104</v>
      </c>
      <c r="F150" s="41" t="s">
        <v>250</v>
      </c>
      <c r="G150" s="48" t="s">
        <v>198</v>
      </c>
      <c r="H150" s="143">
        <f t="shared" ref="H150:K150" si="17">SUM(H143:H149)</f>
        <v>1998</v>
      </c>
      <c r="I150" s="143">
        <f t="shared" si="17"/>
        <v>2349.2000000000003</v>
      </c>
      <c r="J150" s="143">
        <f t="shared" si="17"/>
        <v>2449.2000000000003</v>
      </c>
      <c r="K150" s="143">
        <f t="shared" si="17"/>
        <v>2529.1</v>
      </c>
      <c r="L150" s="21"/>
      <c r="M150" s="30"/>
      <c r="N150" s="29"/>
      <c r="O150" s="174"/>
      <c r="P150" s="954"/>
    </row>
    <row r="151" spans="1:16" s="26" customFormat="1" ht="11.25">
      <c r="A151" s="32">
        <v>1</v>
      </c>
      <c r="B151" s="39"/>
      <c r="C151" s="39" t="s">
        <v>252</v>
      </c>
      <c r="D151" s="1125" t="s">
        <v>253</v>
      </c>
      <c r="E151" s="55" t="s">
        <v>114</v>
      </c>
      <c r="F151" s="41" t="s">
        <v>254</v>
      </c>
      <c r="G151" s="41" t="s">
        <v>190</v>
      </c>
      <c r="H151" s="160">
        <v>1144.5</v>
      </c>
      <c r="I151" s="142">
        <v>1314.6</v>
      </c>
      <c r="J151" s="57">
        <v>1419.8</v>
      </c>
      <c r="K151" s="57">
        <v>1419.8</v>
      </c>
      <c r="L151" s="21"/>
      <c r="M151" s="30"/>
      <c r="N151" s="29"/>
      <c r="O151" s="174"/>
      <c r="P151" s="954"/>
    </row>
    <row r="152" spans="1:16" s="26" customFormat="1" ht="11.25" customHeight="1">
      <c r="A152" s="32">
        <v>1</v>
      </c>
      <c r="B152" s="39"/>
      <c r="C152" s="39"/>
      <c r="D152" s="1167"/>
      <c r="E152" s="55" t="s">
        <v>114</v>
      </c>
      <c r="F152" s="41" t="s">
        <v>254</v>
      </c>
      <c r="G152" s="41" t="s">
        <v>191</v>
      </c>
      <c r="H152" s="160"/>
      <c r="I152" s="142"/>
      <c r="J152" s="42"/>
      <c r="K152" s="42"/>
      <c r="L152" s="21"/>
      <c r="M152" s="30"/>
      <c r="N152" s="29"/>
      <c r="O152" s="174"/>
      <c r="P152" s="954"/>
    </row>
    <row r="153" spans="1:16" s="26" customFormat="1" ht="11.25" customHeight="1">
      <c r="A153" s="32">
        <v>1</v>
      </c>
      <c r="B153" s="39"/>
      <c r="C153" s="39"/>
      <c r="D153" s="1167"/>
      <c r="E153" s="55" t="s">
        <v>114</v>
      </c>
      <c r="F153" s="41" t="s">
        <v>254</v>
      </c>
      <c r="G153" s="41" t="s">
        <v>192</v>
      </c>
      <c r="H153" s="160"/>
      <c r="I153" s="142"/>
      <c r="J153" s="42"/>
      <c r="K153" s="42"/>
      <c r="L153" s="21"/>
      <c r="M153" s="30"/>
      <c r="N153" s="29"/>
      <c r="O153" s="174"/>
      <c r="P153" s="954"/>
    </row>
    <row r="154" spans="1:16" s="26" customFormat="1" ht="11.25" customHeight="1">
      <c r="A154" s="32">
        <v>1</v>
      </c>
      <c r="B154" s="39"/>
      <c r="C154" s="39"/>
      <c r="D154" s="1167"/>
      <c r="E154" s="55" t="s">
        <v>114</v>
      </c>
      <c r="F154" s="41" t="s">
        <v>254</v>
      </c>
      <c r="G154" s="41" t="s">
        <v>197</v>
      </c>
      <c r="H154" s="160"/>
      <c r="I154" s="142"/>
      <c r="J154" s="42"/>
      <c r="K154" s="42"/>
      <c r="L154" s="21"/>
      <c r="M154" s="30"/>
      <c r="N154" s="29"/>
      <c r="O154" s="174"/>
      <c r="P154" s="954"/>
    </row>
    <row r="155" spans="1:16" s="26" customFormat="1" ht="11.25" customHeight="1">
      <c r="A155" s="32">
        <v>1</v>
      </c>
      <c r="B155" s="39"/>
      <c r="C155" s="39"/>
      <c r="D155" s="1167"/>
      <c r="E155" s="55" t="s">
        <v>114</v>
      </c>
      <c r="F155" s="41" t="s">
        <v>254</v>
      </c>
      <c r="G155" s="41" t="s">
        <v>195</v>
      </c>
      <c r="H155" s="160">
        <v>28</v>
      </c>
      <c r="I155" s="142">
        <f>26.5</f>
        <v>26.5</v>
      </c>
      <c r="J155" s="42"/>
      <c r="K155" s="42"/>
      <c r="L155" s="21"/>
      <c r="M155" s="30"/>
      <c r="N155" s="29"/>
      <c r="O155" s="174"/>
      <c r="P155" s="954"/>
    </row>
    <row r="156" spans="1:16" s="26" customFormat="1" ht="11.25" customHeight="1">
      <c r="A156" s="32">
        <v>1</v>
      </c>
      <c r="B156" s="39"/>
      <c r="C156" s="39"/>
      <c r="D156" s="1167"/>
      <c r="E156" s="55" t="s">
        <v>114</v>
      </c>
      <c r="F156" s="41" t="s">
        <v>254</v>
      </c>
      <c r="G156" s="59" t="s">
        <v>193</v>
      </c>
      <c r="H156" s="160">
        <v>1275</v>
      </c>
      <c r="I156" s="142">
        <f>1495.1+26.5</f>
        <v>1521.6</v>
      </c>
      <c r="J156" s="43">
        <f>1575.2+26.5</f>
        <v>1601.7</v>
      </c>
      <c r="K156" s="43">
        <f>1657.7+26.5</f>
        <v>1684.2</v>
      </c>
      <c r="L156" s="21" t="s">
        <v>194</v>
      </c>
      <c r="M156" s="30"/>
      <c r="N156" s="29"/>
      <c r="O156" s="174"/>
      <c r="P156" s="954"/>
    </row>
    <row r="157" spans="1:16" s="26" customFormat="1" ht="11.25" customHeight="1">
      <c r="A157" s="32">
        <v>1</v>
      </c>
      <c r="B157" s="39"/>
      <c r="C157" s="39"/>
      <c r="D157" s="1167"/>
      <c r="E157" s="55" t="s">
        <v>114</v>
      </c>
      <c r="F157" s="41" t="s">
        <v>254</v>
      </c>
      <c r="G157" s="41" t="s">
        <v>196</v>
      </c>
      <c r="H157" s="160">
        <v>145.4</v>
      </c>
      <c r="I157" s="142">
        <v>126.4</v>
      </c>
      <c r="J157" s="43">
        <v>126.4</v>
      </c>
      <c r="K157" s="43">
        <v>126.4</v>
      </c>
      <c r="L157" s="21"/>
      <c r="M157" s="30"/>
      <c r="N157" s="29"/>
      <c r="O157" s="174"/>
      <c r="P157" s="954"/>
    </row>
    <row r="158" spans="1:16" s="26" customFormat="1" ht="11.25" customHeight="1">
      <c r="A158" s="32">
        <v>1</v>
      </c>
      <c r="B158" s="39"/>
      <c r="C158" s="39"/>
      <c r="D158" s="1126"/>
      <c r="E158" s="55" t="s">
        <v>114</v>
      </c>
      <c r="F158" s="41" t="s">
        <v>254</v>
      </c>
      <c r="G158" s="48" t="s">
        <v>198</v>
      </c>
      <c r="H158" s="143">
        <f t="shared" ref="H158:K158" si="18">SUM(H151:H157)</f>
        <v>2592.9</v>
      </c>
      <c r="I158" s="143">
        <f t="shared" si="18"/>
        <v>2989.1</v>
      </c>
      <c r="J158" s="143">
        <f t="shared" si="18"/>
        <v>3147.9</v>
      </c>
      <c r="K158" s="143">
        <f t="shared" si="18"/>
        <v>3230.4</v>
      </c>
      <c r="L158" s="21"/>
      <c r="M158" s="30"/>
      <c r="N158" s="29"/>
      <c r="O158" s="174"/>
      <c r="P158" s="954"/>
    </row>
    <row r="159" spans="1:16" s="26" customFormat="1" ht="11.25">
      <c r="A159" s="32">
        <v>1</v>
      </c>
      <c r="B159" s="39"/>
      <c r="C159" s="61" t="s">
        <v>255</v>
      </c>
      <c r="D159" s="1127" t="s">
        <v>256</v>
      </c>
      <c r="E159" s="62" t="s">
        <v>122</v>
      </c>
      <c r="F159" s="59" t="s">
        <v>257</v>
      </c>
      <c r="G159" s="41" t="s">
        <v>190</v>
      </c>
      <c r="H159" s="160">
        <v>693.4</v>
      </c>
      <c r="I159" s="142">
        <v>2142.8000000000002</v>
      </c>
      <c r="J159" s="42">
        <v>2314.1999999999998</v>
      </c>
      <c r="K159" s="42">
        <v>2314.1999999999998</v>
      </c>
      <c r="L159" s="21"/>
      <c r="M159" s="30"/>
      <c r="N159" s="29"/>
      <c r="O159" s="174"/>
      <c r="P159" s="954"/>
    </row>
    <row r="160" spans="1:16" s="26" customFormat="1" ht="11.25" customHeight="1">
      <c r="A160" s="32">
        <v>1</v>
      </c>
      <c r="B160" s="39"/>
      <c r="C160" s="39"/>
      <c r="D160" s="1167"/>
      <c r="E160" s="62" t="s">
        <v>122</v>
      </c>
      <c r="F160" s="59" t="s">
        <v>257</v>
      </c>
      <c r="G160" s="41" t="s">
        <v>191</v>
      </c>
      <c r="H160" s="160"/>
      <c r="I160" s="142"/>
      <c r="J160" s="42">
        <v>0</v>
      </c>
      <c r="K160" s="42"/>
      <c r="L160" s="21"/>
      <c r="M160" s="30"/>
      <c r="N160" s="29"/>
      <c r="O160" s="174"/>
      <c r="P160" s="954"/>
    </row>
    <row r="161" spans="1:16" s="26" customFormat="1" ht="11.25" customHeight="1">
      <c r="A161" s="32">
        <v>1</v>
      </c>
      <c r="B161" s="39"/>
      <c r="C161" s="39"/>
      <c r="D161" s="1167"/>
      <c r="E161" s="62" t="s">
        <v>122</v>
      </c>
      <c r="F161" s="59" t="s">
        <v>257</v>
      </c>
      <c r="G161" s="41" t="s">
        <v>197</v>
      </c>
      <c r="H161" s="160"/>
      <c r="I161" s="142"/>
      <c r="J161" s="42"/>
      <c r="K161" s="42"/>
      <c r="L161" s="21"/>
      <c r="M161" s="30"/>
      <c r="N161" s="29"/>
      <c r="O161" s="174"/>
      <c r="P161" s="954"/>
    </row>
    <row r="162" spans="1:16" s="26" customFormat="1" ht="11.25" customHeight="1">
      <c r="A162" s="32">
        <v>1</v>
      </c>
      <c r="B162" s="39"/>
      <c r="C162" s="39"/>
      <c r="D162" s="1167"/>
      <c r="E162" s="62" t="s">
        <v>122</v>
      </c>
      <c r="F162" s="59" t="s">
        <v>257</v>
      </c>
      <c r="G162" s="41" t="s">
        <v>195</v>
      </c>
      <c r="H162" s="160"/>
      <c r="I162" s="142">
        <f>12.3+1.2+36</f>
        <v>49.5</v>
      </c>
      <c r="J162" s="43">
        <v>12.3</v>
      </c>
      <c r="K162" s="43">
        <v>12.3</v>
      </c>
      <c r="L162" s="21"/>
      <c r="M162" s="30"/>
      <c r="N162" s="29"/>
      <c r="O162" s="174"/>
      <c r="P162" s="954"/>
    </row>
    <row r="163" spans="1:16" s="26" customFormat="1" ht="24.75" customHeight="1">
      <c r="A163" s="32">
        <v>1</v>
      </c>
      <c r="B163" s="39"/>
      <c r="C163" s="39"/>
      <c r="D163" s="1167"/>
      <c r="E163" s="62" t="s">
        <v>122</v>
      </c>
      <c r="F163" s="59" t="s">
        <v>257</v>
      </c>
      <c r="G163" s="59" t="s">
        <v>193</v>
      </c>
      <c r="H163" s="160">
        <v>504.2</v>
      </c>
      <c r="I163" s="142">
        <v>1585.7</v>
      </c>
      <c r="J163" s="42">
        <v>1668</v>
      </c>
      <c r="K163" s="42">
        <v>1755.2</v>
      </c>
      <c r="L163" s="21" t="s">
        <v>194</v>
      </c>
      <c r="M163" s="30"/>
      <c r="N163" s="29"/>
      <c r="O163" s="174"/>
      <c r="P163" s="954"/>
    </row>
    <row r="164" spans="1:16" s="26" customFormat="1" ht="11.25" customHeight="1">
      <c r="A164" s="32">
        <v>1</v>
      </c>
      <c r="B164" s="39"/>
      <c r="C164" s="39"/>
      <c r="D164" s="1167"/>
      <c r="E164" s="62" t="s">
        <v>122</v>
      </c>
      <c r="F164" s="59" t="s">
        <v>257</v>
      </c>
      <c r="G164" s="41" t="s">
        <v>196</v>
      </c>
      <c r="H164" s="160">
        <v>86</v>
      </c>
      <c r="I164" s="142">
        <v>291.3</v>
      </c>
      <c r="J164" s="42">
        <v>291.3</v>
      </c>
      <c r="K164" s="42">
        <v>291.3</v>
      </c>
      <c r="L164" s="21"/>
      <c r="M164" s="30"/>
      <c r="N164" s="29"/>
      <c r="O164" s="174"/>
      <c r="P164" s="954"/>
    </row>
    <row r="165" spans="1:16" s="26" customFormat="1" ht="11.25" customHeight="1">
      <c r="A165" s="32">
        <v>1</v>
      </c>
      <c r="B165" s="39"/>
      <c r="C165" s="39"/>
      <c r="D165" s="1126"/>
      <c r="E165" s="62" t="s">
        <v>122</v>
      </c>
      <c r="F165" s="59" t="s">
        <v>257</v>
      </c>
      <c r="G165" s="48" t="s">
        <v>198</v>
      </c>
      <c r="H165" s="143">
        <f t="shared" ref="H165:K165" si="19">SUM(H159:H164)</f>
        <v>1283.5999999999999</v>
      </c>
      <c r="I165" s="143">
        <f t="shared" si="19"/>
        <v>4069.3</v>
      </c>
      <c r="J165" s="143">
        <f t="shared" si="19"/>
        <v>4285.8</v>
      </c>
      <c r="K165" s="143">
        <f t="shared" si="19"/>
        <v>4373</v>
      </c>
      <c r="L165" s="21"/>
      <c r="M165" s="30"/>
      <c r="N165" s="29"/>
      <c r="O165" s="174"/>
      <c r="P165" s="954"/>
    </row>
    <row r="166" spans="1:16" s="26" customFormat="1" ht="33.75">
      <c r="A166" s="32">
        <v>1</v>
      </c>
      <c r="B166" s="39"/>
      <c r="C166" s="39" t="s">
        <v>258</v>
      </c>
      <c r="D166" s="40" t="s">
        <v>259</v>
      </c>
      <c r="E166" s="54" t="s">
        <v>260</v>
      </c>
      <c r="F166" s="59" t="s">
        <v>261</v>
      </c>
      <c r="G166" s="59" t="s">
        <v>193</v>
      </c>
      <c r="H166" s="43">
        <v>8.6999999999999993</v>
      </c>
      <c r="I166" s="44">
        <v>11.5</v>
      </c>
      <c r="J166" s="43">
        <v>11.5</v>
      </c>
      <c r="K166" s="43">
        <v>11.5</v>
      </c>
      <c r="L166" s="21" t="s">
        <v>262</v>
      </c>
      <c r="M166" s="927" t="s">
        <v>2163</v>
      </c>
      <c r="N166" s="928" t="s">
        <v>2164</v>
      </c>
      <c r="O166" s="75" t="s">
        <v>2165</v>
      </c>
      <c r="P166" s="954"/>
    </row>
    <row r="167" spans="1:16" s="26" customFormat="1" ht="11.25" customHeight="1">
      <c r="A167" s="32">
        <v>1</v>
      </c>
      <c r="B167" s="39"/>
      <c r="C167" s="39"/>
      <c r="D167" s="40"/>
      <c r="E167" s="54" t="s">
        <v>260</v>
      </c>
      <c r="F167" s="59" t="s">
        <v>261</v>
      </c>
      <c r="G167" s="48" t="s">
        <v>198</v>
      </c>
      <c r="H167" s="53">
        <f t="shared" ref="H167:K167" si="20">SUM(H166)</f>
        <v>8.6999999999999993</v>
      </c>
      <c r="I167" s="53">
        <f t="shared" si="20"/>
        <v>11.5</v>
      </c>
      <c r="J167" s="53">
        <f t="shared" si="20"/>
        <v>11.5</v>
      </c>
      <c r="K167" s="53">
        <f t="shared" si="20"/>
        <v>11.5</v>
      </c>
      <c r="L167" s="21"/>
      <c r="M167" s="75"/>
      <c r="N167" s="764"/>
      <c r="O167" s="178"/>
      <c r="P167" s="954"/>
    </row>
    <row r="168" spans="1:16" s="26" customFormat="1" ht="20.25" customHeight="1">
      <c r="A168" s="32">
        <v>1</v>
      </c>
      <c r="B168" s="39"/>
      <c r="C168" s="39" t="s">
        <v>263</v>
      </c>
      <c r="D168" s="1125" t="s">
        <v>264</v>
      </c>
      <c r="E168" s="54" t="s">
        <v>265</v>
      </c>
      <c r="F168" s="64" t="s">
        <v>266</v>
      </c>
      <c r="G168" s="41" t="s">
        <v>267</v>
      </c>
      <c r="H168" s="43">
        <v>102.2</v>
      </c>
      <c r="I168" s="44">
        <v>220</v>
      </c>
      <c r="J168" s="65"/>
      <c r="K168" s="65"/>
      <c r="L168" s="21"/>
      <c r="M168" s="927" t="s">
        <v>2166</v>
      </c>
      <c r="N168" s="928" t="s">
        <v>2215</v>
      </c>
      <c r="O168" s="178">
        <v>1</v>
      </c>
      <c r="P168" s="955"/>
    </row>
    <row r="169" spans="1:16" s="26" customFormat="1" ht="15.75" customHeight="1">
      <c r="A169" s="32">
        <v>1</v>
      </c>
      <c r="B169" s="39"/>
      <c r="C169" s="39"/>
      <c r="D169" s="1167"/>
      <c r="E169" s="54" t="s">
        <v>265</v>
      </c>
      <c r="F169" s="64" t="s">
        <v>266</v>
      </c>
      <c r="G169" s="59" t="s">
        <v>193</v>
      </c>
      <c r="H169" s="43">
        <v>108.2</v>
      </c>
      <c r="I169" s="44">
        <v>150</v>
      </c>
      <c r="J169" s="42"/>
      <c r="K169" s="42"/>
      <c r="L169" s="21" t="s">
        <v>268</v>
      </c>
      <c r="M169" s="75"/>
      <c r="N169" s="764"/>
      <c r="O169" s="178"/>
      <c r="P169" s="954"/>
    </row>
    <row r="170" spans="1:16" s="26" customFormat="1" ht="15" customHeight="1">
      <c r="A170" s="32">
        <v>1</v>
      </c>
      <c r="B170" s="39"/>
      <c r="C170" s="39"/>
      <c r="D170" s="1167"/>
      <c r="E170" s="54" t="s">
        <v>265</v>
      </c>
      <c r="F170" s="66" t="s">
        <v>266</v>
      </c>
      <c r="G170" s="41" t="s">
        <v>269</v>
      </c>
      <c r="H170" s="43">
        <v>106.6</v>
      </c>
      <c r="I170" s="44">
        <v>139</v>
      </c>
      <c r="J170" s="65"/>
      <c r="K170" s="65"/>
      <c r="L170" s="21"/>
      <c r="M170" s="75"/>
      <c r="N170" s="764"/>
      <c r="O170" s="178"/>
      <c r="P170" s="954"/>
    </row>
    <row r="171" spans="1:16" s="26" customFormat="1" ht="11.25" customHeight="1">
      <c r="A171" s="32">
        <v>1</v>
      </c>
      <c r="B171" s="39"/>
      <c r="C171" s="39"/>
      <c r="D171" s="1126"/>
      <c r="E171" s="54" t="s">
        <v>265</v>
      </c>
      <c r="F171" s="64" t="s">
        <v>266</v>
      </c>
      <c r="G171" s="48" t="s">
        <v>198</v>
      </c>
      <c r="H171" s="53">
        <f t="shared" ref="H171:K171" si="21">SUM(H168:H170)</f>
        <v>317</v>
      </c>
      <c r="I171" s="53">
        <f t="shared" si="21"/>
        <v>509</v>
      </c>
      <c r="J171" s="53">
        <f t="shared" si="21"/>
        <v>0</v>
      </c>
      <c r="K171" s="53">
        <f t="shared" si="21"/>
        <v>0</v>
      </c>
      <c r="L171" s="21"/>
      <c r="M171" s="75"/>
      <c r="N171" s="764"/>
      <c r="O171" s="178"/>
      <c r="P171" s="954"/>
    </row>
    <row r="172" spans="1:16" s="26" customFormat="1" ht="20.25" customHeight="1">
      <c r="A172" s="32">
        <v>1</v>
      </c>
      <c r="B172" s="39"/>
      <c r="C172" s="39" t="s">
        <v>270</v>
      </c>
      <c r="D172" s="1125" t="s">
        <v>271</v>
      </c>
      <c r="E172" s="62" t="s">
        <v>272</v>
      </c>
      <c r="F172" s="64" t="s">
        <v>273</v>
      </c>
      <c r="G172" s="59" t="s">
        <v>193</v>
      </c>
      <c r="H172" s="43">
        <v>62</v>
      </c>
      <c r="I172" s="44">
        <v>186</v>
      </c>
      <c r="J172" s="65"/>
      <c r="K172" s="65"/>
      <c r="L172" s="21" t="s">
        <v>274</v>
      </c>
      <c r="M172" s="680" t="s">
        <v>2167</v>
      </c>
      <c r="N172" s="928" t="s">
        <v>2168</v>
      </c>
      <c r="O172" s="46">
        <v>1</v>
      </c>
      <c r="P172" s="956" t="s">
        <v>275</v>
      </c>
    </row>
    <row r="173" spans="1:16" s="26" customFormat="1" ht="15.75" customHeight="1">
      <c r="A173" s="32">
        <v>1</v>
      </c>
      <c r="B173" s="39"/>
      <c r="C173" s="39"/>
      <c r="D173" s="1167"/>
      <c r="E173" s="54" t="s">
        <v>112</v>
      </c>
      <c r="F173" s="64" t="s">
        <v>273</v>
      </c>
      <c r="G173" s="62" t="s">
        <v>193</v>
      </c>
      <c r="H173" s="43">
        <v>179.4</v>
      </c>
      <c r="I173" s="44"/>
      <c r="J173" s="65"/>
      <c r="K173" s="65"/>
      <c r="L173" s="21" t="s">
        <v>274</v>
      </c>
      <c r="M173" s="75"/>
      <c r="N173" s="764"/>
      <c r="O173" s="178"/>
      <c r="P173" s="957"/>
    </row>
    <row r="174" spans="1:16" s="26" customFormat="1" ht="15.75" customHeight="1">
      <c r="A174" s="32">
        <v>1</v>
      </c>
      <c r="B174" s="39"/>
      <c r="C174" s="39"/>
      <c r="D174" s="1167"/>
      <c r="E174" s="54" t="s">
        <v>110</v>
      </c>
      <c r="F174" s="64" t="s">
        <v>273</v>
      </c>
      <c r="G174" s="62" t="s">
        <v>193</v>
      </c>
      <c r="H174" s="70">
        <v>14.8</v>
      </c>
      <c r="I174" s="71"/>
      <c r="J174" s="65"/>
      <c r="K174" s="65"/>
      <c r="L174" s="21" t="s">
        <v>274</v>
      </c>
      <c r="M174" s="75"/>
      <c r="N174" s="764"/>
      <c r="O174" s="178"/>
      <c r="P174" s="954"/>
    </row>
    <row r="175" spans="1:16" s="26" customFormat="1" ht="15.75" customHeight="1">
      <c r="A175" s="32">
        <v>1</v>
      </c>
      <c r="B175" s="39"/>
      <c r="C175" s="39"/>
      <c r="D175" s="1167"/>
      <c r="E175" s="54" t="s">
        <v>92</v>
      </c>
      <c r="F175" s="64" t="s">
        <v>273</v>
      </c>
      <c r="G175" s="62" t="s">
        <v>193</v>
      </c>
      <c r="H175" s="43">
        <v>7</v>
      </c>
      <c r="I175" s="44"/>
      <c r="J175" s="65"/>
      <c r="K175" s="65"/>
      <c r="L175" s="21" t="s">
        <v>274</v>
      </c>
      <c r="M175" s="75"/>
      <c r="N175" s="764"/>
      <c r="O175" s="178"/>
      <c r="P175" s="954"/>
    </row>
    <row r="176" spans="1:16" s="26" customFormat="1" ht="15.75" customHeight="1">
      <c r="A176" s="32">
        <v>1</v>
      </c>
      <c r="B176" s="39"/>
      <c r="C176" s="39"/>
      <c r="D176" s="1167"/>
      <c r="E176" s="54" t="s">
        <v>86</v>
      </c>
      <c r="F176" s="64" t="s">
        <v>273</v>
      </c>
      <c r="G176" s="62" t="s">
        <v>193</v>
      </c>
      <c r="H176" s="43"/>
      <c r="I176" s="44"/>
      <c r="J176" s="65"/>
      <c r="K176" s="65"/>
      <c r="L176" s="21" t="s">
        <v>274</v>
      </c>
      <c r="M176" s="75"/>
      <c r="N176" s="764"/>
      <c r="O176" s="178"/>
      <c r="P176" s="954"/>
    </row>
    <row r="177" spans="1:16" s="26" customFormat="1" ht="32.450000000000003" customHeight="1">
      <c r="A177" s="32">
        <v>1</v>
      </c>
      <c r="B177" s="39"/>
      <c r="C177" s="39"/>
      <c r="D177" s="1126"/>
      <c r="E177" s="72" t="s">
        <v>276</v>
      </c>
      <c r="F177" s="64" t="s">
        <v>273</v>
      </c>
      <c r="G177" s="62" t="s">
        <v>193</v>
      </c>
      <c r="H177" s="43">
        <v>66.400000000000006</v>
      </c>
      <c r="I177" s="44"/>
      <c r="J177" s="65"/>
      <c r="K177" s="65"/>
      <c r="L177" s="21" t="s">
        <v>274</v>
      </c>
      <c r="M177" s="75"/>
      <c r="N177" s="764"/>
      <c r="O177" s="178"/>
      <c r="P177" s="954"/>
    </row>
    <row r="178" spans="1:16" s="26" customFormat="1" ht="11.25">
      <c r="A178" s="32">
        <v>1</v>
      </c>
      <c r="B178" s="39"/>
      <c r="C178" s="39"/>
      <c r="D178" s="40"/>
      <c r="E178" s="54"/>
      <c r="F178" s="64" t="s">
        <v>273</v>
      </c>
      <c r="G178" s="48" t="s">
        <v>198</v>
      </c>
      <c r="H178" s="53">
        <f>SUM(H172:H177)</f>
        <v>329.6</v>
      </c>
      <c r="I178" s="53">
        <f t="shared" ref="I178:K178" si="22">SUM(I172:I177)</f>
        <v>186</v>
      </c>
      <c r="J178" s="53">
        <f t="shared" si="22"/>
        <v>0</v>
      </c>
      <c r="K178" s="53">
        <f t="shared" si="22"/>
        <v>0</v>
      </c>
      <c r="L178" s="21"/>
      <c r="M178" s="75"/>
      <c r="N178" s="764"/>
      <c r="O178" s="178"/>
      <c r="P178" s="954"/>
    </row>
    <row r="179" spans="1:16" s="26" customFormat="1" ht="20.45" customHeight="1">
      <c r="A179" s="32">
        <v>1</v>
      </c>
      <c r="B179" s="39"/>
      <c r="C179" s="39" t="s">
        <v>277</v>
      </c>
      <c r="D179" s="121" t="s">
        <v>278</v>
      </c>
      <c r="E179" s="73" t="s">
        <v>112</v>
      </c>
      <c r="F179" s="41" t="s">
        <v>279</v>
      </c>
      <c r="G179" s="41" t="s">
        <v>190</v>
      </c>
      <c r="H179" s="161">
        <v>337.4</v>
      </c>
      <c r="I179" s="44">
        <v>400.6</v>
      </c>
      <c r="J179" s="74">
        <v>432.6</v>
      </c>
      <c r="K179" s="74">
        <v>432.6</v>
      </c>
      <c r="L179" s="21"/>
      <c r="M179" s="75"/>
      <c r="N179" s="764"/>
      <c r="O179" s="178"/>
      <c r="P179" s="954"/>
    </row>
    <row r="180" spans="1:16" s="26" customFormat="1" ht="11.25" customHeight="1">
      <c r="A180" s="32">
        <v>1</v>
      </c>
      <c r="B180" s="39"/>
      <c r="C180" s="39"/>
      <c r="D180" s="123"/>
      <c r="E180" s="73" t="s">
        <v>112</v>
      </c>
      <c r="F180" s="41" t="s">
        <v>279</v>
      </c>
      <c r="G180" s="59" t="s">
        <v>193</v>
      </c>
      <c r="H180" s="162">
        <v>139.1</v>
      </c>
      <c r="I180" s="144">
        <v>399.4</v>
      </c>
      <c r="J180" s="74">
        <v>421.4</v>
      </c>
      <c r="K180" s="74">
        <v>444.8</v>
      </c>
      <c r="L180" s="21" t="s">
        <v>194</v>
      </c>
      <c r="M180" s="75"/>
      <c r="N180" s="764"/>
      <c r="O180" s="178"/>
      <c r="P180" s="954"/>
    </row>
    <row r="181" spans="1:16" s="26" customFormat="1" ht="11.25" customHeight="1">
      <c r="A181" s="32">
        <v>1</v>
      </c>
      <c r="B181" s="39"/>
      <c r="C181" s="39"/>
      <c r="D181" s="122"/>
      <c r="E181" s="73" t="s">
        <v>112</v>
      </c>
      <c r="F181" s="41" t="s">
        <v>279</v>
      </c>
      <c r="G181" s="41" t="s">
        <v>195</v>
      </c>
      <c r="H181" s="43"/>
      <c r="I181" s="44">
        <f>25.7</f>
        <v>25.7</v>
      </c>
      <c r="J181" s="43"/>
      <c r="K181" s="43"/>
      <c r="L181" s="21"/>
      <c r="M181" s="75"/>
      <c r="N181" s="764"/>
      <c r="O181" s="178"/>
      <c r="P181" s="957"/>
    </row>
    <row r="182" spans="1:16" s="26" customFormat="1" ht="14.45" customHeight="1">
      <c r="A182" s="32">
        <v>1</v>
      </c>
      <c r="B182" s="39"/>
      <c r="C182" s="39"/>
      <c r="D182" s="40"/>
      <c r="E182" s="73" t="s">
        <v>112</v>
      </c>
      <c r="F182" s="41" t="s">
        <v>279</v>
      </c>
      <c r="G182" s="48" t="s">
        <v>198</v>
      </c>
      <c r="H182" s="53">
        <f t="shared" ref="H182:K182" si="23">SUM(H179:H181)</f>
        <v>476.5</v>
      </c>
      <c r="I182" s="53">
        <f t="shared" si="23"/>
        <v>825.7</v>
      </c>
      <c r="J182" s="53">
        <f t="shared" si="23"/>
        <v>854</v>
      </c>
      <c r="K182" s="53">
        <f t="shared" si="23"/>
        <v>877.40000000000009</v>
      </c>
      <c r="L182" s="21"/>
      <c r="M182" s="75"/>
      <c r="N182" s="764"/>
      <c r="O182" s="178"/>
      <c r="P182" s="957"/>
    </row>
    <row r="183" spans="1:16" s="26" customFormat="1" ht="15.75" customHeight="1">
      <c r="A183" s="32">
        <v>1</v>
      </c>
      <c r="B183" s="39"/>
      <c r="C183" s="39" t="s">
        <v>280</v>
      </c>
      <c r="D183" s="1125" t="s">
        <v>281</v>
      </c>
      <c r="E183" s="41">
        <v>9</v>
      </c>
      <c r="F183" s="64" t="s">
        <v>282</v>
      </c>
      <c r="G183" s="59" t="s">
        <v>193</v>
      </c>
      <c r="H183" s="43">
        <v>746.8</v>
      </c>
      <c r="I183" s="44">
        <f>937.8-110</f>
        <v>827.8</v>
      </c>
      <c r="J183" s="42">
        <v>937.8</v>
      </c>
      <c r="K183" s="42">
        <v>937.8</v>
      </c>
      <c r="L183" s="21" t="s">
        <v>262</v>
      </c>
      <c r="M183" s="927" t="s">
        <v>2131</v>
      </c>
      <c r="N183" s="928" t="s">
        <v>2169</v>
      </c>
      <c r="O183" s="178">
        <v>31</v>
      </c>
      <c r="P183" s="957"/>
    </row>
    <row r="184" spans="1:16" s="26" customFormat="1" ht="15.75" customHeight="1">
      <c r="A184" s="32">
        <v>1</v>
      </c>
      <c r="B184" s="39"/>
      <c r="C184" s="39"/>
      <c r="D184" s="1167"/>
      <c r="E184" s="41">
        <v>9</v>
      </c>
      <c r="F184" s="64" t="s">
        <v>282</v>
      </c>
      <c r="G184" s="41" t="s">
        <v>283</v>
      </c>
      <c r="H184" s="43">
        <v>0</v>
      </c>
      <c r="I184" s="44">
        <v>0</v>
      </c>
      <c r="J184" s="42">
        <v>0</v>
      </c>
      <c r="K184" s="42">
        <v>0</v>
      </c>
      <c r="L184" s="21"/>
      <c r="M184" s="75"/>
      <c r="N184" s="764"/>
      <c r="O184" s="178"/>
      <c r="P184" s="957"/>
    </row>
    <row r="185" spans="1:16" s="26" customFormat="1" ht="15.75" customHeight="1">
      <c r="A185" s="32">
        <v>1</v>
      </c>
      <c r="B185" s="39"/>
      <c r="C185" s="39"/>
      <c r="D185" s="1126"/>
      <c r="E185" s="41">
        <v>9</v>
      </c>
      <c r="F185" s="64" t="s">
        <v>282</v>
      </c>
      <c r="G185" s="64" t="s">
        <v>195</v>
      </c>
      <c r="H185" s="43">
        <v>0</v>
      </c>
      <c r="I185" s="44">
        <v>0</v>
      </c>
      <c r="J185" s="65">
        <v>0</v>
      </c>
      <c r="K185" s="65">
        <v>0</v>
      </c>
      <c r="L185" s="21"/>
      <c r="M185" s="75"/>
      <c r="N185" s="764"/>
      <c r="O185" s="178"/>
      <c r="P185" s="957"/>
    </row>
    <row r="186" spans="1:16" s="26" customFormat="1" ht="15.75" customHeight="1">
      <c r="A186" s="32">
        <v>1</v>
      </c>
      <c r="B186" s="39"/>
      <c r="C186" s="39"/>
      <c r="D186" s="40"/>
      <c r="E186" s="41">
        <v>9</v>
      </c>
      <c r="F186" s="64" t="s">
        <v>282</v>
      </c>
      <c r="G186" s="48" t="s">
        <v>198</v>
      </c>
      <c r="H186" s="53">
        <f t="shared" ref="H186:K186" si="24">SUM(H183:H185)</f>
        <v>746.8</v>
      </c>
      <c r="I186" s="53">
        <f t="shared" si="24"/>
        <v>827.8</v>
      </c>
      <c r="J186" s="53">
        <f t="shared" si="24"/>
        <v>937.8</v>
      </c>
      <c r="K186" s="53">
        <f t="shared" si="24"/>
        <v>937.8</v>
      </c>
      <c r="L186" s="21"/>
      <c r="M186" s="75"/>
      <c r="N186" s="764"/>
      <c r="O186" s="178"/>
      <c r="P186" s="957"/>
    </row>
    <row r="187" spans="1:16" s="26" customFormat="1" ht="27" customHeight="1">
      <c r="A187" s="32">
        <v>1</v>
      </c>
      <c r="B187" s="39"/>
      <c r="C187" s="39" t="s">
        <v>284</v>
      </c>
      <c r="D187" s="40" t="s">
        <v>285</v>
      </c>
      <c r="E187" s="41">
        <v>18</v>
      </c>
      <c r="F187" s="64" t="s">
        <v>286</v>
      </c>
      <c r="G187" s="59" t="s">
        <v>193</v>
      </c>
      <c r="H187" s="43">
        <v>1339.1</v>
      </c>
      <c r="I187" s="44">
        <f>1300-414.9</f>
        <v>885.1</v>
      </c>
      <c r="J187" s="42">
        <f>1300-414.9</f>
        <v>885.1</v>
      </c>
      <c r="K187" s="65">
        <f>1300-414.9</f>
        <v>885.1</v>
      </c>
      <c r="L187" s="21" t="s">
        <v>262</v>
      </c>
      <c r="M187" s="927" t="s">
        <v>2170</v>
      </c>
      <c r="N187" s="928" t="s">
        <v>2171</v>
      </c>
      <c r="O187" s="46">
        <v>100</v>
      </c>
      <c r="P187" s="957"/>
    </row>
    <row r="188" spans="1:16" s="26" customFormat="1" ht="13.9" customHeight="1">
      <c r="A188" s="32">
        <v>1</v>
      </c>
      <c r="B188" s="39"/>
      <c r="C188" s="39"/>
      <c r="D188" s="40"/>
      <c r="E188" s="41">
        <v>18</v>
      </c>
      <c r="F188" s="64" t="s">
        <v>286</v>
      </c>
      <c r="G188" s="48" t="s">
        <v>198</v>
      </c>
      <c r="H188" s="53">
        <f t="shared" ref="H188:K188" si="25">SUM(H187)</f>
        <v>1339.1</v>
      </c>
      <c r="I188" s="53">
        <f t="shared" si="25"/>
        <v>885.1</v>
      </c>
      <c r="J188" s="53">
        <f t="shared" si="25"/>
        <v>885.1</v>
      </c>
      <c r="K188" s="53">
        <f t="shared" si="25"/>
        <v>885.1</v>
      </c>
      <c r="L188" s="21"/>
      <c r="M188" s="75"/>
      <c r="N188" s="764"/>
      <c r="O188" s="178"/>
      <c r="P188" s="957"/>
    </row>
    <row r="189" spans="1:16" s="26" customFormat="1" ht="27.75" customHeight="1">
      <c r="A189" s="32">
        <v>1</v>
      </c>
      <c r="B189" s="39"/>
      <c r="C189" s="39" t="s">
        <v>287</v>
      </c>
      <c r="D189" s="76" t="s">
        <v>288</v>
      </c>
      <c r="E189" s="41">
        <v>11</v>
      </c>
      <c r="F189" s="64" t="s">
        <v>289</v>
      </c>
      <c r="G189" s="64" t="s">
        <v>195</v>
      </c>
      <c r="H189" s="43">
        <v>2.2999999999999998</v>
      </c>
      <c r="I189" s="44"/>
      <c r="J189" s="43"/>
      <c r="K189" s="43"/>
      <c r="L189" s="21"/>
      <c r="M189" s="75"/>
      <c r="N189" s="764"/>
      <c r="O189" s="178"/>
      <c r="P189" s="957"/>
    </row>
    <row r="190" spans="1:16" s="26" customFormat="1" ht="13.5" customHeight="1">
      <c r="A190" s="32">
        <v>1</v>
      </c>
      <c r="B190" s="39"/>
      <c r="C190" s="39"/>
      <c r="D190" s="76"/>
      <c r="E190" s="41" t="s">
        <v>70</v>
      </c>
      <c r="F190" s="64" t="s">
        <v>289</v>
      </c>
      <c r="G190" s="64" t="s">
        <v>195</v>
      </c>
      <c r="H190" s="43">
        <v>69.400000000000006</v>
      </c>
      <c r="I190" s="44"/>
      <c r="J190" s="43"/>
      <c r="K190" s="43"/>
      <c r="L190" s="21"/>
      <c r="M190" s="75"/>
      <c r="N190" s="764"/>
      <c r="O190" s="178"/>
      <c r="P190" s="957"/>
    </row>
    <row r="191" spans="1:16" s="26" customFormat="1" ht="13.5" customHeight="1">
      <c r="A191" s="32">
        <v>1</v>
      </c>
      <c r="B191" s="39"/>
      <c r="C191" s="39"/>
      <c r="D191" s="76"/>
      <c r="E191" s="41" t="s">
        <v>86</v>
      </c>
      <c r="F191" s="64" t="s">
        <v>289</v>
      </c>
      <c r="G191" s="64" t="s">
        <v>195</v>
      </c>
      <c r="H191" s="43">
        <v>76.3</v>
      </c>
      <c r="I191" s="44"/>
      <c r="J191" s="43"/>
      <c r="K191" s="43"/>
      <c r="L191" s="21"/>
      <c r="M191" s="75"/>
      <c r="N191" s="764"/>
      <c r="O191" s="178"/>
      <c r="P191" s="957"/>
    </row>
    <row r="192" spans="1:16" s="26" customFormat="1" ht="13.5" customHeight="1">
      <c r="A192" s="32">
        <v>1</v>
      </c>
      <c r="B192" s="39"/>
      <c r="C192" s="39"/>
      <c r="D192" s="76"/>
      <c r="E192" s="41"/>
      <c r="F192" s="64" t="s">
        <v>289</v>
      </c>
      <c r="G192" s="48" t="s">
        <v>198</v>
      </c>
      <c r="H192" s="53">
        <f t="shared" ref="H192:K192" si="26">SUM(H189:H191)</f>
        <v>148</v>
      </c>
      <c r="I192" s="53">
        <f t="shared" si="26"/>
        <v>0</v>
      </c>
      <c r="J192" s="53">
        <f t="shared" si="26"/>
        <v>0</v>
      </c>
      <c r="K192" s="53">
        <f t="shared" si="26"/>
        <v>0</v>
      </c>
      <c r="L192" s="21"/>
      <c r="M192" s="75"/>
      <c r="N192" s="764"/>
      <c r="O192" s="178"/>
      <c r="P192" s="957"/>
    </row>
    <row r="193" spans="1:16" s="26" customFormat="1" ht="23.25" customHeight="1">
      <c r="A193" s="32">
        <v>1</v>
      </c>
      <c r="B193" s="39"/>
      <c r="C193" s="39" t="s">
        <v>290</v>
      </c>
      <c r="D193" s="76" t="s">
        <v>291</v>
      </c>
      <c r="E193" s="41">
        <v>11</v>
      </c>
      <c r="F193" s="64" t="s">
        <v>292</v>
      </c>
      <c r="G193" s="59" t="s">
        <v>267</v>
      </c>
      <c r="H193" s="43">
        <v>96.9</v>
      </c>
      <c r="I193" s="44">
        <v>193.4</v>
      </c>
      <c r="J193" s="65"/>
      <c r="K193" s="65"/>
      <c r="L193" s="21"/>
      <c r="M193" s="927" t="s">
        <v>2172</v>
      </c>
      <c r="N193" s="928" t="s">
        <v>2173</v>
      </c>
      <c r="O193" s="178">
        <v>11</v>
      </c>
      <c r="P193" s="957"/>
    </row>
    <row r="194" spans="1:16" s="26" customFormat="1" ht="23.25" customHeight="1">
      <c r="A194" s="32">
        <v>1</v>
      </c>
      <c r="B194" s="39"/>
      <c r="C194" s="39"/>
      <c r="D194" s="76"/>
      <c r="E194" s="41">
        <v>11</v>
      </c>
      <c r="F194" s="64" t="s">
        <v>292</v>
      </c>
      <c r="G194" s="59" t="s">
        <v>269</v>
      </c>
      <c r="H194" s="43">
        <v>14.8</v>
      </c>
      <c r="I194" s="44">
        <v>50.9</v>
      </c>
      <c r="J194" s="65"/>
      <c r="K194" s="65"/>
      <c r="L194" s="21"/>
      <c r="M194" s="75"/>
      <c r="N194" s="764"/>
      <c r="O194" s="178"/>
      <c r="P194" s="957"/>
    </row>
    <row r="195" spans="1:16" s="26" customFormat="1" ht="11.25">
      <c r="A195" s="32">
        <v>1</v>
      </c>
      <c r="B195" s="39"/>
      <c r="C195" s="39"/>
      <c r="D195" s="40"/>
      <c r="E195" s="41">
        <v>11</v>
      </c>
      <c r="F195" s="64" t="s">
        <v>292</v>
      </c>
      <c r="G195" s="48" t="s">
        <v>198</v>
      </c>
      <c r="H195" s="53">
        <f>SUM(H193:H194)</f>
        <v>111.7</v>
      </c>
      <c r="I195" s="53">
        <f t="shared" ref="I195:K195" si="27">SUM(I193:I194)</f>
        <v>244.3</v>
      </c>
      <c r="J195" s="53">
        <f t="shared" si="27"/>
        <v>0</v>
      </c>
      <c r="K195" s="53">
        <f t="shared" si="27"/>
        <v>0</v>
      </c>
      <c r="L195" s="21"/>
      <c r="M195" s="75"/>
      <c r="N195" s="764"/>
      <c r="O195" s="178"/>
      <c r="P195" s="957"/>
    </row>
    <row r="196" spans="1:16" s="26" customFormat="1" ht="11.25" customHeight="1">
      <c r="A196" s="32">
        <v>1</v>
      </c>
      <c r="B196" s="39"/>
      <c r="C196" s="39" t="s">
        <v>293</v>
      </c>
      <c r="D196" s="1125" t="s">
        <v>294</v>
      </c>
      <c r="E196" s="77">
        <v>6</v>
      </c>
      <c r="F196" s="78" t="s">
        <v>295</v>
      </c>
      <c r="G196" s="41" t="s">
        <v>190</v>
      </c>
      <c r="H196" s="43"/>
      <c r="I196" s="44">
        <v>541.20000000000005</v>
      </c>
      <c r="J196" s="79">
        <v>602.20000000000005</v>
      </c>
      <c r="K196" s="79">
        <v>602.20000000000005</v>
      </c>
      <c r="L196" s="21"/>
      <c r="M196" s="764" t="s">
        <v>2174</v>
      </c>
      <c r="N196" s="764" t="s">
        <v>2175</v>
      </c>
      <c r="O196" s="178">
        <v>100</v>
      </c>
      <c r="P196" s="957"/>
    </row>
    <row r="197" spans="1:16" s="26" customFormat="1" ht="11.25" customHeight="1">
      <c r="A197" s="32">
        <v>1</v>
      </c>
      <c r="B197" s="39"/>
      <c r="C197" s="39"/>
      <c r="D197" s="1167"/>
      <c r="E197" s="77">
        <v>6</v>
      </c>
      <c r="F197" s="78" t="s">
        <v>295</v>
      </c>
      <c r="G197" s="59" t="s">
        <v>251</v>
      </c>
      <c r="H197" s="43">
        <f>105.5-105.5</f>
        <v>0</v>
      </c>
      <c r="I197" s="44"/>
      <c r="J197" s="79"/>
      <c r="K197" s="79"/>
      <c r="L197" s="21"/>
      <c r="M197" s="75"/>
      <c r="N197" s="764"/>
      <c r="O197" s="178"/>
      <c r="P197" s="957"/>
    </row>
    <row r="198" spans="1:16" s="26" customFormat="1" ht="11.25" customHeight="1">
      <c r="A198" s="32">
        <v>1</v>
      </c>
      <c r="B198" s="39"/>
      <c r="C198" s="39"/>
      <c r="D198" s="1167"/>
      <c r="E198" s="77">
        <v>6</v>
      </c>
      <c r="F198" s="78" t="s">
        <v>295</v>
      </c>
      <c r="G198" s="41" t="s">
        <v>195</v>
      </c>
      <c r="H198" s="43">
        <f>17.8-17.8</f>
        <v>0</v>
      </c>
      <c r="I198" s="44"/>
      <c r="J198" s="42"/>
      <c r="K198" s="42"/>
      <c r="L198" s="21"/>
      <c r="M198" s="75"/>
      <c r="N198" s="764"/>
      <c r="O198" s="178"/>
      <c r="P198" s="957"/>
    </row>
    <row r="199" spans="1:16" s="26" customFormat="1" ht="11.25" customHeight="1">
      <c r="A199" s="32">
        <v>1</v>
      </c>
      <c r="B199" s="39"/>
      <c r="C199" s="39"/>
      <c r="D199" s="1167"/>
      <c r="E199" s="77">
        <v>6</v>
      </c>
      <c r="F199" s="78" t="s">
        <v>295</v>
      </c>
      <c r="G199" s="59" t="s">
        <v>193</v>
      </c>
      <c r="H199" s="43">
        <f>12-12</f>
        <v>0</v>
      </c>
      <c r="I199" s="44"/>
      <c r="J199" s="42"/>
      <c r="K199" s="42"/>
      <c r="L199" s="21"/>
      <c r="M199" s="75"/>
      <c r="N199" s="764"/>
      <c r="O199" s="178"/>
      <c r="P199" s="957"/>
    </row>
    <row r="200" spans="1:16" s="26" customFormat="1" ht="11.25">
      <c r="A200" s="32">
        <v>1</v>
      </c>
      <c r="B200" s="39"/>
      <c r="C200" s="39"/>
      <c r="D200" s="1126"/>
      <c r="E200" s="77">
        <v>6</v>
      </c>
      <c r="F200" s="78" t="s">
        <v>295</v>
      </c>
      <c r="G200" s="48" t="s">
        <v>198</v>
      </c>
      <c r="H200" s="53">
        <f t="shared" ref="H200:K200" si="28">SUM(H196:H199)</f>
        <v>0</v>
      </c>
      <c r="I200" s="53">
        <f t="shared" si="28"/>
        <v>541.20000000000005</v>
      </c>
      <c r="J200" s="53">
        <f t="shared" si="28"/>
        <v>602.20000000000005</v>
      </c>
      <c r="K200" s="53">
        <f t="shared" si="28"/>
        <v>602.20000000000005</v>
      </c>
      <c r="L200" s="21"/>
      <c r="M200" s="75"/>
      <c r="N200" s="764"/>
      <c r="O200" s="178"/>
      <c r="P200" s="957"/>
    </row>
    <row r="201" spans="1:16" s="26" customFormat="1" ht="41.25" customHeight="1">
      <c r="A201" s="32">
        <v>1</v>
      </c>
      <c r="B201" s="39"/>
      <c r="C201" s="39" t="s">
        <v>296</v>
      </c>
      <c r="D201" s="80" t="s">
        <v>297</v>
      </c>
      <c r="E201" s="77">
        <v>17</v>
      </c>
      <c r="F201" s="78" t="s">
        <v>298</v>
      </c>
      <c r="G201" s="62" t="s">
        <v>193</v>
      </c>
      <c r="H201" s="43">
        <v>5</v>
      </c>
      <c r="I201" s="44">
        <v>5</v>
      </c>
      <c r="J201" s="42">
        <v>5</v>
      </c>
      <c r="K201" s="42">
        <v>5</v>
      </c>
      <c r="L201" s="21" t="s">
        <v>274</v>
      </c>
      <c r="M201" s="927" t="s">
        <v>2176</v>
      </c>
      <c r="N201" s="929" t="s">
        <v>2177</v>
      </c>
      <c r="O201" s="75">
        <v>1</v>
      </c>
      <c r="P201" s="957"/>
    </row>
    <row r="202" spans="1:16" s="26" customFormat="1" ht="11.25">
      <c r="A202" s="32">
        <v>1</v>
      </c>
      <c r="B202" s="39"/>
      <c r="C202" s="39"/>
      <c r="D202" s="60"/>
      <c r="E202" s="77">
        <v>17</v>
      </c>
      <c r="F202" s="78"/>
      <c r="G202" s="48" t="s">
        <v>198</v>
      </c>
      <c r="H202" s="50">
        <f t="shared" ref="H202:K202" si="29">SUM(H201)</f>
        <v>5</v>
      </c>
      <c r="I202" s="50">
        <f t="shared" si="29"/>
        <v>5</v>
      </c>
      <c r="J202" s="50">
        <f t="shared" si="29"/>
        <v>5</v>
      </c>
      <c r="K202" s="50">
        <f t="shared" si="29"/>
        <v>5</v>
      </c>
      <c r="L202" s="21"/>
      <c r="M202" s="75"/>
      <c r="N202" s="764"/>
      <c r="O202" s="178"/>
      <c r="P202" s="957"/>
    </row>
    <row r="203" spans="1:16" s="26" customFormat="1" ht="34.15" customHeight="1">
      <c r="A203" s="32">
        <v>1</v>
      </c>
      <c r="B203" s="39"/>
      <c r="C203" s="39" t="s">
        <v>299</v>
      </c>
      <c r="D203" s="60" t="s">
        <v>300</v>
      </c>
      <c r="E203" s="77">
        <v>17</v>
      </c>
      <c r="F203" s="78" t="s">
        <v>301</v>
      </c>
      <c r="G203" s="62" t="s">
        <v>193</v>
      </c>
      <c r="H203" s="43">
        <v>4.0999999999999996</v>
      </c>
      <c r="I203" s="44">
        <f>22+10</f>
        <v>32</v>
      </c>
      <c r="J203" s="43"/>
      <c r="K203" s="43"/>
      <c r="L203" s="21" t="s">
        <v>268</v>
      </c>
      <c r="M203" s="927" t="s">
        <v>2176</v>
      </c>
      <c r="N203" s="929" t="s">
        <v>2178</v>
      </c>
      <c r="O203" s="178">
        <v>20</v>
      </c>
      <c r="P203" s="957"/>
    </row>
    <row r="204" spans="1:16" s="26" customFormat="1" ht="11.25" customHeight="1">
      <c r="A204" s="32">
        <v>1</v>
      </c>
      <c r="B204" s="39"/>
      <c r="C204" s="39"/>
      <c r="D204" s="60"/>
      <c r="E204" s="77">
        <v>17</v>
      </c>
      <c r="F204" s="78" t="s">
        <v>301</v>
      </c>
      <c r="G204" s="62" t="s">
        <v>267</v>
      </c>
      <c r="H204" s="43">
        <v>23</v>
      </c>
      <c r="I204" s="44">
        <v>143.4</v>
      </c>
      <c r="J204" s="43"/>
      <c r="K204" s="43"/>
      <c r="L204" s="21"/>
      <c r="M204" s="75"/>
      <c r="N204" s="764"/>
      <c r="O204" s="178"/>
      <c r="P204" s="957"/>
    </row>
    <row r="205" spans="1:16" s="26" customFormat="1" ht="11.25" customHeight="1">
      <c r="A205" s="32">
        <v>1</v>
      </c>
      <c r="B205" s="39"/>
      <c r="C205" s="39"/>
      <c r="D205" s="60"/>
      <c r="E205" s="77">
        <v>17</v>
      </c>
      <c r="F205" s="78" t="s">
        <v>301</v>
      </c>
      <c r="G205" s="62" t="s">
        <v>269</v>
      </c>
      <c r="H205" s="43">
        <v>4.0999999999999996</v>
      </c>
      <c r="I205" s="44">
        <v>25.3</v>
      </c>
      <c r="J205" s="43"/>
      <c r="K205" s="43"/>
      <c r="L205" s="21"/>
      <c r="M205" s="75"/>
      <c r="N205" s="764"/>
      <c r="O205" s="178"/>
      <c r="P205" s="957"/>
    </row>
    <row r="206" spans="1:16" s="26" customFormat="1" ht="13.15" customHeight="1">
      <c r="A206" s="32">
        <v>1</v>
      </c>
      <c r="B206" s="39"/>
      <c r="C206" s="39"/>
      <c r="D206" s="60"/>
      <c r="E206" s="77"/>
      <c r="F206" s="78"/>
      <c r="G206" s="48" t="s">
        <v>198</v>
      </c>
      <c r="H206" s="50">
        <f t="shared" ref="H206:K206" si="30">SUM(H203:H205)</f>
        <v>31.200000000000003</v>
      </c>
      <c r="I206" s="50">
        <f t="shared" si="30"/>
        <v>200.70000000000002</v>
      </c>
      <c r="J206" s="50">
        <f t="shared" si="30"/>
        <v>0</v>
      </c>
      <c r="K206" s="50">
        <f t="shared" si="30"/>
        <v>0</v>
      </c>
      <c r="L206" s="21"/>
      <c r="M206" s="75"/>
      <c r="N206" s="764"/>
      <c r="O206" s="178"/>
      <c r="P206" s="957"/>
    </row>
    <row r="207" spans="1:16" s="26" customFormat="1" ht="22.5">
      <c r="A207" s="32">
        <v>1</v>
      </c>
      <c r="B207" s="39"/>
      <c r="C207" s="39" t="s">
        <v>302</v>
      </c>
      <c r="D207" s="81" t="s">
        <v>303</v>
      </c>
      <c r="E207" s="77">
        <v>11</v>
      </c>
      <c r="F207" s="78" t="s">
        <v>304</v>
      </c>
      <c r="G207" s="62" t="s">
        <v>269</v>
      </c>
      <c r="H207" s="43">
        <v>10.199999999999999</v>
      </c>
      <c r="I207" s="44">
        <v>7</v>
      </c>
      <c r="J207" s="43"/>
      <c r="K207" s="43"/>
      <c r="L207" s="21"/>
      <c r="M207" s="928" t="s">
        <v>2179</v>
      </c>
      <c r="N207" s="928" t="s">
        <v>2180</v>
      </c>
      <c r="O207" s="46">
        <v>1</v>
      </c>
      <c r="P207" s="957"/>
    </row>
    <row r="208" spans="1:16" s="26" customFormat="1" ht="11.25">
      <c r="A208" s="32">
        <v>1</v>
      </c>
      <c r="B208" s="39"/>
      <c r="C208" s="39"/>
      <c r="D208" s="125"/>
      <c r="E208" s="77"/>
      <c r="F208" s="78"/>
      <c r="G208" s="54" t="s">
        <v>267</v>
      </c>
      <c r="H208" s="43"/>
      <c r="I208" s="44">
        <v>8.1</v>
      </c>
      <c r="J208" s="43">
        <v>15.1</v>
      </c>
      <c r="K208" s="43">
        <v>6.7</v>
      </c>
      <c r="L208" s="21"/>
      <c r="M208" s="75"/>
      <c r="N208" s="764"/>
      <c r="O208" s="178"/>
      <c r="P208" s="957"/>
    </row>
    <row r="209" spans="1:16" s="26" customFormat="1" ht="11.25">
      <c r="A209" s="32">
        <v>1</v>
      </c>
      <c r="B209" s="39"/>
      <c r="C209" s="39"/>
      <c r="D209" s="60"/>
      <c r="E209" s="77"/>
      <c r="F209" s="78"/>
      <c r="G209" s="48" t="s">
        <v>198</v>
      </c>
      <c r="H209" s="50">
        <f>SUM(H207,H208)</f>
        <v>10.199999999999999</v>
      </c>
      <c r="I209" s="50">
        <f t="shared" ref="I209:K209" si="31">SUM(I207,I208)</f>
        <v>15.1</v>
      </c>
      <c r="J209" s="50">
        <f t="shared" si="31"/>
        <v>15.1</v>
      </c>
      <c r="K209" s="50">
        <f t="shared" si="31"/>
        <v>6.7</v>
      </c>
      <c r="L209" s="21"/>
      <c r="M209" s="75"/>
      <c r="N209" s="764"/>
      <c r="O209" s="178"/>
      <c r="P209" s="957"/>
    </row>
    <row r="210" spans="1:16" s="26" customFormat="1" ht="22.15" customHeight="1">
      <c r="A210" s="32">
        <v>1</v>
      </c>
      <c r="B210" s="39"/>
      <c r="C210" s="39" t="s">
        <v>305</v>
      </c>
      <c r="D210" s="1125" t="s">
        <v>306</v>
      </c>
      <c r="E210" s="77">
        <v>11</v>
      </c>
      <c r="F210" s="78" t="s">
        <v>307</v>
      </c>
      <c r="G210" s="62" t="s">
        <v>193</v>
      </c>
      <c r="H210" s="42">
        <v>17.5</v>
      </c>
      <c r="I210" s="44">
        <v>59.7</v>
      </c>
      <c r="J210" s="43">
        <v>31.3</v>
      </c>
      <c r="K210" s="43"/>
      <c r="L210" s="21" t="s">
        <v>268</v>
      </c>
      <c r="M210" s="927" t="s">
        <v>2181</v>
      </c>
      <c r="N210" s="928" t="s">
        <v>2182</v>
      </c>
      <c r="O210" s="46">
        <v>200</v>
      </c>
      <c r="P210" s="957"/>
    </row>
    <row r="211" spans="1:16" s="26" customFormat="1" ht="26.25" customHeight="1">
      <c r="A211" s="32">
        <v>1</v>
      </c>
      <c r="B211" s="39"/>
      <c r="C211" s="39"/>
      <c r="D211" s="1126"/>
      <c r="E211" s="77">
        <v>11</v>
      </c>
      <c r="F211" s="78" t="s">
        <v>307</v>
      </c>
      <c r="G211" s="62" t="s">
        <v>267</v>
      </c>
      <c r="H211" s="42">
        <v>87</v>
      </c>
      <c r="I211" s="44">
        <v>410.1</v>
      </c>
      <c r="J211" s="43">
        <v>215.2</v>
      </c>
      <c r="K211" s="43"/>
      <c r="L211" s="21"/>
      <c r="M211" s="75"/>
      <c r="N211" s="764"/>
      <c r="O211" s="178"/>
      <c r="P211" s="957"/>
    </row>
    <row r="212" spans="1:16" s="26" customFormat="1" ht="11.25">
      <c r="A212" s="32">
        <v>1</v>
      </c>
      <c r="B212" s="39"/>
      <c r="C212" s="39"/>
      <c r="D212" s="60"/>
      <c r="E212" s="77">
        <v>11</v>
      </c>
      <c r="F212" s="78" t="s">
        <v>307</v>
      </c>
      <c r="G212" s="62" t="s">
        <v>269</v>
      </c>
      <c r="H212" s="42">
        <v>15.3</v>
      </c>
      <c r="I212" s="44">
        <v>72.400000000000006</v>
      </c>
      <c r="J212" s="43">
        <v>38</v>
      </c>
      <c r="K212" s="43"/>
      <c r="L212" s="21"/>
      <c r="M212" s="75"/>
      <c r="N212" s="764"/>
      <c r="O212" s="178"/>
      <c r="P212" s="957"/>
    </row>
    <row r="213" spans="1:16" s="26" customFormat="1" ht="11.25">
      <c r="A213" s="32">
        <v>1</v>
      </c>
      <c r="B213" s="39"/>
      <c r="C213" s="39"/>
      <c r="D213" s="130"/>
      <c r="E213" s="137"/>
      <c r="F213" s="78"/>
      <c r="G213" s="48" t="s">
        <v>198</v>
      </c>
      <c r="H213" s="50">
        <f t="shared" ref="H213:K213" si="32">SUM(H210:H212)</f>
        <v>119.8</v>
      </c>
      <c r="I213" s="50">
        <f t="shared" si="32"/>
        <v>542.20000000000005</v>
      </c>
      <c r="J213" s="50">
        <f t="shared" si="32"/>
        <v>284.5</v>
      </c>
      <c r="K213" s="50">
        <f t="shared" si="32"/>
        <v>0</v>
      </c>
      <c r="L213" s="21"/>
      <c r="M213" s="75"/>
      <c r="N213" s="764"/>
      <c r="O213" s="178"/>
      <c r="P213" s="957"/>
    </row>
    <row r="214" spans="1:16" s="26" customFormat="1" ht="33.75">
      <c r="A214" s="32">
        <v>1</v>
      </c>
      <c r="B214" s="82" t="s">
        <v>308</v>
      </c>
      <c r="C214" s="134" t="s">
        <v>308</v>
      </c>
      <c r="D214" s="132" t="s">
        <v>309</v>
      </c>
      <c r="E214" s="138">
        <v>6</v>
      </c>
      <c r="F214" s="40"/>
      <c r="G214" s="85"/>
      <c r="H214" s="85">
        <f>H221</f>
        <v>7512.4000000000005</v>
      </c>
      <c r="I214" s="85">
        <f>I221</f>
        <v>7368.4000000000005</v>
      </c>
      <c r="J214" s="85">
        <f>J221</f>
        <v>7649.8</v>
      </c>
      <c r="K214" s="85">
        <f>K221</f>
        <v>7649.8</v>
      </c>
      <c r="L214" s="21"/>
      <c r="M214" s="75"/>
      <c r="N214" s="764"/>
      <c r="O214" s="178"/>
      <c r="P214" s="957"/>
    </row>
    <row r="215" spans="1:16" s="26" customFormat="1" ht="16.5" customHeight="1">
      <c r="A215" s="32">
        <v>1</v>
      </c>
      <c r="B215" s="68"/>
      <c r="C215" s="135"/>
      <c r="D215" s="133"/>
      <c r="E215" s="139">
        <v>6</v>
      </c>
      <c r="F215" s="72" t="s">
        <v>310</v>
      </c>
      <c r="G215" s="59" t="s">
        <v>193</v>
      </c>
      <c r="H215" s="43">
        <v>4377.3</v>
      </c>
      <c r="I215" s="44">
        <f>4050-250-1272-221.4+1493.4</f>
        <v>3800</v>
      </c>
      <c r="J215" s="42">
        <f>3800</f>
        <v>3800</v>
      </c>
      <c r="K215" s="42">
        <f>3800</f>
        <v>3800</v>
      </c>
      <c r="L215" s="21" t="s">
        <v>262</v>
      </c>
      <c r="M215" s="764" t="s">
        <v>2183</v>
      </c>
      <c r="N215" s="929" t="s">
        <v>2184</v>
      </c>
      <c r="O215" s="75">
        <v>754</v>
      </c>
      <c r="P215" s="957"/>
    </row>
    <row r="216" spans="1:16" s="26" customFormat="1" ht="16.5" customHeight="1">
      <c r="A216" s="32">
        <v>1</v>
      </c>
      <c r="B216" s="39"/>
      <c r="C216" s="136"/>
      <c r="D216" s="133"/>
      <c r="E216" s="139">
        <v>6</v>
      </c>
      <c r="F216" s="72" t="s">
        <v>310</v>
      </c>
      <c r="G216" s="41" t="s">
        <v>283</v>
      </c>
      <c r="H216" s="43"/>
      <c r="I216" s="44">
        <f>1493.4-1493.4</f>
        <v>0</v>
      </c>
      <c r="J216" s="42"/>
      <c r="K216" s="42"/>
      <c r="L216" s="21"/>
      <c r="M216" s="764" t="s">
        <v>2183</v>
      </c>
      <c r="N216" s="929" t="s">
        <v>2185</v>
      </c>
      <c r="O216" s="75">
        <v>302</v>
      </c>
      <c r="P216" s="957"/>
    </row>
    <row r="217" spans="1:16" s="26" customFormat="1" ht="16.5" customHeight="1">
      <c r="A217" s="32">
        <v>1</v>
      </c>
      <c r="B217" s="39"/>
      <c r="C217" s="136"/>
      <c r="D217" s="133"/>
      <c r="E217" s="139">
        <v>6</v>
      </c>
      <c r="F217" s="72" t="s">
        <v>310</v>
      </c>
      <c r="G217" s="59" t="s">
        <v>197</v>
      </c>
      <c r="H217" s="43"/>
      <c r="I217" s="44"/>
      <c r="J217" s="42"/>
      <c r="K217" s="42"/>
      <c r="L217" s="21"/>
      <c r="M217" s="764" t="s">
        <v>2183</v>
      </c>
      <c r="N217" s="928" t="s">
        <v>2186</v>
      </c>
      <c r="O217" s="75">
        <v>171</v>
      </c>
      <c r="P217" s="957"/>
    </row>
    <row r="218" spans="1:16" s="26" customFormat="1" ht="16.5" customHeight="1">
      <c r="A218" s="32">
        <v>1</v>
      </c>
      <c r="B218" s="39"/>
      <c r="C218" s="136"/>
      <c r="D218" s="133"/>
      <c r="E218" s="139">
        <v>6</v>
      </c>
      <c r="F218" s="72" t="s">
        <v>310</v>
      </c>
      <c r="G218" s="59" t="s">
        <v>195</v>
      </c>
      <c r="H218" s="43"/>
      <c r="I218" s="44"/>
      <c r="J218" s="42"/>
      <c r="K218" s="42"/>
      <c r="L218" s="21"/>
      <c r="M218" s="764" t="s">
        <v>2183</v>
      </c>
      <c r="N218" s="928" t="s">
        <v>2187</v>
      </c>
      <c r="O218" s="75">
        <v>243</v>
      </c>
      <c r="P218" s="957"/>
    </row>
    <row r="219" spans="1:16" s="26" customFormat="1" ht="16.5" customHeight="1">
      <c r="A219" s="32">
        <v>1</v>
      </c>
      <c r="B219" s="39"/>
      <c r="C219" s="136"/>
      <c r="D219" s="133"/>
      <c r="E219" s="88">
        <v>6</v>
      </c>
      <c r="F219" s="72" t="s">
        <v>310</v>
      </c>
      <c r="G219" s="41" t="s">
        <v>190</v>
      </c>
      <c r="H219" s="43">
        <f>3070.8-9.2+63.3</f>
        <v>3124.9000000000005</v>
      </c>
      <c r="I219" s="44">
        <v>3564.6</v>
      </c>
      <c r="J219" s="42">
        <v>3849.8</v>
      </c>
      <c r="K219" s="42">
        <v>3849.8</v>
      </c>
      <c r="L219" s="21"/>
      <c r="M219" s="764" t="s">
        <v>2188</v>
      </c>
      <c r="N219" s="928" t="s">
        <v>2189</v>
      </c>
      <c r="O219" s="75">
        <v>14</v>
      </c>
      <c r="P219" s="957"/>
    </row>
    <row r="220" spans="1:16" s="26" customFormat="1" ht="16.5" customHeight="1">
      <c r="A220" s="32">
        <v>1</v>
      </c>
      <c r="B220" s="39"/>
      <c r="C220" s="39"/>
      <c r="D220" s="129"/>
      <c r="E220" s="88">
        <v>6</v>
      </c>
      <c r="F220" s="72" t="s">
        <v>310</v>
      </c>
      <c r="G220" s="41" t="s">
        <v>191</v>
      </c>
      <c r="H220" s="43">
        <f>9.2+1</f>
        <v>10.199999999999999</v>
      </c>
      <c r="I220" s="44">
        <v>3.8</v>
      </c>
      <c r="J220" s="42"/>
      <c r="K220" s="42"/>
      <c r="L220" s="21"/>
      <c r="M220" s="764" t="s">
        <v>2188</v>
      </c>
      <c r="N220" s="764" t="s">
        <v>2190</v>
      </c>
      <c r="O220" s="178">
        <v>18</v>
      </c>
      <c r="P220" s="957"/>
    </row>
    <row r="221" spans="1:16" s="26" customFormat="1" ht="15.75" customHeight="1">
      <c r="A221" s="32">
        <v>1</v>
      </c>
      <c r="B221" s="39"/>
      <c r="C221" s="39"/>
      <c r="D221" s="76"/>
      <c r="E221" s="88">
        <v>6</v>
      </c>
      <c r="F221" s="72" t="s">
        <v>310</v>
      </c>
      <c r="G221" s="48" t="s">
        <v>198</v>
      </c>
      <c r="H221" s="53">
        <f t="shared" ref="H221:K221" si="33">SUM(H215:H220)</f>
        <v>7512.4000000000005</v>
      </c>
      <c r="I221" s="53">
        <f t="shared" si="33"/>
        <v>7368.4000000000005</v>
      </c>
      <c r="J221" s="53">
        <f t="shared" si="33"/>
        <v>7649.8</v>
      </c>
      <c r="K221" s="53">
        <f t="shared" si="33"/>
        <v>7649.8</v>
      </c>
      <c r="L221" s="21"/>
      <c r="M221" s="75"/>
      <c r="N221" s="764"/>
      <c r="O221" s="178"/>
      <c r="P221" s="957"/>
    </row>
    <row r="222" spans="1:16" s="26" customFormat="1" ht="33" customHeight="1">
      <c r="A222" s="32">
        <v>1</v>
      </c>
      <c r="B222" s="82" t="s">
        <v>311</v>
      </c>
      <c r="C222" s="82" t="s">
        <v>311</v>
      </c>
      <c r="D222" s="83" t="s">
        <v>312</v>
      </c>
      <c r="E222" s="41">
        <v>11</v>
      </c>
      <c r="F222" s="41"/>
      <c r="G222" s="85"/>
      <c r="H222" s="85">
        <f>H225+H230+H235+H238+H240+H242+H246+H249+H257</f>
        <v>3351.8</v>
      </c>
      <c r="I222" s="85">
        <f>I225+I230+I235+I238+I240+I242+I246+I249+I257</f>
        <v>3696.5999999999995</v>
      </c>
      <c r="J222" s="85">
        <f>J225+J230+J235+J238+J240+J242+J246+J249+J257</f>
        <v>3631.9999999999995</v>
      </c>
      <c r="K222" s="85">
        <f>K225+K230+K235+K238+K240+K242+K246+K249+K257</f>
        <v>3779.1999999999994</v>
      </c>
      <c r="L222" s="21"/>
      <c r="M222" s="75"/>
      <c r="N222" s="764"/>
      <c r="O222" s="178"/>
      <c r="P222" s="957"/>
    </row>
    <row r="223" spans="1:16" s="26" customFormat="1" ht="20.25" customHeight="1">
      <c r="A223" s="32">
        <v>1</v>
      </c>
      <c r="B223" s="90"/>
      <c r="C223" s="90" t="s">
        <v>313</v>
      </c>
      <c r="D223" s="1127" t="s">
        <v>314</v>
      </c>
      <c r="E223" s="41">
        <v>11</v>
      </c>
      <c r="F223" s="41" t="s">
        <v>315</v>
      </c>
      <c r="G223" s="43" t="s">
        <v>193</v>
      </c>
      <c r="H223" s="42">
        <v>30</v>
      </c>
      <c r="I223" s="44">
        <f>60-10</f>
        <v>50</v>
      </c>
      <c r="J223" s="43">
        <v>30</v>
      </c>
      <c r="K223" s="43">
        <v>30</v>
      </c>
      <c r="L223" s="21" t="s">
        <v>262</v>
      </c>
      <c r="M223" s="764" t="s">
        <v>2191</v>
      </c>
      <c r="N223" s="764" t="s">
        <v>2192</v>
      </c>
      <c r="O223" s="178">
        <v>5</v>
      </c>
      <c r="P223" s="957"/>
    </row>
    <row r="224" spans="1:16" s="26" customFormat="1" ht="21.75" customHeight="1">
      <c r="A224" s="32">
        <v>1</v>
      </c>
      <c r="B224" s="90"/>
      <c r="C224" s="90"/>
      <c r="D224" s="1128"/>
      <c r="E224" s="41" t="s">
        <v>110</v>
      </c>
      <c r="F224" s="41" t="s">
        <v>315</v>
      </c>
      <c r="G224" s="42" t="s">
        <v>193</v>
      </c>
      <c r="H224" s="42"/>
      <c r="I224" s="44">
        <v>10</v>
      </c>
      <c r="J224" s="43"/>
      <c r="K224" s="43"/>
      <c r="L224" s="21"/>
      <c r="M224" s="764"/>
      <c r="N224" s="764"/>
      <c r="O224" s="178"/>
      <c r="P224" s="957"/>
    </row>
    <row r="225" spans="1:16" s="26" customFormat="1" ht="17.25" customHeight="1">
      <c r="A225" s="32">
        <v>1</v>
      </c>
      <c r="B225" s="90"/>
      <c r="C225" s="90"/>
      <c r="D225" s="124"/>
      <c r="E225" s="41"/>
      <c r="F225" s="41" t="s">
        <v>315</v>
      </c>
      <c r="G225" s="48" t="s">
        <v>198</v>
      </c>
      <c r="H225" s="53">
        <f>SUM(H223:H224)</f>
        <v>30</v>
      </c>
      <c r="I225" s="53">
        <f>SUM(I223:I224)</f>
        <v>60</v>
      </c>
      <c r="J225" s="53">
        <f>SUM(J223:J224)</f>
        <v>30</v>
      </c>
      <c r="K225" s="53">
        <f>SUM(K223:K224)</f>
        <v>30</v>
      </c>
      <c r="L225" s="21"/>
      <c r="M225" s="75"/>
      <c r="N225" s="764"/>
      <c r="O225" s="178"/>
      <c r="P225" s="957"/>
    </row>
    <row r="226" spans="1:16" s="26" customFormat="1" ht="14.25" customHeight="1">
      <c r="A226" s="32">
        <v>1</v>
      </c>
      <c r="B226" s="90"/>
      <c r="C226" s="90" t="s">
        <v>316</v>
      </c>
      <c r="D226" s="1125" t="s">
        <v>317</v>
      </c>
      <c r="E226" s="54" t="s">
        <v>106</v>
      </c>
      <c r="F226" s="41" t="s">
        <v>318</v>
      </c>
      <c r="G226" s="59" t="s">
        <v>193</v>
      </c>
      <c r="H226" s="43">
        <v>1829.6</v>
      </c>
      <c r="I226" s="44">
        <f>2016.3+5</f>
        <v>2021.3</v>
      </c>
      <c r="J226" s="43">
        <f>2131.9+5</f>
        <v>2136.9</v>
      </c>
      <c r="K226" s="43">
        <f>2254.5+5</f>
        <v>2259.5</v>
      </c>
      <c r="L226" s="21" t="s">
        <v>194</v>
      </c>
      <c r="M226" s="75"/>
      <c r="N226" s="764"/>
      <c r="O226" s="178"/>
      <c r="P226" s="957"/>
    </row>
    <row r="227" spans="1:16" s="26" customFormat="1" ht="14.25" customHeight="1">
      <c r="A227" s="32">
        <v>1</v>
      </c>
      <c r="B227" s="90"/>
      <c r="C227" s="90"/>
      <c r="D227" s="1167"/>
      <c r="E227" s="54" t="s">
        <v>106</v>
      </c>
      <c r="F227" s="41" t="s">
        <v>318</v>
      </c>
      <c r="G227" s="41" t="s">
        <v>190</v>
      </c>
      <c r="H227" s="43">
        <v>115.7</v>
      </c>
      <c r="I227" s="44">
        <v>145.80000000000001</v>
      </c>
      <c r="J227" s="43">
        <v>157.5</v>
      </c>
      <c r="K227" s="43">
        <v>157.5</v>
      </c>
      <c r="L227" s="21"/>
      <c r="M227" s="75"/>
      <c r="N227" s="764"/>
      <c r="O227" s="178"/>
      <c r="P227" s="957"/>
    </row>
    <row r="228" spans="1:16" s="26" customFormat="1" ht="14.25" customHeight="1">
      <c r="A228" s="32">
        <v>1</v>
      </c>
      <c r="B228" s="90"/>
      <c r="C228" s="90"/>
      <c r="D228" s="1167"/>
      <c r="E228" s="54" t="s">
        <v>106</v>
      </c>
      <c r="F228" s="41" t="s">
        <v>318</v>
      </c>
      <c r="G228" s="41" t="s">
        <v>196</v>
      </c>
      <c r="H228" s="43">
        <v>97.5</v>
      </c>
      <c r="I228" s="44">
        <v>117.6</v>
      </c>
      <c r="J228" s="43">
        <v>117.6</v>
      </c>
      <c r="K228" s="43">
        <v>117.6</v>
      </c>
      <c r="L228" s="21"/>
      <c r="M228" s="75"/>
      <c r="N228" s="764"/>
      <c r="O228" s="178"/>
      <c r="P228" s="957"/>
    </row>
    <row r="229" spans="1:16" s="26" customFormat="1" ht="14.25" customHeight="1">
      <c r="A229" s="32">
        <v>1</v>
      </c>
      <c r="B229" s="90"/>
      <c r="C229" s="90"/>
      <c r="D229" s="1167"/>
      <c r="E229" s="54" t="s">
        <v>106</v>
      </c>
      <c r="F229" s="41" t="s">
        <v>318</v>
      </c>
      <c r="G229" s="41" t="s">
        <v>195</v>
      </c>
      <c r="H229" s="43">
        <v>6.5</v>
      </c>
      <c r="I229" s="44">
        <f>166</f>
        <v>166</v>
      </c>
      <c r="J229" s="43">
        <v>0</v>
      </c>
      <c r="K229" s="43">
        <v>0</v>
      </c>
      <c r="L229" s="21"/>
      <c r="M229" s="75"/>
      <c r="N229" s="764"/>
      <c r="O229" s="178"/>
      <c r="P229" s="957"/>
    </row>
    <row r="230" spans="1:16" s="26" customFormat="1" ht="14.25" customHeight="1">
      <c r="A230" s="32">
        <v>1</v>
      </c>
      <c r="B230" s="90"/>
      <c r="C230" s="90"/>
      <c r="D230" s="1126"/>
      <c r="E230" s="54" t="s">
        <v>106</v>
      </c>
      <c r="F230" s="41" t="s">
        <v>318</v>
      </c>
      <c r="G230" s="48" t="s">
        <v>198</v>
      </c>
      <c r="H230" s="53">
        <f t="shared" ref="H230:K230" si="34">SUM(H226:H229)</f>
        <v>2049.3000000000002</v>
      </c>
      <c r="I230" s="53">
        <f t="shared" si="34"/>
        <v>2450.6999999999998</v>
      </c>
      <c r="J230" s="53">
        <f t="shared" si="34"/>
        <v>2412</v>
      </c>
      <c r="K230" s="53">
        <f t="shared" si="34"/>
        <v>2534.6</v>
      </c>
      <c r="L230" s="21"/>
      <c r="M230" s="75"/>
      <c r="N230" s="764"/>
      <c r="O230" s="178"/>
      <c r="P230" s="957"/>
    </row>
    <row r="231" spans="1:16" s="26" customFormat="1" ht="30.75" customHeight="1">
      <c r="A231" s="32">
        <v>1</v>
      </c>
      <c r="B231" s="90"/>
      <c r="C231" s="90" t="s">
        <v>319</v>
      </c>
      <c r="D231" s="1125" t="s">
        <v>320</v>
      </c>
      <c r="E231" s="54" t="s">
        <v>108</v>
      </c>
      <c r="F231" s="41" t="s">
        <v>321</v>
      </c>
      <c r="G231" s="59" t="s">
        <v>193</v>
      </c>
      <c r="H231" s="43">
        <v>375.7</v>
      </c>
      <c r="I231" s="44">
        <f>421.4+5.4</f>
        <v>426.79999999999995</v>
      </c>
      <c r="J231" s="43">
        <f>444.8+5.4</f>
        <v>450.2</v>
      </c>
      <c r="K231" s="43">
        <f>469.4+5.4</f>
        <v>474.79999999999995</v>
      </c>
      <c r="L231" s="21" t="s">
        <v>194</v>
      </c>
      <c r="M231" s="75"/>
      <c r="N231" s="764"/>
      <c r="O231" s="178"/>
      <c r="P231" s="957"/>
    </row>
    <row r="232" spans="1:16" s="26" customFormat="1" ht="11.25">
      <c r="A232" s="32">
        <v>1</v>
      </c>
      <c r="B232" s="90"/>
      <c r="C232" s="90"/>
      <c r="D232" s="1167"/>
      <c r="E232" s="54" t="s">
        <v>108</v>
      </c>
      <c r="F232" s="41" t="s">
        <v>321</v>
      </c>
      <c r="G232" s="59" t="s">
        <v>190</v>
      </c>
      <c r="H232" s="43">
        <v>49.9</v>
      </c>
      <c r="I232" s="44">
        <v>51.5</v>
      </c>
      <c r="J232" s="43">
        <v>55.6</v>
      </c>
      <c r="K232" s="43">
        <v>55.6</v>
      </c>
      <c r="L232" s="21"/>
      <c r="M232" s="75"/>
      <c r="N232" s="764"/>
      <c r="O232" s="178"/>
      <c r="P232" s="957"/>
    </row>
    <row r="233" spans="1:16" s="26" customFormat="1" ht="11.25">
      <c r="A233" s="32">
        <v>1</v>
      </c>
      <c r="B233" s="90"/>
      <c r="C233" s="90"/>
      <c r="D233" s="1167"/>
      <c r="E233" s="54" t="s">
        <v>108</v>
      </c>
      <c r="F233" s="41" t="s">
        <v>321</v>
      </c>
      <c r="G233" s="41" t="s">
        <v>196</v>
      </c>
      <c r="H233" s="43">
        <v>24.3</v>
      </c>
      <c r="I233" s="44">
        <v>22.4</v>
      </c>
      <c r="J233" s="43">
        <v>22.4</v>
      </c>
      <c r="K233" s="43">
        <v>22.4</v>
      </c>
      <c r="L233" s="21"/>
      <c r="M233" s="75"/>
      <c r="N233" s="764"/>
      <c r="O233" s="178"/>
      <c r="P233" s="957"/>
    </row>
    <row r="234" spans="1:16" s="26" customFormat="1" ht="11.25">
      <c r="A234" s="32">
        <v>1</v>
      </c>
      <c r="B234" s="90"/>
      <c r="C234" s="90"/>
      <c r="D234" s="1167"/>
      <c r="E234" s="54" t="s">
        <v>108</v>
      </c>
      <c r="F234" s="41" t="s">
        <v>321</v>
      </c>
      <c r="G234" s="41" t="s">
        <v>195</v>
      </c>
      <c r="H234" s="43">
        <v>2.8</v>
      </c>
      <c r="I234" s="44">
        <f>23.4</f>
        <v>23.4</v>
      </c>
      <c r="J234" s="42">
        <v>0</v>
      </c>
      <c r="K234" s="42">
        <v>0</v>
      </c>
      <c r="L234" s="21"/>
      <c r="M234" s="75"/>
      <c r="N234" s="764"/>
      <c r="O234" s="178"/>
      <c r="P234" s="957"/>
    </row>
    <row r="235" spans="1:16" s="26" customFormat="1" ht="11.25">
      <c r="A235" s="32">
        <v>1</v>
      </c>
      <c r="B235" s="90"/>
      <c r="C235" s="90"/>
      <c r="D235" s="1126"/>
      <c r="E235" s="54" t="s">
        <v>108</v>
      </c>
      <c r="F235" s="41" t="s">
        <v>321</v>
      </c>
      <c r="G235" s="48" t="s">
        <v>198</v>
      </c>
      <c r="H235" s="53">
        <f t="shared" ref="H235:K235" si="35">SUM(H231:H234)</f>
        <v>452.7</v>
      </c>
      <c r="I235" s="53">
        <f t="shared" si="35"/>
        <v>524.09999999999991</v>
      </c>
      <c r="J235" s="53">
        <f t="shared" si="35"/>
        <v>528.20000000000005</v>
      </c>
      <c r="K235" s="53">
        <f t="shared" si="35"/>
        <v>552.79999999999995</v>
      </c>
      <c r="L235" s="21"/>
      <c r="M235" s="75"/>
      <c r="N235" s="764"/>
      <c r="O235" s="178"/>
      <c r="P235" s="957"/>
    </row>
    <row r="236" spans="1:16" s="26" customFormat="1" ht="22.5">
      <c r="A236" s="32">
        <v>1</v>
      </c>
      <c r="B236" s="90"/>
      <c r="C236" s="90" t="s">
        <v>322</v>
      </c>
      <c r="D236" s="40" t="s">
        <v>323</v>
      </c>
      <c r="E236" s="54" t="s">
        <v>260</v>
      </c>
      <c r="F236" s="41" t="s">
        <v>324</v>
      </c>
      <c r="G236" s="41" t="s">
        <v>195</v>
      </c>
      <c r="H236" s="43">
        <v>432</v>
      </c>
      <c r="I236" s="44">
        <v>461.7</v>
      </c>
      <c r="J236" s="42">
        <v>461.7</v>
      </c>
      <c r="K236" s="42">
        <v>461.7</v>
      </c>
      <c r="L236" s="21"/>
      <c r="M236" s="928" t="s">
        <v>2191</v>
      </c>
      <c r="N236" s="928" t="s">
        <v>2193</v>
      </c>
      <c r="O236" s="178">
        <v>76</v>
      </c>
      <c r="P236" s="957"/>
    </row>
    <row r="237" spans="1:16" s="26" customFormat="1" ht="11.25">
      <c r="A237" s="32">
        <v>1</v>
      </c>
      <c r="B237" s="90"/>
      <c r="C237" s="90"/>
      <c r="D237" s="40"/>
      <c r="E237" s="54" t="s">
        <v>260</v>
      </c>
      <c r="F237" s="41" t="s">
        <v>324</v>
      </c>
      <c r="G237" s="59" t="s">
        <v>193</v>
      </c>
      <c r="H237" s="43">
        <v>15.3</v>
      </c>
      <c r="I237" s="44"/>
      <c r="J237" s="42"/>
      <c r="K237" s="42"/>
      <c r="L237" s="21"/>
      <c r="M237" s="75"/>
      <c r="N237" s="764"/>
      <c r="O237" s="178"/>
      <c r="P237" s="957"/>
    </row>
    <row r="238" spans="1:16" s="26" customFormat="1" ht="11.25">
      <c r="A238" s="32">
        <v>1</v>
      </c>
      <c r="B238" s="90"/>
      <c r="C238" s="90"/>
      <c r="D238" s="40"/>
      <c r="E238" s="54" t="s">
        <v>260</v>
      </c>
      <c r="F238" s="41" t="s">
        <v>324</v>
      </c>
      <c r="G238" s="48" t="s">
        <v>198</v>
      </c>
      <c r="H238" s="53">
        <f t="shared" ref="H238:K238" si="36">SUM(H236:H237)</f>
        <v>447.3</v>
      </c>
      <c r="I238" s="53">
        <f t="shared" si="36"/>
        <v>461.7</v>
      </c>
      <c r="J238" s="53">
        <f t="shared" si="36"/>
        <v>461.7</v>
      </c>
      <c r="K238" s="53">
        <f t="shared" si="36"/>
        <v>461.7</v>
      </c>
      <c r="L238" s="21"/>
      <c r="M238" s="75"/>
      <c r="N238" s="764"/>
      <c r="O238" s="178"/>
      <c r="P238" s="957"/>
    </row>
    <row r="239" spans="1:16" s="26" customFormat="1" ht="22.5">
      <c r="A239" s="32">
        <v>1</v>
      </c>
      <c r="B239" s="90"/>
      <c r="C239" s="90" t="s">
        <v>325</v>
      </c>
      <c r="D239" s="40" t="s">
        <v>326</v>
      </c>
      <c r="E239" s="54" t="s">
        <v>260</v>
      </c>
      <c r="F239" s="59" t="s">
        <v>327</v>
      </c>
      <c r="G239" s="59" t="s">
        <v>193</v>
      </c>
      <c r="H239" s="43">
        <v>98.5</v>
      </c>
      <c r="I239" s="44">
        <v>100</v>
      </c>
      <c r="J239" s="43">
        <v>100</v>
      </c>
      <c r="K239" s="43">
        <v>100</v>
      </c>
      <c r="L239" s="21" t="s">
        <v>274</v>
      </c>
      <c r="M239" s="928" t="s">
        <v>2191</v>
      </c>
      <c r="N239" s="928" t="s">
        <v>2194</v>
      </c>
      <c r="O239" s="178">
        <v>35</v>
      </c>
      <c r="P239" s="957"/>
    </row>
    <row r="240" spans="1:16" s="26" customFormat="1" ht="11.25">
      <c r="A240" s="32">
        <v>1</v>
      </c>
      <c r="B240" s="90"/>
      <c r="C240" s="90"/>
      <c r="D240" s="40"/>
      <c r="E240" s="54" t="s">
        <v>260</v>
      </c>
      <c r="F240" s="59" t="s">
        <v>327</v>
      </c>
      <c r="G240" s="48" t="s">
        <v>198</v>
      </c>
      <c r="H240" s="53">
        <f t="shared" ref="H240:K240" si="37">SUM(H239:H239)</f>
        <v>98.5</v>
      </c>
      <c r="I240" s="53">
        <f t="shared" si="37"/>
        <v>100</v>
      </c>
      <c r="J240" s="53">
        <f t="shared" si="37"/>
        <v>100</v>
      </c>
      <c r="K240" s="53">
        <f t="shared" si="37"/>
        <v>100</v>
      </c>
      <c r="L240" s="21"/>
      <c r="M240" s="75"/>
      <c r="N240" s="764"/>
      <c r="O240" s="178"/>
      <c r="P240" s="957"/>
    </row>
    <row r="241" spans="1:16" s="26" customFormat="1" ht="22.5">
      <c r="A241" s="32">
        <v>1</v>
      </c>
      <c r="B241" s="90"/>
      <c r="C241" s="90" t="s">
        <v>328</v>
      </c>
      <c r="D241" s="40" t="s">
        <v>329</v>
      </c>
      <c r="E241" s="41">
        <v>11</v>
      </c>
      <c r="F241" s="41" t="s">
        <v>330</v>
      </c>
      <c r="G241" s="59" t="s">
        <v>193</v>
      </c>
      <c r="H241" s="43">
        <v>22.1</v>
      </c>
      <c r="I241" s="44">
        <v>22.1</v>
      </c>
      <c r="J241" s="42">
        <v>22.1</v>
      </c>
      <c r="K241" s="42">
        <v>22.1</v>
      </c>
      <c r="L241" s="21" t="s">
        <v>274</v>
      </c>
      <c r="M241" s="927" t="s">
        <v>2181</v>
      </c>
      <c r="N241" s="928" t="s">
        <v>2195</v>
      </c>
      <c r="O241" s="178">
        <v>6</v>
      </c>
      <c r="P241" s="957"/>
    </row>
    <row r="242" spans="1:16" s="26" customFormat="1" ht="11.25">
      <c r="A242" s="32">
        <v>1</v>
      </c>
      <c r="B242" s="90"/>
      <c r="C242" s="90"/>
      <c r="D242" s="40"/>
      <c r="E242" s="41">
        <v>11</v>
      </c>
      <c r="F242" s="41" t="s">
        <v>330</v>
      </c>
      <c r="G242" s="48" t="s">
        <v>198</v>
      </c>
      <c r="H242" s="53">
        <f t="shared" ref="H242:K242" si="38">SUM(H241)</f>
        <v>22.1</v>
      </c>
      <c r="I242" s="53">
        <f t="shared" si="38"/>
        <v>22.1</v>
      </c>
      <c r="J242" s="53">
        <f t="shared" si="38"/>
        <v>22.1</v>
      </c>
      <c r="K242" s="53">
        <f t="shared" si="38"/>
        <v>22.1</v>
      </c>
      <c r="L242" s="21"/>
      <c r="M242" s="75"/>
      <c r="N242" s="764"/>
      <c r="O242" s="178"/>
      <c r="P242" s="957"/>
    </row>
    <row r="243" spans="1:16" s="26" customFormat="1" ht="30.75" customHeight="1">
      <c r="A243" s="32">
        <v>1</v>
      </c>
      <c r="B243" s="90"/>
      <c r="C243" s="90" t="s">
        <v>331</v>
      </c>
      <c r="D243" s="1125" t="s">
        <v>332</v>
      </c>
      <c r="E243" s="41">
        <v>11</v>
      </c>
      <c r="F243" s="59" t="s">
        <v>333</v>
      </c>
      <c r="G243" s="59" t="s">
        <v>193</v>
      </c>
      <c r="H243" s="43">
        <v>30.9</v>
      </c>
      <c r="I243" s="44">
        <v>28</v>
      </c>
      <c r="J243" s="65">
        <v>28</v>
      </c>
      <c r="K243" s="65">
        <v>28</v>
      </c>
      <c r="L243" s="21" t="s">
        <v>274</v>
      </c>
      <c r="M243" s="927" t="s">
        <v>2196</v>
      </c>
      <c r="N243" s="958" t="s">
        <v>2197</v>
      </c>
      <c r="O243" s="75" t="s">
        <v>2198</v>
      </c>
      <c r="P243" s="957"/>
    </row>
    <row r="244" spans="1:16" s="26" customFormat="1" ht="11.25" customHeight="1">
      <c r="A244" s="32">
        <v>1</v>
      </c>
      <c r="B244" s="90"/>
      <c r="C244" s="90"/>
      <c r="D244" s="1167"/>
      <c r="E244" s="41">
        <v>11</v>
      </c>
      <c r="F244" s="59" t="s">
        <v>333</v>
      </c>
      <c r="G244" s="41" t="s">
        <v>267</v>
      </c>
      <c r="H244" s="43">
        <f>12.6-0.5</f>
        <v>12.1</v>
      </c>
      <c r="I244" s="44"/>
      <c r="J244" s="65"/>
      <c r="K244" s="65"/>
      <c r="L244" s="21"/>
      <c r="M244" s="927"/>
      <c r="N244" s="928"/>
      <c r="O244" s="178"/>
      <c r="P244" s="957"/>
    </row>
    <row r="245" spans="1:16" s="26" customFormat="1" ht="11.25" customHeight="1">
      <c r="A245" s="32">
        <v>1</v>
      </c>
      <c r="B245" s="90"/>
      <c r="C245" s="90"/>
      <c r="D245" s="1167"/>
      <c r="E245" s="41">
        <v>11</v>
      </c>
      <c r="F245" s="59" t="s">
        <v>333</v>
      </c>
      <c r="G245" s="41" t="s">
        <v>269</v>
      </c>
      <c r="H245" s="43">
        <f>0.5</f>
        <v>0.5</v>
      </c>
      <c r="I245" s="44"/>
      <c r="J245" s="65"/>
      <c r="K245" s="65"/>
      <c r="L245" s="21"/>
      <c r="M245" s="75"/>
      <c r="N245" s="764"/>
      <c r="O245" s="178"/>
      <c r="P245" s="957"/>
    </row>
    <row r="246" spans="1:16" s="26" customFormat="1" ht="11.25">
      <c r="A246" s="32">
        <v>1</v>
      </c>
      <c r="B246" s="90"/>
      <c r="C246" s="90"/>
      <c r="D246" s="1126"/>
      <c r="E246" s="41">
        <v>11</v>
      </c>
      <c r="F246" s="59" t="s">
        <v>333</v>
      </c>
      <c r="G246" s="48" t="s">
        <v>198</v>
      </c>
      <c r="H246" s="53">
        <f t="shared" ref="H246:K246" si="39">SUM(H243:H245)</f>
        <v>43.5</v>
      </c>
      <c r="I246" s="53">
        <f t="shared" si="39"/>
        <v>28</v>
      </c>
      <c r="J246" s="53">
        <f t="shared" si="39"/>
        <v>28</v>
      </c>
      <c r="K246" s="53">
        <f t="shared" si="39"/>
        <v>28</v>
      </c>
      <c r="L246" s="21"/>
      <c r="M246" s="75"/>
      <c r="N246" s="764"/>
      <c r="O246" s="178"/>
      <c r="P246" s="957"/>
    </row>
    <row r="247" spans="1:16" s="26" customFormat="1" ht="45">
      <c r="A247" s="32">
        <v>1</v>
      </c>
      <c r="B247" s="90"/>
      <c r="C247" s="90" t="s">
        <v>334</v>
      </c>
      <c r="D247" s="40" t="s">
        <v>335</v>
      </c>
      <c r="E247" s="41">
        <v>11</v>
      </c>
      <c r="F247" s="59" t="s">
        <v>336</v>
      </c>
      <c r="G247" s="59" t="s">
        <v>193</v>
      </c>
      <c r="H247" s="43">
        <v>38.5</v>
      </c>
      <c r="I247" s="44">
        <v>50</v>
      </c>
      <c r="J247" s="43">
        <v>50</v>
      </c>
      <c r="K247" s="43">
        <v>50</v>
      </c>
      <c r="L247" s="21" t="s">
        <v>274</v>
      </c>
      <c r="M247" s="927" t="s">
        <v>2166</v>
      </c>
      <c r="N247" s="928" t="s">
        <v>2199</v>
      </c>
      <c r="O247" s="75" t="s">
        <v>2200</v>
      </c>
      <c r="P247" s="957"/>
    </row>
    <row r="248" spans="1:16" s="26" customFormat="1" ht="11.25">
      <c r="A248" s="32">
        <v>1</v>
      </c>
      <c r="B248" s="90"/>
      <c r="C248" s="90"/>
      <c r="D248" s="40"/>
      <c r="E248" s="41" t="s">
        <v>74</v>
      </c>
      <c r="F248" s="59" t="s">
        <v>336</v>
      </c>
      <c r="G248" s="59" t="s">
        <v>193</v>
      </c>
      <c r="H248" s="43">
        <v>10</v>
      </c>
      <c r="I248" s="44"/>
      <c r="J248" s="43"/>
      <c r="K248" s="43"/>
      <c r="L248" s="21"/>
      <c r="M248" s="75"/>
      <c r="N248" s="764"/>
      <c r="O248" s="178"/>
      <c r="P248" s="957"/>
    </row>
    <row r="249" spans="1:16" s="26" customFormat="1" ht="11.25">
      <c r="A249" s="32">
        <v>1</v>
      </c>
      <c r="B249" s="90"/>
      <c r="C249" s="90"/>
      <c r="D249" s="40"/>
      <c r="E249" s="41">
        <v>11</v>
      </c>
      <c r="F249" s="59" t="s">
        <v>336</v>
      </c>
      <c r="G249" s="48" t="s">
        <v>198</v>
      </c>
      <c r="H249" s="53">
        <f t="shared" ref="H249:K249" si="40">SUM(H247:H248)</f>
        <v>48.5</v>
      </c>
      <c r="I249" s="53">
        <f t="shared" si="40"/>
        <v>50</v>
      </c>
      <c r="J249" s="53">
        <f t="shared" si="40"/>
        <v>50</v>
      </c>
      <c r="K249" s="53">
        <f t="shared" si="40"/>
        <v>50</v>
      </c>
      <c r="L249" s="21"/>
      <c r="M249" s="75"/>
      <c r="N249" s="764"/>
      <c r="O249" s="178"/>
      <c r="P249" s="957"/>
    </row>
    <row r="250" spans="1:16" s="26" customFormat="1" ht="22.5">
      <c r="A250" s="32">
        <v>1</v>
      </c>
      <c r="B250" s="90"/>
      <c r="C250" s="90" t="s">
        <v>337</v>
      </c>
      <c r="D250" s="40" t="s">
        <v>338</v>
      </c>
      <c r="E250" s="41" t="s">
        <v>339</v>
      </c>
      <c r="F250" s="64" t="s">
        <v>340</v>
      </c>
      <c r="G250" s="59" t="s">
        <v>267</v>
      </c>
      <c r="H250" s="43"/>
      <c r="I250" s="44"/>
      <c r="J250" s="65"/>
      <c r="K250" s="65"/>
      <c r="L250" s="21"/>
      <c r="M250" s="75"/>
      <c r="N250" s="764"/>
      <c r="O250" s="178"/>
      <c r="P250" s="957"/>
    </row>
    <row r="251" spans="1:16" s="26" customFormat="1" ht="11.25">
      <c r="A251" s="32">
        <v>1</v>
      </c>
      <c r="B251" s="90"/>
      <c r="C251" s="90"/>
      <c r="D251" s="40"/>
      <c r="E251" s="41" t="s">
        <v>74</v>
      </c>
      <c r="F251" s="64" t="s">
        <v>340</v>
      </c>
      <c r="G251" s="59" t="s">
        <v>195</v>
      </c>
      <c r="H251" s="43">
        <v>31.8</v>
      </c>
      <c r="I251" s="44"/>
      <c r="J251" s="153"/>
      <c r="K251" s="42"/>
      <c r="L251" s="21"/>
      <c r="M251" s="75"/>
      <c r="N251" s="764"/>
      <c r="O251" s="178"/>
      <c r="P251" s="957"/>
    </row>
    <row r="252" spans="1:16" s="26" customFormat="1" ht="11.25">
      <c r="A252" s="32">
        <v>1</v>
      </c>
      <c r="B252" s="90"/>
      <c r="C252" s="90"/>
      <c r="D252" s="40"/>
      <c r="E252" s="41" t="s">
        <v>78</v>
      </c>
      <c r="F252" s="64" t="s">
        <v>340</v>
      </c>
      <c r="G252" s="59" t="s">
        <v>195</v>
      </c>
      <c r="H252" s="43">
        <v>15.9</v>
      </c>
      <c r="I252" s="44"/>
      <c r="J252" s="153"/>
      <c r="K252" s="42"/>
      <c r="L252" s="21"/>
      <c r="M252" s="75"/>
      <c r="N252" s="764"/>
      <c r="O252" s="178"/>
      <c r="P252" s="957"/>
    </row>
    <row r="253" spans="1:16" s="26" customFormat="1" ht="11.25">
      <c r="A253" s="32">
        <v>1</v>
      </c>
      <c r="B253" s="90"/>
      <c r="C253" s="90"/>
      <c r="D253" s="40"/>
      <c r="E253" s="41" t="s">
        <v>76</v>
      </c>
      <c r="F253" s="64" t="s">
        <v>340</v>
      </c>
      <c r="G253" s="59" t="s">
        <v>195</v>
      </c>
      <c r="H253" s="43">
        <v>27.6</v>
      </c>
      <c r="I253" s="44"/>
      <c r="J253" s="153"/>
      <c r="K253" s="42"/>
      <c r="L253" s="21"/>
      <c r="M253" s="75"/>
      <c r="N253" s="764"/>
      <c r="O253" s="178"/>
      <c r="P253" s="957"/>
    </row>
    <row r="254" spans="1:16" s="26" customFormat="1" ht="11.25">
      <c r="A254" s="32">
        <v>1</v>
      </c>
      <c r="B254" s="90"/>
      <c r="C254" s="90"/>
      <c r="D254" s="40"/>
      <c r="E254" s="41" t="s">
        <v>70</v>
      </c>
      <c r="F254" s="64" t="s">
        <v>340</v>
      </c>
      <c r="G254" s="59" t="s">
        <v>195</v>
      </c>
      <c r="H254" s="43">
        <v>25.7</v>
      </c>
      <c r="I254" s="44"/>
      <c r="J254" s="153"/>
      <c r="K254" s="42"/>
      <c r="L254" s="21"/>
      <c r="M254" s="75"/>
      <c r="N254" s="764"/>
      <c r="O254" s="178"/>
      <c r="P254" s="957"/>
    </row>
    <row r="255" spans="1:16" s="26" customFormat="1" ht="11.25">
      <c r="A255" s="32">
        <v>1</v>
      </c>
      <c r="B255" s="90"/>
      <c r="C255" s="90"/>
      <c r="D255" s="40"/>
      <c r="E255" s="41" t="s">
        <v>72</v>
      </c>
      <c r="F255" s="64" t="s">
        <v>340</v>
      </c>
      <c r="G255" s="59" t="s">
        <v>195</v>
      </c>
      <c r="H255" s="43">
        <v>19.2</v>
      </c>
      <c r="I255" s="44"/>
      <c r="J255" s="153"/>
      <c r="K255" s="42"/>
      <c r="L255" s="21"/>
      <c r="M255" s="75"/>
      <c r="N255" s="764"/>
      <c r="O255" s="178"/>
      <c r="P255" s="957"/>
    </row>
    <row r="256" spans="1:16" s="26" customFormat="1" ht="11.25">
      <c r="A256" s="32">
        <v>1</v>
      </c>
      <c r="B256" s="90"/>
      <c r="C256" s="90"/>
      <c r="D256" s="40"/>
      <c r="E256" s="41" t="s">
        <v>110</v>
      </c>
      <c r="F256" s="64" t="s">
        <v>340</v>
      </c>
      <c r="G256" s="59" t="s">
        <v>195</v>
      </c>
      <c r="H256" s="43">
        <v>39.700000000000003</v>
      </c>
      <c r="I256" s="44"/>
      <c r="J256" s="153"/>
      <c r="K256" s="42"/>
      <c r="L256" s="21"/>
      <c r="M256" s="75"/>
      <c r="N256" s="764"/>
      <c r="O256" s="178"/>
      <c r="P256" s="957"/>
    </row>
    <row r="257" spans="1:16" s="26" customFormat="1" ht="11.25">
      <c r="A257" s="32">
        <v>1</v>
      </c>
      <c r="B257" s="90"/>
      <c r="C257" s="90"/>
      <c r="D257" s="40"/>
      <c r="E257" s="41"/>
      <c r="F257" s="64"/>
      <c r="G257" s="48" t="s">
        <v>198</v>
      </c>
      <c r="H257" s="53">
        <f>SUM(H250:H256)</f>
        <v>159.90000000000003</v>
      </c>
      <c r="I257" s="53">
        <f t="shared" ref="I257:K257" si="41">SUM(I250:I256)</f>
        <v>0</v>
      </c>
      <c r="J257" s="53">
        <f t="shared" si="41"/>
        <v>0</v>
      </c>
      <c r="K257" s="53">
        <f t="shared" si="41"/>
        <v>0</v>
      </c>
      <c r="L257" s="21"/>
      <c r="M257" s="75"/>
      <c r="N257" s="764"/>
      <c r="O257" s="178"/>
      <c r="P257" s="957"/>
    </row>
    <row r="258" spans="1:16" s="26" customFormat="1" ht="33.75">
      <c r="A258" s="32">
        <v>1</v>
      </c>
      <c r="B258" s="82" t="s">
        <v>341</v>
      </c>
      <c r="C258" s="82" t="s">
        <v>341</v>
      </c>
      <c r="D258" s="83" t="s">
        <v>342</v>
      </c>
      <c r="E258" s="41"/>
      <c r="F258" s="41"/>
      <c r="G258" s="85"/>
      <c r="H258" s="85">
        <f>H263+H265</f>
        <v>476.09999999999997</v>
      </c>
      <c r="I258" s="85">
        <f>I263+I265</f>
        <v>579.90000000000009</v>
      </c>
      <c r="J258" s="85">
        <f>J263+J265</f>
        <v>591.29999999999995</v>
      </c>
      <c r="K258" s="85">
        <f>K263+K265</f>
        <v>610.4</v>
      </c>
      <c r="L258" s="21"/>
      <c r="M258" s="75"/>
      <c r="N258" s="764"/>
      <c r="O258" s="178"/>
      <c r="P258" s="957"/>
    </row>
    <row r="259" spans="1:16" s="26" customFormat="1" ht="22.5">
      <c r="A259" s="32">
        <v>1</v>
      </c>
      <c r="B259" s="90"/>
      <c r="C259" s="90" t="s">
        <v>343</v>
      </c>
      <c r="D259" s="40" t="s">
        <v>344</v>
      </c>
      <c r="E259" s="54" t="s">
        <v>110</v>
      </c>
      <c r="F259" s="41" t="s">
        <v>345</v>
      </c>
      <c r="G259" s="59" t="s">
        <v>193</v>
      </c>
      <c r="H259" s="43">
        <v>287.7</v>
      </c>
      <c r="I259" s="44">
        <f>337.6+6.6-5</f>
        <v>339.20000000000005</v>
      </c>
      <c r="J259" s="42">
        <f>355.6+6.6-5</f>
        <v>357.20000000000005</v>
      </c>
      <c r="K259" s="42">
        <f>374.7+6.6-5</f>
        <v>376.3</v>
      </c>
      <c r="L259" s="21" t="s">
        <v>194</v>
      </c>
      <c r="M259" s="75"/>
      <c r="N259" s="764"/>
      <c r="O259" s="178"/>
      <c r="P259" s="957"/>
    </row>
    <row r="260" spans="1:16" s="26" customFormat="1" ht="11.25">
      <c r="A260" s="32">
        <v>1</v>
      </c>
      <c r="B260" s="90"/>
      <c r="C260" s="90"/>
      <c r="D260" s="40"/>
      <c r="E260" s="54" t="s">
        <v>110</v>
      </c>
      <c r="F260" s="41" t="s">
        <v>345</v>
      </c>
      <c r="G260" s="41" t="s">
        <v>196</v>
      </c>
      <c r="H260" s="43">
        <v>94.7</v>
      </c>
      <c r="I260" s="44">
        <v>97.7</v>
      </c>
      <c r="J260" s="43">
        <v>97.7</v>
      </c>
      <c r="K260" s="43">
        <v>97.7</v>
      </c>
      <c r="L260" s="21"/>
      <c r="M260" s="75"/>
      <c r="N260" s="764"/>
      <c r="O260" s="178"/>
      <c r="P260" s="957"/>
    </row>
    <row r="261" spans="1:16" s="26" customFormat="1" ht="11.25">
      <c r="A261" s="32">
        <v>1</v>
      </c>
      <c r="B261" s="90"/>
      <c r="C261" s="90"/>
      <c r="D261" s="40"/>
      <c r="E261" s="54" t="s">
        <v>110</v>
      </c>
      <c r="F261" s="41" t="s">
        <v>345</v>
      </c>
      <c r="G261" s="41" t="s">
        <v>197</v>
      </c>
      <c r="H261" s="43">
        <v>0</v>
      </c>
      <c r="I261" s="44">
        <v>0</v>
      </c>
      <c r="J261" s="42">
        <v>0</v>
      </c>
      <c r="K261" s="42">
        <v>0</v>
      </c>
      <c r="L261" s="21"/>
      <c r="M261" s="75"/>
      <c r="N261" s="764"/>
      <c r="O261" s="178"/>
      <c r="P261" s="957"/>
    </row>
    <row r="262" spans="1:16" s="26" customFormat="1" ht="11.25">
      <c r="A262" s="32">
        <v>1</v>
      </c>
      <c r="B262" s="90"/>
      <c r="C262" s="90"/>
      <c r="D262" s="40"/>
      <c r="E262" s="54" t="s">
        <v>110</v>
      </c>
      <c r="F262" s="41" t="s">
        <v>345</v>
      </c>
      <c r="G262" s="41" t="s">
        <v>195</v>
      </c>
      <c r="H262" s="43"/>
      <c r="I262" s="44">
        <f>36.4+6.6</f>
        <v>43</v>
      </c>
      <c r="J262" s="43">
        <v>36.4</v>
      </c>
      <c r="K262" s="43">
        <v>36.4</v>
      </c>
      <c r="L262" s="21"/>
      <c r="M262" s="75"/>
      <c r="N262" s="764"/>
      <c r="O262" s="178"/>
      <c r="P262" s="957"/>
    </row>
    <row r="263" spans="1:16" s="26" customFormat="1" ht="11.25">
      <c r="A263" s="32">
        <v>1</v>
      </c>
      <c r="B263" s="90"/>
      <c r="C263" s="90"/>
      <c r="D263" s="40"/>
      <c r="E263" s="54" t="s">
        <v>110</v>
      </c>
      <c r="F263" s="41" t="s">
        <v>345</v>
      </c>
      <c r="G263" s="48" t="s">
        <v>198</v>
      </c>
      <c r="H263" s="53">
        <f t="shared" ref="H263:K263" si="42">SUM(H259:H262)</f>
        <v>382.4</v>
      </c>
      <c r="I263" s="53">
        <f t="shared" si="42"/>
        <v>479.90000000000003</v>
      </c>
      <c r="J263" s="53">
        <f t="shared" si="42"/>
        <v>491.3</v>
      </c>
      <c r="K263" s="53">
        <f t="shared" si="42"/>
        <v>510.4</v>
      </c>
      <c r="L263" s="21"/>
      <c r="M263" s="75"/>
      <c r="N263" s="764"/>
      <c r="O263" s="178"/>
      <c r="P263" s="957"/>
    </row>
    <row r="264" spans="1:16" s="26" customFormat="1" ht="33.75">
      <c r="A264" s="32">
        <v>1</v>
      </c>
      <c r="B264" s="90"/>
      <c r="C264" s="90" t="s">
        <v>346</v>
      </c>
      <c r="D264" s="126" t="s">
        <v>347</v>
      </c>
      <c r="E264" s="91" t="s">
        <v>260</v>
      </c>
      <c r="F264" s="41" t="s">
        <v>348</v>
      </c>
      <c r="G264" s="59" t="s">
        <v>193</v>
      </c>
      <c r="H264" s="43">
        <v>93.7</v>
      </c>
      <c r="I264" s="44">
        <v>100</v>
      </c>
      <c r="J264" s="42">
        <v>100</v>
      </c>
      <c r="K264" s="42">
        <v>100</v>
      </c>
      <c r="L264" s="21" t="s">
        <v>274</v>
      </c>
      <c r="M264" s="930" t="s">
        <v>2181</v>
      </c>
      <c r="N264" s="928" t="s">
        <v>2201</v>
      </c>
      <c r="O264" s="178">
        <v>36</v>
      </c>
      <c r="P264" s="957"/>
    </row>
    <row r="265" spans="1:16" s="26" customFormat="1" ht="11.25">
      <c r="A265" s="32">
        <v>1</v>
      </c>
      <c r="B265" s="90"/>
      <c r="C265" s="90"/>
      <c r="D265" s="40"/>
      <c r="E265" s="92"/>
      <c r="F265" s="41" t="s">
        <v>348</v>
      </c>
      <c r="G265" s="48" t="s">
        <v>198</v>
      </c>
      <c r="H265" s="53">
        <f t="shared" ref="H265:K265" si="43">SUM(H264:H264)</f>
        <v>93.7</v>
      </c>
      <c r="I265" s="53">
        <f t="shared" si="43"/>
        <v>100</v>
      </c>
      <c r="J265" s="53">
        <f t="shared" si="43"/>
        <v>100</v>
      </c>
      <c r="K265" s="53">
        <f t="shared" si="43"/>
        <v>100</v>
      </c>
      <c r="L265" s="21"/>
      <c r="M265" s="75"/>
      <c r="N265" s="764"/>
      <c r="O265" s="178"/>
      <c r="P265" s="957"/>
    </row>
    <row r="266" spans="1:16" s="26" customFormat="1" ht="22.5">
      <c r="A266" s="32">
        <v>1</v>
      </c>
      <c r="B266" s="33"/>
      <c r="C266" s="33"/>
      <c r="D266" s="34" t="s">
        <v>349</v>
      </c>
      <c r="E266" s="35"/>
      <c r="F266" s="36"/>
      <c r="G266" s="35"/>
      <c r="H266" s="35"/>
      <c r="I266" s="35"/>
      <c r="J266" s="34"/>
      <c r="K266" s="34"/>
      <c r="L266" s="21"/>
      <c r="M266" s="75"/>
      <c r="N266" s="764"/>
      <c r="O266" s="178"/>
      <c r="P266" s="957"/>
    </row>
    <row r="267" spans="1:16" s="26" customFormat="1" ht="24.6" customHeight="1">
      <c r="A267" s="32">
        <v>1</v>
      </c>
      <c r="B267" s="82" t="s">
        <v>350</v>
      </c>
      <c r="C267" s="82" t="s">
        <v>350</v>
      </c>
      <c r="D267" s="38" t="s">
        <v>351</v>
      </c>
      <c r="E267" s="93"/>
      <c r="F267" s="41"/>
      <c r="G267" s="85"/>
      <c r="H267" s="85">
        <f>H270</f>
        <v>373.1</v>
      </c>
      <c r="I267" s="85">
        <f>I270</f>
        <v>200</v>
      </c>
      <c r="J267" s="85">
        <f>J270</f>
        <v>200</v>
      </c>
      <c r="K267" s="85">
        <f>K270</f>
        <v>200</v>
      </c>
      <c r="L267" s="21"/>
      <c r="M267" s="75"/>
      <c r="N267" s="764"/>
      <c r="O267" s="178"/>
      <c r="P267" s="957"/>
    </row>
    <row r="268" spans="1:16" s="26" customFormat="1" ht="14.25" customHeight="1">
      <c r="A268" s="32">
        <v>1</v>
      </c>
      <c r="B268" s="68"/>
      <c r="C268" s="68"/>
      <c r="D268" s="68"/>
      <c r="E268" s="93">
        <v>11</v>
      </c>
      <c r="F268" s="54" t="s">
        <v>352</v>
      </c>
      <c r="G268" s="59" t="s">
        <v>193</v>
      </c>
      <c r="H268" s="43">
        <v>305.10000000000002</v>
      </c>
      <c r="I268" s="44">
        <v>200</v>
      </c>
      <c r="J268" s="42">
        <v>200</v>
      </c>
      <c r="K268" s="42">
        <v>200</v>
      </c>
      <c r="L268" s="21" t="s">
        <v>274</v>
      </c>
      <c r="M268" s="930" t="s">
        <v>2163</v>
      </c>
      <c r="N268" s="928" t="s">
        <v>2202</v>
      </c>
      <c r="O268" s="178">
        <v>2</v>
      </c>
      <c r="P268" s="957"/>
    </row>
    <row r="269" spans="1:16" s="26" customFormat="1" ht="15" customHeight="1">
      <c r="A269" s="32">
        <v>1</v>
      </c>
      <c r="B269" s="68"/>
      <c r="C269" s="68"/>
      <c r="D269" s="68"/>
      <c r="E269" s="93">
        <v>11</v>
      </c>
      <c r="F269" s="54" t="s">
        <v>352</v>
      </c>
      <c r="G269" s="59" t="s">
        <v>195</v>
      </c>
      <c r="H269" s="43">
        <v>68</v>
      </c>
      <c r="I269" s="44"/>
      <c r="J269" s="42"/>
      <c r="K269" s="42"/>
      <c r="L269" s="21"/>
      <c r="M269" s="30"/>
      <c r="N269" s="29"/>
      <c r="O269" s="174"/>
      <c r="P269" s="959"/>
    </row>
    <row r="270" spans="1:16" s="26" customFormat="1" ht="11.25">
      <c r="A270" s="32">
        <v>1</v>
      </c>
      <c r="B270" s="90"/>
      <c r="C270" s="90"/>
      <c r="D270" s="40"/>
      <c r="E270" s="94"/>
      <c r="F270" s="54" t="s">
        <v>352</v>
      </c>
      <c r="G270" s="95" t="s">
        <v>353</v>
      </c>
      <c r="H270" s="53">
        <f>SUM(H268:H269)</f>
        <v>373.1</v>
      </c>
      <c r="I270" s="53">
        <f t="shared" ref="I270:K270" si="44">SUM(I268:I269)</f>
        <v>200</v>
      </c>
      <c r="J270" s="53">
        <f t="shared" si="44"/>
        <v>200</v>
      </c>
      <c r="K270" s="53">
        <f t="shared" si="44"/>
        <v>200</v>
      </c>
      <c r="L270" s="21"/>
      <c r="M270" s="30"/>
      <c r="N270" s="29"/>
      <c r="O270" s="174"/>
      <c r="P270" s="959"/>
    </row>
    <row r="271" spans="1:16" s="26" customFormat="1" ht="33.75">
      <c r="A271" s="32">
        <v>1</v>
      </c>
      <c r="B271" s="82" t="s">
        <v>354</v>
      </c>
      <c r="C271" s="82" t="s">
        <v>354</v>
      </c>
      <c r="D271" s="83" t="s">
        <v>355</v>
      </c>
      <c r="E271" s="94"/>
      <c r="F271" s="41"/>
      <c r="G271" s="48" t="s">
        <v>198</v>
      </c>
      <c r="H271" s="85">
        <f>H297</f>
        <v>1242.6000000000001</v>
      </c>
      <c r="I271" s="85">
        <f t="shared" ref="I271:K271" si="45">I297</f>
        <v>1300</v>
      </c>
      <c r="J271" s="85">
        <f t="shared" si="45"/>
        <v>1300</v>
      </c>
      <c r="K271" s="85">
        <f t="shared" si="45"/>
        <v>1300</v>
      </c>
      <c r="L271" s="21"/>
      <c r="M271" s="30"/>
      <c r="N271" s="29"/>
      <c r="O271" s="174"/>
      <c r="P271" s="959"/>
    </row>
    <row r="272" spans="1:16" s="26" customFormat="1" ht="37.5" customHeight="1">
      <c r="A272" s="32">
        <v>1</v>
      </c>
      <c r="B272" s="68"/>
      <c r="C272" s="68"/>
      <c r="D272" s="68"/>
      <c r="E272" s="54" t="s">
        <v>70</v>
      </c>
      <c r="F272" s="54" t="s">
        <v>356</v>
      </c>
      <c r="G272" s="59" t="s">
        <v>193</v>
      </c>
      <c r="H272" s="163">
        <v>61.2</v>
      </c>
      <c r="I272" s="145">
        <f>30.4+25.7+36.3</f>
        <v>92.399999999999991</v>
      </c>
      <c r="J272" s="42"/>
      <c r="K272" s="42"/>
      <c r="L272" s="21"/>
      <c r="M272" s="901" t="s">
        <v>357</v>
      </c>
      <c r="N272" s="29"/>
      <c r="O272" s="174"/>
      <c r="P272" s="959"/>
    </row>
    <row r="273" spans="1:16" s="26" customFormat="1" ht="18.75" customHeight="1">
      <c r="A273" s="32">
        <v>1</v>
      </c>
      <c r="B273" s="90"/>
      <c r="C273" s="90"/>
      <c r="D273" s="40"/>
      <c r="E273" s="54" t="s">
        <v>72</v>
      </c>
      <c r="F273" s="54" t="s">
        <v>356</v>
      </c>
      <c r="G273" s="59" t="s">
        <v>193</v>
      </c>
      <c r="H273" s="164">
        <v>74.099999999999994</v>
      </c>
      <c r="I273" s="146">
        <f>45.1+21+2.6</f>
        <v>68.699999999999989</v>
      </c>
      <c r="J273" s="42"/>
      <c r="K273" s="42"/>
      <c r="L273" s="21"/>
      <c r="M273" s="901" t="s">
        <v>358</v>
      </c>
      <c r="N273" s="29"/>
      <c r="O273" s="174"/>
      <c r="P273" s="959"/>
    </row>
    <row r="274" spans="1:16" s="26" customFormat="1" ht="18.75" customHeight="1">
      <c r="A274" s="32">
        <v>1</v>
      </c>
      <c r="B274" s="90"/>
      <c r="C274" s="90"/>
      <c r="D274" s="40"/>
      <c r="E274" s="54" t="s">
        <v>74</v>
      </c>
      <c r="F274" s="54" t="s">
        <v>356</v>
      </c>
      <c r="G274" s="59" t="s">
        <v>193</v>
      </c>
      <c r="H274" s="164">
        <v>53.3</v>
      </c>
      <c r="I274" s="146">
        <f>43.7+19.4+30.5</f>
        <v>93.6</v>
      </c>
      <c r="J274" s="42"/>
      <c r="K274" s="42"/>
      <c r="L274" s="21"/>
      <c r="M274" s="901" t="s">
        <v>359</v>
      </c>
      <c r="N274" s="29"/>
      <c r="O274" s="174"/>
      <c r="P274" s="954"/>
    </row>
    <row r="275" spans="1:16" s="26" customFormat="1" ht="18" customHeight="1">
      <c r="A275" s="32">
        <v>1</v>
      </c>
      <c r="B275" s="90"/>
      <c r="C275" s="90"/>
      <c r="D275" s="40"/>
      <c r="E275" s="54" t="s">
        <v>76</v>
      </c>
      <c r="F275" s="54" t="s">
        <v>356</v>
      </c>
      <c r="G275" s="59" t="s">
        <v>193</v>
      </c>
      <c r="H275" s="164">
        <v>34.799999999999997</v>
      </c>
      <c r="I275" s="146">
        <f>63.2+22.9</f>
        <v>86.1</v>
      </c>
      <c r="J275" s="42"/>
      <c r="K275" s="42"/>
      <c r="L275" s="21"/>
      <c r="M275" s="901" t="s">
        <v>360</v>
      </c>
      <c r="N275" s="29"/>
      <c r="O275" s="174"/>
      <c r="P275" s="954"/>
    </row>
    <row r="276" spans="1:16" s="26" customFormat="1" ht="14.45" customHeight="1">
      <c r="A276" s="32">
        <v>1</v>
      </c>
      <c r="B276" s="90"/>
      <c r="C276" s="90"/>
      <c r="D276" s="40"/>
      <c r="E276" s="54" t="s">
        <v>78</v>
      </c>
      <c r="F276" s="54" t="s">
        <v>356</v>
      </c>
      <c r="G276" s="59" t="s">
        <v>193</v>
      </c>
      <c r="H276" s="164">
        <v>82.3</v>
      </c>
      <c r="I276" s="146">
        <f>24.5+12.3</f>
        <v>36.799999999999997</v>
      </c>
      <c r="J276" s="42"/>
      <c r="K276" s="42"/>
      <c r="L276" s="21"/>
      <c r="M276" s="901" t="s">
        <v>361</v>
      </c>
      <c r="N276" s="29"/>
      <c r="O276" s="174"/>
      <c r="P276" s="954"/>
    </row>
    <row r="277" spans="1:16" s="26" customFormat="1" ht="16.149999999999999" customHeight="1">
      <c r="A277" s="32">
        <v>1</v>
      </c>
      <c r="B277" s="90"/>
      <c r="C277" s="90"/>
      <c r="D277" s="40"/>
      <c r="E277" s="54" t="s">
        <v>80</v>
      </c>
      <c r="F277" s="54" t="s">
        <v>356</v>
      </c>
      <c r="G277" s="59" t="s">
        <v>193</v>
      </c>
      <c r="H277" s="164">
        <v>39.799999999999997</v>
      </c>
      <c r="I277" s="146">
        <f>26+4.1+1.3</f>
        <v>31.400000000000002</v>
      </c>
      <c r="J277" s="42"/>
      <c r="K277" s="42"/>
      <c r="L277" s="21"/>
      <c r="M277" s="901" t="s">
        <v>79</v>
      </c>
      <c r="N277" s="29"/>
      <c r="O277" s="174"/>
      <c r="P277" s="954"/>
    </row>
    <row r="278" spans="1:16" s="26" customFormat="1" ht="11.25" customHeight="1">
      <c r="A278" s="32">
        <v>1</v>
      </c>
      <c r="B278" s="90"/>
      <c r="C278" s="90"/>
      <c r="D278" s="40"/>
      <c r="E278" s="54" t="s">
        <v>82</v>
      </c>
      <c r="F278" s="54" t="s">
        <v>356</v>
      </c>
      <c r="G278" s="59" t="s">
        <v>193</v>
      </c>
      <c r="H278" s="164">
        <v>24.2</v>
      </c>
      <c r="I278" s="146">
        <f>42+2.8</f>
        <v>44.8</v>
      </c>
      <c r="J278" s="42"/>
      <c r="K278" s="42"/>
      <c r="L278" s="21"/>
      <c r="M278" s="901" t="s">
        <v>81</v>
      </c>
      <c r="N278" s="29"/>
      <c r="O278" s="174"/>
      <c r="P278" s="954"/>
    </row>
    <row r="279" spans="1:16" s="26" customFormat="1" ht="17.45" customHeight="1">
      <c r="A279" s="32">
        <v>1</v>
      </c>
      <c r="B279" s="90"/>
      <c r="C279" s="90"/>
      <c r="D279" s="40"/>
      <c r="E279" s="54" t="s">
        <v>84</v>
      </c>
      <c r="F279" s="54" t="s">
        <v>356</v>
      </c>
      <c r="G279" s="59" t="s">
        <v>193</v>
      </c>
      <c r="H279" s="164">
        <v>60.7</v>
      </c>
      <c r="I279" s="146">
        <f>26.9+4.3+7</f>
        <v>38.200000000000003</v>
      </c>
      <c r="J279" s="42"/>
      <c r="K279" s="42"/>
      <c r="L279" s="21"/>
      <c r="M279" s="901" t="s">
        <v>362</v>
      </c>
      <c r="N279" s="29"/>
      <c r="O279" s="174"/>
      <c r="P279" s="954"/>
    </row>
    <row r="280" spans="1:16" s="26" customFormat="1" ht="15.6" customHeight="1">
      <c r="A280" s="32">
        <v>1</v>
      </c>
      <c r="B280" s="90"/>
      <c r="C280" s="90"/>
      <c r="D280" s="40"/>
      <c r="E280" s="54" t="s">
        <v>86</v>
      </c>
      <c r="F280" s="54" t="s">
        <v>356</v>
      </c>
      <c r="G280" s="59" t="s">
        <v>193</v>
      </c>
      <c r="H280" s="164">
        <v>54.3</v>
      </c>
      <c r="I280" s="146">
        <f>42.9+13.4+4.1</f>
        <v>60.4</v>
      </c>
      <c r="J280" s="42"/>
      <c r="K280" s="42"/>
      <c r="L280" s="21"/>
      <c r="M280" s="901" t="s">
        <v>363</v>
      </c>
      <c r="N280" s="29"/>
      <c r="O280" s="174"/>
      <c r="P280" s="954"/>
    </row>
    <row r="281" spans="1:16" s="26" customFormat="1" ht="15.6" customHeight="1">
      <c r="A281" s="32">
        <v>1</v>
      </c>
      <c r="B281" s="90"/>
      <c r="C281" s="90"/>
      <c r="D281" s="40"/>
      <c r="E281" s="54" t="s">
        <v>88</v>
      </c>
      <c r="F281" s="54" t="s">
        <v>356</v>
      </c>
      <c r="G281" s="59" t="s">
        <v>193</v>
      </c>
      <c r="H281" s="164">
        <v>46</v>
      </c>
      <c r="I281" s="146">
        <f>115.4+7.8+6.5</f>
        <v>129.69999999999999</v>
      </c>
      <c r="J281" s="42"/>
      <c r="K281" s="42"/>
      <c r="L281" s="21"/>
      <c r="M281" s="901" t="s">
        <v>364</v>
      </c>
      <c r="N281" s="29"/>
      <c r="O281" s="174"/>
      <c r="P281" s="954"/>
    </row>
    <row r="282" spans="1:16" s="26" customFormat="1" ht="15.6" customHeight="1">
      <c r="A282" s="32">
        <v>1</v>
      </c>
      <c r="B282" s="90"/>
      <c r="C282" s="90"/>
      <c r="D282" s="40"/>
      <c r="E282" s="54" t="s">
        <v>90</v>
      </c>
      <c r="F282" s="54" t="s">
        <v>356</v>
      </c>
      <c r="G282" s="59" t="s">
        <v>193</v>
      </c>
      <c r="H282" s="164">
        <v>131.69999999999999</v>
      </c>
      <c r="I282" s="146">
        <f>70.8+6.4+12.1+12.1+2.9</f>
        <v>104.3</v>
      </c>
      <c r="J282" s="42"/>
      <c r="K282" s="42"/>
      <c r="L282" s="21"/>
      <c r="M282" s="901" t="s">
        <v>365</v>
      </c>
      <c r="N282" s="29"/>
      <c r="O282" s="174"/>
      <c r="P282" s="954"/>
    </row>
    <row r="283" spans="1:16" s="26" customFormat="1" ht="15.6" customHeight="1">
      <c r="A283" s="32">
        <v>1</v>
      </c>
      <c r="B283" s="90"/>
      <c r="C283" s="90"/>
      <c r="D283" s="40"/>
      <c r="E283" s="54" t="s">
        <v>92</v>
      </c>
      <c r="F283" s="54" t="s">
        <v>356</v>
      </c>
      <c r="G283" s="59" t="s">
        <v>193</v>
      </c>
      <c r="H283" s="164">
        <v>71.3</v>
      </c>
      <c r="I283" s="146">
        <f>17.5+10.4+3.8</f>
        <v>31.7</v>
      </c>
      <c r="J283" s="42"/>
      <c r="K283" s="42"/>
      <c r="L283" s="21"/>
      <c r="M283" s="901" t="s">
        <v>366</v>
      </c>
      <c r="N283" s="29"/>
      <c r="O283" s="174"/>
      <c r="P283" s="954"/>
    </row>
    <row r="284" spans="1:16" s="26" customFormat="1" ht="15.6" customHeight="1">
      <c r="A284" s="32">
        <v>1</v>
      </c>
      <c r="B284" s="90"/>
      <c r="C284" s="90"/>
      <c r="D284" s="40"/>
      <c r="E284" s="54" t="s">
        <v>94</v>
      </c>
      <c r="F284" s="54" t="s">
        <v>356</v>
      </c>
      <c r="G284" s="59" t="s">
        <v>193</v>
      </c>
      <c r="H284" s="164">
        <v>99.2</v>
      </c>
      <c r="I284" s="146">
        <f>24.2+11.2+1.5</f>
        <v>36.9</v>
      </c>
      <c r="J284" s="42"/>
      <c r="K284" s="42"/>
      <c r="L284" s="21"/>
      <c r="M284" s="901" t="s">
        <v>367</v>
      </c>
      <c r="N284" s="29"/>
      <c r="O284" s="174"/>
      <c r="P284" s="954"/>
    </row>
    <row r="285" spans="1:16" s="26" customFormat="1" ht="15.6" customHeight="1">
      <c r="A285" s="32">
        <v>1</v>
      </c>
      <c r="B285" s="90"/>
      <c r="C285" s="90"/>
      <c r="D285" s="40"/>
      <c r="E285" s="54" t="s">
        <v>96</v>
      </c>
      <c r="F285" s="54" t="s">
        <v>356</v>
      </c>
      <c r="G285" s="59" t="s">
        <v>193</v>
      </c>
      <c r="H285" s="164">
        <v>16.5</v>
      </c>
      <c r="I285" s="146">
        <f>22.2+6.9</f>
        <v>29.1</v>
      </c>
      <c r="J285" s="42"/>
      <c r="K285" s="42"/>
      <c r="L285" s="21"/>
      <c r="M285" s="901" t="s">
        <v>368</v>
      </c>
      <c r="N285" s="29"/>
      <c r="O285" s="174"/>
      <c r="P285" s="954"/>
    </row>
    <row r="286" spans="1:16" s="26" customFormat="1" ht="15.6" customHeight="1">
      <c r="A286" s="32">
        <v>1</v>
      </c>
      <c r="B286" s="90"/>
      <c r="C286" s="90"/>
      <c r="D286" s="40"/>
      <c r="E286" s="54" t="s">
        <v>98</v>
      </c>
      <c r="F286" s="54" t="s">
        <v>356</v>
      </c>
      <c r="G286" s="59" t="s">
        <v>193</v>
      </c>
      <c r="H286" s="164">
        <v>3.5</v>
      </c>
      <c r="I286" s="146">
        <f>12.6+6.4+0.9</f>
        <v>19.899999999999999</v>
      </c>
      <c r="J286" s="42"/>
      <c r="K286" s="42"/>
      <c r="L286" s="21"/>
      <c r="M286" s="901" t="s">
        <v>369</v>
      </c>
      <c r="N286" s="29"/>
      <c r="O286" s="174"/>
      <c r="P286" s="954"/>
    </row>
    <row r="287" spans="1:16" s="26" customFormat="1" ht="15.6" customHeight="1">
      <c r="A287" s="32">
        <v>1</v>
      </c>
      <c r="B287" s="90"/>
      <c r="C287" s="90"/>
      <c r="D287" s="40"/>
      <c r="E287" s="54" t="s">
        <v>100</v>
      </c>
      <c r="F287" s="54" t="s">
        <v>356</v>
      </c>
      <c r="G287" s="59" t="s">
        <v>193</v>
      </c>
      <c r="H287" s="164">
        <v>29.6</v>
      </c>
      <c r="I287" s="146">
        <f>11+6</f>
        <v>17</v>
      </c>
      <c r="J287" s="42"/>
      <c r="K287" s="42"/>
      <c r="L287" s="21"/>
      <c r="M287" s="901" t="s">
        <v>370</v>
      </c>
      <c r="N287" s="29"/>
      <c r="O287" s="174"/>
      <c r="P287" s="954"/>
    </row>
    <row r="288" spans="1:16" s="26" customFormat="1" ht="15.6" customHeight="1">
      <c r="A288" s="32">
        <v>1</v>
      </c>
      <c r="B288" s="90"/>
      <c r="C288" s="90"/>
      <c r="D288" s="40"/>
      <c r="E288" s="54" t="s">
        <v>102</v>
      </c>
      <c r="F288" s="54" t="s">
        <v>356</v>
      </c>
      <c r="G288" s="59" t="s">
        <v>193</v>
      </c>
      <c r="H288" s="164">
        <v>68.5</v>
      </c>
      <c r="I288" s="146">
        <f>20+6.6</f>
        <v>26.6</v>
      </c>
      <c r="J288" s="42"/>
      <c r="K288" s="42"/>
      <c r="L288" s="21"/>
      <c r="M288" s="901" t="s">
        <v>371</v>
      </c>
      <c r="N288" s="29"/>
      <c r="O288" s="174"/>
      <c r="P288" s="954"/>
    </row>
    <row r="289" spans="1:16" s="26" customFormat="1" ht="15.6" customHeight="1">
      <c r="A289" s="32">
        <v>1</v>
      </c>
      <c r="B289" s="90"/>
      <c r="C289" s="90"/>
      <c r="D289" s="40"/>
      <c r="E289" s="54" t="s">
        <v>372</v>
      </c>
      <c r="F289" s="54" t="s">
        <v>356</v>
      </c>
      <c r="G289" s="59" t="s">
        <v>193</v>
      </c>
      <c r="H289" s="164">
        <v>27.2</v>
      </c>
      <c r="I289" s="146">
        <f>10.4+6.1+1.3</f>
        <v>17.8</v>
      </c>
      <c r="J289" s="42"/>
      <c r="K289" s="42"/>
      <c r="L289" s="21"/>
      <c r="M289" s="901" t="s">
        <v>373</v>
      </c>
      <c r="N289" s="29"/>
      <c r="O289" s="174"/>
      <c r="P289" s="954"/>
    </row>
    <row r="290" spans="1:16" s="26" customFormat="1" ht="15.6" customHeight="1">
      <c r="A290" s="32">
        <v>1</v>
      </c>
      <c r="B290" s="90"/>
      <c r="C290" s="90"/>
      <c r="D290" s="40"/>
      <c r="E290" s="54" t="s">
        <v>106</v>
      </c>
      <c r="F290" s="54" t="s">
        <v>356</v>
      </c>
      <c r="G290" s="59" t="s">
        <v>193</v>
      </c>
      <c r="H290" s="164">
        <v>3.9</v>
      </c>
      <c r="I290" s="146">
        <f>5.3+13.6</f>
        <v>18.899999999999999</v>
      </c>
      <c r="J290" s="42"/>
      <c r="K290" s="42"/>
      <c r="L290" s="21"/>
      <c r="M290" s="901" t="s">
        <v>105</v>
      </c>
      <c r="N290" s="29"/>
      <c r="O290" s="174"/>
      <c r="P290" s="954"/>
    </row>
    <row r="291" spans="1:16" s="26" customFormat="1" ht="15.6" customHeight="1">
      <c r="A291" s="32">
        <v>1</v>
      </c>
      <c r="B291" s="90"/>
      <c r="C291" s="90"/>
      <c r="D291" s="40"/>
      <c r="E291" s="54" t="s">
        <v>108</v>
      </c>
      <c r="F291" s="54" t="s">
        <v>356</v>
      </c>
      <c r="G291" s="59" t="s">
        <v>193</v>
      </c>
      <c r="H291" s="164">
        <v>9.9</v>
      </c>
      <c r="I291" s="146">
        <f>24.5+4.6+1</f>
        <v>30.1</v>
      </c>
      <c r="J291" s="42"/>
      <c r="K291" s="42"/>
      <c r="L291" s="21"/>
      <c r="M291" s="901" t="s">
        <v>374</v>
      </c>
      <c r="N291" s="29"/>
      <c r="O291" s="174"/>
      <c r="P291" s="954"/>
    </row>
    <row r="292" spans="1:16" s="26" customFormat="1" ht="18" customHeight="1">
      <c r="A292" s="32">
        <v>1</v>
      </c>
      <c r="B292" s="90"/>
      <c r="C292" s="90"/>
      <c r="D292" s="40"/>
      <c r="E292" s="54" t="s">
        <v>112</v>
      </c>
      <c r="F292" s="54" t="s">
        <v>356</v>
      </c>
      <c r="G292" s="59" t="s">
        <v>193</v>
      </c>
      <c r="H292" s="164">
        <v>51.1</v>
      </c>
      <c r="I292" s="146">
        <v>1</v>
      </c>
      <c r="J292" s="42"/>
      <c r="K292" s="42"/>
      <c r="L292" s="21"/>
      <c r="M292" s="901" t="s">
        <v>111</v>
      </c>
      <c r="N292" s="29"/>
      <c r="O292" s="174"/>
      <c r="P292" s="954"/>
    </row>
    <row r="293" spans="1:16" s="26" customFormat="1" ht="18" customHeight="1">
      <c r="A293" s="32">
        <v>1</v>
      </c>
      <c r="B293" s="90"/>
      <c r="C293" s="90"/>
      <c r="D293" s="40"/>
      <c r="E293" s="54" t="s">
        <v>114</v>
      </c>
      <c r="F293" s="54" t="s">
        <v>356</v>
      </c>
      <c r="G293" s="59" t="s">
        <v>193</v>
      </c>
      <c r="H293" s="164">
        <v>20</v>
      </c>
      <c r="I293" s="146">
        <f>16.7+9</f>
        <v>25.7</v>
      </c>
      <c r="J293" s="42"/>
      <c r="K293" s="42"/>
      <c r="L293" s="21"/>
      <c r="M293" s="901" t="s">
        <v>113</v>
      </c>
      <c r="N293" s="29"/>
      <c r="O293" s="174"/>
      <c r="P293" s="954"/>
    </row>
    <row r="294" spans="1:16" s="26" customFormat="1" ht="11.25">
      <c r="A294" s="32">
        <v>1</v>
      </c>
      <c r="B294" s="90"/>
      <c r="C294" s="90"/>
      <c r="D294" s="40"/>
      <c r="E294" s="54" t="s">
        <v>110</v>
      </c>
      <c r="F294" s="54" t="s">
        <v>356</v>
      </c>
      <c r="G294" s="59" t="s">
        <v>193</v>
      </c>
      <c r="H294" s="164">
        <v>2.7</v>
      </c>
      <c r="I294" s="146">
        <f>0.9+1.5+10</f>
        <v>12.4</v>
      </c>
      <c r="J294" s="42"/>
      <c r="K294" s="42"/>
      <c r="L294" s="21"/>
      <c r="M294" s="901" t="s">
        <v>375</v>
      </c>
      <c r="N294" s="29"/>
      <c r="O294" s="174"/>
      <c r="P294" s="954"/>
    </row>
    <row r="295" spans="1:16" s="26" customFormat="1" ht="11.25">
      <c r="A295" s="32">
        <v>1</v>
      </c>
      <c r="B295" s="90"/>
      <c r="C295" s="90"/>
      <c r="D295" s="40"/>
      <c r="E295" s="54" t="s">
        <v>122</v>
      </c>
      <c r="F295" s="54" t="s">
        <v>356</v>
      </c>
      <c r="G295" s="59" t="s">
        <v>193</v>
      </c>
      <c r="H295" s="43"/>
      <c r="I295" s="44">
        <v>17.2</v>
      </c>
      <c r="J295" s="42"/>
      <c r="K295" s="42"/>
      <c r="L295" s="21"/>
      <c r="M295" s="901" t="s">
        <v>376</v>
      </c>
      <c r="N295" s="29"/>
      <c r="O295" s="174"/>
      <c r="P295" s="954"/>
    </row>
    <row r="296" spans="1:16" s="26" customFormat="1" ht="15" customHeight="1">
      <c r="A296" s="32">
        <v>1</v>
      </c>
      <c r="B296" s="90"/>
      <c r="C296" s="90"/>
      <c r="D296" s="40"/>
      <c r="E296" s="54" t="s">
        <v>260</v>
      </c>
      <c r="F296" s="54" t="s">
        <v>356</v>
      </c>
      <c r="G296" s="59" t="s">
        <v>193</v>
      </c>
      <c r="H296" s="164">
        <v>176.8</v>
      </c>
      <c r="I296" s="44">
        <f>1500-200-714.7-246.3-109.7</f>
        <v>229.29999999999995</v>
      </c>
      <c r="J296" s="42">
        <v>1300</v>
      </c>
      <c r="K296" s="65">
        <v>1300</v>
      </c>
      <c r="L296" s="21"/>
      <c r="M296" s="931" t="s">
        <v>2163</v>
      </c>
      <c r="N296" s="932" t="s">
        <v>2203</v>
      </c>
      <c r="O296" s="46">
        <v>1</v>
      </c>
      <c r="P296" s="954"/>
    </row>
    <row r="297" spans="1:16" s="26" customFormat="1" ht="16.5" customHeight="1">
      <c r="A297" s="32">
        <v>1</v>
      </c>
      <c r="B297" s="90"/>
      <c r="C297" s="90"/>
      <c r="D297" s="40"/>
      <c r="E297" s="96"/>
      <c r="F297" s="54"/>
      <c r="G297" s="59"/>
      <c r="H297" s="53">
        <f t="shared" ref="H297:K297" si="46">SUM(H272:H296)</f>
        <v>1242.6000000000001</v>
      </c>
      <c r="I297" s="53">
        <f t="shared" si="46"/>
        <v>1300</v>
      </c>
      <c r="J297" s="53">
        <f t="shared" si="46"/>
        <v>1300</v>
      </c>
      <c r="K297" s="53">
        <f t="shared" si="46"/>
        <v>1300</v>
      </c>
      <c r="L297" s="21" t="s">
        <v>274</v>
      </c>
      <c r="M297" s="75"/>
      <c r="N297" s="764"/>
      <c r="O297" s="178"/>
      <c r="P297" s="954"/>
    </row>
    <row r="298" spans="1:16" s="26" customFormat="1" ht="24.6" customHeight="1">
      <c r="A298" s="32">
        <v>1</v>
      </c>
      <c r="B298" s="82" t="s">
        <v>377</v>
      </c>
      <c r="C298" s="82" t="s">
        <v>377</v>
      </c>
      <c r="D298" s="83" t="s">
        <v>378</v>
      </c>
      <c r="E298" s="97"/>
      <c r="F298" s="98"/>
      <c r="G298" s="98"/>
      <c r="H298" s="99">
        <f>SUM(H309,H362,H315,H320,H344,H324,H329,H340,H373,H333,H358,H365,H337)</f>
        <v>4518.0999999999995</v>
      </c>
      <c r="I298" s="99">
        <f>SUM(I309,I362,I315,I320,I344,I324,I329,I340,I373,I333,I358,I365,I337)</f>
        <v>13465.499999999998</v>
      </c>
      <c r="J298" s="99">
        <f>SUM(J309,J362,J315,J320,J344,J324,J329,J340,J373,J333,J358,J365,J337)</f>
        <v>20591.700000000004</v>
      </c>
      <c r="K298" s="99">
        <f>SUM(K309,K362,K315,K320,K344,K324,K329,K340,K373,K333,K358,K365,K337)</f>
        <v>13802.8</v>
      </c>
      <c r="L298" s="21"/>
      <c r="M298" s="75"/>
      <c r="N298" s="764"/>
      <c r="O298" s="178"/>
      <c r="P298" s="960"/>
    </row>
    <row r="299" spans="1:16" s="26" customFormat="1" ht="11.25">
      <c r="A299" s="32">
        <v>1</v>
      </c>
      <c r="B299" s="100"/>
      <c r="C299" s="100"/>
      <c r="D299" s="51"/>
      <c r="E299" s="100"/>
      <c r="F299" s="75"/>
      <c r="G299" s="101" t="s">
        <v>193</v>
      </c>
      <c r="H299" s="102">
        <f>SUM(H306,H359,H325,H310,H316,H341,H342,H349,H347,H353,H348,H345,H363,H334,H338,H321,H367,H371,H372,H339,H355,H356,H357,H330,H369,H314,H319,H350,H354,H351,H336)</f>
        <v>2241.8000000000002</v>
      </c>
      <c r="I299" s="102">
        <f>SUM(I306,I359,I325,I310,I316,I341,I342,I349,I347,I353,I348,I345,I363,I334,I338,I321,I367,I371,I372,I339,I355,I356,I357,I330,I369,I314,I319,I350,I354,I351,I336)</f>
        <v>4499.6000000000004</v>
      </c>
      <c r="J299" s="102">
        <f>SUM(J306,J359,J325,J310,J316,J341,J342,J349,J347,J353,J348,J345,J363,J334,J338,J321,J367,J371,J372,J339,J355,J356,J357,J330,J369,J314,J319,J350,J354,J351,J336)</f>
        <v>4723.1000000000004</v>
      </c>
      <c r="K299" s="102">
        <f>SUM(K306,K359,K325,K310,K316,K341,K342,K349,K347,K353,K348,K345,K363,K334,K338,K321,K367,K371,K372,K339,K355,K356,K357,K330,K369,K314,K319,K350,K354,K351,K336)</f>
        <v>6572.1</v>
      </c>
      <c r="L299" s="21"/>
      <c r="M299" s="75"/>
      <c r="N299" s="764"/>
      <c r="O299" s="178"/>
      <c r="P299" s="960"/>
    </row>
    <row r="300" spans="1:16" s="26" customFormat="1" ht="11.25">
      <c r="A300" s="32">
        <v>1</v>
      </c>
      <c r="B300" s="100"/>
      <c r="C300" s="100"/>
      <c r="D300" s="51"/>
      <c r="E300" s="100"/>
      <c r="F300" s="75"/>
      <c r="G300" s="101" t="s">
        <v>267</v>
      </c>
      <c r="H300" s="102">
        <f>SUM(H308,H313,H318,H323,H346,H352,H327)</f>
        <v>1581.9</v>
      </c>
      <c r="I300" s="102">
        <f>SUM(I308,I313,I318,I323,I346,I352,I327)</f>
        <v>6808.6</v>
      </c>
      <c r="J300" s="102">
        <f>SUM(J308,J313,J318,J323,J346,J352,J327)</f>
        <v>8002.4000000000005</v>
      </c>
      <c r="K300" s="102">
        <f>SUM(K308,K313,K318,K323,K346,K352,K327)</f>
        <v>2230.6999999999998</v>
      </c>
      <c r="L300" s="21"/>
      <c r="M300" s="75"/>
      <c r="N300" s="764"/>
      <c r="O300" s="178"/>
      <c r="P300" s="960"/>
    </row>
    <row r="301" spans="1:16" s="26" customFormat="1" ht="11.25">
      <c r="A301" s="32">
        <v>1</v>
      </c>
      <c r="B301" s="100"/>
      <c r="C301" s="100"/>
      <c r="D301" s="51"/>
      <c r="E301" s="100"/>
      <c r="F301" s="75"/>
      <c r="G301" s="101" t="s">
        <v>195</v>
      </c>
      <c r="H301" s="102">
        <f>SUM(H360,H364,H368,H370)</f>
        <v>270</v>
      </c>
      <c r="I301" s="102">
        <f t="shared" ref="I301:K301" si="47">SUM(I360,I364,I368,I370)</f>
        <v>80</v>
      </c>
      <c r="J301" s="102">
        <f t="shared" si="47"/>
        <v>125</v>
      </c>
      <c r="K301" s="102">
        <f t="shared" si="47"/>
        <v>500</v>
      </c>
      <c r="L301" s="21"/>
      <c r="M301" s="75"/>
      <c r="N301" s="764"/>
      <c r="O301" s="178"/>
      <c r="P301" s="960"/>
    </row>
    <row r="302" spans="1:16" s="26" customFormat="1" ht="11.25">
      <c r="A302" s="32">
        <v>1</v>
      </c>
      <c r="B302" s="100"/>
      <c r="C302" s="100"/>
      <c r="D302" s="51"/>
      <c r="E302" s="100"/>
      <c r="F302" s="75"/>
      <c r="G302" s="101" t="s">
        <v>379</v>
      </c>
      <c r="H302" s="102">
        <f>H361</f>
        <v>146.80000000000001</v>
      </c>
      <c r="I302" s="102">
        <f t="shared" ref="I302:K302" si="48">I361</f>
        <v>1.1000000000000001</v>
      </c>
      <c r="J302" s="102">
        <f t="shared" si="48"/>
        <v>0</v>
      </c>
      <c r="K302" s="102">
        <f t="shared" si="48"/>
        <v>0</v>
      </c>
      <c r="L302" s="21"/>
      <c r="M302" s="75"/>
      <c r="N302" s="764"/>
      <c r="O302" s="178"/>
      <c r="P302" s="960"/>
    </row>
    <row r="303" spans="1:16" s="26" customFormat="1" ht="11.25">
      <c r="A303" s="32">
        <v>1</v>
      </c>
      <c r="B303" s="100"/>
      <c r="C303" s="100"/>
      <c r="D303" s="51"/>
      <c r="E303" s="100"/>
      <c r="F303" s="75"/>
      <c r="G303" s="101" t="s">
        <v>380</v>
      </c>
      <c r="H303" s="102">
        <f>SUM(H307,H312,H317,H322)</f>
        <v>277.60000000000002</v>
      </c>
      <c r="I303" s="102">
        <f t="shared" ref="I303:K303" si="49">SUM(I307,I312,I317,I322)</f>
        <v>1176.2</v>
      </c>
      <c r="J303" s="102">
        <f t="shared" si="49"/>
        <v>1241.2</v>
      </c>
      <c r="K303" s="102">
        <f t="shared" si="49"/>
        <v>0</v>
      </c>
      <c r="L303" s="21"/>
      <c r="M303" s="75"/>
      <c r="N303" s="764"/>
      <c r="O303" s="178"/>
      <c r="P303" s="960"/>
    </row>
    <row r="304" spans="1:16" s="26" customFormat="1" ht="11.25">
      <c r="A304" s="32">
        <v>1</v>
      </c>
      <c r="B304" s="100"/>
      <c r="C304" s="100"/>
      <c r="D304" s="51"/>
      <c r="E304" s="100"/>
      <c r="F304" s="75"/>
      <c r="G304" s="101" t="s">
        <v>381</v>
      </c>
      <c r="H304" s="102">
        <f>H328+H343+H311+H335+H331</f>
        <v>0</v>
      </c>
      <c r="I304" s="102">
        <f>I328+I343+I311+I335+I331</f>
        <v>900</v>
      </c>
      <c r="J304" s="102">
        <f>J328+J343+J311+J335+J331</f>
        <v>4500</v>
      </c>
      <c r="K304" s="102">
        <f>K328+K343+K311+K335+K331</f>
        <v>3000</v>
      </c>
      <c r="L304" s="21"/>
      <c r="M304" s="75"/>
      <c r="N304" s="764"/>
      <c r="O304" s="178"/>
      <c r="P304" s="960"/>
    </row>
    <row r="305" spans="1:16" s="26" customFormat="1" ht="11.25">
      <c r="A305" s="32">
        <v>1</v>
      </c>
      <c r="B305" s="100"/>
      <c r="C305" s="100"/>
      <c r="D305" s="51"/>
      <c r="E305" s="100"/>
      <c r="F305" s="75"/>
      <c r="G305" s="101" t="s">
        <v>283</v>
      </c>
      <c r="H305" s="102">
        <f>SUM(H332)</f>
        <v>0</v>
      </c>
      <c r="I305" s="102">
        <f t="shared" ref="I305:K305" si="50">SUM(I332)</f>
        <v>0</v>
      </c>
      <c r="J305" s="102">
        <f t="shared" si="50"/>
        <v>2000</v>
      </c>
      <c r="K305" s="102">
        <f t="shared" si="50"/>
        <v>1500</v>
      </c>
      <c r="L305" s="21"/>
      <c r="M305" s="75"/>
      <c r="N305" s="764"/>
      <c r="O305" s="178"/>
      <c r="P305" s="960"/>
    </row>
    <row r="306" spans="1:16" s="26" customFormat="1" ht="33.75">
      <c r="A306" s="32">
        <v>1</v>
      </c>
      <c r="B306" s="90"/>
      <c r="C306" s="90" t="s">
        <v>382</v>
      </c>
      <c r="D306" s="51" t="s">
        <v>383</v>
      </c>
      <c r="E306" s="30">
        <v>9</v>
      </c>
      <c r="F306" s="103" t="s">
        <v>384</v>
      </c>
      <c r="G306" s="43" t="s">
        <v>193</v>
      </c>
      <c r="H306" s="30">
        <v>8.5</v>
      </c>
      <c r="I306" s="44"/>
      <c r="J306" s="43"/>
      <c r="K306" s="43"/>
      <c r="L306" s="21" t="s">
        <v>385</v>
      </c>
      <c r="M306" s="930" t="s">
        <v>2218</v>
      </c>
      <c r="N306" s="928" t="s">
        <v>2204</v>
      </c>
      <c r="O306" s="178">
        <v>100</v>
      </c>
      <c r="P306" s="954" t="s">
        <v>386</v>
      </c>
    </row>
    <row r="307" spans="1:16" s="26" customFormat="1" ht="11.25" customHeight="1">
      <c r="A307" s="32">
        <v>1</v>
      </c>
      <c r="B307" s="90"/>
      <c r="C307" s="90"/>
      <c r="D307" s="51"/>
      <c r="E307" s="30">
        <v>9</v>
      </c>
      <c r="F307" s="103" t="s">
        <v>384</v>
      </c>
      <c r="G307" s="43" t="s">
        <v>380</v>
      </c>
      <c r="H307" s="903">
        <v>237.8</v>
      </c>
      <c r="I307" s="44">
        <f>349.5+47.7</f>
        <v>397.2</v>
      </c>
      <c r="J307" s="43"/>
      <c r="K307" s="43"/>
      <c r="L307" s="21" t="s">
        <v>385</v>
      </c>
      <c r="M307" s="930" t="s">
        <v>2218</v>
      </c>
      <c r="N307" s="929"/>
      <c r="O307" s="46"/>
      <c r="P307" s="954" t="s">
        <v>386</v>
      </c>
    </row>
    <row r="308" spans="1:16" s="26" customFormat="1" ht="11.25" customHeight="1">
      <c r="A308" s="32">
        <v>1</v>
      </c>
      <c r="B308" s="90"/>
      <c r="C308" s="90"/>
      <c r="D308" s="51"/>
      <c r="E308" s="30">
        <v>9</v>
      </c>
      <c r="F308" s="103" t="s">
        <v>384</v>
      </c>
      <c r="G308" s="43" t="s">
        <v>267</v>
      </c>
      <c r="H308" s="904">
        <v>1347.5</v>
      </c>
      <c r="I308" s="44">
        <f>1981+270.3</f>
        <v>2251.3000000000002</v>
      </c>
      <c r="J308" s="43"/>
      <c r="K308" s="43"/>
      <c r="L308" s="21" t="s">
        <v>385</v>
      </c>
      <c r="M308" s="930" t="s">
        <v>2218</v>
      </c>
      <c r="N308" s="928"/>
      <c r="O308" s="46"/>
      <c r="P308" s="954" t="s">
        <v>386</v>
      </c>
    </row>
    <row r="309" spans="1:16" s="26" customFormat="1" ht="11.25">
      <c r="A309" s="32">
        <v>1</v>
      </c>
      <c r="B309" s="90"/>
      <c r="C309" s="90"/>
      <c r="D309" s="51"/>
      <c r="E309" s="30">
        <v>9</v>
      </c>
      <c r="F309" s="103" t="s">
        <v>384</v>
      </c>
      <c r="G309" s="48" t="s">
        <v>198</v>
      </c>
      <c r="H309" s="53">
        <f>SUM(H306:H308)</f>
        <v>1593.8</v>
      </c>
      <c r="I309" s="53">
        <f>SUM(I306:I308)</f>
        <v>2648.5</v>
      </c>
      <c r="J309" s="53">
        <f>SUM(J306:J308)</f>
        <v>0</v>
      </c>
      <c r="K309" s="53">
        <f>SUM(K306:K308)</f>
        <v>0</v>
      </c>
      <c r="L309" s="21"/>
      <c r="M309" s="927"/>
      <c r="N309" s="928"/>
      <c r="O309" s="46"/>
      <c r="P309" s="954"/>
    </row>
    <row r="310" spans="1:16" s="26" customFormat="1" ht="22.5">
      <c r="A310" s="32">
        <v>1</v>
      </c>
      <c r="B310" s="90"/>
      <c r="C310" s="90" t="s">
        <v>387</v>
      </c>
      <c r="D310" s="51" t="s">
        <v>388</v>
      </c>
      <c r="E310" s="46">
        <v>9</v>
      </c>
      <c r="F310" s="103" t="s">
        <v>384</v>
      </c>
      <c r="G310" s="105" t="s">
        <v>193</v>
      </c>
      <c r="H310" s="643">
        <v>206.7</v>
      </c>
      <c r="I310" s="44">
        <f>1074.4-600-300</f>
        <v>174.40000000000009</v>
      </c>
      <c r="J310" s="755"/>
      <c r="K310" s="70"/>
      <c r="L310" s="21" t="s">
        <v>385</v>
      </c>
      <c r="M310" s="930" t="s">
        <v>2219</v>
      </c>
      <c r="N310" s="928" t="s">
        <v>2204</v>
      </c>
      <c r="O310" s="178">
        <v>100</v>
      </c>
      <c r="P310" s="954" t="s">
        <v>389</v>
      </c>
    </row>
    <row r="311" spans="1:16" s="26" customFormat="1" ht="11.25">
      <c r="A311" s="32">
        <v>1</v>
      </c>
      <c r="B311" s="90"/>
      <c r="C311" s="90"/>
      <c r="D311" s="51"/>
      <c r="E311" s="46">
        <v>9</v>
      </c>
      <c r="F311" s="103" t="s">
        <v>384</v>
      </c>
      <c r="G311" s="30" t="s">
        <v>381</v>
      </c>
      <c r="H311" s="643"/>
      <c r="I311" s="44">
        <f>600+300</f>
        <v>900</v>
      </c>
      <c r="J311" s="755"/>
      <c r="K311" s="70"/>
      <c r="L311" s="21"/>
      <c r="M311" s="930" t="s">
        <v>2219</v>
      </c>
      <c r="N311" s="764"/>
      <c r="O311" s="178"/>
      <c r="P311" s="954" t="s">
        <v>389</v>
      </c>
    </row>
    <row r="312" spans="1:16" s="26" customFormat="1" ht="11.25" customHeight="1">
      <c r="A312" s="32">
        <v>1</v>
      </c>
      <c r="B312" s="90"/>
      <c r="C312" s="90"/>
      <c r="D312" s="51"/>
      <c r="E312" s="46">
        <v>9</v>
      </c>
      <c r="F312" s="103" t="s">
        <v>384</v>
      </c>
      <c r="G312" s="105" t="s">
        <v>380</v>
      </c>
      <c r="H312" s="643">
        <v>39.799999999999997</v>
      </c>
      <c r="I312" s="44">
        <v>195.8</v>
      </c>
      <c r="J312" s="643"/>
      <c r="K312" s="106"/>
      <c r="L312" s="21" t="s">
        <v>385</v>
      </c>
      <c r="M312" s="930" t="s">
        <v>2219</v>
      </c>
      <c r="N312" s="764"/>
      <c r="O312" s="178"/>
      <c r="P312" s="954" t="s">
        <v>389</v>
      </c>
    </row>
    <row r="313" spans="1:16" s="26" customFormat="1" ht="11.25" customHeight="1">
      <c r="A313" s="32">
        <v>1</v>
      </c>
      <c r="B313" s="90"/>
      <c r="C313" s="90"/>
      <c r="D313" s="51"/>
      <c r="E313" s="46">
        <v>9</v>
      </c>
      <c r="F313" s="103" t="s">
        <v>384</v>
      </c>
      <c r="G313" s="105" t="s">
        <v>267</v>
      </c>
      <c r="H313" s="643">
        <v>234.4</v>
      </c>
      <c r="I313" s="44">
        <v>1016.5</v>
      </c>
      <c r="J313" s="643"/>
      <c r="K313" s="106"/>
      <c r="L313" s="21" t="s">
        <v>385</v>
      </c>
      <c r="M313" s="930" t="s">
        <v>2219</v>
      </c>
      <c r="N313" s="764"/>
      <c r="O313" s="178"/>
      <c r="P313" s="954" t="s">
        <v>389</v>
      </c>
    </row>
    <row r="314" spans="1:16" s="26" customFormat="1" ht="22.9" customHeight="1">
      <c r="A314" s="32">
        <v>1</v>
      </c>
      <c r="B314" s="90"/>
      <c r="C314" s="90"/>
      <c r="D314" s="51"/>
      <c r="E314" s="75" t="s">
        <v>88</v>
      </c>
      <c r="F314" s="103" t="s">
        <v>384</v>
      </c>
      <c r="G314" s="105" t="s">
        <v>193</v>
      </c>
      <c r="H314" s="106"/>
      <c r="I314" s="44">
        <v>106.5</v>
      </c>
      <c r="J314" s="643"/>
      <c r="K314" s="106"/>
      <c r="L314" s="21"/>
      <c r="M314" s="933" t="s">
        <v>2206</v>
      </c>
      <c r="N314" s="764"/>
      <c r="O314" s="178"/>
      <c r="P314" s="954" t="s">
        <v>389</v>
      </c>
    </row>
    <row r="315" spans="1:16" s="26" customFormat="1" ht="11.25">
      <c r="A315" s="32">
        <v>1</v>
      </c>
      <c r="B315" s="90"/>
      <c r="C315" s="90"/>
      <c r="D315" s="51"/>
      <c r="E315" s="46">
        <v>9</v>
      </c>
      <c r="F315" s="103" t="s">
        <v>384</v>
      </c>
      <c r="G315" s="48" t="s">
        <v>198</v>
      </c>
      <c r="H315" s="53">
        <f>SUM(H310:H314)</f>
        <v>480.9</v>
      </c>
      <c r="I315" s="53">
        <f t="shared" ref="I315:K315" si="51">SUM(I310:I314)</f>
        <v>2393.1999999999998</v>
      </c>
      <c r="J315" s="53">
        <f t="shared" si="51"/>
        <v>0</v>
      </c>
      <c r="K315" s="53">
        <f t="shared" si="51"/>
        <v>0</v>
      </c>
      <c r="L315" s="21"/>
      <c r="M315" s="75"/>
      <c r="N315" s="764"/>
      <c r="O315" s="178"/>
      <c r="P315" s="954"/>
    </row>
    <row r="316" spans="1:16" s="26" customFormat="1" ht="21.6" customHeight="1">
      <c r="A316" s="32">
        <v>1</v>
      </c>
      <c r="B316" s="90"/>
      <c r="C316" s="90" t="s">
        <v>390</v>
      </c>
      <c r="D316" s="51" t="s">
        <v>391</v>
      </c>
      <c r="E316" s="46">
        <v>9</v>
      </c>
      <c r="F316" s="103" t="s">
        <v>384</v>
      </c>
      <c r="G316" s="105" t="s">
        <v>193</v>
      </c>
      <c r="H316" s="43">
        <v>56.9</v>
      </c>
      <c r="I316" s="44">
        <v>102</v>
      </c>
      <c r="J316" s="43"/>
      <c r="K316" s="43"/>
      <c r="L316" s="21" t="s">
        <v>385</v>
      </c>
      <c r="M316" s="930" t="s">
        <v>2218</v>
      </c>
      <c r="N316" s="928" t="s">
        <v>2204</v>
      </c>
      <c r="O316" s="178">
        <v>100</v>
      </c>
      <c r="P316" s="954" t="s">
        <v>392</v>
      </c>
    </row>
    <row r="317" spans="1:16" s="26" customFormat="1" ht="11.25" customHeight="1">
      <c r="A317" s="32">
        <v>1</v>
      </c>
      <c r="B317" s="90"/>
      <c r="C317" s="90"/>
      <c r="D317" s="51"/>
      <c r="E317" s="46">
        <v>9</v>
      </c>
      <c r="F317" s="103" t="s">
        <v>384</v>
      </c>
      <c r="G317" s="105" t="s">
        <v>380</v>
      </c>
      <c r="H317" s="43"/>
      <c r="I317" s="44">
        <v>382</v>
      </c>
      <c r="J317" s="43"/>
      <c r="K317" s="43"/>
      <c r="L317" s="21" t="s">
        <v>385</v>
      </c>
      <c r="M317" s="930" t="s">
        <v>2218</v>
      </c>
      <c r="N317" s="764"/>
      <c r="O317" s="178"/>
      <c r="P317" s="954" t="s">
        <v>392</v>
      </c>
    </row>
    <row r="318" spans="1:16" s="26" customFormat="1" ht="11.25" customHeight="1">
      <c r="A318" s="32">
        <v>1</v>
      </c>
      <c r="B318" s="90"/>
      <c r="C318" s="90"/>
      <c r="E318" s="46">
        <v>9</v>
      </c>
      <c r="F318" s="103" t="s">
        <v>384</v>
      </c>
      <c r="G318" s="105" t="s">
        <v>267</v>
      </c>
      <c r="H318" s="43"/>
      <c r="I318" s="44">
        <v>2378.3000000000002</v>
      </c>
      <c r="J318" s="43"/>
      <c r="K318" s="43"/>
      <c r="L318" s="21" t="s">
        <v>385</v>
      </c>
      <c r="M318" s="930" t="s">
        <v>2218</v>
      </c>
      <c r="N318" s="764"/>
      <c r="O318" s="178"/>
      <c r="P318" s="954" t="s">
        <v>392</v>
      </c>
    </row>
    <row r="319" spans="1:16" s="26" customFormat="1" ht="11.25">
      <c r="A319" s="32">
        <v>1</v>
      </c>
      <c r="B319" s="90"/>
      <c r="C319" s="90"/>
      <c r="D319" s="152"/>
      <c r="E319" s="75" t="s">
        <v>104</v>
      </c>
      <c r="F319" s="103" t="s">
        <v>384</v>
      </c>
      <c r="G319" s="105" t="s">
        <v>193</v>
      </c>
      <c r="H319" s="43"/>
      <c r="I319" s="44"/>
      <c r="J319" s="43"/>
      <c r="K319" s="43"/>
      <c r="L319" s="21" t="s">
        <v>385</v>
      </c>
      <c r="M319" s="930" t="s">
        <v>2218</v>
      </c>
      <c r="N319" s="764"/>
      <c r="O319" s="178"/>
      <c r="P319" s="954" t="s">
        <v>392</v>
      </c>
    </row>
    <row r="320" spans="1:16" s="26" customFormat="1" ht="11.25">
      <c r="A320" s="32">
        <v>1</v>
      </c>
      <c r="B320" s="90"/>
      <c r="C320" s="175"/>
      <c r="D320" s="51"/>
      <c r="E320" s="46"/>
      <c r="F320" s="103" t="s">
        <v>384</v>
      </c>
      <c r="G320" s="48" t="s">
        <v>198</v>
      </c>
      <c r="H320" s="53">
        <f>SUM(H316:H319)</f>
        <v>56.9</v>
      </c>
      <c r="I320" s="53">
        <f>SUM(I316:I319)</f>
        <v>2862.3</v>
      </c>
      <c r="J320" s="53">
        <f t="shared" ref="J320:K320" si="52">SUM(J316:J319)</f>
        <v>0</v>
      </c>
      <c r="K320" s="53">
        <f t="shared" si="52"/>
        <v>0</v>
      </c>
      <c r="L320" s="21"/>
      <c r="M320" s="75"/>
      <c r="N320" s="764"/>
      <c r="O320" s="178"/>
      <c r="P320" s="954"/>
    </row>
    <row r="321" spans="1:16" s="26" customFormat="1" ht="22.5">
      <c r="A321" s="32">
        <v>1</v>
      </c>
      <c r="B321" s="90"/>
      <c r="C321" s="175" t="s">
        <v>393</v>
      </c>
      <c r="D321" s="857" t="s">
        <v>394</v>
      </c>
      <c r="E321" s="46">
        <v>9</v>
      </c>
      <c r="F321" s="103" t="s">
        <v>384</v>
      </c>
      <c r="G321" s="105" t="s">
        <v>193</v>
      </c>
      <c r="H321" s="113">
        <v>44.2</v>
      </c>
      <c r="I321" s="44">
        <v>17.899999999999999</v>
      </c>
      <c r="J321" s="754">
        <v>215.6</v>
      </c>
      <c r="K321" s="914"/>
      <c r="L321" s="21" t="s">
        <v>385</v>
      </c>
      <c r="M321" s="930" t="s">
        <v>2218</v>
      </c>
      <c r="N321" s="928" t="s">
        <v>2204</v>
      </c>
      <c r="O321" s="178">
        <v>30</v>
      </c>
      <c r="P321" s="954" t="s">
        <v>275</v>
      </c>
    </row>
    <row r="322" spans="1:16" s="26" customFormat="1" ht="11.25">
      <c r="A322" s="32">
        <v>1</v>
      </c>
      <c r="B322" s="90"/>
      <c r="C322" s="175"/>
      <c r="D322" s="51"/>
      <c r="E322" s="46">
        <v>9</v>
      </c>
      <c r="F322" s="103" t="s">
        <v>384</v>
      </c>
      <c r="G322" s="105" t="s">
        <v>380</v>
      </c>
      <c r="H322" s="913"/>
      <c r="I322" s="44">
        <f>ROUND(804.9/4,1)</f>
        <v>201.2</v>
      </c>
      <c r="J322" s="526">
        <f>ROUND(637.5+804.9/4*3,1)</f>
        <v>1241.2</v>
      </c>
      <c r="K322" s="913"/>
      <c r="L322" s="21" t="s">
        <v>385</v>
      </c>
      <c r="M322" s="930" t="s">
        <v>2218</v>
      </c>
      <c r="N322" s="764"/>
      <c r="O322" s="178"/>
      <c r="P322" s="954" t="s">
        <v>275</v>
      </c>
    </row>
    <row r="323" spans="1:16" s="26" customFormat="1" ht="11.25">
      <c r="A323" s="32">
        <v>1</v>
      </c>
      <c r="B323" s="90"/>
      <c r="C323" s="175"/>
      <c r="D323" s="51"/>
      <c r="E323" s="46">
        <v>9</v>
      </c>
      <c r="F323" s="103" t="s">
        <v>384</v>
      </c>
      <c r="G323" s="105" t="s">
        <v>267</v>
      </c>
      <c r="H323" s="913"/>
      <c r="I323" s="44">
        <f>ROUND(4649.8/4,1)</f>
        <v>1162.5</v>
      </c>
      <c r="J323" s="526">
        <f>ROUND(4183.9+4649.8/4*3,1)</f>
        <v>7671.3</v>
      </c>
      <c r="K323" s="913"/>
      <c r="L323" s="21" t="s">
        <v>385</v>
      </c>
      <c r="M323" s="930" t="s">
        <v>2218</v>
      </c>
      <c r="N323" s="764"/>
      <c r="O323" s="178"/>
      <c r="P323" s="954" t="s">
        <v>275</v>
      </c>
    </row>
    <row r="324" spans="1:16" s="26" customFormat="1" ht="11.25">
      <c r="A324" s="32">
        <v>1</v>
      </c>
      <c r="B324" s="90"/>
      <c r="C324" s="175"/>
      <c r="D324" s="51"/>
      <c r="E324" s="46">
        <v>9</v>
      </c>
      <c r="F324" s="103" t="s">
        <v>384</v>
      </c>
      <c r="G324" s="48" t="s">
        <v>198</v>
      </c>
      <c r="H324" s="148">
        <f t="shared" ref="H324:K324" si="53">SUM(H321:H323)</f>
        <v>44.2</v>
      </c>
      <c r="I324" s="148">
        <f t="shared" si="53"/>
        <v>1381.6</v>
      </c>
      <c r="J324" s="148">
        <f t="shared" si="53"/>
        <v>9128.1</v>
      </c>
      <c r="K324" s="177">
        <f t="shared" si="53"/>
        <v>0</v>
      </c>
      <c r="L324" s="174"/>
      <c r="M324" s="764"/>
      <c r="N324" s="764"/>
      <c r="O324" s="178"/>
      <c r="P324" s="954"/>
    </row>
    <row r="325" spans="1:16" s="26" customFormat="1" ht="22.5">
      <c r="A325" s="32">
        <v>1</v>
      </c>
      <c r="B325" s="90"/>
      <c r="C325" s="90" t="s">
        <v>395</v>
      </c>
      <c r="D325" s="764" t="s">
        <v>396</v>
      </c>
      <c r="E325" s="46">
        <v>9</v>
      </c>
      <c r="F325" s="103" t="s">
        <v>397</v>
      </c>
      <c r="G325" s="43" t="s">
        <v>193</v>
      </c>
      <c r="H325" s="43"/>
      <c r="I325" s="147">
        <v>144.30000000000001</v>
      </c>
      <c r="J325" s="42">
        <v>331.1</v>
      </c>
      <c r="K325" s="264">
        <v>1655.7</v>
      </c>
      <c r="L325" s="178" t="s">
        <v>398</v>
      </c>
      <c r="M325" s="930" t="s">
        <v>2219</v>
      </c>
      <c r="N325" s="928" t="s">
        <v>2207</v>
      </c>
      <c r="O325" s="178">
        <v>1</v>
      </c>
      <c r="P325" s="954" t="s">
        <v>399</v>
      </c>
    </row>
    <row r="326" spans="1:16" s="26" customFormat="1" ht="11.25">
      <c r="A326" s="32">
        <v>1</v>
      </c>
      <c r="B326" s="90"/>
      <c r="C326" s="90"/>
      <c r="D326" s="765"/>
      <c r="E326" s="46">
        <v>9</v>
      </c>
      <c r="F326" s="103" t="s">
        <v>397</v>
      </c>
      <c r="G326" s="42" t="s">
        <v>283</v>
      </c>
      <c r="H326" s="43"/>
      <c r="I326" s="147"/>
      <c r="J326" s="42"/>
      <c r="K326" s="264"/>
      <c r="L326" s="178"/>
      <c r="M326" s="75"/>
      <c r="N326" s="764"/>
      <c r="O326" s="178"/>
      <c r="P326" s="954" t="s">
        <v>399</v>
      </c>
    </row>
    <row r="327" spans="1:16" s="26" customFormat="1" ht="11.25">
      <c r="A327" s="32">
        <v>1</v>
      </c>
      <c r="B327" s="90"/>
      <c r="C327" s="90"/>
      <c r="D327" s="765"/>
      <c r="E327" s="46">
        <v>9</v>
      </c>
      <c r="F327" s="103" t="s">
        <v>397</v>
      </c>
      <c r="G327" s="43" t="s">
        <v>267</v>
      </c>
      <c r="H327" s="43"/>
      <c r="I327" s="147"/>
      <c r="J327" s="42">
        <v>331.1</v>
      </c>
      <c r="K327" s="264">
        <v>1655.7</v>
      </c>
      <c r="L327" s="178"/>
      <c r="M327" s="75"/>
      <c r="N327" s="764"/>
      <c r="O327" s="178"/>
      <c r="P327" s="954" t="s">
        <v>399</v>
      </c>
    </row>
    <row r="328" spans="1:16" s="26" customFormat="1" ht="13.9" customHeight="1">
      <c r="A328" s="32">
        <v>1</v>
      </c>
      <c r="B328" s="90"/>
      <c r="C328" s="90"/>
      <c r="D328" s="131"/>
      <c r="E328" s="46">
        <v>9</v>
      </c>
      <c r="F328" s="103" t="s">
        <v>397</v>
      </c>
      <c r="G328" s="87" t="s">
        <v>381</v>
      </c>
      <c r="H328" s="43"/>
      <c r="I328" s="147"/>
      <c r="J328" s="42"/>
      <c r="K328" s="264"/>
      <c r="L328" s="178"/>
      <c r="M328" s="75"/>
      <c r="N328" s="764"/>
      <c r="O328" s="178"/>
      <c r="P328" s="954" t="s">
        <v>399</v>
      </c>
    </row>
    <row r="329" spans="1:16" s="26" customFormat="1" ht="11.25">
      <c r="A329" s="32">
        <v>1</v>
      </c>
      <c r="B329" s="90"/>
      <c r="C329" s="90"/>
      <c r="D329" s="51"/>
      <c r="E329" s="46">
        <v>9</v>
      </c>
      <c r="F329" s="103" t="s">
        <v>397</v>
      </c>
      <c r="G329" s="48" t="s">
        <v>198</v>
      </c>
      <c r="H329" s="53">
        <f t="shared" ref="H329:K329" si="54">SUM(H325:H328)</f>
        <v>0</v>
      </c>
      <c r="I329" s="53">
        <f t="shared" si="54"/>
        <v>144.30000000000001</v>
      </c>
      <c r="J329" s="53">
        <f t="shared" si="54"/>
        <v>662.2</v>
      </c>
      <c r="K329" s="149">
        <f t="shared" si="54"/>
        <v>3311.4</v>
      </c>
      <c r="L329" s="174"/>
      <c r="M329" s="75"/>
      <c r="N329" s="764"/>
      <c r="O329" s="178"/>
      <c r="P329" s="954"/>
    </row>
    <row r="330" spans="1:16" s="26" customFormat="1" ht="33.75">
      <c r="A330" s="32">
        <v>1</v>
      </c>
      <c r="B330" s="90"/>
      <c r="C330" s="175" t="s">
        <v>400</v>
      </c>
      <c r="D330" s="76" t="s">
        <v>401</v>
      </c>
      <c r="E330" s="115">
        <v>9</v>
      </c>
      <c r="F330" s="59" t="s">
        <v>402</v>
      </c>
      <c r="G330" s="59" t="s">
        <v>193</v>
      </c>
      <c r="H330" s="165"/>
      <c r="I330" s="44">
        <v>265.39999999999998</v>
      </c>
      <c r="J330" s="42">
        <f>5535-3200-1500-500-300</f>
        <v>35</v>
      </c>
      <c r="K330" s="42">
        <f>4570-2800-1500-200</f>
        <v>70</v>
      </c>
      <c r="L330" s="21" t="s">
        <v>398</v>
      </c>
      <c r="M330" s="930" t="s">
        <v>2218</v>
      </c>
      <c r="N330" s="928" t="s">
        <v>2208</v>
      </c>
      <c r="O330" s="178">
        <v>100</v>
      </c>
      <c r="P330" s="954" t="s">
        <v>386</v>
      </c>
    </row>
    <row r="331" spans="1:16" s="26" customFormat="1" ht="15" customHeight="1">
      <c r="A331" s="32">
        <v>1</v>
      </c>
      <c r="B331" s="90"/>
      <c r="C331" s="175"/>
      <c r="D331" s="76"/>
      <c r="E331" s="115">
        <v>9</v>
      </c>
      <c r="F331" s="59" t="s">
        <v>402</v>
      </c>
      <c r="G331" s="30" t="s">
        <v>381</v>
      </c>
      <c r="H331" s="165"/>
      <c r="I331" s="44"/>
      <c r="J331" s="42">
        <f>3200+300</f>
        <v>3500</v>
      </c>
      <c r="K331" s="42">
        <f>2800+200</f>
        <v>3000</v>
      </c>
      <c r="L331" s="21"/>
      <c r="M331" s="75"/>
      <c r="N331" s="764"/>
      <c r="O331" s="178"/>
      <c r="P331" s="954" t="s">
        <v>386</v>
      </c>
    </row>
    <row r="332" spans="1:16" s="26" customFormat="1" ht="15" customHeight="1">
      <c r="A332" s="32">
        <v>1</v>
      </c>
      <c r="B332" s="90"/>
      <c r="C332" s="175"/>
      <c r="D332" s="76"/>
      <c r="E332" s="115">
        <v>9</v>
      </c>
      <c r="F332" s="59" t="s">
        <v>402</v>
      </c>
      <c r="G332" s="30" t="s">
        <v>283</v>
      </c>
      <c r="H332" s="165"/>
      <c r="I332" s="44"/>
      <c r="J332" s="43">
        <f>500+1500</f>
        <v>2000</v>
      </c>
      <c r="K332" s="43">
        <v>1500</v>
      </c>
      <c r="L332" s="21"/>
      <c r="M332" s="75"/>
      <c r="N332" s="764"/>
      <c r="O332" s="178"/>
      <c r="P332" s="954" t="s">
        <v>386</v>
      </c>
    </row>
    <row r="333" spans="1:16" s="26" customFormat="1" ht="15" customHeight="1">
      <c r="A333" s="32">
        <v>1</v>
      </c>
      <c r="B333" s="90"/>
      <c r="C333" s="175"/>
      <c r="D333" s="40"/>
      <c r="E333" s="115">
        <v>9</v>
      </c>
      <c r="F333" s="59" t="s">
        <v>402</v>
      </c>
      <c r="G333" s="48" t="s">
        <v>198</v>
      </c>
      <c r="H333" s="53">
        <f>SUM(H330:H332)</f>
        <v>0</v>
      </c>
      <c r="I333" s="53">
        <f>SUM(I330:I332)</f>
        <v>265.39999999999998</v>
      </c>
      <c r="J333" s="53">
        <f>SUM(J330:J332)</f>
        <v>5535</v>
      </c>
      <c r="K333" s="53">
        <f>SUM(K330:K332)</f>
        <v>4570</v>
      </c>
      <c r="L333" s="21"/>
      <c r="M333" s="75"/>
      <c r="N333" s="764"/>
      <c r="O333" s="178"/>
      <c r="P333" s="954"/>
    </row>
    <row r="334" spans="1:16" s="26" customFormat="1" ht="15" customHeight="1">
      <c r="A334" s="32">
        <v>1</v>
      </c>
      <c r="B334" s="90"/>
      <c r="C334" s="175" t="s">
        <v>403</v>
      </c>
      <c r="D334" s="1182" t="s">
        <v>404</v>
      </c>
      <c r="E334" s="30">
        <v>6</v>
      </c>
      <c r="F334" s="30" t="s">
        <v>405</v>
      </c>
      <c r="G334" s="75" t="s">
        <v>193</v>
      </c>
      <c r="H334" s="43">
        <f>833.2</f>
        <v>833.2</v>
      </c>
      <c r="I334" s="44">
        <f>3311.4-571.9+354.9+161.6-141.9</f>
        <v>3114.1</v>
      </c>
      <c r="J334" s="42">
        <f>3311.4</f>
        <v>3311.4</v>
      </c>
      <c r="K334" s="42">
        <f>3311.4</f>
        <v>3311.4</v>
      </c>
      <c r="L334" s="21" t="s">
        <v>385</v>
      </c>
      <c r="M334" s="930" t="s">
        <v>2174</v>
      </c>
      <c r="N334" s="929" t="s">
        <v>2209</v>
      </c>
      <c r="O334" s="178">
        <v>1</v>
      </c>
      <c r="P334" s="954" t="s">
        <v>386</v>
      </c>
    </row>
    <row r="335" spans="1:16" s="26" customFormat="1" ht="15" customHeight="1">
      <c r="A335" s="32">
        <v>1</v>
      </c>
      <c r="B335" s="90"/>
      <c r="C335" s="175" t="s">
        <v>403</v>
      </c>
      <c r="D335" s="1183"/>
      <c r="E335" s="30">
        <v>6</v>
      </c>
      <c r="F335" s="30" t="s">
        <v>405</v>
      </c>
      <c r="G335" s="30" t="s">
        <v>381</v>
      </c>
      <c r="H335" s="43"/>
      <c r="I335" s="44"/>
      <c r="J335" s="42"/>
      <c r="K335" s="42"/>
      <c r="L335" s="21"/>
      <c r="M335" s="75"/>
      <c r="N335" s="764"/>
      <c r="O335" s="178"/>
      <c r="P335" s="954" t="s">
        <v>386</v>
      </c>
    </row>
    <row r="336" spans="1:16" s="26" customFormat="1" ht="15" customHeight="1">
      <c r="A336" s="32">
        <v>1</v>
      </c>
      <c r="B336" s="90"/>
      <c r="C336" s="175" t="s">
        <v>403</v>
      </c>
      <c r="D336" s="1184"/>
      <c r="E336" s="30">
        <v>6</v>
      </c>
      <c r="F336" s="30" t="s">
        <v>2149</v>
      </c>
      <c r="G336" s="75" t="s">
        <v>193</v>
      </c>
      <c r="H336" s="43"/>
      <c r="I336" s="44">
        <v>120</v>
      </c>
      <c r="J336" s="42">
        <v>125</v>
      </c>
      <c r="K336" s="42">
        <v>130</v>
      </c>
      <c r="L336" s="21" t="s">
        <v>385</v>
      </c>
      <c r="M336" s="764" t="s">
        <v>2210</v>
      </c>
      <c r="N336" s="764" t="s">
        <v>2175</v>
      </c>
      <c r="O336" s="178">
        <v>100</v>
      </c>
      <c r="P336" s="954" t="s">
        <v>386</v>
      </c>
    </row>
    <row r="337" spans="1:16" s="26" customFormat="1" ht="15" customHeight="1">
      <c r="A337" s="32">
        <v>1</v>
      </c>
      <c r="B337" s="90"/>
      <c r="C337" s="90"/>
      <c r="D337" s="128"/>
      <c r="E337" s="30"/>
      <c r="F337" s="30"/>
      <c r="G337" s="48" t="s">
        <v>198</v>
      </c>
      <c r="H337" s="53">
        <f>SUM(H334:H336)</f>
        <v>833.2</v>
      </c>
      <c r="I337" s="53">
        <f>SUM(I334:I336)</f>
        <v>3234.1</v>
      </c>
      <c r="J337" s="53">
        <f>SUM(J334:J336)</f>
        <v>3436.4</v>
      </c>
      <c r="K337" s="53">
        <f>SUM(K334:K336)</f>
        <v>3441.4</v>
      </c>
      <c r="L337" s="21"/>
      <c r="M337" s="75"/>
      <c r="N337" s="764"/>
      <c r="O337" s="178"/>
      <c r="P337" s="954"/>
    </row>
    <row r="338" spans="1:16" s="26" customFormat="1" ht="15" customHeight="1">
      <c r="A338" s="32">
        <v>1</v>
      </c>
      <c r="B338" s="90"/>
      <c r="C338" s="90" t="s">
        <v>406</v>
      </c>
      <c r="D338" s="1132" t="s">
        <v>407</v>
      </c>
      <c r="E338" s="30" t="s">
        <v>122</v>
      </c>
      <c r="F338" s="30" t="s">
        <v>408</v>
      </c>
      <c r="G338" s="75" t="s">
        <v>193</v>
      </c>
      <c r="H338" s="43">
        <v>202.9</v>
      </c>
      <c r="I338" s="44"/>
      <c r="J338" s="43"/>
      <c r="K338" s="43"/>
      <c r="L338" s="21" t="s">
        <v>385</v>
      </c>
      <c r="M338" s="930"/>
      <c r="N338" s="928"/>
      <c r="O338" s="178"/>
      <c r="P338" s="954" t="s">
        <v>386</v>
      </c>
    </row>
    <row r="339" spans="1:16" s="26" customFormat="1" ht="15" customHeight="1">
      <c r="A339" s="32">
        <v>1</v>
      </c>
      <c r="B339" s="90"/>
      <c r="C339" s="90" t="s">
        <v>406</v>
      </c>
      <c r="D339" s="1134"/>
      <c r="E339" s="30" t="s">
        <v>409</v>
      </c>
      <c r="F339" s="30" t="s">
        <v>408</v>
      </c>
      <c r="G339" s="75" t="s">
        <v>193</v>
      </c>
      <c r="H339" s="43">
        <v>404.4</v>
      </c>
      <c r="I339" s="44">
        <v>40</v>
      </c>
      <c r="J339" s="43"/>
      <c r="K339" s="43"/>
      <c r="L339" s="21" t="s">
        <v>385</v>
      </c>
      <c r="M339" s="930" t="s">
        <v>2051</v>
      </c>
      <c r="N339" s="928" t="s">
        <v>2171</v>
      </c>
      <c r="O339" s="178">
        <v>100</v>
      </c>
      <c r="P339" s="954" t="s">
        <v>386</v>
      </c>
    </row>
    <row r="340" spans="1:16" s="26" customFormat="1" ht="15" customHeight="1">
      <c r="A340" s="32">
        <v>1</v>
      </c>
      <c r="B340" s="90"/>
      <c r="C340" s="90"/>
      <c r="D340" s="104"/>
      <c r="E340" s="46"/>
      <c r="F340" s="32"/>
      <c r="G340" s="48" t="s">
        <v>198</v>
      </c>
      <c r="H340" s="150">
        <f>SUM(H338:H339)</f>
        <v>607.29999999999995</v>
      </c>
      <c r="I340" s="150">
        <f t="shared" ref="I340:K340" si="55">SUM(I338:I339)</f>
        <v>40</v>
      </c>
      <c r="J340" s="150">
        <f t="shared" si="55"/>
        <v>0</v>
      </c>
      <c r="K340" s="150">
        <f t="shared" si="55"/>
        <v>0</v>
      </c>
      <c r="L340" s="21" t="s">
        <v>385</v>
      </c>
      <c r="M340" s="75"/>
      <c r="N340" s="764"/>
      <c r="O340" s="178"/>
      <c r="P340" s="954"/>
    </row>
    <row r="341" spans="1:16" s="26" customFormat="1" ht="15" customHeight="1">
      <c r="A341" s="32">
        <v>1</v>
      </c>
      <c r="B341" s="90"/>
      <c r="C341" s="90" t="s">
        <v>410</v>
      </c>
      <c r="D341" s="858" t="s">
        <v>411</v>
      </c>
      <c r="E341" s="46">
        <v>9</v>
      </c>
      <c r="F341" s="103" t="s">
        <v>384</v>
      </c>
      <c r="G341" s="105" t="s">
        <v>193</v>
      </c>
      <c r="H341" s="43">
        <v>92.6</v>
      </c>
      <c r="I341" s="44">
        <f>150</f>
        <v>150</v>
      </c>
      <c r="J341" s="42">
        <f>1150-1000</f>
        <v>150</v>
      </c>
      <c r="K341" s="43"/>
      <c r="L341" s="21" t="s">
        <v>385</v>
      </c>
      <c r="M341" s="930" t="s">
        <v>2217</v>
      </c>
      <c r="N341" s="928" t="s">
        <v>2204</v>
      </c>
      <c r="O341" s="178">
        <v>100</v>
      </c>
      <c r="P341" s="954" t="s">
        <v>275</v>
      </c>
    </row>
    <row r="342" spans="1:16" s="26" customFormat="1" ht="15" customHeight="1">
      <c r="A342" s="32">
        <v>1</v>
      </c>
      <c r="B342" s="90"/>
      <c r="C342" s="90"/>
      <c r="D342" s="104"/>
      <c r="E342" s="30" t="s">
        <v>100</v>
      </c>
      <c r="F342" s="103" t="s">
        <v>384</v>
      </c>
      <c r="G342" s="75" t="s">
        <v>193</v>
      </c>
      <c r="H342" s="109">
        <v>4.4000000000000004</v>
      </c>
      <c r="I342" s="108"/>
      <c r="J342" s="42">
        <v>150</v>
      </c>
      <c r="K342" s="42"/>
      <c r="L342" s="21" t="s">
        <v>385</v>
      </c>
      <c r="M342" s="75"/>
      <c r="N342" s="764"/>
      <c r="O342" s="178"/>
      <c r="P342" s="954" t="s">
        <v>275</v>
      </c>
    </row>
    <row r="343" spans="1:16" s="26" customFormat="1" ht="15" customHeight="1">
      <c r="A343" s="32">
        <v>1</v>
      </c>
      <c r="B343" s="90"/>
      <c r="C343" s="90"/>
      <c r="D343" s="104"/>
      <c r="E343" s="46">
        <v>9</v>
      </c>
      <c r="F343" s="103" t="s">
        <v>384</v>
      </c>
      <c r="G343" s="87" t="s">
        <v>381</v>
      </c>
      <c r="H343" s="107"/>
      <c r="I343" s="108"/>
      <c r="J343" s="42">
        <v>1000</v>
      </c>
      <c r="K343" s="43"/>
      <c r="L343" s="21" t="s">
        <v>385</v>
      </c>
      <c r="M343" s="75"/>
      <c r="N343" s="764"/>
      <c r="O343" s="178"/>
      <c r="P343" s="954" t="s">
        <v>275</v>
      </c>
    </row>
    <row r="344" spans="1:16" s="26" customFormat="1" ht="15" customHeight="1">
      <c r="A344" s="32">
        <v>1</v>
      </c>
      <c r="B344" s="90"/>
      <c r="C344" s="166"/>
      <c r="D344" s="167"/>
      <c r="E344" s="117"/>
      <c r="F344" s="168" t="s">
        <v>384</v>
      </c>
      <c r="G344" s="169" t="s">
        <v>198</v>
      </c>
      <c r="H344" s="150">
        <f>SUM(H341:H343)</f>
        <v>97</v>
      </c>
      <c r="I344" s="150">
        <f t="shared" ref="I344:K344" si="56">SUM(I341:I343)</f>
        <v>150</v>
      </c>
      <c r="J344" s="150">
        <f t="shared" si="56"/>
        <v>1300</v>
      </c>
      <c r="K344" s="150">
        <f t="shared" si="56"/>
        <v>0</v>
      </c>
      <c r="L344" s="21" t="s">
        <v>385</v>
      </c>
      <c r="M344" s="75"/>
      <c r="N344" s="764"/>
      <c r="O344" s="178"/>
      <c r="P344" s="954"/>
    </row>
    <row r="345" spans="1:16" s="26" customFormat="1" ht="20.25" customHeight="1">
      <c r="A345" s="32">
        <v>1</v>
      </c>
      <c r="B345" s="68"/>
      <c r="C345" s="90" t="s">
        <v>412</v>
      </c>
      <c r="D345" s="104" t="s">
        <v>413</v>
      </c>
      <c r="E345" s="46">
        <v>9</v>
      </c>
      <c r="F345" s="103" t="s">
        <v>414</v>
      </c>
      <c r="G345" s="75" t="s">
        <v>193</v>
      </c>
      <c r="H345" s="43"/>
      <c r="I345" s="44">
        <v>70</v>
      </c>
      <c r="J345" s="42"/>
      <c r="K345" s="42">
        <v>325</v>
      </c>
      <c r="L345" s="174" t="s">
        <v>398</v>
      </c>
      <c r="M345" s="930" t="s">
        <v>2216</v>
      </c>
      <c r="N345" s="928" t="s">
        <v>2207</v>
      </c>
      <c r="O345" s="178">
        <v>1</v>
      </c>
      <c r="P345" s="954" t="s">
        <v>415</v>
      </c>
    </row>
    <row r="346" spans="1:16" s="26" customFormat="1" ht="17.25" customHeight="1">
      <c r="A346" s="32">
        <v>1</v>
      </c>
      <c r="B346" s="68"/>
      <c r="C346" s="90" t="s">
        <v>412</v>
      </c>
      <c r="D346" s="104"/>
      <c r="E346" s="46">
        <v>9</v>
      </c>
      <c r="F346" s="103" t="s">
        <v>414</v>
      </c>
      <c r="G346" s="30" t="s">
        <v>267</v>
      </c>
      <c r="H346" s="43"/>
      <c r="I346" s="44"/>
      <c r="J346" s="42"/>
      <c r="K346" s="42">
        <v>325</v>
      </c>
      <c r="L346" s="174"/>
      <c r="M346" s="75"/>
      <c r="N346" s="764"/>
      <c r="O346" s="178"/>
      <c r="P346" s="954" t="s">
        <v>415</v>
      </c>
    </row>
    <row r="347" spans="1:16" s="26" customFormat="1" ht="27.6" customHeight="1">
      <c r="A347" s="32">
        <v>1</v>
      </c>
      <c r="B347" s="68"/>
      <c r="C347" s="90" t="s">
        <v>416</v>
      </c>
      <c r="D347" s="104" t="s">
        <v>417</v>
      </c>
      <c r="E347" s="46">
        <v>9</v>
      </c>
      <c r="F347" s="103" t="s">
        <v>418</v>
      </c>
      <c r="G347" s="30" t="s">
        <v>193</v>
      </c>
      <c r="H347" s="43"/>
      <c r="I347" s="44">
        <f>50-40</f>
        <v>10</v>
      </c>
      <c r="J347" s="42">
        <v>70</v>
      </c>
      <c r="K347" s="42"/>
      <c r="L347" s="174" t="s">
        <v>398</v>
      </c>
      <c r="M347" s="930" t="s">
        <v>2115</v>
      </c>
      <c r="N347" s="928" t="s">
        <v>2208</v>
      </c>
      <c r="O347" s="178">
        <v>20</v>
      </c>
      <c r="P347" s="954" t="s">
        <v>419</v>
      </c>
    </row>
    <row r="348" spans="1:16" s="26" customFormat="1" ht="26.25" customHeight="1">
      <c r="A348" s="32">
        <v>1</v>
      </c>
      <c r="B348" s="68"/>
      <c r="C348" s="90" t="s">
        <v>420</v>
      </c>
      <c r="D348" s="104" t="s">
        <v>421</v>
      </c>
      <c r="E348" s="46">
        <v>9</v>
      </c>
      <c r="F348" s="103" t="s">
        <v>422</v>
      </c>
      <c r="G348" s="30" t="s">
        <v>193</v>
      </c>
      <c r="H348" s="43"/>
      <c r="I348" s="44">
        <f>70-70</f>
        <v>0</v>
      </c>
      <c r="J348" s="42">
        <v>40</v>
      </c>
      <c r="K348" s="42"/>
      <c r="L348" s="174" t="s">
        <v>398</v>
      </c>
      <c r="M348" s="75"/>
      <c r="N348" s="764"/>
      <c r="O348" s="178"/>
      <c r="P348" s="954" t="s">
        <v>419</v>
      </c>
    </row>
    <row r="349" spans="1:16" s="26" customFormat="1" ht="22.15" customHeight="1">
      <c r="A349" s="32">
        <v>1</v>
      </c>
      <c r="B349" s="90"/>
      <c r="C349" s="90" t="s">
        <v>423</v>
      </c>
      <c r="D349" s="104" t="s">
        <v>424</v>
      </c>
      <c r="E349" s="46">
        <v>9</v>
      </c>
      <c r="F349" s="103" t="s">
        <v>425</v>
      </c>
      <c r="G349" s="30" t="s">
        <v>193</v>
      </c>
      <c r="H349" s="43"/>
      <c r="I349" s="44"/>
      <c r="J349" s="42"/>
      <c r="K349" s="42">
        <v>80</v>
      </c>
      <c r="L349" s="174" t="s">
        <v>385</v>
      </c>
      <c r="M349" s="930"/>
      <c r="N349" s="928"/>
      <c r="O349" s="178"/>
      <c r="P349" s="954" t="s">
        <v>275</v>
      </c>
    </row>
    <row r="350" spans="1:16" s="26" customFormat="1" ht="18" customHeight="1">
      <c r="A350" s="32">
        <v>1</v>
      </c>
      <c r="B350" s="90"/>
      <c r="C350" s="90" t="s">
        <v>426</v>
      </c>
      <c r="D350" s="68" t="s">
        <v>427</v>
      </c>
      <c r="E350" s="46">
        <v>9</v>
      </c>
      <c r="F350" s="103" t="s">
        <v>428</v>
      </c>
      <c r="G350" s="30" t="s">
        <v>193</v>
      </c>
      <c r="H350" s="68"/>
      <c r="I350" s="44"/>
      <c r="J350" s="42">
        <v>10</v>
      </c>
      <c r="K350" s="42">
        <v>70</v>
      </c>
      <c r="L350" s="174" t="s">
        <v>398</v>
      </c>
      <c r="M350" s="75"/>
      <c r="N350" s="764"/>
      <c r="O350" s="178"/>
      <c r="P350" s="961" t="s">
        <v>429</v>
      </c>
    </row>
    <row r="351" spans="1:16" s="26" customFormat="1" ht="25.5" customHeight="1">
      <c r="A351" s="32">
        <v>1</v>
      </c>
      <c r="B351" s="90"/>
      <c r="C351" s="90" t="s">
        <v>430</v>
      </c>
      <c r="D351" s="68" t="s">
        <v>431</v>
      </c>
      <c r="E351" s="46">
        <v>9</v>
      </c>
      <c r="F351" s="103" t="s">
        <v>432</v>
      </c>
      <c r="G351" s="30" t="s">
        <v>193</v>
      </c>
      <c r="H351" s="68"/>
      <c r="I351" s="44">
        <v>60</v>
      </c>
      <c r="J351" s="42">
        <v>20</v>
      </c>
      <c r="K351" s="557">
        <v>250</v>
      </c>
      <c r="L351" s="174" t="s">
        <v>398</v>
      </c>
      <c r="M351" s="930" t="s">
        <v>2115</v>
      </c>
      <c r="N351" s="928" t="s">
        <v>2208</v>
      </c>
      <c r="O351" s="178">
        <v>30</v>
      </c>
      <c r="P351" s="961" t="s">
        <v>429</v>
      </c>
    </row>
    <row r="352" spans="1:16" s="26" customFormat="1" ht="19.149999999999999" customHeight="1">
      <c r="A352" s="32">
        <v>1</v>
      </c>
      <c r="B352" s="90"/>
      <c r="C352" s="90" t="s">
        <v>430</v>
      </c>
      <c r="D352" s="68"/>
      <c r="E352" s="46">
        <v>9</v>
      </c>
      <c r="F352" s="103" t="s">
        <v>432</v>
      </c>
      <c r="G352" s="30" t="s">
        <v>267</v>
      </c>
      <c r="H352" s="68"/>
      <c r="I352" s="44"/>
      <c r="J352" s="42"/>
      <c r="K352" s="557">
        <v>250</v>
      </c>
      <c r="L352" s="174"/>
      <c r="M352" s="75"/>
      <c r="N352" s="764"/>
      <c r="O352" s="178"/>
      <c r="P352" s="961" t="s">
        <v>429</v>
      </c>
    </row>
    <row r="353" spans="1:16" s="26" customFormat="1" ht="27.6" customHeight="1">
      <c r="A353" s="32">
        <v>1</v>
      </c>
      <c r="B353" s="90"/>
      <c r="C353" s="90" t="s">
        <v>433</v>
      </c>
      <c r="D353" s="104" t="s">
        <v>434</v>
      </c>
      <c r="E353" s="46">
        <v>9</v>
      </c>
      <c r="F353" s="103" t="s">
        <v>435</v>
      </c>
      <c r="G353" s="30" t="s">
        <v>193</v>
      </c>
      <c r="H353" s="43"/>
      <c r="I353" s="44"/>
      <c r="J353" s="42"/>
      <c r="K353" s="42">
        <f>70-60</f>
        <v>10</v>
      </c>
      <c r="L353" s="174" t="s">
        <v>398</v>
      </c>
      <c r="M353" s="75"/>
      <c r="N353" s="764"/>
      <c r="O353" s="178"/>
      <c r="P353" s="954" t="s">
        <v>429</v>
      </c>
    </row>
    <row r="354" spans="1:16" s="26" customFormat="1" ht="22.5">
      <c r="A354" s="32">
        <v>1</v>
      </c>
      <c r="B354" s="90"/>
      <c r="C354" s="90" t="s">
        <v>436</v>
      </c>
      <c r="D354" s="63" t="s">
        <v>437</v>
      </c>
      <c r="E354" s="46">
        <v>9</v>
      </c>
      <c r="F354" s="103" t="s">
        <v>438</v>
      </c>
      <c r="G354" s="30" t="s">
        <v>193</v>
      </c>
      <c r="H354" s="68"/>
      <c r="I354" s="44"/>
      <c r="J354" s="42">
        <v>10</v>
      </c>
      <c r="K354" s="42">
        <v>70</v>
      </c>
      <c r="L354" s="174" t="s">
        <v>398</v>
      </c>
      <c r="M354" s="75"/>
      <c r="N354" s="764"/>
      <c r="O354" s="178"/>
      <c r="P354" s="961" t="s">
        <v>392</v>
      </c>
    </row>
    <row r="355" spans="1:16" s="26" customFormat="1" ht="33.75">
      <c r="A355" s="32">
        <v>1</v>
      </c>
      <c r="B355" s="90"/>
      <c r="C355" s="90" t="s">
        <v>439</v>
      </c>
      <c r="D355" s="859" t="s">
        <v>440</v>
      </c>
      <c r="E355" s="30">
        <v>9</v>
      </c>
      <c r="F355" s="103" t="s">
        <v>441</v>
      </c>
      <c r="G355" s="30" t="s">
        <v>193</v>
      </c>
      <c r="H355" s="43"/>
      <c r="I355" s="44">
        <f>30-15-15</f>
        <v>0</v>
      </c>
      <c r="J355" s="43"/>
      <c r="K355" s="43"/>
      <c r="L355" s="174" t="s">
        <v>398</v>
      </c>
      <c r="M355" s="930" t="s">
        <v>2115</v>
      </c>
      <c r="N355" s="928" t="s">
        <v>2211</v>
      </c>
      <c r="O355" s="178">
        <v>1</v>
      </c>
      <c r="P355" s="954" t="s">
        <v>392</v>
      </c>
    </row>
    <row r="356" spans="1:16" s="26" customFormat="1" ht="33.75">
      <c r="A356" s="32">
        <v>1</v>
      </c>
      <c r="B356" s="90"/>
      <c r="C356" s="90" t="s">
        <v>442</v>
      </c>
      <c r="D356" s="923" t="s">
        <v>443</v>
      </c>
      <c r="E356" s="30">
        <v>9</v>
      </c>
      <c r="F356" s="103" t="s">
        <v>441</v>
      </c>
      <c r="G356" s="75" t="s">
        <v>193</v>
      </c>
      <c r="H356" s="43"/>
      <c r="I356" s="44">
        <f>30-15-15</f>
        <v>0</v>
      </c>
      <c r="J356" s="43"/>
      <c r="K356" s="43"/>
      <c r="L356" s="174" t="s">
        <v>398</v>
      </c>
      <c r="M356" s="930" t="s">
        <v>2115</v>
      </c>
      <c r="N356" s="928" t="s">
        <v>2211</v>
      </c>
      <c r="O356" s="178">
        <v>1</v>
      </c>
      <c r="P356" s="954" t="s">
        <v>429</v>
      </c>
    </row>
    <row r="357" spans="1:16" s="26" customFormat="1" ht="22.5">
      <c r="A357" s="32">
        <v>1</v>
      </c>
      <c r="B357" s="90"/>
      <c r="C357" s="90" t="s">
        <v>444</v>
      </c>
      <c r="D357" s="924" t="s">
        <v>445</v>
      </c>
      <c r="E357" s="30">
        <v>9</v>
      </c>
      <c r="F357" s="103" t="s">
        <v>441</v>
      </c>
      <c r="G357" s="75" t="s">
        <v>193</v>
      </c>
      <c r="H357" s="43"/>
      <c r="I357" s="44">
        <f>20-10+30</f>
        <v>40</v>
      </c>
      <c r="J357" s="43"/>
      <c r="K357" s="43"/>
      <c r="L357" s="174" t="s">
        <v>398</v>
      </c>
      <c r="M357" s="930" t="s">
        <v>2115</v>
      </c>
      <c r="N357" s="928" t="s">
        <v>2211</v>
      </c>
      <c r="O357" s="178">
        <v>1</v>
      </c>
      <c r="P357" s="954" t="s">
        <v>275</v>
      </c>
    </row>
    <row r="358" spans="1:16" s="26" customFormat="1" ht="11.25">
      <c r="A358" s="32">
        <v>1</v>
      </c>
      <c r="B358" s="90"/>
      <c r="C358" s="90"/>
      <c r="D358" s="860"/>
      <c r="E358" s="75"/>
      <c r="F358" s="103"/>
      <c r="G358" s="48" t="s">
        <v>198</v>
      </c>
      <c r="H358" s="53">
        <f>SUM(H345:H357)</f>
        <v>0</v>
      </c>
      <c r="I358" s="53">
        <f t="shared" ref="I358:K358" si="57">SUM(I345:I357)</f>
        <v>180</v>
      </c>
      <c r="J358" s="53">
        <f t="shared" si="57"/>
        <v>150</v>
      </c>
      <c r="K358" s="53">
        <f t="shared" si="57"/>
        <v>1380</v>
      </c>
      <c r="L358" s="174"/>
      <c r="M358" s="75"/>
      <c r="N358" s="764"/>
      <c r="O358" s="178"/>
      <c r="P358" s="954"/>
    </row>
    <row r="359" spans="1:16" s="26" customFormat="1" ht="22.5">
      <c r="A359" s="32">
        <v>1</v>
      </c>
      <c r="B359" s="90"/>
      <c r="C359" s="90" t="s">
        <v>446</v>
      </c>
      <c r="D359" s="104" t="s">
        <v>447</v>
      </c>
      <c r="E359" s="46">
        <v>9</v>
      </c>
      <c r="F359" s="103" t="s">
        <v>384</v>
      </c>
      <c r="G359" s="43" t="s">
        <v>193</v>
      </c>
      <c r="H359" s="43">
        <v>388</v>
      </c>
      <c r="I359" s="44">
        <v>65</v>
      </c>
      <c r="J359" s="42"/>
      <c r="K359" s="42"/>
      <c r="L359" s="174" t="s">
        <v>268</v>
      </c>
      <c r="M359" s="930" t="s">
        <v>2220</v>
      </c>
      <c r="N359" s="928" t="s">
        <v>2212</v>
      </c>
      <c r="O359" s="178">
        <v>1</v>
      </c>
      <c r="P359" s="954" t="s">
        <v>275</v>
      </c>
    </row>
    <row r="360" spans="1:16" s="26" customFormat="1" ht="11.25">
      <c r="A360" s="32">
        <v>1</v>
      </c>
      <c r="B360" s="90"/>
      <c r="C360" s="90"/>
      <c r="D360" s="104"/>
      <c r="E360" s="46">
        <v>9</v>
      </c>
      <c r="F360" s="103" t="s">
        <v>384</v>
      </c>
      <c r="G360" s="43" t="s">
        <v>195</v>
      </c>
      <c r="H360" s="43">
        <v>270</v>
      </c>
      <c r="I360" s="44">
        <v>80</v>
      </c>
      <c r="J360" s="42"/>
      <c r="K360" s="42"/>
      <c r="L360" s="174"/>
      <c r="M360" s="75"/>
      <c r="N360" s="764"/>
      <c r="O360" s="178"/>
      <c r="P360" s="954" t="s">
        <v>275</v>
      </c>
    </row>
    <row r="361" spans="1:16" s="26" customFormat="1" ht="11.25">
      <c r="A361" s="32">
        <v>1</v>
      </c>
      <c r="B361" s="90"/>
      <c r="C361" s="90"/>
      <c r="D361" s="104"/>
      <c r="E361" s="46">
        <v>9</v>
      </c>
      <c r="F361" s="103" t="s">
        <v>384</v>
      </c>
      <c r="G361" s="43" t="s">
        <v>379</v>
      </c>
      <c r="H361" s="43">
        <v>146.80000000000001</v>
      </c>
      <c r="I361" s="44">
        <v>1.1000000000000001</v>
      </c>
      <c r="J361" s="42"/>
      <c r="K361" s="42"/>
      <c r="L361" s="174"/>
      <c r="M361" s="75"/>
      <c r="N361" s="764"/>
      <c r="O361" s="178"/>
      <c r="P361" s="954" t="s">
        <v>275</v>
      </c>
    </row>
    <row r="362" spans="1:16" s="26" customFormat="1" ht="11.25">
      <c r="A362" s="32">
        <v>1</v>
      </c>
      <c r="B362" s="90"/>
      <c r="C362" s="90"/>
      <c r="D362" s="104"/>
      <c r="E362" s="46">
        <v>9</v>
      </c>
      <c r="F362" s="103" t="s">
        <v>384</v>
      </c>
      <c r="G362" s="48" t="s">
        <v>198</v>
      </c>
      <c r="H362" s="150">
        <f t="shared" ref="H362:K362" si="58">SUM(H359:H361)</f>
        <v>804.8</v>
      </c>
      <c r="I362" s="150">
        <f t="shared" si="58"/>
        <v>146.1</v>
      </c>
      <c r="J362" s="150">
        <f t="shared" si="58"/>
        <v>0</v>
      </c>
      <c r="K362" s="150">
        <f t="shared" si="58"/>
        <v>0</v>
      </c>
      <c r="L362" s="174"/>
      <c r="M362" s="75"/>
      <c r="N362" s="764"/>
      <c r="O362" s="178"/>
      <c r="P362" s="954"/>
    </row>
    <row r="363" spans="1:16" s="26" customFormat="1" ht="33.75">
      <c r="A363" s="32">
        <v>1</v>
      </c>
      <c r="B363" s="90"/>
      <c r="C363" s="90" t="s">
        <v>448</v>
      </c>
      <c r="D363" s="51" t="s">
        <v>449</v>
      </c>
      <c r="E363" s="30">
        <v>2</v>
      </c>
      <c r="F363" s="30" t="s">
        <v>450</v>
      </c>
      <c r="G363" s="756" t="s">
        <v>193</v>
      </c>
      <c r="H363" s="113">
        <f>50-50</f>
        <v>0</v>
      </c>
      <c r="I363" s="147">
        <f>50-50</f>
        <v>0</v>
      </c>
      <c r="J363" s="113">
        <v>50</v>
      </c>
      <c r="K363" s="526">
        <f>500-250</f>
        <v>250</v>
      </c>
      <c r="L363" s="758" t="s">
        <v>398</v>
      </c>
      <c r="M363" s="930" t="s">
        <v>2213</v>
      </c>
      <c r="N363" s="928" t="s">
        <v>2214</v>
      </c>
      <c r="O363" s="178">
        <v>30</v>
      </c>
      <c r="P363" s="962" t="s">
        <v>275</v>
      </c>
    </row>
    <row r="364" spans="1:16" s="26" customFormat="1" ht="11.25">
      <c r="A364" s="32">
        <v>1</v>
      </c>
      <c r="B364" s="90"/>
      <c r="C364" s="90"/>
      <c r="D364" s="51"/>
      <c r="E364" s="30">
        <v>2</v>
      </c>
      <c r="F364" s="30" t="s">
        <v>450</v>
      </c>
      <c r="G364" s="767" t="s">
        <v>195</v>
      </c>
      <c r="H364" s="113"/>
      <c r="I364" s="147"/>
      <c r="J364" s="113"/>
      <c r="K364" s="526">
        <v>250</v>
      </c>
      <c r="L364" s="758"/>
      <c r="M364" s="75"/>
      <c r="N364" s="764"/>
      <c r="O364" s="178"/>
      <c r="P364" s="962" t="s">
        <v>275</v>
      </c>
    </row>
    <row r="365" spans="1:16" s="26" customFormat="1" ht="11.25">
      <c r="A365" s="32">
        <v>1</v>
      </c>
      <c r="B365" s="90"/>
      <c r="C365" s="90"/>
      <c r="D365" s="51"/>
      <c r="E365" s="30"/>
      <c r="F365" s="30"/>
      <c r="G365" s="757" t="s">
        <v>198</v>
      </c>
      <c r="H365" s="148">
        <f>SUM(H363:H364)</f>
        <v>0</v>
      </c>
      <c r="I365" s="148">
        <f t="shared" ref="I365:K365" si="59">SUM(I363:I364)</f>
        <v>0</v>
      </c>
      <c r="J365" s="148">
        <f t="shared" si="59"/>
        <v>50</v>
      </c>
      <c r="K365" s="148">
        <f t="shared" si="59"/>
        <v>500</v>
      </c>
      <c r="L365" s="758"/>
      <c r="M365" s="75"/>
      <c r="N365" s="764"/>
      <c r="O365" s="178"/>
      <c r="P365" s="962"/>
    </row>
    <row r="366" spans="1:16" s="26" customFormat="1" ht="16.5" customHeight="1">
      <c r="A366" s="32">
        <v>1</v>
      </c>
      <c r="B366" s="90"/>
      <c r="C366" s="90" t="s">
        <v>451</v>
      </c>
      <c r="D366" s="116" t="s">
        <v>452</v>
      </c>
      <c r="E366" s="46">
        <v>9</v>
      </c>
      <c r="F366" s="32" t="s">
        <v>453</v>
      </c>
      <c r="G366" s="30"/>
      <c r="H366" s="165"/>
      <c r="I366" s="759"/>
      <c r="J366" s="408"/>
      <c r="K366" s="408"/>
      <c r="L366" s="174"/>
      <c r="M366" s="75"/>
      <c r="N366" s="764"/>
      <c r="O366" s="178"/>
      <c r="P366" s="954"/>
    </row>
    <row r="367" spans="1:16" s="26" customFormat="1" ht="21.6" customHeight="1">
      <c r="A367" s="32">
        <v>1</v>
      </c>
      <c r="B367" s="90"/>
      <c r="C367" s="90"/>
      <c r="D367" s="119" t="s">
        <v>454</v>
      </c>
      <c r="E367" s="46">
        <v>9</v>
      </c>
      <c r="F367" s="32" t="s">
        <v>453</v>
      </c>
      <c r="G367" s="75" t="s">
        <v>193</v>
      </c>
      <c r="H367" s="43"/>
      <c r="I367" s="89">
        <f>100-80</f>
        <v>20</v>
      </c>
      <c r="J367" s="42">
        <f>125+60</f>
        <v>185</v>
      </c>
      <c r="K367" s="42">
        <v>125</v>
      </c>
      <c r="L367" s="174" t="s">
        <v>398</v>
      </c>
      <c r="M367" s="930" t="s">
        <v>2115</v>
      </c>
      <c r="N367" s="928" t="s">
        <v>2208</v>
      </c>
      <c r="O367" s="178">
        <v>30</v>
      </c>
      <c r="P367" s="954" t="s">
        <v>389</v>
      </c>
    </row>
    <row r="368" spans="1:16" s="26" customFormat="1" ht="11.25" customHeight="1">
      <c r="A368" s="32">
        <v>1</v>
      </c>
      <c r="B368" s="90"/>
      <c r="C368" s="90"/>
      <c r="D368" s="119"/>
      <c r="E368" s="46">
        <v>9</v>
      </c>
      <c r="F368" s="32" t="s">
        <v>453</v>
      </c>
      <c r="G368" s="767" t="s">
        <v>195</v>
      </c>
      <c r="H368" s="43"/>
      <c r="I368" s="89"/>
      <c r="J368" s="42">
        <v>125</v>
      </c>
      <c r="K368" s="42">
        <v>125</v>
      </c>
      <c r="L368" s="174"/>
      <c r="M368" s="75"/>
      <c r="N368" s="764"/>
      <c r="O368" s="178"/>
      <c r="P368" s="954" t="s">
        <v>389</v>
      </c>
    </row>
    <row r="369" spans="1:16" s="26" customFormat="1" ht="11.25">
      <c r="A369" s="32">
        <v>1</v>
      </c>
      <c r="B369" s="90"/>
      <c r="C369" s="90"/>
      <c r="D369" s="119" t="s">
        <v>455</v>
      </c>
      <c r="E369" s="46">
        <v>9</v>
      </c>
      <c r="F369" s="32" t="s">
        <v>453</v>
      </c>
      <c r="G369" s="75" t="s">
        <v>193</v>
      </c>
      <c r="H369" s="43"/>
      <c r="I369" s="89"/>
      <c r="J369" s="42">
        <v>20</v>
      </c>
      <c r="K369" s="42">
        <f>125+60</f>
        <v>185</v>
      </c>
      <c r="L369" s="174" t="s">
        <v>398</v>
      </c>
      <c r="M369" s="930" t="s">
        <v>2115</v>
      </c>
      <c r="N369" s="928" t="s">
        <v>2208</v>
      </c>
      <c r="O369" s="178">
        <v>20</v>
      </c>
      <c r="P369" s="954" t="s">
        <v>419</v>
      </c>
    </row>
    <row r="370" spans="1:16" s="26" customFormat="1" ht="11.25">
      <c r="A370" s="32">
        <v>1</v>
      </c>
      <c r="B370" s="90"/>
      <c r="C370" s="90"/>
      <c r="D370" s="119"/>
      <c r="E370" s="46">
        <v>9</v>
      </c>
      <c r="F370" s="32" t="s">
        <v>453</v>
      </c>
      <c r="G370" s="767" t="s">
        <v>195</v>
      </c>
      <c r="H370" s="43"/>
      <c r="I370" s="89"/>
      <c r="J370" s="42"/>
      <c r="K370" s="42">
        <v>125</v>
      </c>
      <c r="L370" s="174"/>
      <c r="M370" s="75"/>
      <c r="N370" s="764"/>
      <c r="O370" s="178"/>
      <c r="P370" s="954" t="s">
        <v>419</v>
      </c>
    </row>
    <row r="371" spans="1:16" s="26" customFormat="1" ht="12.6" customHeight="1">
      <c r="A371" s="32">
        <v>1</v>
      </c>
      <c r="B371" s="90"/>
      <c r="C371" s="90"/>
      <c r="D371" s="119" t="s">
        <v>456</v>
      </c>
      <c r="E371" s="46">
        <v>9</v>
      </c>
      <c r="F371" s="32" t="s">
        <v>453</v>
      </c>
      <c r="G371" s="75" t="s">
        <v>193</v>
      </c>
      <c r="H371" s="43"/>
      <c r="I371" s="89"/>
      <c r="J371" s="68"/>
      <c r="K371" s="42">
        <v>20</v>
      </c>
      <c r="L371" s="174" t="s">
        <v>398</v>
      </c>
      <c r="M371" s="75"/>
      <c r="N371" s="764"/>
      <c r="O371" s="178"/>
      <c r="P371" s="954" t="s">
        <v>429</v>
      </c>
    </row>
    <row r="372" spans="1:16" s="26" customFormat="1" ht="12.6" customHeight="1">
      <c r="A372" s="32">
        <v>1</v>
      </c>
      <c r="B372" s="90"/>
      <c r="C372" s="90"/>
      <c r="D372" s="119" t="s">
        <v>457</v>
      </c>
      <c r="E372" s="46">
        <v>9</v>
      </c>
      <c r="F372" s="32" t="s">
        <v>453</v>
      </c>
      <c r="G372" s="75" t="s">
        <v>193</v>
      </c>
      <c r="H372" s="43"/>
      <c r="I372" s="89"/>
      <c r="J372" s="42"/>
      <c r="K372" s="42">
        <v>20</v>
      </c>
      <c r="L372" s="174" t="s">
        <v>398</v>
      </c>
      <c r="M372" s="75"/>
      <c r="N372" s="764"/>
      <c r="O372" s="178"/>
      <c r="P372" s="954" t="s">
        <v>458</v>
      </c>
    </row>
    <row r="373" spans="1:16" s="26" customFormat="1" ht="12.6" customHeight="1">
      <c r="A373" s="32">
        <v>1</v>
      </c>
      <c r="B373" s="90"/>
      <c r="C373" s="170"/>
      <c r="E373" s="171"/>
      <c r="F373" s="172"/>
      <c r="G373" s="173" t="s">
        <v>198</v>
      </c>
      <c r="H373" s="114">
        <f>SUM(H367:H372)</f>
        <v>0</v>
      </c>
      <c r="I373" s="114">
        <f t="shared" ref="I373:K373" si="60">SUM(I367:I372)</f>
        <v>20</v>
      </c>
      <c r="J373" s="114">
        <f t="shared" si="60"/>
        <v>330</v>
      </c>
      <c r="K373" s="114">
        <f t="shared" si="60"/>
        <v>600</v>
      </c>
      <c r="L373" s="174"/>
      <c r="M373" s="30"/>
      <c r="N373" s="29"/>
      <c r="O373" s="174"/>
      <c r="P373" s="954"/>
    </row>
    <row r="374" spans="1:16" s="26" customFormat="1" ht="12.6" customHeight="1">
      <c r="A374" s="32">
        <v>1</v>
      </c>
      <c r="B374" s="90"/>
      <c r="C374" s="90"/>
      <c r="D374" s="104"/>
      <c r="E374" s="140"/>
      <c r="F374" s="32"/>
      <c r="G374" s="120" t="s">
        <v>459</v>
      </c>
      <c r="H374" s="120">
        <f>SUM(H324,H340,H344,H320,H315,H329,H362,H309,H297,H270,H265,H263,H257,H249,H246,H242,H240,H238,H235,H230,H225,H221,H192,H188,H186,H182,H178,H171,H167,H200,H158,H150,H142,H134,H126,H118,H110,H102,H94,H87,H79,H71,H63,H55,H47,H39,H31,H23,H15,H195,H165,H202,H373,H206,H209,H333,H213,H365,H358,H337)</f>
        <v>72400.800000000003</v>
      </c>
      <c r="I374" s="120">
        <f>SUM(I324,I340,I344,I320,I315,I329,I362,I309,I297,I270,I265,I263,I257,I249,I246,I242,I240,I238,I235,I230,I225,I221,I192,I188,I186,I182,I178,I171,I167,I200,I158,I150,I142,I134,I126,I118,I110,I102,I94,I87,I79,I71,I63,I55,I47,I39,I31,I23,I15,I195,I165,I202,I373,I206,I209,I333,I213,I365,I358,I337)</f>
        <v>91958.5</v>
      </c>
      <c r="J374" s="120">
        <f>SUM(J324,J340,J344,J320,J315,J329,J362,J309,J297,J270,J265,J263,J257,J249,J246,J242,J240,J238,J235,J230,J225,J221,J192,J188,J186,J182,J178,J171,J167,J200,J158,J150,J142,J134,J126,J118,J110,J102,J94,J87,J79,J71,J63,J55,J47,J39,J31,J23,J15,J195,J165,J202,J373,J206,J209,J333,J213,J365,J358,J337)</f>
        <v>101567.7</v>
      </c>
      <c r="K374" s="120">
        <f>SUM(K324,K340,K344,K320,K315,K329,K362,K309,K297,K270,K265,K263,K257,K249,K246,K242,K240,K238,K235,K230,K225,K221,K192,K188,K186,K182,K178,K171,K167,K200,K158,K150,K142,K134,K126,K118,K110,K102,K94,K87,K79,K71,K63,K55,K47,K39,K31,K23,K15,K195,K165,K202,K373,K206,K209,K333,K213,K365,K358,K337)</f>
        <v>95980.9</v>
      </c>
      <c r="L374" s="174"/>
      <c r="M374" s="30"/>
      <c r="N374" s="29"/>
      <c r="O374" s="174"/>
      <c r="P374" s="954"/>
    </row>
    <row r="375" spans="1:16" s="26" customFormat="1" ht="12.6" customHeight="1">
      <c r="A375" s="32">
        <v>1</v>
      </c>
      <c r="B375" s="90"/>
      <c r="C375" s="90"/>
      <c r="D375" s="104"/>
      <c r="E375" s="46"/>
      <c r="F375" s="118"/>
      <c r="G375" s="75" t="s">
        <v>193</v>
      </c>
      <c r="H375" s="42">
        <f>SUM(H11,H19,H27,H35,H43,H51,H59,H67,H75,H83,H90,H98,H106,H114,H122,H130,H138,H146,H156,H166,H169,H172,H173,H174,H175,H176,H177,H180,H183,H187,H215,H223,H226,H231,H239,H241,H243,H247,H259,H264,H268,H272,H273,H274,H275,H276,H277,H278,H279,H280,H281,H282,H283,H284,H285,H286,H287,H288,H289,H290,H291,H292,H293,H294,H296,H306,H359,H325,H310,H316,H341,H349,H347,H353,H348,H345,H363,H338,H321,H342,H163,H201,H367,H371,H372,H237,H339,H203,H356,H355,H199,H330,H248,H210,H295,H357,H369,H319,H350,H354,H334,H314,H351,H336,H224)</f>
        <v>33560.1</v>
      </c>
      <c r="I375" s="42">
        <f>SUM(I11,I19,I27,I35,I43,I51,I59,I67,I75,I83,I90,I98,I106,I114,I122,I130,I138,I146,I156,I166,I169,I172,I173,I174,I175,I176,I177,I180,I183,I187,I215,I223,I226,I231,I239,I241,I243,I247,I259,I264,I268,I272,I273,I274,I275,I276,I277,I278,I279,I280,I281,I282,I283,I284,I285,I286,I287,I288,I289,I290,I291,I292,I293,I294,I296,I306,I359,I325,I310,I316,I341,I349,I347,I353,I348,I345,I363,I338,I321,I342,I163,I201,I367,I371,I372,I237,I339,I203,I356,I355,I199,I330,I248,I210,I295,I357,I369,I319,I350,I354,I334,I314,I351,I336,I224)</f>
        <v>39051.4</v>
      </c>
      <c r="J375" s="42">
        <f>SUM(J11,J19,J27,J35,J43,J51,J59,J67,J75,J83,J90,J98,J106,J114,J122,J130,J138,J146,J156,J166,J169,J172,J173,J174,J175,J176,J177,J180,J183,J187,J215,J223,J226,J231,J239,J241,J243,J247,J259,J264,J268,J272,J273,J274,J275,J276,J277,J278,J279,J280,J281,J282,J283,J284,J285,J286,J287,J288,J289,J290,J291,J292,J293,J294,J296,J306,J359,J325,J310,J316,J341,J349,J347,J353,J348,J345,J363,J338,J321,J342,J163,J201,J367,J371,J372,J237,J339,J203,J356,J355,J199,J330,J248,J210,J295,J357,J369,J319,J350,J354,J334,J314,J351,J336,J224)</f>
        <v>40387.500000000007</v>
      </c>
      <c r="K375" s="42">
        <f>SUM(K11,K19,K27,K35,K43,K51,K59,K67,K75,K83,K90,K98,K106,K114,K122,K130,K138,K146,K156,K166,K169,K172,K173,K174,K175,K176,K177,K180,K183,K187,K215,K223,K226,K231,K239,K241,K243,K247,K259,K264,K268,K272,K273,K274,K275,K276,K277,K278,K279,K280,K281,K282,K283,K284,K285,K286,K287,K288,K289,K290,K291,K292,K293,K294,K296,K306,K359,K325,K310,K316,K341,K349,K347,K353,K348,K345,K363,K338,K321,K342,K163,K201,K367,K371,K372,K237,K339,K203,K356,K355,K199,K330,K248,K210,K295,K357,K369,K319,K350,K354,K334,K314,K351,K336,K224)</f>
        <v>43700.2</v>
      </c>
      <c r="L375" s="174"/>
      <c r="M375" s="30"/>
      <c r="N375" s="29"/>
      <c r="O375" s="174"/>
      <c r="P375" s="954"/>
    </row>
    <row r="376" spans="1:16" s="26" customFormat="1" ht="12.6" customHeight="1">
      <c r="A376" s="32">
        <v>1</v>
      </c>
      <c r="B376" s="90"/>
      <c r="C376" s="90"/>
      <c r="D376" s="104"/>
      <c r="E376" s="117"/>
      <c r="F376" s="118"/>
      <c r="G376" s="30" t="s">
        <v>195</v>
      </c>
      <c r="H376" s="42">
        <f>SUM(H262,H236,H234,H229,H218,H191,H190,H189,H181,H198,H155,H147,H139,H131,H123,H115,H107,H99,H91,H84,H76,H68,H61,H52,H45,H36,H28,H21,H12,H360,H162,H251,H252,H253,H254,H255,H256,H269,H364,H368,H370)</f>
        <v>1537.1000000000001</v>
      </c>
      <c r="I376" s="42">
        <f>SUM(I262,I236,I234,I229,I218,I191,I190,I189,I181,I198,I155,I147,I139,I131,I123,I115,I107,I99,I91,I84,I76,I68,I61,I52,I45,I36,I28,I21,I12,I360,I162,I251,I252,I253,I254,I255,I256,I269,I364,I368,I370)</f>
        <v>1485.9000000000003</v>
      </c>
      <c r="J376" s="42">
        <f>SUM(J262,J236,J234,J229,J218,J191,J190,J189,J181,J198,J155,J147,J139,J131,J123,J115,J107,J99,J91,J84,J76,J68,J61,J52,J45,J36,J28,J21,J12,J360,J162,J251,J252,J253,J254,J255,J256,J269,J364,J368,J370)</f>
        <v>906.59999999999991</v>
      </c>
      <c r="K376" s="42">
        <f>SUM(K262,K236,K234,K229,K218,K191,K190,K189,K181,K198,K155,K147,K139,K131,K123,K115,K107,K99,K91,K84,K76,K68,K61,K52,K45,K36,K28,K21,K12,K360,K162,K251,K252,K253,K254,K255,K256,K269,K364,K368,K370)</f>
        <v>1281.5999999999999</v>
      </c>
      <c r="L376" s="174"/>
      <c r="M376" s="30"/>
      <c r="N376" s="29"/>
      <c r="O376" s="174"/>
      <c r="P376" s="954"/>
    </row>
    <row r="377" spans="1:16" s="26" customFormat="1" ht="12.6" customHeight="1">
      <c r="A377" s="32">
        <v>1</v>
      </c>
      <c r="B377" s="90"/>
      <c r="C377" s="90"/>
      <c r="D377" s="104"/>
      <c r="E377" s="117"/>
      <c r="F377" s="118"/>
      <c r="G377" s="30" t="s">
        <v>267</v>
      </c>
      <c r="H377" s="42">
        <f>SUM(H323,H318,H313,H308,H250,H244,H168,H193,H204,H211,H208,H346,H352,H327)</f>
        <v>1903.1000000000001</v>
      </c>
      <c r="I377" s="42">
        <f>SUM(I323,I318,I313,I308,I250,I244,I168,I193,I204,I211,I208,I346,I352,I327)</f>
        <v>7783.6</v>
      </c>
      <c r="J377" s="42">
        <f>SUM(J323,J318,J313,J308,J250,J244,J168,J193,J204,J211,J208,J346,J352,J327)</f>
        <v>8232.7000000000007</v>
      </c>
      <c r="K377" s="42">
        <f>SUM(K323,K318,K313,K308,K250,K244,K168,K193,K204,K211,K208,K346,K352,K327)</f>
        <v>2237.4</v>
      </c>
      <c r="L377" s="174"/>
      <c r="M377" s="30"/>
      <c r="N377" s="29"/>
      <c r="O377" s="174"/>
      <c r="P377" s="954"/>
    </row>
    <row r="378" spans="1:16" s="26" customFormat="1" ht="12.6" customHeight="1">
      <c r="A378" s="32">
        <v>1</v>
      </c>
      <c r="B378" s="90"/>
      <c r="C378" s="90"/>
      <c r="D378" s="104"/>
      <c r="E378" s="117"/>
      <c r="F378" s="118"/>
      <c r="G378" s="30" t="s">
        <v>269</v>
      </c>
      <c r="H378" s="42">
        <f>SUM(H245,H170,H194,H205,H207,H212)</f>
        <v>151.5</v>
      </c>
      <c r="I378" s="42">
        <f>SUM(I245,I170,I194,I205,I207,I212)</f>
        <v>294.60000000000002</v>
      </c>
      <c r="J378" s="42">
        <f>SUM(J245,J170,J194,J205,J207,J212)</f>
        <v>38</v>
      </c>
      <c r="K378" s="42">
        <f>SUM(K245,K170,K194,K205,K207,K212)</f>
        <v>0</v>
      </c>
      <c r="L378" s="174"/>
      <c r="M378" s="30"/>
      <c r="N378" s="29"/>
      <c r="O378" s="174"/>
      <c r="P378" s="954"/>
    </row>
    <row r="379" spans="1:16" s="26" customFormat="1" ht="12.6" customHeight="1">
      <c r="A379" s="32">
        <v>1</v>
      </c>
      <c r="B379" s="90"/>
      <c r="C379" s="90"/>
      <c r="D379" s="104"/>
      <c r="E379" s="117"/>
      <c r="F379" s="118"/>
      <c r="G379" s="30" t="s">
        <v>190</v>
      </c>
      <c r="H379" s="43">
        <f>SUM(H232,H227,H219,H179,H196,H151,H143,H135,H127,H119,H111,H103,H95,H88,H80,H72,H64,H56,H48,H40,H32,H24,H16,H8,H159)</f>
        <v>32336.900000000005</v>
      </c>
      <c r="I379" s="43">
        <f>SUM(I232,I227,I219,I179,I196,I151,I143,I135,I127,I119,I111,I103,I95,I88,I80,I72,I64,I56,I48,I40,I32,I24,I16,I8,I159)</f>
        <v>38347.800000000003</v>
      </c>
      <c r="J379" s="43">
        <f>SUM(J232,J227,J219,J179,J196,J151,J143,J135,J127,J119,J111,J103,J95,J88,J80,J72,J64,J56,J48,J40,J32,J24,J16,J8,J159)</f>
        <v>41415.599999999999</v>
      </c>
      <c r="K379" s="43">
        <f>SUM(K232,K227,K219,K179,K196,K151,K143,K135,K127,K119,K111,K103,K95,K88,K80,K72,K64,K56,K48,K40,K32,K24,K16,K8,K159)</f>
        <v>41415.599999999999</v>
      </c>
      <c r="L379" s="174"/>
      <c r="M379" s="30"/>
      <c r="N379" s="29"/>
      <c r="O379" s="174"/>
      <c r="P379" s="954"/>
    </row>
    <row r="380" spans="1:16" s="26" customFormat="1" ht="12.6" customHeight="1">
      <c r="A380" s="32">
        <v>1</v>
      </c>
      <c r="B380" s="90"/>
      <c r="C380" s="90"/>
      <c r="D380" s="104"/>
      <c r="E380" s="117"/>
      <c r="F380" s="118"/>
      <c r="G380" s="30" t="s">
        <v>196</v>
      </c>
      <c r="H380" s="42">
        <f>SUM(H13,H20,H29,H37,H44,H53,H60,H69,H77,H85,H92,H100,H108,H116,H124,H132,H140,H148,H157,H228,H233,H260,H164)</f>
        <v>2362</v>
      </c>
      <c r="I380" s="42">
        <f>SUM(I13,I20,I29,I37,I44,I53,I60,I69,I77,I85,I92,I100,I108,I116,I124,I132,I140,I148,I157,I228,I233,I260,I164)</f>
        <v>2846.1000000000004</v>
      </c>
      <c r="J380" s="42">
        <f>SUM(J13,J20,J29,J37,J44,J53,J60,J69,J77,J85,J92,J100,J108,J116,J124,J132,J140,J148,J157,J228,J233,J260,J164)</f>
        <v>2846.1000000000004</v>
      </c>
      <c r="K380" s="42">
        <f>SUM(K13,K20,K29,K37,K44,K53,K60,K69,K77,K85,K92,K100,K108,K116,K124,K132,K140,K148,K157,K228,K233,K260,K164)</f>
        <v>2846.1000000000004</v>
      </c>
      <c r="L380" s="174"/>
      <c r="M380" s="30"/>
      <c r="N380" s="29"/>
      <c r="O380" s="174"/>
      <c r="P380" s="954"/>
    </row>
    <row r="381" spans="1:16" s="26" customFormat="1" ht="12.6" customHeight="1">
      <c r="A381" s="32">
        <v>1</v>
      </c>
      <c r="B381" s="90"/>
      <c r="C381" s="90"/>
      <c r="D381" s="104"/>
      <c r="E381" s="117"/>
      <c r="F381" s="118"/>
      <c r="G381" s="30" t="s">
        <v>283</v>
      </c>
      <c r="H381" s="42">
        <f>H332+H326+H216</f>
        <v>0</v>
      </c>
      <c r="I381" s="42">
        <f>I332+I326+I216</f>
        <v>0</v>
      </c>
      <c r="J381" s="42">
        <f>J332+J326+J216</f>
        <v>2000</v>
      </c>
      <c r="K381" s="42">
        <f>K332+K326+K216</f>
        <v>1500</v>
      </c>
      <c r="L381" s="174"/>
      <c r="M381" s="30"/>
      <c r="N381" s="29"/>
      <c r="O381" s="174"/>
      <c r="P381" s="954"/>
    </row>
    <row r="382" spans="1:16" s="26" customFormat="1" ht="12.6" customHeight="1">
      <c r="A382" s="32">
        <v>1</v>
      </c>
      <c r="B382" s="90"/>
      <c r="C382" s="90"/>
      <c r="D382" s="104"/>
      <c r="E382" s="117"/>
      <c r="F382" s="118"/>
      <c r="G382" s="30" t="s">
        <v>460</v>
      </c>
      <c r="H382" s="42"/>
      <c r="I382" s="42"/>
      <c r="J382" s="42"/>
      <c r="K382" s="42"/>
      <c r="L382" s="174"/>
      <c r="M382" s="30"/>
      <c r="N382" s="29"/>
      <c r="O382" s="174"/>
      <c r="P382" s="954"/>
    </row>
    <row r="383" spans="1:16" s="26" customFormat="1" ht="12.6" customHeight="1">
      <c r="A383" s="32">
        <v>1</v>
      </c>
      <c r="B383" s="90"/>
      <c r="C383" s="90"/>
      <c r="D383" s="104"/>
      <c r="E383" s="117"/>
      <c r="F383" s="118"/>
      <c r="G383" s="30" t="s">
        <v>381</v>
      </c>
      <c r="H383" s="42">
        <f>SUM(H343,H328,H335,H311,H331,)</f>
        <v>0</v>
      </c>
      <c r="I383" s="42">
        <f>SUM(I343,I328,I335,I311,I331,)</f>
        <v>900</v>
      </c>
      <c r="J383" s="42">
        <f>SUM(J343,J328,J335,J311,J331,)</f>
        <v>4500</v>
      </c>
      <c r="K383" s="42">
        <f>SUM(K343,K328,K335,K311,K331,)</f>
        <v>3000</v>
      </c>
      <c r="L383" s="174"/>
      <c r="M383" s="30"/>
      <c r="N383" s="29"/>
      <c r="O383" s="174"/>
      <c r="P383" s="954"/>
    </row>
    <row r="384" spans="1:16" s="26" customFormat="1" ht="12.6" customHeight="1">
      <c r="A384" s="32">
        <v>1</v>
      </c>
      <c r="B384" s="90"/>
      <c r="C384" s="90"/>
      <c r="D384" s="104"/>
      <c r="E384" s="117"/>
      <c r="F384" s="118"/>
      <c r="G384" s="30" t="s">
        <v>380</v>
      </c>
      <c r="H384" s="42">
        <f>H322+H317+H312+H307</f>
        <v>277.60000000000002</v>
      </c>
      <c r="I384" s="42">
        <f t="shared" ref="I384:K384" si="61">I322+I317+I312+I307</f>
        <v>1176.2</v>
      </c>
      <c r="J384" s="42">
        <f t="shared" si="61"/>
        <v>1241.2</v>
      </c>
      <c r="K384" s="42">
        <f t="shared" si="61"/>
        <v>0</v>
      </c>
      <c r="L384" s="174"/>
      <c r="M384" s="30"/>
      <c r="N384" s="29"/>
      <c r="O384" s="174"/>
      <c r="P384" s="954"/>
    </row>
    <row r="385" spans="1:16" s="26" customFormat="1" ht="12.6" customHeight="1">
      <c r="A385" s="32">
        <v>1</v>
      </c>
      <c r="B385" s="90"/>
      <c r="C385" s="90"/>
      <c r="D385" s="104"/>
      <c r="E385" s="117"/>
      <c r="F385" s="118"/>
      <c r="G385" s="75" t="s">
        <v>461</v>
      </c>
      <c r="H385" s="42"/>
      <c r="I385" s="42"/>
      <c r="J385" s="42"/>
      <c r="K385" s="42"/>
      <c r="L385" s="174"/>
      <c r="M385" s="30"/>
      <c r="N385" s="29"/>
      <c r="O385" s="174"/>
      <c r="P385" s="954"/>
    </row>
    <row r="386" spans="1:16" s="26" customFormat="1" ht="12.6" customHeight="1">
      <c r="A386" s="32">
        <v>1</v>
      </c>
      <c r="B386" s="90"/>
      <c r="C386" s="90"/>
      <c r="D386" s="104"/>
      <c r="E386" s="117"/>
      <c r="F386" s="118"/>
      <c r="G386" s="30" t="s">
        <v>197</v>
      </c>
      <c r="H386" s="42">
        <f>H14+H22+H30+H38+H46+H54+H62+H70+H78+H86+H93+H101+H109+H117+H125+H133+H141+H149+H154+H217+H261</f>
        <v>0</v>
      </c>
      <c r="I386" s="42">
        <f>I14+I22+I30+I38+I46+I54+I62+I70+I78+I86+I93+I101+I109+I117+I125+I133+I141+I149+I154+I217+I261</f>
        <v>0</v>
      </c>
      <c r="J386" s="42">
        <f>J14+J22+J30+J38+J46+J54+J62+J70+J78+J86+J93+J101+J109+J117+J125+J133+J141+J149+J154+J217+J261</f>
        <v>0</v>
      </c>
      <c r="K386" s="42">
        <f>K14+K22+K30+K38+K46+K54+K62+K70+K78+K86+K93+K101+K109+K117+K125+K133+K141+K149+K154+K217+K261</f>
        <v>0</v>
      </c>
      <c r="L386" s="174"/>
      <c r="M386" s="30"/>
      <c r="N386" s="29"/>
      <c r="O386" s="174"/>
      <c r="P386" s="954"/>
    </row>
    <row r="387" spans="1:16" s="26" customFormat="1" ht="12.6" customHeight="1">
      <c r="A387" s="32">
        <v>1</v>
      </c>
      <c r="B387" s="90"/>
      <c r="C387" s="90"/>
      <c r="D387" s="104"/>
      <c r="E387" s="117"/>
      <c r="F387" s="118"/>
      <c r="G387" s="30" t="s">
        <v>251</v>
      </c>
      <c r="H387" s="43">
        <f>SUM(H9,H17,H25,H33,H41,H49,H57,H65,H73,H81,H96,H104,H112,H120,H128,H144,H152,H197,H136,H220)</f>
        <v>125.7</v>
      </c>
      <c r="I387" s="43">
        <f>SUM(I9,I17,I25,I33,I41,I49,I57,I65,I73,I81,I96,I104,I112,I120,I128,I144,I152,I197,I136,I220)</f>
        <v>71.8</v>
      </c>
      <c r="J387" s="43">
        <f>SUM(J9,J17,J25,J33,J41,J49,J57,J65,J73,J81,J96,J104,J112,J120,J128,J144,J152,J197,J136,J220)</f>
        <v>0</v>
      </c>
      <c r="K387" s="43">
        <f>SUM(K9,K17,K25,K33,K41,K49,K57,K65,K73,K81,K96,K104,K112,K120,K128,K144,K152,K197,K136,K220)</f>
        <v>0</v>
      </c>
      <c r="L387" s="174"/>
      <c r="M387" s="30"/>
      <c r="N387" s="29"/>
      <c r="O387" s="174"/>
      <c r="P387" s="954"/>
    </row>
    <row r="388" spans="1:16" s="26" customFormat="1" ht="12.6" customHeight="1">
      <c r="A388" s="32">
        <v>1</v>
      </c>
      <c r="B388" s="90"/>
      <c r="C388" s="90"/>
      <c r="D388" s="104"/>
      <c r="E388" s="117"/>
      <c r="F388" s="118"/>
      <c r="G388" s="30" t="s">
        <v>192</v>
      </c>
      <c r="H388" s="42">
        <f>SUM(H10,H18,H26,H34,H42,H50,H58,H66,H74,H82,H89,H97,H105,H113,H121,H129,H137,H145,H153,)</f>
        <v>0</v>
      </c>
      <c r="I388" s="42">
        <f>SUM(I10,I18,I26,I34,I42,I50,I58,I66,I74,I82,I89,I97,I105,I113,I121,I129,I137,I145,I153,)</f>
        <v>0</v>
      </c>
      <c r="J388" s="42">
        <f>SUM(J10,J18,J26,J34,J42,J50,J58,J66,J74,J82,J89,J97,J105,J113,J121,J129,J137,J145,J153,)</f>
        <v>0</v>
      </c>
      <c r="K388" s="42">
        <f>SUM(K10,K18,K26,K34,K42,K50,K58,K66,K74,K82,K89,K97,K105,K113,K121,K129,K137,K145,K153,)</f>
        <v>0</v>
      </c>
      <c r="L388" s="174"/>
      <c r="M388" s="30"/>
      <c r="N388" s="29"/>
      <c r="O388" s="174"/>
      <c r="P388" s="954"/>
    </row>
    <row r="389" spans="1:16" s="26" customFormat="1" ht="12.6" customHeight="1">
      <c r="A389" s="32">
        <v>1</v>
      </c>
      <c r="B389" s="90"/>
      <c r="C389" s="90"/>
      <c r="D389" s="104"/>
      <c r="E389" s="117"/>
      <c r="F389" s="118"/>
      <c r="G389" s="75" t="s">
        <v>379</v>
      </c>
      <c r="H389" s="42">
        <f>H361</f>
        <v>146.80000000000001</v>
      </c>
      <c r="I389" s="42">
        <f t="shared" ref="I389:K389" si="62">I361</f>
        <v>1.1000000000000001</v>
      </c>
      <c r="J389" s="42">
        <f t="shared" si="62"/>
        <v>0</v>
      </c>
      <c r="K389" s="42">
        <f t="shared" si="62"/>
        <v>0</v>
      </c>
      <c r="L389" s="174"/>
      <c r="M389" s="30"/>
      <c r="N389" s="29"/>
      <c r="O389" s="174"/>
      <c r="P389" s="954"/>
    </row>
    <row r="390" spans="1:16" s="26" customFormat="1" ht="12.6" customHeight="1">
      <c r="A390" s="32">
        <v>1</v>
      </c>
      <c r="B390" s="90"/>
      <c r="C390" s="90"/>
      <c r="D390" s="104"/>
      <c r="E390" s="117"/>
      <c r="F390" s="118"/>
      <c r="G390" s="120" t="s">
        <v>459</v>
      </c>
      <c r="H390" s="120">
        <f t="shared" ref="H390:K390" si="63">SUM(H375:H389)</f>
        <v>72400.800000000003</v>
      </c>
      <c r="I390" s="120">
        <f t="shared" si="63"/>
        <v>91958.500000000015</v>
      </c>
      <c r="J390" s="120">
        <f t="shared" si="63"/>
        <v>101567.7</v>
      </c>
      <c r="K390" s="120">
        <f t="shared" si="63"/>
        <v>95980.9</v>
      </c>
      <c r="L390" s="174"/>
      <c r="M390" s="30"/>
      <c r="N390" s="29"/>
      <c r="O390" s="174"/>
      <c r="P390" s="954"/>
    </row>
    <row r="391" spans="1:16" s="26" customFormat="1" ht="12.6" customHeight="1">
      <c r="A391" s="32">
        <v>1</v>
      </c>
      <c r="B391" s="90"/>
      <c r="C391" s="90"/>
      <c r="D391" s="104"/>
      <c r="E391" s="46"/>
      <c r="F391" s="32"/>
      <c r="G391" s="84"/>
      <c r="H391" s="42">
        <f>H374-H390</f>
        <v>0</v>
      </c>
      <c r="I391" s="42">
        <f>I374-I390</f>
        <v>0</v>
      </c>
      <c r="J391" s="42">
        <f>J374-J390</f>
        <v>0</v>
      </c>
      <c r="K391" s="42">
        <f>K374-K390</f>
        <v>0</v>
      </c>
      <c r="L391" s="174"/>
      <c r="M391" s="174"/>
      <c r="N391" s="174"/>
      <c r="O391" s="174"/>
      <c r="P391" s="47"/>
    </row>
    <row r="392" spans="1:16" ht="22.5">
      <c r="A392" s="183">
        <v>2</v>
      </c>
      <c r="B392" s="184"/>
      <c r="C392" s="184"/>
      <c r="D392" s="185" t="s">
        <v>462</v>
      </c>
      <c r="E392" s="186"/>
      <c r="F392" s="187"/>
      <c r="G392" s="186"/>
      <c r="H392" s="186"/>
      <c r="I392" s="186"/>
      <c r="J392" s="188"/>
      <c r="K392" s="188"/>
      <c r="L392" s="310"/>
      <c r="M392" s="41"/>
      <c r="N392" s="126"/>
      <c r="O392" s="196"/>
      <c r="P392" s="948"/>
    </row>
    <row r="393" spans="1:16" ht="22.5">
      <c r="A393" s="59">
        <v>2</v>
      </c>
      <c r="B393" s="190" t="s">
        <v>463</v>
      </c>
      <c r="C393" s="190" t="s">
        <v>463</v>
      </c>
      <c r="D393" s="191" t="s">
        <v>464</v>
      </c>
      <c r="E393" s="192">
        <v>10</v>
      </c>
      <c r="F393" s="41" t="s">
        <v>465</v>
      </c>
      <c r="G393" s="193" t="s">
        <v>193</v>
      </c>
      <c r="H393" s="43">
        <v>53.8</v>
      </c>
      <c r="I393" s="44">
        <f>80-10-10</f>
        <v>60</v>
      </c>
      <c r="J393" s="195">
        <v>80</v>
      </c>
      <c r="K393" s="195">
        <v>80</v>
      </c>
      <c r="L393" s="328" t="s">
        <v>274</v>
      </c>
      <c r="M393" s="930" t="s">
        <v>2221</v>
      </c>
      <c r="N393" s="928" t="s">
        <v>2222</v>
      </c>
      <c r="O393" s="75" t="s">
        <v>2223</v>
      </c>
      <c r="P393" s="948"/>
    </row>
    <row r="394" spans="1:16">
      <c r="A394" s="59">
        <v>2</v>
      </c>
      <c r="B394" s="54"/>
      <c r="C394" s="54"/>
      <c r="D394" s="40"/>
      <c r="E394" s="41">
        <v>10</v>
      </c>
      <c r="F394" s="40"/>
      <c r="G394" s="197" t="s">
        <v>459</v>
      </c>
      <c r="H394" s="53">
        <f t="shared" ref="H394:K394" si="64">SUM(H393)</f>
        <v>53.8</v>
      </c>
      <c r="I394" s="53">
        <f t="shared" si="64"/>
        <v>60</v>
      </c>
      <c r="J394" s="53">
        <f t="shared" si="64"/>
        <v>80</v>
      </c>
      <c r="K394" s="53">
        <f t="shared" si="64"/>
        <v>80</v>
      </c>
      <c r="L394" s="328"/>
      <c r="M394" s="927"/>
      <c r="N394" s="934"/>
      <c r="O394" s="935"/>
      <c r="P394" s="948"/>
    </row>
    <row r="395" spans="1:16" ht="22.5">
      <c r="A395" s="59">
        <v>2</v>
      </c>
      <c r="B395" s="190" t="s">
        <v>466</v>
      </c>
      <c r="C395" s="190" t="s">
        <v>466</v>
      </c>
      <c r="D395" s="198" t="s">
        <v>467</v>
      </c>
      <c r="E395" s="192">
        <v>32</v>
      </c>
      <c r="F395" s="41" t="s">
        <v>468</v>
      </c>
      <c r="G395" s="193" t="s">
        <v>193</v>
      </c>
      <c r="H395" s="43">
        <v>50</v>
      </c>
      <c r="I395" s="44">
        <f>50+10</f>
        <v>60</v>
      </c>
      <c r="J395" s="195">
        <v>70</v>
      </c>
      <c r="K395" s="195">
        <v>70</v>
      </c>
      <c r="L395" s="328" t="s">
        <v>274</v>
      </c>
      <c r="M395" s="930" t="s">
        <v>2224</v>
      </c>
      <c r="N395" s="928" t="s">
        <v>2225</v>
      </c>
      <c r="O395" s="178">
        <v>50</v>
      </c>
      <c r="P395" s="948"/>
    </row>
    <row r="396" spans="1:16">
      <c r="A396" s="59">
        <v>2</v>
      </c>
      <c r="B396" s="54"/>
      <c r="C396" s="54"/>
      <c r="D396" s="40"/>
      <c r="E396" s="41">
        <v>32</v>
      </c>
      <c r="F396" s="40"/>
      <c r="G396" s="197" t="s">
        <v>459</v>
      </c>
      <c r="H396" s="53">
        <f t="shared" ref="H396:K396" si="65">SUM(H395)</f>
        <v>50</v>
      </c>
      <c r="I396" s="53">
        <f t="shared" si="65"/>
        <v>60</v>
      </c>
      <c r="J396" s="53">
        <f t="shared" si="65"/>
        <v>70</v>
      </c>
      <c r="K396" s="53">
        <f t="shared" si="65"/>
        <v>70</v>
      </c>
      <c r="L396" s="328"/>
      <c r="M396" s="59"/>
      <c r="N396" s="260"/>
      <c r="O396" s="193"/>
      <c r="P396" s="948"/>
    </row>
    <row r="397" spans="1:16" ht="22.5">
      <c r="A397" s="59">
        <v>2</v>
      </c>
      <c r="B397" s="199"/>
      <c r="C397" s="199"/>
      <c r="D397" s="200" t="s">
        <v>469</v>
      </c>
      <c r="E397" s="201"/>
      <c r="F397" s="202"/>
      <c r="G397" s="201"/>
      <c r="H397" s="451"/>
      <c r="I397" s="451"/>
      <c r="J397" s="816"/>
      <c r="K397" s="816"/>
      <c r="L397" s="328"/>
      <c r="M397" s="59"/>
      <c r="N397" s="260"/>
      <c r="O397" s="193"/>
      <c r="P397" s="948"/>
    </row>
    <row r="398" spans="1:16" ht="22.5">
      <c r="A398" s="59">
        <v>2</v>
      </c>
      <c r="B398" s="190" t="s">
        <v>470</v>
      </c>
      <c r="C398" s="190" t="s">
        <v>470</v>
      </c>
      <c r="D398" s="198" t="s">
        <v>471</v>
      </c>
      <c r="E398" s="192"/>
      <c r="F398" s="41"/>
      <c r="G398" s="203"/>
      <c r="H398" s="654">
        <f>H401+H431+H436</f>
        <v>623.4</v>
      </c>
      <c r="I398" s="654">
        <f>I401+I431+I436</f>
        <v>1098.9000000000001</v>
      </c>
      <c r="J398" s="654">
        <f>J401+J431+J436</f>
        <v>543.29999999999995</v>
      </c>
      <c r="K398" s="654">
        <f>K401+K431+K436</f>
        <v>543.29999999999995</v>
      </c>
      <c r="L398" s="328"/>
      <c r="M398" s="59"/>
      <c r="N398" s="260"/>
      <c r="O398" s="193"/>
      <c r="P398" s="948"/>
    </row>
    <row r="399" spans="1:16" ht="78.75">
      <c r="A399" s="59">
        <v>2</v>
      </c>
      <c r="B399" s="54"/>
      <c r="C399" s="54" t="s">
        <v>472</v>
      </c>
      <c r="D399" s="205" t="s">
        <v>473</v>
      </c>
      <c r="E399" s="41">
        <v>32</v>
      </c>
      <c r="F399" s="40" t="s">
        <v>474</v>
      </c>
      <c r="G399" s="206" t="s">
        <v>475</v>
      </c>
      <c r="H399" s="253">
        <f>SUM(H416,H417,H418,H419,H420,H421,H422,H426,H427,H424,H425)</f>
        <v>243.29999999999998</v>
      </c>
      <c r="I399" s="253">
        <f t="shared" ref="I399:K399" si="66">SUM(I416,I417,I418,I419,I420,I421,I422,I426,I427,I424,I425)</f>
        <v>289.39999999999998</v>
      </c>
      <c r="J399" s="253">
        <f t="shared" si="66"/>
        <v>243.29999999999998</v>
      </c>
      <c r="K399" s="253">
        <f t="shared" si="66"/>
        <v>243.3</v>
      </c>
      <c r="L399" s="328"/>
      <c r="M399" s="949" t="s">
        <v>2226</v>
      </c>
      <c r="N399" s="930" t="s">
        <v>2227</v>
      </c>
      <c r="O399" s="178">
        <v>59.5</v>
      </c>
      <c r="P399" s="948"/>
    </row>
    <row r="400" spans="1:16">
      <c r="A400" s="183">
        <v>2</v>
      </c>
      <c r="B400" s="54"/>
      <c r="C400" s="54" t="s">
        <v>472</v>
      </c>
      <c r="D400" s="40"/>
      <c r="E400" s="41">
        <v>32</v>
      </c>
      <c r="F400" s="40" t="s">
        <v>474</v>
      </c>
      <c r="G400" s="206" t="s">
        <v>193</v>
      </c>
      <c r="H400" s="253">
        <f>SUM(H402:H415,H423)</f>
        <v>182</v>
      </c>
      <c r="I400" s="253">
        <f t="shared" ref="I400:K400" si="67">SUM(I402:I415,I423)</f>
        <v>268</v>
      </c>
      <c r="J400" s="253">
        <f t="shared" si="67"/>
        <v>300</v>
      </c>
      <c r="K400" s="253">
        <f t="shared" si="67"/>
        <v>300</v>
      </c>
      <c r="L400" s="328" t="s">
        <v>274</v>
      </c>
      <c r="M400" s="59"/>
      <c r="N400" s="260"/>
      <c r="O400" s="193"/>
      <c r="P400" s="948"/>
    </row>
    <row r="401" spans="1:16">
      <c r="A401" s="59">
        <v>2</v>
      </c>
      <c r="B401" s="54"/>
      <c r="C401" s="72"/>
      <c r="D401" s="40"/>
      <c r="E401" s="41"/>
      <c r="F401" s="40" t="s">
        <v>474</v>
      </c>
      <c r="G401" s="197" t="s">
        <v>459</v>
      </c>
      <c r="H401" s="53">
        <f t="shared" ref="H401:K401" si="68">H399+H400</f>
        <v>425.29999999999995</v>
      </c>
      <c r="I401" s="53">
        <f t="shared" si="68"/>
        <v>557.4</v>
      </c>
      <c r="J401" s="53">
        <f t="shared" si="68"/>
        <v>543.29999999999995</v>
      </c>
      <c r="K401" s="53">
        <f t="shared" si="68"/>
        <v>543.29999999999995</v>
      </c>
      <c r="L401" s="328"/>
      <c r="M401" s="59"/>
      <c r="N401" s="260"/>
      <c r="O401" s="193"/>
      <c r="P401" s="948"/>
    </row>
    <row r="402" spans="1:16" ht="33.75">
      <c r="A402" s="59">
        <v>2</v>
      </c>
      <c r="B402" s="207"/>
      <c r="C402" s="208" t="s">
        <v>476</v>
      </c>
      <c r="D402" s="209" t="s">
        <v>477</v>
      </c>
      <c r="E402" s="210">
        <v>32</v>
      </c>
      <c r="F402" s="127" t="s">
        <v>474</v>
      </c>
      <c r="G402" s="211" t="s">
        <v>193</v>
      </c>
      <c r="H402" s="255">
        <v>17.600000000000001</v>
      </c>
      <c r="I402" s="256"/>
      <c r="J402" s="817">
        <v>25</v>
      </c>
      <c r="K402" s="817">
        <v>10</v>
      </c>
      <c r="L402" s="328" t="s">
        <v>268</v>
      </c>
      <c r="M402" s="938"/>
      <c r="N402" s="936"/>
      <c r="O402" s="937"/>
      <c r="P402" s="950"/>
    </row>
    <row r="403" spans="1:16" ht="45">
      <c r="A403" s="59">
        <v>2</v>
      </c>
      <c r="B403" s="207"/>
      <c r="C403" s="208" t="s">
        <v>478</v>
      </c>
      <c r="D403" s="212" t="s">
        <v>479</v>
      </c>
      <c r="E403" s="210">
        <v>32</v>
      </c>
      <c r="F403" s="127" t="s">
        <v>480</v>
      </c>
      <c r="G403" s="211" t="s">
        <v>193</v>
      </c>
      <c r="H403" s="255"/>
      <c r="I403" s="256">
        <v>30</v>
      </c>
      <c r="J403" s="817"/>
      <c r="K403" s="817"/>
      <c r="L403" s="328" t="s">
        <v>268</v>
      </c>
      <c r="M403" s="938" t="s">
        <v>2228</v>
      </c>
      <c r="N403" s="936" t="s">
        <v>2229</v>
      </c>
      <c r="O403" s="937">
        <v>1</v>
      </c>
      <c r="P403" s="948" t="s">
        <v>392</v>
      </c>
    </row>
    <row r="404" spans="1:16" ht="33.75">
      <c r="A404" s="59">
        <v>2</v>
      </c>
      <c r="B404" s="207"/>
      <c r="C404" s="208" t="s">
        <v>481</v>
      </c>
      <c r="D404" s="212" t="s">
        <v>482</v>
      </c>
      <c r="E404" s="210">
        <v>21</v>
      </c>
      <c r="F404" s="127" t="s">
        <v>483</v>
      </c>
      <c r="G404" s="211" t="s">
        <v>193</v>
      </c>
      <c r="H404" s="255"/>
      <c r="I404" s="256">
        <v>18</v>
      </c>
      <c r="J404" s="817"/>
      <c r="K404" s="817"/>
      <c r="L404" s="328" t="s">
        <v>268</v>
      </c>
      <c r="M404" s="938" t="s">
        <v>145</v>
      </c>
      <c r="N404" s="936" t="s">
        <v>2230</v>
      </c>
      <c r="O404" s="937">
        <v>1</v>
      </c>
      <c r="P404" s="948" t="s">
        <v>389</v>
      </c>
    </row>
    <row r="405" spans="1:16">
      <c r="A405" s="59">
        <v>2</v>
      </c>
      <c r="B405" s="207"/>
      <c r="C405" s="208" t="s">
        <v>484</v>
      </c>
      <c r="D405" s="1177" t="s">
        <v>485</v>
      </c>
      <c r="E405" s="210">
        <v>32</v>
      </c>
      <c r="F405" s="127" t="s">
        <v>474</v>
      </c>
      <c r="G405" s="211" t="s">
        <v>193</v>
      </c>
      <c r="H405" s="255">
        <f>4.5-1.5</f>
        <v>3</v>
      </c>
      <c r="I405" s="256"/>
      <c r="J405" s="817">
        <v>15</v>
      </c>
      <c r="K405" s="817">
        <v>7</v>
      </c>
      <c r="L405" s="328" t="s">
        <v>268</v>
      </c>
      <c r="M405" s="59"/>
      <c r="N405" s="260"/>
      <c r="O405" s="193"/>
      <c r="P405" s="951"/>
    </row>
    <row r="406" spans="1:16">
      <c r="A406" s="59">
        <v>2</v>
      </c>
      <c r="B406" s="213"/>
      <c r="C406" s="214"/>
      <c r="D406" s="1178"/>
      <c r="E406" s="215">
        <v>21</v>
      </c>
      <c r="F406" s="127" t="s">
        <v>483</v>
      </c>
      <c r="G406" s="216" t="s">
        <v>193</v>
      </c>
      <c r="H406" s="818">
        <f>1.5</f>
        <v>1.5</v>
      </c>
      <c r="I406" s="819"/>
      <c r="J406" s="820"/>
      <c r="K406" s="820"/>
      <c r="L406" s="328" t="s">
        <v>268</v>
      </c>
      <c r="M406" s="59"/>
      <c r="N406" s="260"/>
      <c r="O406" s="193"/>
      <c r="P406" s="951"/>
    </row>
    <row r="407" spans="1:16" ht="56.25">
      <c r="A407" s="59">
        <v>2</v>
      </c>
      <c r="B407" s="213"/>
      <c r="C407" s="214" t="s">
        <v>486</v>
      </c>
      <c r="D407" s="217" t="s">
        <v>487</v>
      </c>
      <c r="E407" s="215">
        <v>32</v>
      </c>
      <c r="F407" s="218" t="s">
        <v>474</v>
      </c>
      <c r="G407" s="216" t="s">
        <v>193</v>
      </c>
      <c r="H407" s="818">
        <v>15</v>
      </c>
      <c r="I407" s="819">
        <f>100-100</f>
        <v>0</v>
      </c>
      <c r="J407" s="820"/>
      <c r="K407" s="820">
        <v>230.8</v>
      </c>
      <c r="L407" s="328" t="s">
        <v>398</v>
      </c>
      <c r="M407" s="59"/>
      <c r="N407" s="260"/>
      <c r="O407" s="193"/>
      <c r="P407" s="951" t="s">
        <v>389</v>
      </c>
    </row>
    <row r="408" spans="1:16" ht="33.75">
      <c r="A408" s="183">
        <v>2</v>
      </c>
      <c r="B408" s="219"/>
      <c r="C408" s="220" t="s">
        <v>488</v>
      </c>
      <c r="D408" s="221" t="s">
        <v>489</v>
      </c>
      <c r="E408" s="220">
        <v>32</v>
      </c>
      <c r="F408" s="222" t="s">
        <v>480</v>
      </c>
      <c r="G408" s="223" t="s">
        <v>193</v>
      </c>
      <c r="H408" s="818">
        <f>97.9-37.9</f>
        <v>60.000000000000007</v>
      </c>
      <c r="I408" s="819"/>
      <c r="J408" s="821"/>
      <c r="K408" s="821"/>
      <c r="L408" s="328" t="s">
        <v>398</v>
      </c>
      <c r="M408" s="59"/>
      <c r="N408" s="260"/>
      <c r="O408" s="193"/>
      <c r="P408" s="951" t="s">
        <v>275</v>
      </c>
    </row>
    <row r="409" spans="1:16" ht="33.75">
      <c r="A409" s="59">
        <v>2</v>
      </c>
      <c r="B409" s="219"/>
      <c r="C409" s="224" t="s">
        <v>490</v>
      </c>
      <c r="D409" s="221" t="s">
        <v>491</v>
      </c>
      <c r="E409" s="220">
        <v>32</v>
      </c>
      <c r="F409" s="222" t="s">
        <v>480</v>
      </c>
      <c r="G409" s="225" t="s">
        <v>193</v>
      </c>
      <c r="H409" s="822">
        <f>36.6-11.6</f>
        <v>25</v>
      </c>
      <c r="I409" s="823"/>
      <c r="J409" s="824"/>
      <c r="K409" s="824"/>
      <c r="L409" s="328" t="s">
        <v>398</v>
      </c>
      <c r="M409" s="59"/>
      <c r="N409" s="260"/>
      <c r="O409" s="193"/>
      <c r="P409" s="951" t="s">
        <v>392</v>
      </c>
    </row>
    <row r="410" spans="1:16" ht="33.75">
      <c r="A410" s="59">
        <v>2</v>
      </c>
      <c r="B410" s="219"/>
      <c r="C410" s="224" t="s">
        <v>492</v>
      </c>
      <c r="D410" s="221" t="s">
        <v>493</v>
      </c>
      <c r="E410" s="220">
        <v>32</v>
      </c>
      <c r="F410" s="222" t="s">
        <v>480</v>
      </c>
      <c r="G410" s="225" t="s">
        <v>193</v>
      </c>
      <c r="H410" s="822">
        <f>28.4-8.5</f>
        <v>19.899999999999999</v>
      </c>
      <c r="I410" s="823"/>
      <c r="J410" s="824"/>
      <c r="K410" s="824"/>
      <c r="L410" s="328" t="s">
        <v>398</v>
      </c>
      <c r="M410" s="59"/>
      <c r="N410" s="260"/>
      <c r="O410" s="193"/>
      <c r="P410" s="951" t="s">
        <v>415</v>
      </c>
    </row>
    <row r="411" spans="1:16" ht="33.75">
      <c r="A411" s="59">
        <v>2</v>
      </c>
      <c r="B411" s="219"/>
      <c r="C411" s="224" t="s">
        <v>494</v>
      </c>
      <c r="D411" s="221" t="s">
        <v>495</v>
      </c>
      <c r="E411" s="220">
        <v>32</v>
      </c>
      <c r="F411" s="222" t="s">
        <v>480</v>
      </c>
      <c r="G411" s="225" t="s">
        <v>193</v>
      </c>
      <c r="H411" s="822"/>
      <c r="I411" s="823">
        <f>17.2-17.2</f>
        <v>0</v>
      </c>
      <c r="J411" s="824"/>
      <c r="K411" s="821">
        <v>17.2</v>
      </c>
      <c r="L411" s="328" t="s">
        <v>398</v>
      </c>
      <c r="M411" s="59"/>
      <c r="N411" s="260"/>
      <c r="O411" s="193"/>
      <c r="P411" s="951" t="s">
        <v>392</v>
      </c>
    </row>
    <row r="412" spans="1:16" ht="33.75">
      <c r="A412" s="59">
        <v>2</v>
      </c>
      <c r="B412" s="219"/>
      <c r="C412" s="224" t="s">
        <v>496</v>
      </c>
      <c r="D412" s="226" t="s">
        <v>497</v>
      </c>
      <c r="E412" s="220">
        <v>32</v>
      </c>
      <c r="F412" s="222" t="s">
        <v>480</v>
      </c>
      <c r="G412" s="225" t="s">
        <v>193</v>
      </c>
      <c r="H412" s="822"/>
      <c r="I412" s="823">
        <v>80</v>
      </c>
      <c r="J412" s="824">
        <v>30</v>
      </c>
      <c r="K412" s="824"/>
      <c r="L412" s="328" t="s">
        <v>398</v>
      </c>
      <c r="M412" s="936" t="s">
        <v>2231</v>
      </c>
      <c r="N412" s="936" t="s">
        <v>2232</v>
      </c>
      <c r="O412" s="937">
        <v>3</v>
      </c>
      <c r="P412" s="951" t="s">
        <v>386</v>
      </c>
    </row>
    <row r="413" spans="1:16" ht="33.75">
      <c r="A413" s="59">
        <v>2</v>
      </c>
      <c r="B413" s="219"/>
      <c r="C413" s="224" t="s">
        <v>498</v>
      </c>
      <c r="D413" s="226" t="s">
        <v>499</v>
      </c>
      <c r="E413" s="220">
        <v>32</v>
      </c>
      <c r="F413" s="222" t="s">
        <v>480</v>
      </c>
      <c r="G413" s="225" t="s">
        <v>193</v>
      </c>
      <c r="H413" s="822"/>
      <c r="I413" s="823">
        <v>62</v>
      </c>
      <c r="J413" s="824">
        <v>100</v>
      </c>
      <c r="K413" s="824"/>
      <c r="L413" s="328" t="s">
        <v>398</v>
      </c>
      <c r="M413" s="936" t="s">
        <v>2231</v>
      </c>
      <c r="N413" s="936" t="s">
        <v>2232</v>
      </c>
      <c r="O413" s="937">
        <v>1.8</v>
      </c>
      <c r="P413" s="951" t="s">
        <v>386</v>
      </c>
    </row>
    <row r="414" spans="1:16" ht="45">
      <c r="A414" s="59">
        <v>2</v>
      </c>
      <c r="B414" s="219"/>
      <c r="C414" s="224" t="s">
        <v>500</v>
      </c>
      <c r="D414" s="226" t="s">
        <v>501</v>
      </c>
      <c r="E414" s="220">
        <v>32</v>
      </c>
      <c r="F414" s="222" t="s">
        <v>480</v>
      </c>
      <c r="G414" s="225" t="s">
        <v>193</v>
      </c>
      <c r="H414" s="822"/>
      <c r="I414" s="823"/>
      <c r="J414" s="824">
        <v>70</v>
      </c>
      <c r="K414" s="824">
        <v>35</v>
      </c>
      <c r="L414" s="328" t="s">
        <v>398</v>
      </c>
      <c r="M414" s="59"/>
      <c r="N414" s="260"/>
      <c r="O414" s="193"/>
      <c r="P414" s="951" t="s">
        <v>392</v>
      </c>
    </row>
    <row r="415" spans="1:16">
      <c r="A415" s="59">
        <v>2</v>
      </c>
      <c r="B415" s="219"/>
      <c r="C415" s="227" t="s">
        <v>502</v>
      </c>
      <c r="D415" s="1179" t="s">
        <v>503</v>
      </c>
      <c r="E415" s="228">
        <v>32</v>
      </c>
      <c r="F415" s="229" t="s">
        <v>474</v>
      </c>
      <c r="G415" s="225" t="s">
        <v>193</v>
      </c>
      <c r="H415" s="1115">
        <v>40</v>
      </c>
      <c r="I415" s="253">
        <v>18</v>
      </c>
      <c r="J415" s="1117"/>
      <c r="K415" s="825"/>
      <c r="L415" s="328"/>
      <c r="M415" s="59"/>
      <c r="N415" s="260"/>
      <c r="O415" s="193"/>
      <c r="P415" s="951"/>
    </row>
    <row r="416" spans="1:16">
      <c r="A416" s="183">
        <v>2</v>
      </c>
      <c r="B416" s="230"/>
      <c r="C416" s="227"/>
      <c r="D416" s="1180"/>
      <c r="E416" s="228">
        <v>32</v>
      </c>
      <c r="F416" s="229" t="s">
        <v>474</v>
      </c>
      <c r="G416" s="231" t="s">
        <v>475</v>
      </c>
      <c r="H416" s="1116">
        <v>42.9</v>
      </c>
      <c r="I416" s="256">
        <v>87</v>
      </c>
      <c r="J416" s="1118">
        <f>70</f>
        <v>70</v>
      </c>
      <c r="K416" s="826">
        <v>70</v>
      </c>
      <c r="L416" s="943"/>
      <c r="M416" s="936" t="s">
        <v>2233</v>
      </c>
      <c r="N416" s="260" t="s">
        <v>2234</v>
      </c>
      <c r="O416" s="937">
        <v>50</v>
      </c>
      <c r="P416" s="948"/>
    </row>
    <row r="417" spans="1:16" ht="22.5">
      <c r="A417" s="59">
        <v>2</v>
      </c>
      <c r="B417" s="232"/>
      <c r="C417" s="233" t="s">
        <v>504</v>
      </c>
      <c r="D417" s="234" t="s">
        <v>505</v>
      </c>
      <c r="E417" s="235">
        <v>32</v>
      </c>
      <c r="F417" s="236" t="s">
        <v>474</v>
      </c>
      <c r="G417" s="237" t="s">
        <v>475</v>
      </c>
      <c r="H417" s="827">
        <v>5</v>
      </c>
      <c r="I417" s="828">
        <v>5</v>
      </c>
      <c r="J417" s="829">
        <v>5</v>
      </c>
      <c r="K417" s="829">
        <v>5</v>
      </c>
      <c r="L417" s="943"/>
      <c r="M417" s="936" t="s">
        <v>2228</v>
      </c>
      <c r="N417" s="260" t="s">
        <v>2235</v>
      </c>
      <c r="O417" s="937">
        <v>53</v>
      </c>
      <c r="P417" s="948"/>
    </row>
    <row r="418" spans="1:16" ht="33.75">
      <c r="A418" s="59">
        <v>2</v>
      </c>
      <c r="B418" s="207"/>
      <c r="C418" s="208" t="s">
        <v>506</v>
      </c>
      <c r="D418" s="238" t="s">
        <v>507</v>
      </c>
      <c r="E418" s="210">
        <v>32</v>
      </c>
      <c r="F418" s="127" t="s">
        <v>474</v>
      </c>
      <c r="G418" s="237" t="s">
        <v>475</v>
      </c>
      <c r="H418" s="255">
        <v>20</v>
      </c>
      <c r="I418" s="828">
        <v>62.5</v>
      </c>
      <c r="J418" s="257">
        <v>46.7</v>
      </c>
      <c r="K418" s="257">
        <v>50</v>
      </c>
      <c r="L418" s="943"/>
      <c r="M418" s="938" t="s">
        <v>2233</v>
      </c>
      <c r="N418" s="260" t="s">
        <v>2236</v>
      </c>
      <c r="O418" s="937">
        <v>53</v>
      </c>
      <c r="P418" s="948"/>
    </row>
    <row r="419" spans="1:16" ht="45">
      <c r="A419" s="59">
        <v>2</v>
      </c>
      <c r="B419" s="207"/>
      <c r="C419" s="208" t="s">
        <v>508</v>
      </c>
      <c r="D419" s="238" t="s">
        <v>509</v>
      </c>
      <c r="E419" s="210">
        <v>32</v>
      </c>
      <c r="F419" s="127" t="s">
        <v>480</v>
      </c>
      <c r="G419" s="237" t="s">
        <v>475</v>
      </c>
      <c r="H419" s="255"/>
      <c r="I419" s="256">
        <v>18</v>
      </c>
      <c r="J419" s="257"/>
      <c r="K419" s="257"/>
      <c r="L419" s="944"/>
      <c r="M419" s="936" t="s">
        <v>2233</v>
      </c>
      <c r="N419" s="938" t="s">
        <v>2237</v>
      </c>
      <c r="O419" s="937">
        <v>6</v>
      </c>
      <c r="P419" s="948"/>
    </row>
    <row r="420" spans="1:16" ht="22.5">
      <c r="A420" s="59">
        <v>2</v>
      </c>
      <c r="B420" s="207"/>
      <c r="C420" s="208" t="s">
        <v>510</v>
      </c>
      <c r="D420" s="238" t="s">
        <v>511</v>
      </c>
      <c r="E420" s="210">
        <v>32</v>
      </c>
      <c r="F420" s="127" t="s">
        <v>480</v>
      </c>
      <c r="G420" s="237" t="s">
        <v>475</v>
      </c>
      <c r="H420" s="255">
        <v>95.8</v>
      </c>
      <c r="I420" s="256"/>
      <c r="J420" s="257"/>
      <c r="K420" s="257"/>
      <c r="L420" s="944"/>
      <c r="M420" s="938" t="s">
        <v>2228</v>
      </c>
      <c r="N420" s="938" t="s">
        <v>2238</v>
      </c>
      <c r="O420" s="937"/>
      <c r="P420" s="948" t="s">
        <v>392</v>
      </c>
    </row>
    <row r="421" spans="1:16" ht="56.25">
      <c r="A421" s="59">
        <v>2</v>
      </c>
      <c r="B421" s="207"/>
      <c r="C421" s="208" t="s">
        <v>512</v>
      </c>
      <c r="D421" s="238" t="s">
        <v>513</v>
      </c>
      <c r="E421" s="210">
        <v>32</v>
      </c>
      <c r="F421" s="127" t="s">
        <v>474</v>
      </c>
      <c r="G421" s="237" t="s">
        <v>475</v>
      </c>
      <c r="H421" s="255">
        <f>52.8+1.6</f>
        <v>54.4</v>
      </c>
      <c r="I421" s="256">
        <f>11.8+1.6</f>
        <v>13.4</v>
      </c>
      <c r="J421" s="257"/>
      <c r="K421" s="257"/>
      <c r="L421" s="944"/>
      <c r="M421" s="936" t="s">
        <v>2233</v>
      </c>
      <c r="N421" s="938" t="s">
        <v>2239</v>
      </c>
      <c r="O421" s="249">
        <v>100</v>
      </c>
      <c r="P421" s="951" t="s">
        <v>399</v>
      </c>
    </row>
    <row r="422" spans="1:16" ht="45">
      <c r="A422" s="59">
        <v>2</v>
      </c>
      <c r="B422" s="240"/>
      <c r="C422" s="241" t="s">
        <v>514</v>
      </c>
      <c r="D422" s="1127" t="s">
        <v>515</v>
      </c>
      <c r="E422" s="242">
        <v>32</v>
      </c>
      <c r="F422" s="243" t="s">
        <v>480</v>
      </c>
      <c r="G422" s="237" t="s">
        <v>475</v>
      </c>
      <c r="H422" s="827">
        <f>25.2-2.2</f>
        <v>23</v>
      </c>
      <c r="I422" s="828">
        <v>37</v>
      </c>
      <c r="J422" s="830">
        <v>37</v>
      </c>
      <c r="K422" s="830">
        <v>8</v>
      </c>
      <c r="L422" s="944"/>
      <c r="M422" s="938" t="s">
        <v>2240</v>
      </c>
      <c r="N422" s="938" t="s">
        <v>2241</v>
      </c>
      <c r="O422" s="939">
        <v>6</v>
      </c>
      <c r="P422" s="951" t="s">
        <v>516</v>
      </c>
    </row>
    <row r="423" spans="1:16">
      <c r="A423" s="59">
        <v>2</v>
      </c>
      <c r="B423" s="240"/>
      <c r="C423" s="244"/>
      <c r="D423" s="1181"/>
      <c r="E423" s="242">
        <v>32</v>
      </c>
      <c r="F423" s="243" t="s">
        <v>474</v>
      </c>
      <c r="G423" s="245" t="s">
        <v>193</v>
      </c>
      <c r="H423" s="827"/>
      <c r="I423" s="828">
        <v>60</v>
      </c>
      <c r="J423" s="830">
        <v>60</v>
      </c>
      <c r="K423" s="830"/>
      <c r="L423" s="944"/>
      <c r="M423" s="938" t="s">
        <v>2240</v>
      </c>
      <c r="N423" s="938"/>
      <c r="O423" s="939"/>
      <c r="P423" s="951"/>
    </row>
    <row r="424" spans="1:16">
      <c r="A424" s="183">
        <v>2</v>
      </c>
      <c r="B424" s="240"/>
      <c r="C424" s="244"/>
      <c r="D424" s="1128"/>
      <c r="E424" s="240">
        <v>20</v>
      </c>
      <c r="F424" s="243" t="s">
        <v>517</v>
      </c>
      <c r="G424" s="237" t="s">
        <v>475</v>
      </c>
      <c r="H424" s="827">
        <f>2.2</f>
        <v>2.2000000000000002</v>
      </c>
      <c r="I424" s="828"/>
      <c r="J424" s="830"/>
      <c r="K424" s="830"/>
      <c r="L424" s="944"/>
      <c r="M424" s="938"/>
      <c r="N424" s="938"/>
      <c r="O424" s="939"/>
      <c r="P424" s="951" t="s">
        <v>516</v>
      </c>
    </row>
    <row r="425" spans="1:16" ht="33.75">
      <c r="A425" s="59">
        <v>2</v>
      </c>
      <c r="B425" s="240"/>
      <c r="C425" s="244" t="s">
        <v>518</v>
      </c>
      <c r="D425" s="234" t="s">
        <v>519</v>
      </c>
      <c r="E425" s="240">
        <v>32</v>
      </c>
      <c r="F425" s="246" t="s">
        <v>480</v>
      </c>
      <c r="G425" s="237" t="s">
        <v>475</v>
      </c>
      <c r="H425" s="827"/>
      <c r="I425" s="828"/>
      <c r="J425" s="830">
        <v>84.6</v>
      </c>
      <c r="K425" s="830">
        <v>46.4</v>
      </c>
      <c r="L425" s="944"/>
      <c r="M425" s="938" t="s">
        <v>2233</v>
      </c>
      <c r="N425" s="938"/>
      <c r="O425" s="939"/>
      <c r="P425" s="951"/>
    </row>
    <row r="426" spans="1:16" ht="33.75">
      <c r="A426" s="59">
        <v>2</v>
      </c>
      <c r="B426" s="240"/>
      <c r="C426" s="244" t="s">
        <v>520</v>
      </c>
      <c r="D426" s="234" t="s">
        <v>521</v>
      </c>
      <c r="E426" s="240">
        <v>32</v>
      </c>
      <c r="F426" s="246" t="s">
        <v>480</v>
      </c>
      <c r="G426" s="237" t="s">
        <v>475</v>
      </c>
      <c r="H426" s="827"/>
      <c r="I426" s="828">
        <v>66.5</v>
      </c>
      <c r="J426" s="830"/>
      <c r="K426" s="830"/>
      <c r="L426" s="944"/>
      <c r="M426" s="938" t="s">
        <v>2240</v>
      </c>
      <c r="N426" s="938" t="s">
        <v>2242</v>
      </c>
      <c r="O426" s="939">
        <v>3.5</v>
      </c>
      <c r="P426" s="951" t="s">
        <v>458</v>
      </c>
    </row>
    <row r="427" spans="1:16" ht="33.75">
      <c r="A427" s="59">
        <v>2</v>
      </c>
      <c r="B427" s="240"/>
      <c r="C427" s="244" t="s">
        <v>522</v>
      </c>
      <c r="D427" s="236" t="s">
        <v>523</v>
      </c>
      <c r="E427" s="240">
        <v>32</v>
      </c>
      <c r="F427" s="246" t="s">
        <v>480</v>
      </c>
      <c r="G427" s="237" t="s">
        <v>475</v>
      </c>
      <c r="H427" s="827"/>
      <c r="I427" s="828"/>
      <c r="J427" s="830"/>
      <c r="K427" s="830">
        <v>63.9</v>
      </c>
      <c r="L427" s="944"/>
      <c r="M427" s="938" t="s">
        <v>2233</v>
      </c>
      <c r="N427" s="938"/>
      <c r="O427" s="939"/>
      <c r="P427" s="951"/>
    </row>
    <row r="428" spans="1:16" ht="33.75">
      <c r="A428" s="59">
        <v>2</v>
      </c>
      <c r="B428" s="232"/>
      <c r="C428" s="232" t="s">
        <v>524</v>
      </c>
      <c r="D428" s="247" t="s">
        <v>525</v>
      </c>
      <c r="E428" s="235">
        <v>32</v>
      </c>
      <c r="F428" s="236" t="s">
        <v>526</v>
      </c>
      <c r="G428" s="248" t="s">
        <v>267</v>
      </c>
      <c r="H428" s="831">
        <v>110.9</v>
      </c>
      <c r="I428" s="285">
        <v>39</v>
      </c>
      <c r="J428" s="832"/>
      <c r="K428" s="832"/>
      <c r="L428" s="945"/>
      <c r="M428" s="938" t="s">
        <v>2228</v>
      </c>
      <c r="N428" s="938" t="s">
        <v>2243</v>
      </c>
      <c r="O428" s="939">
        <v>10</v>
      </c>
      <c r="P428" s="948" t="s">
        <v>392</v>
      </c>
    </row>
    <row r="429" spans="1:16">
      <c r="A429" s="59">
        <v>2</v>
      </c>
      <c r="B429" s="232"/>
      <c r="C429" s="232" t="s">
        <v>524</v>
      </c>
      <c r="D429" s="236"/>
      <c r="E429" s="235">
        <v>32</v>
      </c>
      <c r="F429" s="236" t="s">
        <v>526</v>
      </c>
      <c r="G429" s="248" t="s">
        <v>269</v>
      </c>
      <c r="H429" s="831">
        <v>19.600000000000001</v>
      </c>
      <c r="I429" s="285">
        <v>6.9</v>
      </c>
      <c r="J429" s="254"/>
      <c r="K429" s="254"/>
      <c r="L429" s="945"/>
      <c r="M429" s="938" t="s">
        <v>2228</v>
      </c>
      <c r="N429" s="938"/>
      <c r="O429" s="939"/>
      <c r="P429" s="948" t="s">
        <v>392</v>
      </c>
    </row>
    <row r="430" spans="1:16">
      <c r="A430" s="59">
        <v>2</v>
      </c>
      <c r="B430" s="207"/>
      <c r="C430" s="207" t="s">
        <v>524</v>
      </c>
      <c r="D430" s="127"/>
      <c r="E430" s="210">
        <v>32</v>
      </c>
      <c r="F430" s="127" t="s">
        <v>526</v>
      </c>
      <c r="G430" s="249" t="s">
        <v>193</v>
      </c>
      <c r="H430" s="70">
        <v>56.9</v>
      </c>
      <c r="I430" s="71">
        <v>64.5</v>
      </c>
      <c r="J430" s="254"/>
      <c r="K430" s="254"/>
      <c r="L430" s="945" t="s">
        <v>268</v>
      </c>
      <c r="M430" s="938" t="s">
        <v>2228</v>
      </c>
      <c r="N430" s="938"/>
      <c r="O430" s="939"/>
      <c r="P430" s="948" t="s">
        <v>392</v>
      </c>
    </row>
    <row r="431" spans="1:16">
      <c r="A431" s="59">
        <v>2</v>
      </c>
      <c r="B431" s="207"/>
      <c r="C431" s="207" t="s">
        <v>524</v>
      </c>
      <c r="D431" s="127"/>
      <c r="E431" s="210">
        <v>32</v>
      </c>
      <c r="F431" s="127" t="s">
        <v>526</v>
      </c>
      <c r="G431" s="250" t="s">
        <v>459</v>
      </c>
      <c r="H431" s="251">
        <f>SUM(H428:H430)</f>
        <v>187.4</v>
      </c>
      <c r="I431" s="251">
        <f t="shared" ref="I431:K431" si="69">SUM(I428:I430)</f>
        <v>110.4</v>
      </c>
      <c r="J431" s="251">
        <f t="shared" si="69"/>
        <v>0</v>
      </c>
      <c r="K431" s="251">
        <f t="shared" si="69"/>
        <v>0</v>
      </c>
      <c r="L431" s="945"/>
      <c r="M431" s="249"/>
      <c r="N431" s="938"/>
      <c r="O431" s="939"/>
      <c r="P431" s="948"/>
    </row>
    <row r="432" spans="1:16" ht="22.5">
      <c r="A432" s="183">
        <v>2</v>
      </c>
      <c r="B432" s="207"/>
      <c r="C432" s="207" t="s">
        <v>527</v>
      </c>
      <c r="D432" s="247" t="s">
        <v>528</v>
      </c>
      <c r="E432" s="210">
        <v>32</v>
      </c>
      <c r="F432" s="127" t="s">
        <v>529</v>
      </c>
      <c r="G432" s="249" t="s">
        <v>267</v>
      </c>
      <c r="H432" s="252"/>
      <c r="I432" s="253">
        <v>238.2</v>
      </c>
      <c r="J432" s="254"/>
      <c r="K432" s="254"/>
      <c r="L432" s="945"/>
      <c r="M432" s="933" t="s">
        <v>2228</v>
      </c>
      <c r="N432" s="940" t="s">
        <v>2244</v>
      </c>
      <c r="O432" s="939">
        <v>8</v>
      </c>
      <c r="P432" s="951" t="s">
        <v>516</v>
      </c>
    </row>
    <row r="433" spans="1:16">
      <c r="A433" s="59">
        <v>2</v>
      </c>
      <c r="B433" s="207"/>
      <c r="C433" s="207" t="s">
        <v>527</v>
      </c>
      <c r="D433" s="127"/>
      <c r="E433" s="210">
        <v>32</v>
      </c>
      <c r="F433" s="127" t="s">
        <v>529</v>
      </c>
      <c r="G433" s="249" t="s">
        <v>269</v>
      </c>
      <c r="H433" s="252"/>
      <c r="I433" s="253">
        <v>42.1</v>
      </c>
      <c r="J433" s="254"/>
      <c r="K433" s="254"/>
      <c r="L433" s="945"/>
      <c r="M433" s="249"/>
      <c r="N433" s="938"/>
      <c r="O433" s="939"/>
      <c r="P433" s="951" t="s">
        <v>516</v>
      </c>
    </row>
    <row r="434" spans="1:16">
      <c r="A434" s="59">
        <v>2</v>
      </c>
      <c r="B434" s="207"/>
      <c r="C434" s="207" t="s">
        <v>527</v>
      </c>
      <c r="D434" s="127"/>
      <c r="E434" s="210">
        <v>32</v>
      </c>
      <c r="F434" s="127" t="s">
        <v>529</v>
      </c>
      <c r="G434" s="249" t="s">
        <v>530</v>
      </c>
      <c r="H434" s="70">
        <v>6.1</v>
      </c>
      <c r="I434" s="253">
        <v>86.2</v>
      </c>
      <c r="J434" s="254"/>
      <c r="K434" s="254"/>
      <c r="L434" s="945"/>
      <c r="M434" s="249"/>
      <c r="N434" s="938"/>
      <c r="O434" s="939"/>
      <c r="P434" s="951" t="s">
        <v>516</v>
      </c>
    </row>
    <row r="435" spans="1:16">
      <c r="A435" s="59">
        <v>2</v>
      </c>
      <c r="B435" s="207"/>
      <c r="C435" s="207" t="s">
        <v>527</v>
      </c>
      <c r="D435" s="127"/>
      <c r="E435" s="210">
        <v>32</v>
      </c>
      <c r="F435" s="127" t="s">
        <v>529</v>
      </c>
      <c r="G435" s="249" t="s">
        <v>193</v>
      </c>
      <c r="H435" s="252">
        <v>4.5999999999999996</v>
      </c>
      <c r="I435" s="253">
        <v>64.599999999999994</v>
      </c>
      <c r="J435" s="254"/>
      <c r="K435" s="254"/>
      <c r="L435" s="945" t="s">
        <v>268</v>
      </c>
      <c r="M435" s="249"/>
      <c r="N435" s="938"/>
      <c r="O435" s="939"/>
      <c r="P435" s="951" t="s">
        <v>516</v>
      </c>
    </row>
    <row r="436" spans="1:16">
      <c r="A436" s="59">
        <v>2</v>
      </c>
      <c r="B436" s="207"/>
      <c r="C436" s="207" t="s">
        <v>527</v>
      </c>
      <c r="D436" s="127"/>
      <c r="E436" s="210">
        <v>32</v>
      </c>
      <c r="F436" s="127" t="s">
        <v>529</v>
      </c>
      <c r="G436" s="250" t="s">
        <v>459</v>
      </c>
      <c r="H436" s="251">
        <f t="shared" ref="H436:K436" si="70">SUM(H432:H435)</f>
        <v>10.7</v>
      </c>
      <c r="I436" s="251">
        <f t="shared" si="70"/>
        <v>431.1</v>
      </c>
      <c r="J436" s="251">
        <f t="shared" si="70"/>
        <v>0</v>
      </c>
      <c r="K436" s="251">
        <f t="shared" si="70"/>
        <v>0</v>
      </c>
      <c r="L436" s="328"/>
      <c r="M436" s="59"/>
      <c r="N436" s="260"/>
      <c r="O436" s="193"/>
      <c r="P436" s="948"/>
    </row>
    <row r="437" spans="1:16">
      <c r="A437" s="59">
        <v>2</v>
      </c>
      <c r="B437" s="190" t="s">
        <v>531</v>
      </c>
      <c r="C437" s="190" t="s">
        <v>531</v>
      </c>
      <c r="D437" s="198" t="s">
        <v>532</v>
      </c>
      <c r="E437" s="192"/>
      <c r="F437" s="41"/>
      <c r="G437" s="253"/>
      <c r="H437" s="85">
        <f>H439+H447</f>
        <v>215.5</v>
      </c>
      <c r="I437" s="85">
        <f t="shared" ref="I437:K437" si="71">I439+I447</f>
        <v>410.8</v>
      </c>
      <c r="J437" s="85">
        <f t="shared" si="71"/>
        <v>215.5</v>
      </c>
      <c r="K437" s="85">
        <f t="shared" si="71"/>
        <v>215.5</v>
      </c>
      <c r="L437" s="328"/>
      <c r="M437" s="59"/>
      <c r="N437" s="260"/>
      <c r="O437" s="193"/>
      <c r="P437" s="948"/>
    </row>
    <row r="438" spans="1:16" ht="45">
      <c r="A438" s="59">
        <v>2</v>
      </c>
      <c r="B438" s="54"/>
      <c r="C438" s="54" t="s">
        <v>533</v>
      </c>
      <c r="D438" s="205" t="s">
        <v>534</v>
      </c>
      <c r="E438" s="41">
        <v>32</v>
      </c>
      <c r="F438" s="41" t="s">
        <v>535</v>
      </c>
      <c r="G438" s="253" t="s">
        <v>475</v>
      </c>
      <c r="H438" s="253">
        <f>SUM(H440,H441,H443,H444,H445,H442)</f>
        <v>212</v>
      </c>
      <c r="I438" s="253">
        <f t="shared" ref="I438:K438" si="72">SUM(I440,I441,I443,I444,I445,I442)</f>
        <v>407.3</v>
      </c>
      <c r="J438" s="253">
        <f t="shared" si="72"/>
        <v>212</v>
      </c>
      <c r="K438" s="253">
        <f t="shared" si="72"/>
        <v>212</v>
      </c>
      <c r="L438" s="328"/>
      <c r="M438" s="930" t="s">
        <v>2228</v>
      </c>
      <c r="N438" s="930" t="s">
        <v>2245</v>
      </c>
      <c r="O438" s="59">
        <v>100</v>
      </c>
      <c r="P438" s="948" t="s">
        <v>536</v>
      </c>
    </row>
    <row r="439" spans="1:16">
      <c r="A439" s="59">
        <v>2</v>
      </c>
      <c r="B439" s="54"/>
      <c r="C439" s="54" t="s">
        <v>533</v>
      </c>
      <c r="D439" s="40"/>
      <c r="E439" s="41"/>
      <c r="F439" s="40"/>
      <c r="G439" s="197" t="s">
        <v>459</v>
      </c>
      <c r="H439" s="53">
        <f t="shared" ref="H439:K439" si="73">H438</f>
        <v>212</v>
      </c>
      <c r="I439" s="53">
        <f t="shared" si="73"/>
        <v>407.3</v>
      </c>
      <c r="J439" s="53">
        <f t="shared" si="73"/>
        <v>212</v>
      </c>
      <c r="K439" s="53">
        <f t="shared" si="73"/>
        <v>212</v>
      </c>
      <c r="L439" s="328"/>
      <c r="M439" s="59"/>
      <c r="N439" s="260"/>
      <c r="O439" s="193"/>
      <c r="P439" s="948"/>
    </row>
    <row r="440" spans="1:16" ht="33.75">
      <c r="A440" s="183">
        <v>2</v>
      </c>
      <c r="B440" s="54"/>
      <c r="C440" s="54" t="s">
        <v>537</v>
      </c>
      <c r="D440" s="40" t="s">
        <v>538</v>
      </c>
      <c r="E440" s="41">
        <v>32</v>
      </c>
      <c r="F440" s="41" t="s">
        <v>535</v>
      </c>
      <c r="G440" s="237" t="s">
        <v>475</v>
      </c>
      <c r="H440" s="255">
        <v>10</v>
      </c>
      <c r="I440" s="256">
        <v>99.8</v>
      </c>
      <c r="J440" s="257">
        <v>52</v>
      </c>
      <c r="K440" s="257">
        <v>52</v>
      </c>
      <c r="L440" s="945"/>
      <c r="M440" s="938" t="s">
        <v>2228</v>
      </c>
      <c r="N440" s="938" t="s">
        <v>2246</v>
      </c>
      <c r="O440" s="939">
        <v>77</v>
      </c>
      <c r="P440" s="948"/>
    </row>
    <row r="441" spans="1:16" ht="45">
      <c r="A441" s="59">
        <v>2</v>
      </c>
      <c r="B441" s="54"/>
      <c r="C441" s="54" t="s">
        <v>539</v>
      </c>
      <c r="D441" s="40" t="s">
        <v>540</v>
      </c>
      <c r="E441" s="41">
        <v>32</v>
      </c>
      <c r="F441" s="41" t="s">
        <v>535</v>
      </c>
      <c r="G441" s="237" t="s">
        <v>475</v>
      </c>
      <c r="H441" s="255">
        <v>140</v>
      </c>
      <c r="I441" s="256">
        <v>180</v>
      </c>
      <c r="J441" s="257">
        <v>150</v>
      </c>
      <c r="K441" s="257">
        <v>150</v>
      </c>
      <c r="L441" s="945"/>
      <c r="M441" s="938" t="s">
        <v>2228</v>
      </c>
      <c r="N441" s="938" t="s">
        <v>2247</v>
      </c>
      <c r="O441" s="939">
        <v>7</v>
      </c>
      <c r="P441" s="948"/>
    </row>
    <row r="442" spans="1:16" ht="33.75">
      <c r="A442" s="59">
        <v>2</v>
      </c>
      <c r="B442" s="54"/>
      <c r="C442" s="54" t="s">
        <v>541</v>
      </c>
      <c r="D442" s="40" t="s">
        <v>542</v>
      </c>
      <c r="E442" s="41">
        <v>32</v>
      </c>
      <c r="F442" s="41" t="s">
        <v>535</v>
      </c>
      <c r="G442" s="237" t="s">
        <v>475</v>
      </c>
      <c r="H442" s="255"/>
      <c r="I442" s="256">
        <v>25</v>
      </c>
      <c r="J442" s="257"/>
      <c r="K442" s="257"/>
      <c r="L442" s="945"/>
      <c r="M442" s="75"/>
      <c r="N442" s="764"/>
      <c r="O442" s="178"/>
      <c r="P442" s="948"/>
    </row>
    <row r="443" spans="1:16" ht="22.5">
      <c r="A443" s="59">
        <v>2</v>
      </c>
      <c r="B443" s="54"/>
      <c r="C443" s="54" t="s">
        <v>543</v>
      </c>
      <c r="D443" s="907" t="s">
        <v>544</v>
      </c>
      <c r="E443" s="41">
        <v>32</v>
      </c>
      <c r="F443" s="41" t="s">
        <v>535</v>
      </c>
      <c r="G443" s="237" t="s">
        <v>475</v>
      </c>
      <c r="H443" s="255">
        <v>60.5</v>
      </c>
      <c r="I443" s="256">
        <v>87</v>
      </c>
      <c r="J443" s="257"/>
      <c r="K443" s="257"/>
      <c r="L443" s="945"/>
      <c r="M443" s="938" t="s">
        <v>2228</v>
      </c>
      <c r="N443" s="938" t="s">
        <v>2238</v>
      </c>
      <c r="O443" s="939">
        <v>1.5</v>
      </c>
      <c r="P443" s="948" t="s">
        <v>392</v>
      </c>
    </row>
    <row r="444" spans="1:16" ht="22.5">
      <c r="A444" s="59">
        <v>2</v>
      </c>
      <c r="B444" s="54"/>
      <c r="C444" s="420" t="s">
        <v>545</v>
      </c>
      <c r="D444" s="906" t="s">
        <v>546</v>
      </c>
      <c r="E444" s="138">
        <v>32</v>
      </c>
      <c r="F444" s="41" t="s">
        <v>535</v>
      </c>
      <c r="G444" s="237" t="s">
        <v>475</v>
      </c>
      <c r="H444" s="255">
        <v>1.5</v>
      </c>
      <c r="I444" s="256">
        <v>1.5</v>
      </c>
      <c r="J444" s="257"/>
      <c r="K444" s="257"/>
      <c r="L444" s="945"/>
      <c r="M444" s="938" t="s">
        <v>2228</v>
      </c>
      <c r="N444" s="938" t="s">
        <v>2248</v>
      </c>
      <c r="O444" s="939">
        <v>1</v>
      </c>
      <c r="P444" s="948" t="s">
        <v>392</v>
      </c>
    </row>
    <row r="445" spans="1:16">
      <c r="A445" s="59">
        <v>2</v>
      </c>
      <c r="B445" s="54"/>
      <c r="C445" s="420" t="s">
        <v>547</v>
      </c>
      <c r="D445" s="906" t="s">
        <v>548</v>
      </c>
      <c r="E445" s="138">
        <v>32</v>
      </c>
      <c r="F445" s="41" t="s">
        <v>549</v>
      </c>
      <c r="G445" s="237" t="s">
        <v>475</v>
      </c>
      <c r="H445" s="255"/>
      <c r="I445" s="256">
        <v>14</v>
      </c>
      <c r="J445" s="257">
        <v>10</v>
      </c>
      <c r="K445" s="257">
        <v>10</v>
      </c>
      <c r="L445" s="945"/>
      <c r="M445" s="938"/>
      <c r="N445" s="938"/>
      <c r="O445" s="939"/>
      <c r="P445" s="948" t="s">
        <v>392</v>
      </c>
    </row>
    <row r="446" spans="1:16" ht="45">
      <c r="A446" s="59">
        <v>2</v>
      </c>
      <c r="B446" s="54" t="s">
        <v>531</v>
      </c>
      <c r="C446" s="54" t="s">
        <v>550</v>
      </c>
      <c r="D446" s="277" t="s">
        <v>551</v>
      </c>
      <c r="E446" s="41">
        <v>32</v>
      </c>
      <c r="F446" s="41" t="s">
        <v>552</v>
      </c>
      <c r="G446" s="237" t="s">
        <v>475</v>
      </c>
      <c r="H446" s="70">
        <v>3.5</v>
      </c>
      <c r="I446" s="71">
        <v>3.5</v>
      </c>
      <c r="J446" s="258">
        <v>3.5</v>
      </c>
      <c r="K446" s="258">
        <v>3.5</v>
      </c>
      <c r="L446" s="945"/>
      <c r="M446" s="952" t="s">
        <v>2233</v>
      </c>
      <c r="N446" s="940" t="s">
        <v>2249</v>
      </c>
      <c r="O446" s="59">
        <v>1</v>
      </c>
      <c r="P446" s="948"/>
    </row>
    <row r="447" spans="1:16">
      <c r="A447" s="59">
        <v>2</v>
      </c>
      <c r="B447" s="54" t="s">
        <v>531</v>
      </c>
      <c r="C447" s="54" t="s">
        <v>550</v>
      </c>
      <c r="D447" s="40"/>
      <c r="E447" s="41"/>
      <c r="F447" s="41" t="s">
        <v>552</v>
      </c>
      <c r="G447" s="197" t="s">
        <v>459</v>
      </c>
      <c r="H447" s="53">
        <f t="shared" ref="H447:K447" si="74">H446</f>
        <v>3.5</v>
      </c>
      <c r="I447" s="53">
        <f t="shared" si="74"/>
        <v>3.5</v>
      </c>
      <c r="J447" s="53">
        <f t="shared" si="74"/>
        <v>3.5</v>
      </c>
      <c r="K447" s="53">
        <f t="shared" si="74"/>
        <v>3.5</v>
      </c>
      <c r="L447" s="328"/>
      <c r="M447" s="59"/>
      <c r="N447" s="260"/>
      <c r="O447" s="193"/>
      <c r="P447" s="948"/>
    </row>
    <row r="448" spans="1:16" ht="22.5">
      <c r="A448" s="59">
        <v>2</v>
      </c>
      <c r="B448" s="199"/>
      <c r="C448" s="199"/>
      <c r="D448" s="200" t="s">
        <v>553</v>
      </c>
      <c r="E448" s="201"/>
      <c r="F448" s="202"/>
      <c r="G448" s="201"/>
      <c r="H448" s="451"/>
      <c r="I448" s="451"/>
      <c r="J448" s="816"/>
      <c r="K448" s="816"/>
      <c r="L448" s="328"/>
      <c r="M448" s="59"/>
      <c r="N448" s="260"/>
      <c r="O448" s="193"/>
      <c r="P448" s="948"/>
    </row>
    <row r="449" spans="1:16" ht="33.75">
      <c r="A449" s="59">
        <v>2</v>
      </c>
      <c r="B449" s="190" t="s">
        <v>554</v>
      </c>
      <c r="C449" s="190" t="s">
        <v>554</v>
      </c>
      <c r="D449" s="198" t="s">
        <v>555</v>
      </c>
      <c r="E449" s="192" t="s">
        <v>132</v>
      </c>
      <c r="F449" s="41" t="s">
        <v>556</v>
      </c>
      <c r="G449" s="193" t="s">
        <v>193</v>
      </c>
      <c r="H449" s="43">
        <v>204.4</v>
      </c>
      <c r="I449" s="44">
        <f>209.1+23.4</f>
        <v>232.5</v>
      </c>
      <c r="J449" s="917">
        <f>215.9+23.4</f>
        <v>239.3</v>
      </c>
      <c r="K449" s="917">
        <f>226.1+23.4</f>
        <v>249.5</v>
      </c>
      <c r="L449" s="328" t="s">
        <v>194</v>
      </c>
      <c r="M449" s="59"/>
      <c r="N449" s="260"/>
      <c r="O449" s="193"/>
      <c r="P449" s="948"/>
    </row>
    <row r="450" spans="1:16">
      <c r="A450" s="59">
        <v>2</v>
      </c>
      <c r="B450" s="54"/>
      <c r="C450" s="54" t="s">
        <v>554</v>
      </c>
      <c r="D450" s="40"/>
      <c r="E450" s="41" t="s">
        <v>132</v>
      </c>
      <c r="F450" s="41" t="s">
        <v>556</v>
      </c>
      <c r="G450" s="41" t="s">
        <v>196</v>
      </c>
      <c r="H450" s="862">
        <v>185.2</v>
      </c>
      <c r="I450" s="863">
        <v>105.1</v>
      </c>
      <c r="J450" s="70">
        <v>105.1</v>
      </c>
      <c r="K450" s="70">
        <v>105.1</v>
      </c>
      <c r="L450" s="328"/>
      <c r="M450" s="59"/>
      <c r="N450" s="260"/>
      <c r="O450" s="193"/>
      <c r="P450" s="948"/>
    </row>
    <row r="451" spans="1:16">
      <c r="A451" s="59">
        <v>2</v>
      </c>
      <c r="B451" s="54"/>
      <c r="C451" s="54" t="s">
        <v>554</v>
      </c>
      <c r="D451" s="40"/>
      <c r="E451" s="41" t="s">
        <v>132</v>
      </c>
      <c r="F451" s="41" t="s">
        <v>556</v>
      </c>
      <c r="G451" s="197" t="s">
        <v>459</v>
      </c>
      <c r="H451" s="53">
        <f>SUM(H449:H450)</f>
        <v>389.6</v>
      </c>
      <c r="I451" s="53">
        <f>SUM(I449:I450)</f>
        <v>337.6</v>
      </c>
      <c r="J451" s="53">
        <f>SUM(J449:J450)</f>
        <v>344.4</v>
      </c>
      <c r="K451" s="53">
        <f>SUM(K449:K450)</f>
        <v>354.6</v>
      </c>
      <c r="L451" s="328"/>
      <c r="M451" s="59"/>
      <c r="N451" s="260"/>
      <c r="O451" s="193"/>
      <c r="P451" s="948"/>
    </row>
    <row r="452" spans="1:16">
      <c r="A452" s="59">
        <v>2</v>
      </c>
      <c r="B452" s="190" t="s">
        <v>557</v>
      </c>
      <c r="C452" s="190" t="s">
        <v>557</v>
      </c>
      <c r="D452" s="198" t="s">
        <v>558</v>
      </c>
      <c r="E452" s="41" t="s">
        <v>132</v>
      </c>
      <c r="F452" s="41" t="s">
        <v>559</v>
      </c>
      <c r="G452" s="196" t="s">
        <v>196</v>
      </c>
      <c r="H452" s="43"/>
      <c r="I452" s="44">
        <v>140</v>
      </c>
      <c r="J452" s="917">
        <v>140</v>
      </c>
      <c r="K452" s="917">
        <v>140</v>
      </c>
      <c r="L452" s="328"/>
      <c r="M452" s="59"/>
      <c r="N452" s="260"/>
      <c r="O452" s="193"/>
      <c r="P452" s="948"/>
    </row>
    <row r="453" spans="1:16">
      <c r="A453" s="59">
        <v>2</v>
      </c>
      <c r="B453" s="54"/>
      <c r="C453" s="54"/>
      <c r="D453" s="40"/>
      <c r="E453" s="41"/>
      <c r="F453" s="41"/>
      <c r="G453" s="197" t="s">
        <v>459</v>
      </c>
      <c r="H453" s="53">
        <f>SUM(H452)</f>
        <v>0</v>
      </c>
      <c r="I453" s="53">
        <f t="shared" ref="I453:K453" si="75">SUM(I452)</f>
        <v>140</v>
      </c>
      <c r="J453" s="53">
        <f t="shared" si="75"/>
        <v>140</v>
      </c>
      <c r="K453" s="53">
        <f t="shared" si="75"/>
        <v>140</v>
      </c>
      <c r="L453" s="328"/>
      <c r="M453" s="59"/>
      <c r="N453" s="260"/>
      <c r="O453" s="193"/>
      <c r="P453" s="948"/>
    </row>
    <row r="454" spans="1:16">
      <c r="A454" s="183">
        <v>2</v>
      </c>
      <c r="B454" s="190" t="s">
        <v>560</v>
      </c>
      <c r="C454" s="190" t="s">
        <v>560</v>
      </c>
      <c r="D454" s="198" t="s">
        <v>561</v>
      </c>
      <c r="E454" s="192"/>
      <c r="F454" s="41"/>
      <c r="G454" s="44"/>
      <c r="H454" s="85">
        <f>SUM(H462,H464,H466,H468,H471,H476,H480,H484,H489,H493,H496,H500,H503,H505,H507)</f>
        <v>1109.9000000000001</v>
      </c>
      <c r="I454" s="85">
        <f>SUM(I462,I464,I466,I468,I471,I476,I480,I484,I489,I493,I496,I500,I503,I505,I507)</f>
        <v>2122.6999999999998</v>
      </c>
      <c r="J454" s="85">
        <f>SUM(J462,J464,J466,J468,J471,J476,J480,J484,J489,J493,J496,J500,J503,J505,J507)</f>
        <v>990.3</v>
      </c>
      <c r="K454" s="85">
        <f>SUM(K462,K464,K466,K468,K471,K476,K480,K484,K489,K493,K496,K500,K503,K505,K507)</f>
        <v>184.9</v>
      </c>
      <c r="L454" s="328"/>
      <c r="M454" s="59"/>
      <c r="N454" s="260"/>
      <c r="O454" s="193"/>
      <c r="P454" s="948"/>
    </row>
    <row r="455" spans="1:16">
      <c r="A455" s="59">
        <v>2</v>
      </c>
      <c r="B455" s="259"/>
      <c r="C455" s="54" t="s">
        <v>560</v>
      </c>
      <c r="D455" s="260"/>
      <c r="E455" s="192"/>
      <c r="F455" s="41"/>
      <c r="G455" s="44" t="s">
        <v>193</v>
      </c>
      <c r="H455" s="44">
        <f>SUM(H460,H463,H465,H467,H469,H472,H473,H479,H481,H483,H485,H490,H494,H497,H501,H491,H498,H499,H504,H482,H486,H488,H506,H487)</f>
        <v>451.59999999999997</v>
      </c>
      <c r="I455" s="44">
        <f t="shared" ref="I455:K455" si="76">SUM(I460,I463,I465,I467,I469,I472,I473,I479,I481,I483,I485,I490,I494,I497,I501,I491,I498,I499,I504,I482,I486,I488,I506,I487)</f>
        <v>508.9</v>
      </c>
      <c r="J455" s="44">
        <f t="shared" si="76"/>
        <v>817.9</v>
      </c>
      <c r="K455" s="44">
        <f t="shared" si="76"/>
        <v>184.9</v>
      </c>
      <c r="L455" s="328"/>
      <c r="M455" s="59"/>
      <c r="N455" s="260"/>
      <c r="O455" s="193"/>
      <c r="P455" s="948"/>
    </row>
    <row r="456" spans="1:16">
      <c r="A456" s="59">
        <v>2</v>
      </c>
      <c r="B456" s="54"/>
      <c r="C456" s="54" t="s">
        <v>560</v>
      </c>
      <c r="D456" s="40"/>
      <c r="E456" s="41"/>
      <c r="F456" s="40"/>
      <c r="G456" s="44" t="s">
        <v>267</v>
      </c>
      <c r="H456" s="44">
        <f>SUM(H470,H474,H478,H492,H495,H502)</f>
        <v>455.9</v>
      </c>
      <c r="I456" s="44">
        <f>SUM(I470,I474,I478,I492,I495,I502)</f>
        <v>1018.1</v>
      </c>
      <c r="J456" s="44">
        <f>SUM(J470,J474,J478,J492,J495,J502)</f>
        <v>142.19999999999999</v>
      </c>
      <c r="K456" s="44">
        <f>SUM(K470,K474,K478,K492,K495,K502)</f>
        <v>0</v>
      </c>
      <c r="L456" s="328"/>
      <c r="M456" s="59"/>
      <c r="N456" s="260"/>
      <c r="O456" s="193"/>
      <c r="P456" s="948"/>
    </row>
    <row r="457" spans="1:16">
      <c r="A457" s="59">
        <v>2</v>
      </c>
      <c r="B457" s="54"/>
      <c r="C457" s="54" t="s">
        <v>560</v>
      </c>
      <c r="D457" s="40"/>
      <c r="E457" s="41"/>
      <c r="F457" s="40"/>
      <c r="G457" s="44" t="s">
        <v>380</v>
      </c>
      <c r="H457" s="44">
        <f t="shared" ref="H457:K457" si="77">SUM(H477)</f>
        <v>200</v>
      </c>
      <c r="I457" s="44">
        <f t="shared" si="77"/>
        <v>395.7</v>
      </c>
      <c r="J457" s="44">
        <f t="shared" si="77"/>
        <v>30.2</v>
      </c>
      <c r="K457" s="44">
        <f t="shared" si="77"/>
        <v>0</v>
      </c>
      <c r="L457" s="328"/>
      <c r="M457" s="59"/>
      <c r="N457" s="260"/>
      <c r="O457" s="193"/>
      <c r="P457" s="948"/>
    </row>
    <row r="458" spans="1:16">
      <c r="A458" s="59">
        <v>2</v>
      </c>
      <c r="B458" s="54"/>
      <c r="C458" s="54" t="s">
        <v>560</v>
      </c>
      <c r="D458" s="40"/>
      <c r="E458" s="41"/>
      <c r="F458" s="40"/>
      <c r="G458" s="44" t="s">
        <v>269</v>
      </c>
      <c r="H458" s="44">
        <f t="shared" ref="H458:K458" si="78">H475</f>
        <v>2.4</v>
      </c>
      <c r="I458" s="44">
        <f t="shared" si="78"/>
        <v>0</v>
      </c>
      <c r="J458" s="44">
        <f t="shared" si="78"/>
        <v>0</v>
      </c>
      <c r="K458" s="44">
        <f t="shared" si="78"/>
        <v>0</v>
      </c>
      <c r="L458" s="328"/>
      <c r="M458" s="59"/>
      <c r="N458" s="260"/>
      <c r="O458" s="193"/>
      <c r="P458" s="948"/>
    </row>
    <row r="459" spans="1:16">
      <c r="A459" s="59">
        <v>2</v>
      </c>
      <c r="B459" s="54"/>
      <c r="C459" s="54" t="s">
        <v>560</v>
      </c>
      <c r="D459" s="40"/>
      <c r="E459" s="41"/>
      <c r="F459" s="40"/>
      <c r="G459" s="261" t="s">
        <v>459</v>
      </c>
      <c r="H459" s="262">
        <f t="shared" ref="H459:K459" si="79">SUM(H455:H458)</f>
        <v>1109.9000000000001</v>
      </c>
      <c r="I459" s="262">
        <f t="shared" si="79"/>
        <v>1922.7</v>
      </c>
      <c r="J459" s="262">
        <f t="shared" si="79"/>
        <v>990.3</v>
      </c>
      <c r="K459" s="262">
        <f t="shared" si="79"/>
        <v>184.9</v>
      </c>
      <c r="L459" s="328"/>
      <c r="M459" s="59"/>
      <c r="N459" s="260"/>
      <c r="O459" s="193"/>
      <c r="P459" s="948"/>
    </row>
    <row r="460" spans="1:16">
      <c r="A460" s="59">
        <v>2</v>
      </c>
      <c r="B460" s="54"/>
      <c r="C460" s="54" t="s">
        <v>562</v>
      </c>
      <c r="D460" s="1168" t="s">
        <v>563</v>
      </c>
      <c r="E460" s="41" t="s">
        <v>272</v>
      </c>
      <c r="F460" s="193" t="s">
        <v>564</v>
      </c>
      <c r="G460" s="59" t="s">
        <v>193</v>
      </c>
      <c r="H460" s="43"/>
      <c r="I460" s="44">
        <f>222+68-200</f>
        <v>90</v>
      </c>
      <c r="J460" s="111"/>
      <c r="K460" s="111"/>
      <c r="L460" s="328" t="s">
        <v>398</v>
      </c>
      <c r="M460" s="930" t="s">
        <v>2167</v>
      </c>
      <c r="N460" s="941" t="s">
        <v>1121</v>
      </c>
      <c r="O460" s="178">
        <v>100</v>
      </c>
      <c r="P460" s="948" t="s">
        <v>565</v>
      </c>
    </row>
    <row r="461" spans="1:16">
      <c r="A461" s="59"/>
      <c r="B461" s="54"/>
      <c r="C461" s="54"/>
      <c r="D461" s="1170"/>
      <c r="E461" s="41" t="s">
        <v>272</v>
      </c>
      <c r="F461" s="193" t="s">
        <v>564</v>
      </c>
      <c r="G461" s="59" t="s">
        <v>381</v>
      </c>
      <c r="H461" s="43"/>
      <c r="I461" s="44">
        <v>200</v>
      </c>
      <c r="J461" s="111"/>
      <c r="K461" s="111"/>
      <c r="L461" s="328"/>
      <c r="M461" s="59"/>
      <c r="N461" s="260"/>
      <c r="O461" s="193"/>
      <c r="P461" s="948"/>
    </row>
    <row r="462" spans="1:16">
      <c r="A462" s="59">
        <v>2</v>
      </c>
      <c r="B462" s="54"/>
      <c r="C462" s="54"/>
      <c r="D462" s="76"/>
      <c r="E462" s="41"/>
      <c r="F462" s="193"/>
      <c r="G462" s="197" t="s">
        <v>459</v>
      </c>
      <c r="H462" s="53">
        <f>SUM(H460,H461)</f>
        <v>0</v>
      </c>
      <c r="I462" s="53">
        <f t="shared" ref="I462:K462" si="80">SUM(I460,I461)</f>
        <v>290</v>
      </c>
      <c r="J462" s="53">
        <f t="shared" si="80"/>
        <v>0</v>
      </c>
      <c r="K462" s="53">
        <f t="shared" si="80"/>
        <v>0</v>
      </c>
      <c r="L462" s="328"/>
      <c r="M462" s="59"/>
      <c r="N462" s="260"/>
      <c r="O462" s="193"/>
      <c r="P462" s="948"/>
    </row>
    <row r="463" spans="1:16">
      <c r="A463" s="183">
        <v>2</v>
      </c>
      <c r="B463" s="54"/>
      <c r="C463" s="54" t="s">
        <v>566</v>
      </c>
      <c r="D463" s="205" t="s">
        <v>567</v>
      </c>
      <c r="E463" s="41" t="s">
        <v>132</v>
      </c>
      <c r="F463" s="263" t="s">
        <v>568</v>
      </c>
      <c r="G463" s="59" t="s">
        <v>193</v>
      </c>
      <c r="H463" s="43"/>
      <c r="I463" s="44">
        <v>15</v>
      </c>
      <c r="J463" s="264">
        <v>45</v>
      </c>
      <c r="K463" s="111"/>
      <c r="L463" s="328" t="s">
        <v>398</v>
      </c>
      <c r="M463" s="59"/>
      <c r="N463" s="260"/>
      <c r="O463" s="193"/>
      <c r="P463" s="948" t="s">
        <v>392</v>
      </c>
    </row>
    <row r="464" spans="1:16">
      <c r="A464" s="59">
        <v>2</v>
      </c>
      <c r="B464" s="54"/>
      <c r="C464" s="54"/>
      <c r="D464" s="76"/>
      <c r="E464" s="41"/>
      <c r="F464" s="193"/>
      <c r="G464" s="197" t="s">
        <v>459</v>
      </c>
      <c r="H464" s="53">
        <f t="shared" ref="H464:K464" si="81">SUM(H463)</f>
        <v>0</v>
      </c>
      <c r="I464" s="53">
        <f t="shared" si="81"/>
        <v>15</v>
      </c>
      <c r="J464" s="53">
        <f t="shared" si="81"/>
        <v>45</v>
      </c>
      <c r="K464" s="53">
        <f t="shared" si="81"/>
        <v>0</v>
      </c>
      <c r="L464" s="328"/>
      <c r="M464" s="59"/>
      <c r="N464" s="260"/>
      <c r="O464" s="193"/>
      <c r="P464" s="948"/>
    </row>
    <row r="465" spans="1:16" ht="22.5">
      <c r="A465" s="59">
        <v>2</v>
      </c>
      <c r="B465" s="54"/>
      <c r="C465" s="54" t="s">
        <v>569</v>
      </c>
      <c r="D465" s="205" t="s">
        <v>570</v>
      </c>
      <c r="E465" s="41" t="s">
        <v>571</v>
      </c>
      <c r="F465" s="193" t="s">
        <v>572</v>
      </c>
      <c r="G465" s="59" t="s">
        <v>193</v>
      </c>
      <c r="H465" s="43">
        <v>32.4</v>
      </c>
      <c r="I465" s="44">
        <v>34.9</v>
      </c>
      <c r="J465" s="111">
        <v>34.9</v>
      </c>
      <c r="K465" s="111">
        <v>34.9</v>
      </c>
      <c r="L465" s="328" t="s">
        <v>274</v>
      </c>
      <c r="M465" s="930" t="s">
        <v>2051</v>
      </c>
      <c r="N465" s="941" t="s">
        <v>2250</v>
      </c>
      <c r="O465" s="178">
        <v>100</v>
      </c>
      <c r="P465" s="948"/>
    </row>
    <row r="466" spans="1:16">
      <c r="A466" s="59">
        <v>2</v>
      </c>
      <c r="B466" s="54"/>
      <c r="C466" s="54"/>
      <c r="D466" s="76"/>
      <c r="E466" s="41"/>
      <c r="F466" s="193"/>
      <c r="G466" s="197" t="s">
        <v>459</v>
      </c>
      <c r="H466" s="53">
        <f t="shared" ref="H466:K466" si="82">SUM(H465)</f>
        <v>32.4</v>
      </c>
      <c r="I466" s="53">
        <f t="shared" si="82"/>
        <v>34.9</v>
      </c>
      <c r="J466" s="53">
        <f t="shared" si="82"/>
        <v>34.9</v>
      </c>
      <c r="K466" s="53">
        <f t="shared" si="82"/>
        <v>34.9</v>
      </c>
      <c r="L466" s="328"/>
      <c r="M466" s="59"/>
      <c r="N466" s="260"/>
      <c r="O466" s="193"/>
      <c r="P466" s="948"/>
    </row>
    <row r="467" spans="1:16">
      <c r="A467" s="59">
        <v>2</v>
      </c>
      <c r="B467" s="54"/>
      <c r="C467" s="54" t="s">
        <v>573</v>
      </c>
      <c r="D467" s="205" t="s">
        <v>574</v>
      </c>
      <c r="E467" s="41" t="s">
        <v>132</v>
      </c>
      <c r="F467" s="263" t="s">
        <v>575</v>
      </c>
      <c r="G467" s="59" t="s">
        <v>193</v>
      </c>
      <c r="H467" s="43">
        <v>30</v>
      </c>
      <c r="I467" s="44"/>
      <c r="J467" s="111"/>
      <c r="K467" s="111"/>
      <c r="L467" s="328" t="s">
        <v>268</v>
      </c>
      <c r="M467" s="59"/>
      <c r="N467" s="260"/>
      <c r="O467" s="193"/>
      <c r="P467" s="948" t="s">
        <v>429</v>
      </c>
    </row>
    <row r="468" spans="1:16">
      <c r="A468" s="59">
        <v>2</v>
      </c>
      <c r="B468" s="54"/>
      <c r="C468" s="54"/>
      <c r="D468" s="76"/>
      <c r="E468" s="41"/>
      <c r="F468" s="193"/>
      <c r="G468" s="197" t="s">
        <v>459</v>
      </c>
      <c r="H468" s="53">
        <f t="shared" ref="H468:K468" si="83">SUM(H467)</f>
        <v>30</v>
      </c>
      <c r="I468" s="53">
        <f t="shared" si="83"/>
        <v>0</v>
      </c>
      <c r="J468" s="53">
        <f t="shared" si="83"/>
        <v>0</v>
      </c>
      <c r="K468" s="53">
        <f t="shared" si="83"/>
        <v>0</v>
      </c>
      <c r="L468" s="328"/>
      <c r="M468" s="59"/>
      <c r="N468" s="260"/>
      <c r="O468" s="193"/>
      <c r="P468" s="948"/>
    </row>
    <row r="469" spans="1:16">
      <c r="A469" s="59">
        <v>2</v>
      </c>
      <c r="B469" s="54"/>
      <c r="C469" s="54" t="s">
        <v>576</v>
      </c>
      <c r="D469" s="1168" t="s">
        <v>577</v>
      </c>
      <c r="E469" s="41" t="s">
        <v>132</v>
      </c>
      <c r="F469" s="40" t="s">
        <v>578</v>
      </c>
      <c r="G469" s="59" t="s">
        <v>193</v>
      </c>
      <c r="H469" s="43">
        <v>42</v>
      </c>
      <c r="I469" s="44">
        <f>12+6</f>
        <v>18</v>
      </c>
      <c r="J469" s="111"/>
      <c r="K469" s="111"/>
      <c r="L469" s="328" t="s">
        <v>268</v>
      </c>
      <c r="M469" s="59"/>
      <c r="N469" s="260"/>
      <c r="O469" s="193"/>
      <c r="P469" s="948"/>
    </row>
    <row r="470" spans="1:16">
      <c r="A470" s="59">
        <v>2</v>
      </c>
      <c r="B470" s="54"/>
      <c r="C470" s="54"/>
      <c r="D470" s="1170"/>
      <c r="E470" s="41" t="s">
        <v>132</v>
      </c>
      <c r="F470" s="40" t="s">
        <v>578</v>
      </c>
      <c r="G470" s="41" t="s">
        <v>267</v>
      </c>
      <c r="H470" s="43">
        <v>44.6</v>
      </c>
      <c r="I470" s="44">
        <v>34</v>
      </c>
      <c r="J470" s="111"/>
      <c r="K470" s="111"/>
      <c r="L470" s="328"/>
      <c r="M470" s="59"/>
      <c r="N470" s="260"/>
      <c r="O470" s="193"/>
      <c r="P470" s="948"/>
    </row>
    <row r="471" spans="1:16">
      <c r="A471" s="183">
        <v>2</v>
      </c>
      <c r="B471" s="54"/>
      <c r="C471" s="54"/>
      <c r="D471" s="40"/>
      <c r="E471" s="41"/>
      <c r="F471" s="40"/>
      <c r="G471" s="197" t="s">
        <v>459</v>
      </c>
      <c r="H471" s="53">
        <f t="shared" ref="H471:K471" si="84">SUM(H469:H470)</f>
        <v>86.6</v>
      </c>
      <c r="I471" s="53">
        <f t="shared" si="84"/>
        <v>52</v>
      </c>
      <c r="J471" s="53">
        <f t="shared" si="84"/>
        <v>0</v>
      </c>
      <c r="K471" s="53">
        <f t="shared" si="84"/>
        <v>0</v>
      </c>
      <c r="L471" s="328"/>
      <c r="M471" s="59"/>
      <c r="N471" s="260"/>
      <c r="O471" s="193"/>
      <c r="P471" s="948"/>
    </row>
    <row r="472" spans="1:16">
      <c r="A472" s="59">
        <v>2</v>
      </c>
      <c r="B472" s="54"/>
      <c r="C472" s="54" t="s">
        <v>579</v>
      </c>
      <c r="D472" s="1168" t="s">
        <v>580</v>
      </c>
      <c r="E472" s="41" t="s">
        <v>581</v>
      </c>
      <c r="F472" s="40" t="s">
        <v>582</v>
      </c>
      <c r="G472" s="59" t="s">
        <v>193</v>
      </c>
      <c r="H472" s="43">
        <v>39.799999999999997</v>
      </c>
      <c r="I472" s="44"/>
      <c r="J472" s="264"/>
      <c r="K472" s="264"/>
      <c r="L472" s="328" t="s">
        <v>268</v>
      </c>
      <c r="M472" s="59"/>
      <c r="N472" s="260"/>
      <c r="O472" s="193"/>
      <c r="P472" s="948" t="s">
        <v>415</v>
      </c>
    </row>
    <row r="473" spans="1:16">
      <c r="A473" s="59">
        <v>2</v>
      </c>
      <c r="B473" s="54"/>
      <c r="C473" s="54" t="s">
        <v>579</v>
      </c>
      <c r="D473" s="1169"/>
      <c r="E473" s="41">
        <v>10</v>
      </c>
      <c r="F473" s="40" t="s">
        <v>582</v>
      </c>
      <c r="G473" s="59" t="s">
        <v>193</v>
      </c>
      <c r="H473" s="43">
        <v>3</v>
      </c>
      <c r="I473" s="44">
        <v>5</v>
      </c>
      <c r="J473" s="264"/>
      <c r="K473" s="264"/>
      <c r="L473" s="328" t="s">
        <v>268</v>
      </c>
      <c r="M473" s="260" t="s">
        <v>2251</v>
      </c>
      <c r="N473" s="928" t="s">
        <v>2252</v>
      </c>
      <c r="O473" s="178">
        <v>1</v>
      </c>
      <c r="P473" s="948" t="s">
        <v>415</v>
      </c>
    </row>
    <row r="474" spans="1:16">
      <c r="A474" s="59">
        <v>2</v>
      </c>
      <c r="B474" s="54"/>
      <c r="C474" s="54" t="s">
        <v>579</v>
      </c>
      <c r="D474" s="1169"/>
      <c r="E474" s="41" t="s">
        <v>581</v>
      </c>
      <c r="F474" s="40" t="s">
        <v>582</v>
      </c>
      <c r="G474" s="41" t="s">
        <v>267</v>
      </c>
      <c r="H474" s="43"/>
      <c r="I474" s="44">
        <v>48.5</v>
      </c>
      <c r="J474" s="264"/>
      <c r="K474" s="264"/>
      <c r="L474" s="328"/>
      <c r="M474" s="930" t="s">
        <v>143</v>
      </c>
      <c r="N474" s="929" t="s">
        <v>2253</v>
      </c>
      <c r="O474" s="178">
        <v>100</v>
      </c>
      <c r="P474" s="948" t="s">
        <v>415</v>
      </c>
    </row>
    <row r="475" spans="1:16">
      <c r="A475" s="59">
        <v>2</v>
      </c>
      <c r="B475" s="54"/>
      <c r="C475" s="54" t="s">
        <v>579</v>
      </c>
      <c r="D475" s="1170"/>
      <c r="E475" s="41" t="s">
        <v>581</v>
      </c>
      <c r="F475" s="40" t="s">
        <v>582</v>
      </c>
      <c r="G475" s="59" t="s">
        <v>269</v>
      </c>
      <c r="H475" s="43">
        <v>2.4</v>
      </c>
      <c r="I475" s="44"/>
      <c r="J475" s="264"/>
      <c r="K475" s="264"/>
      <c r="L475" s="328"/>
      <c r="M475" s="59"/>
      <c r="N475" s="260"/>
      <c r="O475" s="193"/>
      <c r="P475" s="948"/>
    </row>
    <row r="476" spans="1:16">
      <c r="A476" s="59">
        <v>2</v>
      </c>
      <c r="B476" s="54"/>
      <c r="C476" s="54"/>
      <c r="D476" s="265"/>
      <c r="E476" s="41"/>
      <c r="F476" s="40"/>
      <c r="G476" s="197" t="s">
        <v>459</v>
      </c>
      <c r="H476" s="53">
        <f t="shared" ref="H476:K476" si="85">SUM(H472:H475)</f>
        <v>45.199999999999996</v>
      </c>
      <c r="I476" s="53">
        <f t="shared" si="85"/>
        <v>53.5</v>
      </c>
      <c r="J476" s="53">
        <f t="shared" si="85"/>
        <v>0</v>
      </c>
      <c r="K476" s="53">
        <f t="shared" si="85"/>
        <v>0</v>
      </c>
      <c r="L476" s="328"/>
      <c r="M476" s="59"/>
      <c r="N476" s="260"/>
      <c r="O476" s="193"/>
      <c r="P476" s="948"/>
    </row>
    <row r="477" spans="1:16">
      <c r="A477" s="59">
        <v>2</v>
      </c>
      <c r="B477" s="54"/>
      <c r="C477" s="54" t="s">
        <v>583</v>
      </c>
      <c r="D477" s="1168" t="s">
        <v>584</v>
      </c>
      <c r="E477" s="41" t="s">
        <v>272</v>
      </c>
      <c r="F477" s="40" t="s">
        <v>585</v>
      </c>
      <c r="G477" s="59" t="s">
        <v>380</v>
      </c>
      <c r="H477" s="43">
        <v>200</v>
      </c>
      <c r="I477" s="44">
        <v>395.7</v>
      </c>
      <c r="J477" s="264">
        <v>30.2</v>
      </c>
      <c r="K477" s="264"/>
      <c r="L477" s="328" t="s">
        <v>385</v>
      </c>
      <c r="M477" s="930" t="s">
        <v>1579</v>
      </c>
      <c r="N477" s="928" t="s">
        <v>2254</v>
      </c>
      <c r="O477" s="178">
        <v>90</v>
      </c>
      <c r="P477" s="948" t="s">
        <v>392</v>
      </c>
    </row>
    <row r="478" spans="1:16">
      <c r="A478" s="59">
        <v>2</v>
      </c>
      <c r="B478" s="54"/>
      <c r="C478" s="54" t="s">
        <v>583</v>
      </c>
      <c r="D478" s="1169"/>
      <c r="E478" s="41" t="s">
        <v>272</v>
      </c>
      <c r="F478" s="40" t="s">
        <v>585</v>
      </c>
      <c r="G478" s="59" t="s">
        <v>267</v>
      </c>
      <c r="H478" s="43">
        <v>399.9</v>
      </c>
      <c r="I478" s="44">
        <v>672.1</v>
      </c>
      <c r="J478" s="264">
        <v>51.2</v>
      </c>
      <c r="K478" s="264"/>
      <c r="L478" s="328" t="s">
        <v>385</v>
      </c>
      <c r="M478" s="59"/>
      <c r="N478" s="260"/>
      <c r="O478" s="193"/>
      <c r="P478" s="948" t="s">
        <v>392</v>
      </c>
    </row>
    <row r="479" spans="1:16">
      <c r="A479" s="183">
        <v>2</v>
      </c>
      <c r="B479" s="54"/>
      <c r="C479" s="54" t="s">
        <v>583</v>
      </c>
      <c r="D479" s="1170"/>
      <c r="E479" s="41" t="s">
        <v>272</v>
      </c>
      <c r="F479" s="40" t="s">
        <v>585</v>
      </c>
      <c r="G479" s="59" t="s">
        <v>193</v>
      </c>
      <c r="H479" s="70">
        <v>29.7</v>
      </c>
      <c r="I479" s="71"/>
      <c r="J479" s="111"/>
      <c r="K479" s="111"/>
      <c r="L479" s="328" t="s">
        <v>385</v>
      </c>
      <c r="M479" s="59"/>
      <c r="N479" s="260"/>
      <c r="O479" s="193"/>
      <c r="P479" s="948" t="s">
        <v>392</v>
      </c>
    </row>
    <row r="480" spans="1:16">
      <c r="A480" s="59">
        <v>2</v>
      </c>
      <c r="B480" s="54"/>
      <c r="C480" s="54"/>
      <c r="D480" s="183"/>
      <c r="E480" s="41"/>
      <c r="F480" s="40"/>
      <c r="G480" s="197" t="s">
        <v>459</v>
      </c>
      <c r="H480" s="53">
        <f t="shared" ref="H480:K480" si="86">SUM(H477:H479)</f>
        <v>629.6</v>
      </c>
      <c r="I480" s="53">
        <f t="shared" si="86"/>
        <v>1067.8</v>
      </c>
      <c r="J480" s="53">
        <f t="shared" si="86"/>
        <v>81.400000000000006</v>
      </c>
      <c r="K480" s="53">
        <f t="shared" si="86"/>
        <v>0</v>
      </c>
      <c r="L480" s="328" t="s">
        <v>385</v>
      </c>
      <c r="M480" s="59"/>
      <c r="N480" s="260"/>
      <c r="O480" s="193"/>
      <c r="P480" s="948"/>
    </row>
    <row r="481" spans="1:16" ht="33.75">
      <c r="A481" s="59">
        <v>2</v>
      </c>
      <c r="B481" s="54"/>
      <c r="C481" s="54" t="s">
        <v>586</v>
      </c>
      <c r="D481" s="205" t="s">
        <v>587</v>
      </c>
      <c r="E481" s="41" t="s">
        <v>132</v>
      </c>
      <c r="F481" s="193" t="s">
        <v>588</v>
      </c>
      <c r="G481" s="59" t="s">
        <v>193</v>
      </c>
      <c r="H481" s="42">
        <v>37.9</v>
      </c>
      <c r="I481" s="44"/>
      <c r="J481" s="111"/>
      <c r="K481" s="111"/>
      <c r="L481" s="328" t="s">
        <v>398</v>
      </c>
      <c r="M481" s="59"/>
      <c r="N481" s="260"/>
      <c r="O481" s="193"/>
      <c r="P481" s="948"/>
    </row>
    <row r="482" spans="1:16">
      <c r="A482" s="59">
        <v>2</v>
      </c>
      <c r="B482" s="54"/>
      <c r="C482" s="54" t="s">
        <v>586</v>
      </c>
      <c r="D482" s="266" t="s">
        <v>589</v>
      </c>
      <c r="E482" s="41" t="s">
        <v>132</v>
      </c>
      <c r="F482" s="193" t="s">
        <v>588</v>
      </c>
      <c r="G482" s="59" t="s">
        <v>193</v>
      </c>
      <c r="H482" s="42"/>
      <c r="I482" s="44">
        <f>13+10+10+1</f>
        <v>34</v>
      </c>
      <c r="J482" s="111"/>
      <c r="K482" s="111"/>
      <c r="L482" s="328"/>
      <c r="M482" s="59"/>
      <c r="N482" s="260"/>
      <c r="O482" s="193"/>
      <c r="P482" s="948"/>
    </row>
    <row r="483" spans="1:16">
      <c r="A483" s="59">
        <v>2</v>
      </c>
      <c r="B483" s="267"/>
      <c r="C483" s="267" t="s">
        <v>586</v>
      </c>
      <c r="D483" s="268" t="s">
        <v>590</v>
      </c>
      <c r="E483" s="269" t="s">
        <v>132</v>
      </c>
      <c r="F483" s="270" t="s">
        <v>588</v>
      </c>
      <c r="G483" s="59" t="s">
        <v>193</v>
      </c>
      <c r="H483" s="42"/>
      <c r="I483" s="44">
        <f>14+3</f>
        <v>17</v>
      </c>
      <c r="J483" s="264"/>
      <c r="K483" s="264"/>
      <c r="L483" s="328" t="s">
        <v>398</v>
      </c>
      <c r="M483" s="59"/>
      <c r="N483" s="260"/>
      <c r="O483" s="193"/>
      <c r="P483" s="948"/>
    </row>
    <row r="484" spans="1:16">
      <c r="A484" s="59">
        <v>2</v>
      </c>
      <c r="B484" s="271"/>
      <c r="C484" s="272"/>
      <c r="D484" s="273"/>
      <c r="E484" s="272"/>
      <c r="F484" s="272"/>
      <c r="G484" s="274" t="s">
        <v>459</v>
      </c>
      <c r="H484" s="53">
        <f>SUM(H481:H483)</f>
        <v>37.9</v>
      </c>
      <c r="I484" s="53">
        <f t="shared" ref="I484:K484" si="87">SUM(I481:I483)</f>
        <v>51</v>
      </c>
      <c r="J484" s="53">
        <f t="shared" si="87"/>
        <v>0</v>
      </c>
      <c r="K484" s="53">
        <f t="shared" si="87"/>
        <v>0</v>
      </c>
      <c r="L484" s="328"/>
      <c r="M484" s="59"/>
      <c r="N484" s="260"/>
      <c r="O484" s="193"/>
      <c r="P484" s="948"/>
    </row>
    <row r="485" spans="1:16" ht="33.75">
      <c r="A485" s="59">
        <v>2</v>
      </c>
      <c r="B485" s="276"/>
      <c r="C485" s="276" t="s">
        <v>591</v>
      </c>
      <c r="D485" s="277" t="s">
        <v>592</v>
      </c>
      <c r="E485" s="189"/>
      <c r="F485" s="278"/>
      <c r="G485" s="59"/>
      <c r="H485" s="43"/>
      <c r="I485" s="44"/>
      <c r="J485" s="111"/>
      <c r="K485" s="111"/>
      <c r="L485" s="328"/>
      <c r="M485" s="59"/>
      <c r="N485" s="260"/>
      <c r="O485" s="193"/>
      <c r="P485" s="948"/>
    </row>
    <row r="486" spans="1:16" ht="22.5">
      <c r="A486" s="59">
        <v>2</v>
      </c>
      <c r="B486" s="54"/>
      <c r="C486" s="54"/>
      <c r="D486" s="279" t="s">
        <v>593</v>
      </c>
      <c r="E486" s="210">
        <v>2</v>
      </c>
      <c r="F486" s="193" t="s">
        <v>594</v>
      </c>
      <c r="G486" s="812" t="s">
        <v>193</v>
      </c>
      <c r="H486" s="43">
        <v>33.200000000000003</v>
      </c>
      <c r="I486" s="44">
        <v>31</v>
      </c>
      <c r="J486" s="258">
        <v>150</v>
      </c>
      <c r="K486" s="258">
        <v>150</v>
      </c>
      <c r="L486" s="328" t="s">
        <v>268</v>
      </c>
      <c r="M486" s="930" t="s">
        <v>2255</v>
      </c>
      <c r="N486" s="1112" t="s">
        <v>2507</v>
      </c>
      <c r="O486" s="953" t="s">
        <v>2508</v>
      </c>
      <c r="P486" s="948" t="s">
        <v>389</v>
      </c>
    </row>
    <row r="487" spans="1:16">
      <c r="A487" s="183">
        <v>2</v>
      </c>
      <c r="B487" s="54"/>
      <c r="C487" s="54"/>
      <c r="D487" s="279" t="s">
        <v>595</v>
      </c>
      <c r="E487" s="210">
        <v>9</v>
      </c>
      <c r="F487" s="193" t="s">
        <v>594</v>
      </c>
      <c r="G487" s="138" t="s">
        <v>193</v>
      </c>
      <c r="H487" s="112"/>
      <c r="I487" s="44">
        <v>112</v>
      </c>
      <c r="J487" s="769"/>
      <c r="K487" s="769"/>
      <c r="L487" s="328" t="s">
        <v>398</v>
      </c>
      <c r="M487" s="930" t="s">
        <v>2256</v>
      </c>
      <c r="N487" s="928" t="s">
        <v>2257</v>
      </c>
      <c r="O487" s="178">
        <v>1</v>
      </c>
      <c r="P487" s="948" t="s">
        <v>389</v>
      </c>
    </row>
    <row r="488" spans="1:16">
      <c r="A488" s="183">
        <v>2</v>
      </c>
      <c r="B488" s="54"/>
      <c r="C488" s="54"/>
      <c r="D488" s="280" t="s">
        <v>596</v>
      </c>
      <c r="E488" s="813">
        <v>21</v>
      </c>
      <c r="F488" s="814" t="s">
        <v>594</v>
      </c>
      <c r="G488" s="281" t="s">
        <v>193</v>
      </c>
      <c r="H488" s="112">
        <v>33.4</v>
      </c>
      <c r="I488" s="44">
        <f>40-40</f>
        <v>0</v>
      </c>
      <c r="J488" s="769"/>
      <c r="K488" s="769"/>
      <c r="L488" s="328"/>
      <c r="M488" s="59"/>
      <c r="N488" s="260"/>
      <c r="O488" s="193"/>
      <c r="P488" s="948" t="s">
        <v>389</v>
      </c>
    </row>
    <row r="489" spans="1:16">
      <c r="A489" s="59">
        <v>2</v>
      </c>
      <c r="B489" s="54"/>
      <c r="C489" s="54"/>
      <c r="D489" s="864"/>
      <c r="E489" s="41"/>
      <c r="F489" s="193"/>
      <c r="G489" s="197" t="s">
        <v>459</v>
      </c>
      <c r="H489" s="53">
        <f>SUM(H485:H488)</f>
        <v>66.599999999999994</v>
      </c>
      <c r="I489" s="53">
        <f>SUM(I485:I488)</f>
        <v>143</v>
      </c>
      <c r="J489" s="53">
        <f>SUM(J485:J488)</f>
        <v>150</v>
      </c>
      <c r="K489" s="53">
        <f>SUM(K485:K488)</f>
        <v>150</v>
      </c>
      <c r="L489" s="523"/>
      <c r="M489" s="84"/>
      <c r="N489" s="942"/>
      <c r="O489" s="84"/>
      <c r="P489" s="948"/>
    </row>
    <row r="490" spans="1:16" ht="22.5">
      <c r="A490" s="59">
        <v>2</v>
      </c>
      <c r="B490" s="54"/>
      <c r="C490" s="54" t="s">
        <v>597</v>
      </c>
      <c r="D490" s="1168" t="s">
        <v>598</v>
      </c>
      <c r="E490" s="41">
        <v>10</v>
      </c>
      <c r="F490" s="193" t="s">
        <v>599</v>
      </c>
      <c r="G490" s="183" t="s">
        <v>193</v>
      </c>
      <c r="H490" s="43">
        <v>2.2999999999999998</v>
      </c>
      <c r="I490" s="44">
        <f>183+200+180-500</f>
        <v>63</v>
      </c>
      <c r="J490" s="264">
        <f>82+500</f>
        <v>582</v>
      </c>
      <c r="K490" s="42"/>
      <c r="L490" s="328" t="s">
        <v>385</v>
      </c>
      <c r="M490" s="260" t="s">
        <v>2251</v>
      </c>
      <c r="N490" s="928" t="s">
        <v>2258</v>
      </c>
      <c r="O490" s="178">
        <v>50</v>
      </c>
      <c r="P490" s="948" t="s">
        <v>392</v>
      </c>
    </row>
    <row r="491" spans="1:16">
      <c r="A491" s="59">
        <v>2</v>
      </c>
      <c r="B491" s="54"/>
      <c r="C491" s="54"/>
      <c r="D491" s="1169"/>
      <c r="E491" s="41" t="s">
        <v>108</v>
      </c>
      <c r="F491" s="193" t="s">
        <v>599</v>
      </c>
      <c r="G491" s="59" t="s">
        <v>193</v>
      </c>
      <c r="H491" s="43"/>
      <c r="I491" s="44">
        <v>18</v>
      </c>
      <c r="J491" s="264"/>
      <c r="K491" s="42"/>
      <c r="L491" s="328" t="s">
        <v>385</v>
      </c>
      <c r="M491" s="59"/>
      <c r="N491" s="260"/>
      <c r="O491" s="193"/>
      <c r="P491" s="948" t="s">
        <v>392</v>
      </c>
    </row>
    <row r="492" spans="1:16" ht="33.75">
      <c r="A492" s="59">
        <v>2</v>
      </c>
      <c r="B492" s="54"/>
      <c r="C492" s="54"/>
      <c r="D492" s="1170"/>
      <c r="E492" s="41">
        <v>10</v>
      </c>
      <c r="F492" s="193" t="s">
        <v>599</v>
      </c>
      <c r="G492" s="41" t="s">
        <v>267</v>
      </c>
      <c r="H492" s="43"/>
      <c r="I492" s="44">
        <v>200</v>
      </c>
      <c r="J492" s="264">
        <v>78</v>
      </c>
      <c r="K492" s="264"/>
      <c r="L492" s="328" t="s">
        <v>385</v>
      </c>
      <c r="M492" s="260" t="s">
        <v>2251</v>
      </c>
      <c r="N492" s="928" t="s">
        <v>2259</v>
      </c>
      <c r="O492" s="75" t="s">
        <v>1148</v>
      </c>
      <c r="P492" s="948" t="s">
        <v>392</v>
      </c>
    </row>
    <row r="493" spans="1:16">
      <c r="A493" s="59">
        <v>2</v>
      </c>
      <c r="B493" s="54"/>
      <c r="C493" s="54"/>
      <c r="D493" s="865"/>
      <c r="E493" s="41"/>
      <c r="F493" s="193"/>
      <c r="G493" s="197" t="s">
        <v>459</v>
      </c>
      <c r="H493" s="53">
        <f t="shared" ref="H493:K493" si="88">SUM(H490:H492)</f>
        <v>2.2999999999999998</v>
      </c>
      <c r="I493" s="53">
        <f t="shared" si="88"/>
        <v>281</v>
      </c>
      <c r="J493" s="53">
        <f t="shared" si="88"/>
        <v>660</v>
      </c>
      <c r="K493" s="53">
        <f t="shared" si="88"/>
        <v>0</v>
      </c>
      <c r="L493" s="328"/>
      <c r="M493" s="59"/>
      <c r="N493" s="260"/>
      <c r="O493" s="193"/>
      <c r="P493" s="948"/>
    </row>
    <row r="494" spans="1:16">
      <c r="A494" s="59">
        <v>2</v>
      </c>
      <c r="B494" s="54"/>
      <c r="C494" s="54" t="s">
        <v>600</v>
      </c>
      <c r="D494" s="1168" t="s">
        <v>601</v>
      </c>
      <c r="E494" s="41" t="s">
        <v>132</v>
      </c>
      <c r="F494" s="193" t="s">
        <v>602</v>
      </c>
      <c r="G494" s="59" t="s">
        <v>193</v>
      </c>
      <c r="H494" s="43">
        <v>100.7</v>
      </c>
      <c r="I494" s="44">
        <f>46+5</f>
        <v>51</v>
      </c>
      <c r="J494" s="264">
        <v>6</v>
      </c>
      <c r="K494" s="264"/>
      <c r="L494" s="328" t="s">
        <v>268</v>
      </c>
      <c r="M494" s="59"/>
      <c r="N494" s="260"/>
      <c r="O494" s="193"/>
      <c r="P494" s="948"/>
    </row>
    <row r="495" spans="1:16">
      <c r="A495" s="183">
        <v>2</v>
      </c>
      <c r="B495" s="54"/>
      <c r="C495" s="54"/>
      <c r="D495" s="1170"/>
      <c r="E495" s="41" t="s">
        <v>132</v>
      </c>
      <c r="F495" s="193" t="s">
        <v>602</v>
      </c>
      <c r="G495" s="41" t="s">
        <v>267</v>
      </c>
      <c r="H495" s="43"/>
      <c r="I495" s="44">
        <v>35</v>
      </c>
      <c r="J495" s="264">
        <v>13</v>
      </c>
      <c r="K495" s="264"/>
      <c r="L495" s="328"/>
      <c r="M495" s="59"/>
      <c r="N495" s="260"/>
      <c r="O495" s="193"/>
      <c r="P495" s="948"/>
    </row>
    <row r="496" spans="1:16">
      <c r="A496" s="59">
        <v>2</v>
      </c>
      <c r="B496" s="54"/>
      <c r="C496" s="54"/>
      <c r="D496" s="865"/>
      <c r="E496" s="41"/>
      <c r="F496" s="193"/>
      <c r="G496" s="197" t="s">
        <v>459</v>
      </c>
      <c r="H496" s="53">
        <f t="shared" ref="H496:K496" si="89">SUM(H494:H495)</f>
        <v>100.7</v>
      </c>
      <c r="I496" s="53">
        <f t="shared" si="89"/>
        <v>86</v>
      </c>
      <c r="J496" s="53">
        <f t="shared" si="89"/>
        <v>19</v>
      </c>
      <c r="K496" s="53">
        <f t="shared" si="89"/>
        <v>0</v>
      </c>
      <c r="L496" s="328"/>
      <c r="M496" s="59"/>
      <c r="N496" s="260"/>
      <c r="O496" s="193"/>
      <c r="P496" s="948"/>
    </row>
    <row r="497" spans="1:16">
      <c r="A497" s="59">
        <v>2</v>
      </c>
      <c r="B497" s="54"/>
      <c r="C497" s="54" t="s">
        <v>603</v>
      </c>
      <c r="D497" s="1168" t="s">
        <v>604</v>
      </c>
      <c r="E497" s="41">
        <v>10</v>
      </c>
      <c r="F497" s="193" t="s">
        <v>605</v>
      </c>
      <c r="G497" s="59" t="s">
        <v>193</v>
      </c>
      <c r="H497" s="43">
        <v>10.9</v>
      </c>
      <c r="I497" s="44"/>
      <c r="J497" s="264"/>
      <c r="K497" s="264"/>
      <c r="L497" s="328" t="s">
        <v>398</v>
      </c>
      <c r="M497" s="59"/>
      <c r="N497" s="260"/>
      <c r="O497" s="193"/>
      <c r="P497" s="948"/>
    </row>
    <row r="498" spans="1:16">
      <c r="A498" s="59">
        <v>2</v>
      </c>
      <c r="B498" s="54"/>
      <c r="C498" s="54"/>
      <c r="D498" s="1169"/>
      <c r="E498" s="41" t="s">
        <v>132</v>
      </c>
      <c r="F498" s="193" t="s">
        <v>605</v>
      </c>
      <c r="G498" s="59" t="s">
        <v>193</v>
      </c>
      <c r="H498" s="43">
        <v>5</v>
      </c>
      <c r="I498" s="44"/>
      <c r="J498" s="264"/>
      <c r="K498" s="264"/>
      <c r="L498" s="328"/>
      <c r="M498" s="59"/>
      <c r="N498" s="260"/>
      <c r="O498" s="193"/>
      <c r="P498" s="948"/>
    </row>
    <row r="499" spans="1:16">
      <c r="A499" s="59">
        <v>2</v>
      </c>
      <c r="B499" s="54"/>
      <c r="C499" s="54"/>
      <c r="D499" s="1170"/>
      <c r="E499" s="41" t="s">
        <v>51</v>
      </c>
      <c r="F499" s="193" t="s">
        <v>605</v>
      </c>
      <c r="G499" s="59" t="s">
        <v>193</v>
      </c>
      <c r="H499" s="42">
        <f>10+8</f>
        <v>18</v>
      </c>
      <c r="I499" s="44"/>
      <c r="J499" s="264"/>
      <c r="K499" s="264"/>
      <c r="L499" s="328"/>
      <c r="M499" s="59"/>
      <c r="N499" s="260"/>
      <c r="O499" s="193"/>
      <c r="P499" s="948"/>
    </row>
    <row r="500" spans="1:16">
      <c r="A500" s="59">
        <v>2</v>
      </c>
      <c r="B500" s="54"/>
      <c r="C500" s="54"/>
      <c r="D500" s="866"/>
      <c r="E500" s="41"/>
      <c r="F500" s="193"/>
      <c r="G500" s="197" t="s">
        <v>459</v>
      </c>
      <c r="H500" s="53">
        <f t="shared" ref="H500:K500" si="90">SUM(H497:H499)</f>
        <v>33.9</v>
      </c>
      <c r="I500" s="53">
        <f t="shared" si="90"/>
        <v>0</v>
      </c>
      <c r="J500" s="53">
        <f t="shared" si="90"/>
        <v>0</v>
      </c>
      <c r="K500" s="53">
        <f t="shared" si="90"/>
        <v>0</v>
      </c>
      <c r="L500" s="328"/>
      <c r="M500" s="59"/>
      <c r="N500" s="260"/>
      <c r="O500" s="193"/>
      <c r="P500" s="948"/>
    </row>
    <row r="501" spans="1:16" ht="22.5">
      <c r="A501" s="59">
        <v>2</v>
      </c>
      <c r="B501" s="54"/>
      <c r="C501" s="54" t="s">
        <v>606</v>
      </c>
      <c r="D501" s="205" t="s">
        <v>607</v>
      </c>
      <c r="E501" s="41">
        <v>26</v>
      </c>
      <c r="F501" s="193" t="s">
        <v>608</v>
      </c>
      <c r="G501" s="59" t="s">
        <v>193</v>
      </c>
      <c r="H501" s="43">
        <v>25</v>
      </c>
      <c r="I501" s="44"/>
      <c r="J501" s="264"/>
      <c r="K501" s="264"/>
      <c r="L501" s="328" t="s">
        <v>268</v>
      </c>
      <c r="M501" s="59"/>
      <c r="N501" s="260"/>
      <c r="O501" s="193"/>
      <c r="P501" s="948" t="s">
        <v>392</v>
      </c>
    </row>
    <row r="502" spans="1:16">
      <c r="A502" s="59">
        <v>2</v>
      </c>
      <c r="B502" s="54"/>
      <c r="C502" s="54"/>
      <c r="D502" s="866"/>
      <c r="E502" s="41">
        <v>26</v>
      </c>
      <c r="F502" s="193" t="s">
        <v>608</v>
      </c>
      <c r="G502" s="41" t="s">
        <v>267</v>
      </c>
      <c r="H502" s="43">
        <v>11.4</v>
      </c>
      <c r="I502" s="44">
        <v>28.5</v>
      </c>
      <c r="J502" s="264"/>
      <c r="K502" s="264"/>
      <c r="L502" s="328"/>
      <c r="M502" s="260" t="s">
        <v>150</v>
      </c>
      <c r="N502" s="928" t="s">
        <v>2253</v>
      </c>
      <c r="O502" s="178">
        <v>100</v>
      </c>
      <c r="P502" s="948" t="s">
        <v>392</v>
      </c>
    </row>
    <row r="503" spans="1:16">
      <c r="A503" s="183">
        <v>2</v>
      </c>
      <c r="B503" s="54"/>
      <c r="C503" s="54"/>
      <c r="D503" s="866"/>
      <c r="E503" s="41"/>
      <c r="F503" s="193"/>
      <c r="G503" s="197" t="s">
        <v>459</v>
      </c>
      <c r="H503" s="53">
        <f t="shared" ref="H503:K503" si="91">SUM(H501:H502)</f>
        <v>36.4</v>
      </c>
      <c r="I503" s="53">
        <f t="shared" si="91"/>
        <v>28.5</v>
      </c>
      <c r="J503" s="53">
        <f t="shared" si="91"/>
        <v>0</v>
      </c>
      <c r="K503" s="53">
        <f t="shared" si="91"/>
        <v>0</v>
      </c>
      <c r="L503" s="328"/>
      <c r="M503" s="59"/>
      <c r="N503" s="260"/>
      <c r="O503" s="193"/>
      <c r="P503" s="948"/>
    </row>
    <row r="504" spans="1:16" ht="22.5">
      <c r="A504" s="59">
        <v>2</v>
      </c>
      <c r="B504" s="54"/>
      <c r="C504" s="54" t="s">
        <v>609</v>
      </c>
      <c r="D504" s="205" t="s">
        <v>610</v>
      </c>
      <c r="E504" s="41">
        <v>10</v>
      </c>
      <c r="F504" s="193" t="s">
        <v>611</v>
      </c>
      <c r="G504" s="59" t="s">
        <v>193</v>
      </c>
      <c r="H504" s="43">
        <v>8.3000000000000007</v>
      </c>
      <c r="I504" s="44"/>
      <c r="J504" s="264"/>
      <c r="K504" s="264"/>
      <c r="L504" s="328" t="s">
        <v>262</v>
      </c>
      <c r="M504" s="59"/>
      <c r="N504" s="260"/>
      <c r="O504" s="193"/>
      <c r="P504" s="948"/>
    </row>
    <row r="505" spans="1:16">
      <c r="A505" s="59">
        <v>2</v>
      </c>
      <c r="B505" s="54"/>
      <c r="C505" s="54"/>
      <c r="D505" s="76"/>
      <c r="E505" s="41"/>
      <c r="F505" s="193"/>
      <c r="G505" s="197" t="s">
        <v>459</v>
      </c>
      <c r="H505" s="53">
        <f t="shared" ref="H505:K505" si="92">SUM(H504)</f>
        <v>8.3000000000000007</v>
      </c>
      <c r="I505" s="53">
        <f t="shared" si="92"/>
        <v>0</v>
      </c>
      <c r="J505" s="53">
        <f t="shared" si="92"/>
        <v>0</v>
      </c>
      <c r="K505" s="53">
        <f t="shared" si="92"/>
        <v>0</v>
      </c>
      <c r="L505" s="328"/>
      <c r="M505" s="59"/>
      <c r="N505" s="260"/>
      <c r="O505" s="193"/>
      <c r="P505" s="948"/>
    </row>
    <row r="506" spans="1:16" ht="22.5">
      <c r="A506" s="59">
        <v>2</v>
      </c>
      <c r="B506" s="54"/>
      <c r="C506" s="54" t="s">
        <v>612</v>
      </c>
      <c r="D506" s="205" t="s">
        <v>613</v>
      </c>
      <c r="E506" s="41">
        <v>25</v>
      </c>
      <c r="F506" s="193" t="s">
        <v>614</v>
      </c>
      <c r="G506" s="41" t="s">
        <v>615</v>
      </c>
      <c r="H506" s="43"/>
      <c r="I506" s="44">
        <v>20</v>
      </c>
      <c r="J506" s="111"/>
      <c r="K506" s="111"/>
      <c r="L506" s="328" t="s">
        <v>398</v>
      </c>
      <c r="M506" s="260" t="s">
        <v>2505</v>
      </c>
      <c r="N506" s="260" t="s">
        <v>2260</v>
      </c>
      <c r="O506" s="193">
        <v>1</v>
      </c>
      <c r="P506" s="948" t="s">
        <v>616</v>
      </c>
    </row>
    <row r="507" spans="1:16">
      <c r="A507" s="59">
        <v>2</v>
      </c>
      <c r="B507" s="54"/>
      <c r="C507" s="54"/>
      <c r="D507" s="76"/>
      <c r="E507" s="41"/>
      <c r="F507" s="193"/>
      <c r="G507" s="197" t="s">
        <v>459</v>
      </c>
      <c r="H507" s="53">
        <f>SUM(H506)</f>
        <v>0</v>
      </c>
      <c r="I507" s="53">
        <f t="shared" ref="I507:K507" si="93">SUM(I506)</f>
        <v>20</v>
      </c>
      <c r="J507" s="53">
        <f t="shared" si="93"/>
        <v>0</v>
      </c>
      <c r="K507" s="53">
        <f t="shared" si="93"/>
        <v>0</v>
      </c>
      <c r="L507" s="328"/>
      <c r="M507" s="59"/>
      <c r="N507" s="260"/>
      <c r="O507" s="193"/>
      <c r="P507" s="948"/>
    </row>
    <row r="508" spans="1:16" ht="33.75">
      <c r="A508" s="59">
        <v>2</v>
      </c>
      <c r="B508" s="199"/>
      <c r="C508" s="199"/>
      <c r="D508" s="200" t="s">
        <v>617</v>
      </c>
      <c r="E508" s="201"/>
      <c r="F508" s="202"/>
      <c r="G508" s="201"/>
      <c r="H508" s="451"/>
      <c r="I508" s="451"/>
      <c r="J508" s="816"/>
      <c r="K508" s="816"/>
      <c r="L508" s="328"/>
      <c r="M508" s="59"/>
      <c r="N508" s="260"/>
      <c r="O508" s="193"/>
      <c r="P508" s="948"/>
    </row>
    <row r="509" spans="1:16" ht="33.75">
      <c r="A509" s="59">
        <v>2</v>
      </c>
      <c r="B509" s="190" t="s">
        <v>618</v>
      </c>
      <c r="C509" s="190" t="s">
        <v>618</v>
      </c>
      <c r="D509" s="198" t="s">
        <v>619</v>
      </c>
      <c r="E509" s="192"/>
      <c r="F509" s="41"/>
      <c r="G509" s="204"/>
      <c r="H509" s="654">
        <f>H511+H513</f>
        <v>19.8</v>
      </c>
      <c r="I509" s="654">
        <f>I511+I513</f>
        <v>30</v>
      </c>
      <c r="J509" s="654">
        <f>J511+J513</f>
        <v>20</v>
      </c>
      <c r="K509" s="654">
        <f>K511+K513</f>
        <v>5</v>
      </c>
      <c r="L509" s="328"/>
      <c r="M509" s="59"/>
      <c r="N509" s="260"/>
      <c r="O509" s="193"/>
      <c r="P509" s="948"/>
    </row>
    <row r="510" spans="1:16" ht="22.5">
      <c r="A510" s="59">
        <v>2</v>
      </c>
      <c r="B510" s="283"/>
      <c r="C510" s="283" t="s">
        <v>620</v>
      </c>
      <c r="D510" s="239" t="s">
        <v>621</v>
      </c>
      <c r="E510" s="41">
        <v>2</v>
      </c>
      <c r="F510" s="193" t="s">
        <v>622</v>
      </c>
      <c r="G510" s="59" t="s">
        <v>193</v>
      </c>
      <c r="H510" s="43">
        <f>5-5</f>
        <v>0</v>
      </c>
      <c r="I510" s="44">
        <v>15</v>
      </c>
      <c r="J510" s="264">
        <v>5</v>
      </c>
      <c r="K510" s="264">
        <v>5</v>
      </c>
      <c r="L510" s="946" t="s">
        <v>268</v>
      </c>
      <c r="M510" s="260" t="s">
        <v>2261</v>
      </c>
      <c r="N510" s="260" t="s">
        <v>2262</v>
      </c>
      <c r="O510" s="193">
        <v>1</v>
      </c>
      <c r="P510" s="948" t="s">
        <v>275</v>
      </c>
    </row>
    <row r="511" spans="1:16">
      <c r="A511" s="183">
        <v>2</v>
      </c>
      <c r="B511" s="54"/>
      <c r="C511" s="283" t="s">
        <v>620</v>
      </c>
      <c r="D511" s="40"/>
      <c r="E511" s="41">
        <v>2</v>
      </c>
      <c r="F511" s="193" t="s">
        <v>622</v>
      </c>
      <c r="G511" s="197" t="s">
        <v>459</v>
      </c>
      <c r="H511" s="53">
        <f t="shared" ref="H511:K511" si="94">SUM(H510:H510)</f>
        <v>0</v>
      </c>
      <c r="I511" s="53">
        <f t="shared" si="94"/>
        <v>15</v>
      </c>
      <c r="J511" s="53">
        <f t="shared" si="94"/>
        <v>5</v>
      </c>
      <c r="K511" s="53">
        <f t="shared" si="94"/>
        <v>5</v>
      </c>
      <c r="L511" s="328"/>
      <c r="M511" s="59"/>
      <c r="N511" s="260"/>
      <c r="O511" s="193"/>
      <c r="P511" s="948"/>
    </row>
    <row r="512" spans="1:16">
      <c r="A512" s="59">
        <v>2</v>
      </c>
      <c r="B512" s="54"/>
      <c r="C512" s="54" t="s">
        <v>623</v>
      </c>
      <c r="D512" s="40" t="s">
        <v>624</v>
      </c>
      <c r="E512" s="41">
        <v>38</v>
      </c>
      <c r="F512" s="41" t="s">
        <v>625</v>
      </c>
      <c r="G512" s="59" t="s">
        <v>193</v>
      </c>
      <c r="H512" s="43">
        <v>19.8</v>
      </c>
      <c r="I512" s="44">
        <v>15</v>
      </c>
      <c r="J512" s="264">
        <v>15</v>
      </c>
      <c r="K512" s="264"/>
      <c r="L512" s="328" t="s">
        <v>274</v>
      </c>
      <c r="M512" s="927" t="s">
        <v>2099</v>
      </c>
      <c r="N512" s="934" t="s">
        <v>2263</v>
      </c>
      <c r="O512" s="193">
        <v>8</v>
      </c>
      <c r="P512" s="948"/>
    </row>
    <row r="513" spans="1:16">
      <c r="A513" s="59">
        <v>2</v>
      </c>
      <c r="B513" s="54"/>
      <c r="C513" s="54" t="s">
        <v>623</v>
      </c>
      <c r="D513" s="40"/>
      <c r="E513" s="41">
        <v>38</v>
      </c>
      <c r="F513" s="41" t="s">
        <v>625</v>
      </c>
      <c r="G513" s="197" t="s">
        <v>459</v>
      </c>
      <c r="H513" s="53">
        <f t="shared" ref="H513:K513" si="95">SUM(H512)</f>
        <v>19.8</v>
      </c>
      <c r="I513" s="53">
        <f t="shared" si="95"/>
        <v>15</v>
      </c>
      <c r="J513" s="53">
        <f t="shared" si="95"/>
        <v>15</v>
      </c>
      <c r="K513" s="53">
        <f t="shared" si="95"/>
        <v>0</v>
      </c>
      <c r="L513" s="328"/>
      <c r="M513" s="59"/>
      <c r="N513" s="260"/>
      <c r="O513" s="193"/>
      <c r="P513" s="948"/>
    </row>
    <row r="514" spans="1:16" ht="33.75">
      <c r="A514" s="59">
        <v>2</v>
      </c>
      <c r="B514" s="190" t="s">
        <v>626</v>
      </c>
      <c r="C514" s="190" t="s">
        <v>626</v>
      </c>
      <c r="D514" s="198" t="s">
        <v>627</v>
      </c>
      <c r="E514" s="192"/>
      <c r="F514" s="41"/>
      <c r="G514" s="204"/>
      <c r="H514" s="654">
        <f>H517+H526</f>
        <v>445.5</v>
      </c>
      <c r="I514" s="654">
        <f>I517+I526</f>
        <v>757.8</v>
      </c>
      <c r="J514" s="654">
        <f>J517+J526</f>
        <v>420</v>
      </c>
      <c r="K514" s="654">
        <f>K517+K526</f>
        <v>250</v>
      </c>
      <c r="L514" s="328"/>
      <c r="M514" s="59"/>
      <c r="N514" s="260"/>
      <c r="O514" s="193"/>
      <c r="P514" s="948"/>
    </row>
    <row r="515" spans="1:16" ht="28.15" customHeight="1">
      <c r="A515" s="59">
        <v>2</v>
      </c>
      <c r="B515" s="54"/>
      <c r="C515" s="54" t="s">
        <v>628</v>
      </c>
      <c r="D515" s="205" t="s">
        <v>629</v>
      </c>
      <c r="E515" s="41">
        <v>2</v>
      </c>
      <c r="F515" s="40" t="s">
        <v>630</v>
      </c>
      <c r="G515" s="151" t="s">
        <v>193</v>
      </c>
      <c r="H515" s="285">
        <f>SUM(H518,H519,H520,H522,H523)</f>
        <v>107.9</v>
      </c>
      <c r="I515" s="151">
        <f t="shared" ref="I515:K515" si="96">SUM(I518,I519,I520,I522,I523)</f>
        <v>245</v>
      </c>
      <c r="J515" s="285">
        <f t="shared" si="96"/>
        <v>170</v>
      </c>
      <c r="K515" s="285">
        <f t="shared" si="96"/>
        <v>0</v>
      </c>
      <c r="L515" s="946"/>
      <c r="M515" s="59"/>
      <c r="N515" s="260"/>
      <c r="O515" s="193"/>
      <c r="P515" s="948"/>
    </row>
    <row r="516" spans="1:16">
      <c r="A516" s="59">
        <v>2</v>
      </c>
      <c r="B516" s="54"/>
      <c r="C516" s="54"/>
      <c r="D516" s="76"/>
      <c r="E516" s="41">
        <v>2</v>
      </c>
      <c r="F516" s="40" t="s">
        <v>630</v>
      </c>
      <c r="G516" s="151" t="s">
        <v>631</v>
      </c>
      <c r="H516" s="285">
        <f t="shared" ref="H516:K516" si="97">H521</f>
        <v>0</v>
      </c>
      <c r="I516" s="151">
        <f t="shared" si="97"/>
        <v>0</v>
      </c>
      <c r="J516" s="285">
        <f t="shared" si="97"/>
        <v>100</v>
      </c>
      <c r="K516" s="285">
        <f t="shared" si="97"/>
        <v>0</v>
      </c>
      <c r="L516" s="946"/>
      <c r="M516" s="59"/>
      <c r="N516" s="260"/>
      <c r="O516" s="193"/>
      <c r="P516" s="948"/>
    </row>
    <row r="517" spans="1:16">
      <c r="A517" s="59">
        <v>2</v>
      </c>
      <c r="B517" s="54"/>
      <c r="C517" s="54"/>
      <c r="D517" s="40"/>
      <c r="E517" s="41"/>
      <c r="F517" s="40" t="s">
        <v>630</v>
      </c>
      <c r="G517" s="197" t="s">
        <v>459</v>
      </c>
      <c r="H517" s="53">
        <f t="shared" ref="H517:K517" si="98">SUM(H515:H516)</f>
        <v>107.9</v>
      </c>
      <c r="I517" s="53">
        <f t="shared" si="98"/>
        <v>245</v>
      </c>
      <c r="J517" s="53">
        <f t="shared" si="98"/>
        <v>270</v>
      </c>
      <c r="K517" s="53">
        <f t="shared" si="98"/>
        <v>0</v>
      </c>
      <c r="L517" s="946"/>
      <c r="M517" s="59"/>
      <c r="N517" s="260"/>
      <c r="O517" s="193"/>
      <c r="P517" s="948"/>
    </row>
    <row r="518" spans="1:16" ht="22.5">
      <c r="A518" s="59">
        <v>2</v>
      </c>
      <c r="B518" s="54"/>
      <c r="C518" s="54" t="s">
        <v>632</v>
      </c>
      <c r="D518" s="286" t="s">
        <v>633</v>
      </c>
      <c r="E518" s="41">
        <v>2</v>
      </c>
      <c r="F518" s="40" t="s">
        <v>630</v>
      </c>
      <c r="G518" s="287" t="s">
        <v>193</v>
      </c>
      <c r="H518" s="288">
        <v>66.7</v>
      </c>
      <c r="I518" s="289">
        <v>15</v>
      </c>
      <c r="J518" s="257"/>
      <c r="K518" s="290"/>
      <c r="L518" s="946" t="s">
        <v>268</v>
      </c>
      <c r="M518" s="260" t="s">
        <v>2264</v>
      </c>
      <c r="N518" s="930" t="s">
        <v>2265</v>
      </c>
      <c r="O518" s="193">
        <v>1</v>
      </c>
      <c r="P518" s="948"/>
    </row>
    <row r="519" spans="1:16" ht="33.75">
      <c r="A519" s="183">
        <v>2</v>
      </c>
      <c r="B519" s="54"/>
      <c r="C519" s="54" t="s">
        <v>634</v>
      </c>
      <c r="D519" s="291" t="s">
        <v>635</v>
      </c>
      <c r="E519" s="41">
        <v>2</v>
      </c>
      <c r="F519" s="40" t="s">
        <v>630</v>
      </c>
      <c r="G519" s="287" t="s">
        <v>193</v>
      </c>
      <c r="H519" s="288">
        <f>40-40</f>
        <v>0</v>
      </c>
      <c r="I519" s="289">
        <v>97</v>
      </c>
      <c r="J519" s="292"/>
      <c r="K519" s="293"/>
      <c r="L519" s="946" t="s">
        <v>385</v>
      </c>
      <c r="M519" s="104" t="s">
        <v>2266</v>
      </c>
      <c r="N519" s="930" t="s">
        <v>2267</v>
      </c>
      <c r="O519" s="193">
        <v>70</v>
      </c>
      <c r="P519" s="948" t="s">
        <v>392</v>
      </c>
    </row>
    <row r="520" spans="1:16" ht="22.5">
      <c r="A520" s="59">
        <v>2</v>
      </c>
      <c r="B520" s="54"/>
      <c r="C520" s="54" t="s">
        <v>636</v>
      </c>
      <c r="D520" s="291" t="s">
        <v>637</v>
      </c>
      <c r="E520" s="41">
        <v>2</v>
      </c>
      <c r="F520" s="40" t="s">
        <v>630</v>
      </c>
      <c r="G520" s="287" t="s">
        <v>193</v>
      </c>
      <c r="H520" s="288">
        <v>41.2</v>
      </c>
      <c r="I520" s="289">
        <f>100-60</f>
        <v>40</v>
      </c>
      <c r="J520" s="257">
        <f>160-100+60</f>
        <v>120</v>
      </c>
      <c r="K520" s="293"/>
      <c r="L520" s="946" t="s">
        <v>398</v>
      </c>
      <c r="M520" s="104" t="s">
        <v>2266</v>
      </c>
      <c r="N520" s="930" t="s">
        <v>2267</v>
      </c>
      <c r="O520" s="193">
        <v>50</v>
      </c>
      <c r="P520" s="948" t="s">
        <v>386</v>
      </c>
    </row>
    <row r="521" spans="1:16">
      <c r="A521" s="59">
        <v>2</v>
      </c>
      <c r="B521" s="54"/>
      <c r="C521" s="54" t="s">
        <v>636</v>
      </c>
      <c r="D521" s="291"/>
      <c r="E521" s="41">
        <v>2</v>
      </c>
      <c r="F521" s="40" t="s">
        <v>630</v>
      </c>
      <c r="G521" s="287" t="s">
        <v>631</v>
      </c>
      <c r="H521" s="288"/>
      <c r="I521" s="289"/>
      <c r="J521" s="290">
        <v>100</v>
      </c>
      <c r="K521" s="293"/>
      <c r="L521" s="946"/>
      <c r="M521" s="59"/>
      <c r="N521" s="260"/>
      <c r="O521" s="193"/>
      <c r="P521" s="948" t="s">
        <v>386</v>
      </c>
    </row>
    <row r="522" spans="1:16">
      <c r="A522" s="59">
        <v>2</v>
      </c>
      <c r="B522" s="54"/>
      <c r="C522" s="54" t="s">
        <v>638</v>
      </c>
      <c r="D522" s="286" t="s">
        <v>639</v>
      </c>
      <c r="E522" s="41">
        <v>2</v>
      </c>
      <c r="F522" s="40" t="s">
        <v>630</v>
      </c>
      <c r="G522" s="287" t="s">
        <v>193</v>
      </c>
      <c r="H522" s="288"/>
      <c r="I522" s="289">
        <f>50</f>
        <v>50</v>
      </c>
      <c r="J522" s="290"/>
      <c r="K522" s="290"/>
      <c r="L522" s="946" t="s">
        <v>268</v>
      </c>
      <c r="M522" s="104" t="s">
        <v>2264</v>
      </c>
      <c r="N522" s="930" t="s">
        <v>2267</v>
      </c>
      <c r="O522" s="193"/>
      <c r="P522" s="948" t="s">
        <v>389</v>
      </c>
    </row>
    <row r="523" spans="1:16" ht="22.15" customHeight="1">
      <c r="A523" s="59">
        <v>2</v>
      </c>
      <c r="B523" s="54"/>
      <c r="C523" s="54" t="s">
        <v>640</v>
      </c>
      <c r="D523" s="286" t="s">
        <v>641</v>
      </c>
      <c r="E523" s="41">
        <v>2</v>
      </c>
      <c r="F523" s="40" t="s">
        <v>630</v>
      </c>
      <c r="G523" s="287" t="s">
        <v>193</v>
      </c>
      <c r="H523" s="288"/>
      <c r="I523" s="289">
        <f>93-50</f>
        <v>43</v>
      </c>
      <c r="J523" s="902">
        <v>50</v>
      </c>
      <c r="K523" s="288"/>
      <c r="L523" s="193" t="s">
        <v>268</v>
      </c>
      <c r="M523" s="104" t="s">
        <v>2264</v>
      </c>
      <c r="N523" s="930" t="s">
        <v>2267</v>
      </c>
      <c r="O523" s="193"/>
      <c r="P523" s="948" t="s">
        <v>275</v>
      </c>
    </row>
    <row r="524" spans="1:16" ht="22.5">
      <c r="A524" s="59">
        <v>2</v>
      </c>
      <c r="B524" s="276"/>
      <c r="C524" s="276" t="s">
        <v>642</v>
      </c>
      <c r="D524" s="277" t="s">
        <v>643</v>
      </c>
      <c r="E524" s="189" t="s">
        <v>644</v>
      </c>
      <c r="F524" s="189" t="s">
        <v>645</v>
      </c>
      <c r="G524" s="151" t="s">
        <v>193</v>
      </c>
      <c r="H524" s="285">
        <f t="shared" ref="H524:K524" si="99">H527+H528+H529+H531+H533+H534+H535+H532</f>
        <v>299.2</v>
      </c>
      <c r="I524" s="151">
        <f t="shared" si="99"/>
        <v>512.79999999999995</v>
      </c>
      <c r="J524" s="285">
        <f t="shared" si="99"/>
        <v>50</v>
      </c>
      <c r="K524" s="285">
        <f t="shared" si="99"/>
        <v>50</v>
      </c>
      <c r="L524" s="947"/>
      <c r="M524" s="59"/>
      <c r="N524" s="260"/>
      <c r="O524" s="193"/>
      <c r="P524" s="948"/>
    </row>
    <row r="525" spans="1:16">
      <c r="A525" s="59">
        <v>2</v>
      </c>
      <c r="B525" s="54"/>
      <c r="C525" s="54"/>
      <c r="D525" s="76"/>
      <c r="E525" s="41" t="s">
        <v>644</v>
      </c>
      <c r="F525" s="41" t="s">
        <v>645</v>
      </c>
      <c r="G525" s="151" t="s">
        <v>631</v>
      </c>
      <c r="H525" s="285">
        <f t="shared" ref="H525:K525" si="100">H530+H536</f>
        <v>38.4</v>
      </c>
      <c r="I525" s="285">
        <f t="shared" si="100"/>
        <v>0</v>
      </c>
      <c r="J525" s="285">
        <f t="shared" si="100"/>
        <v>100</v>
      </c>
      <c r="K525" s="285">
        <f t="shared" si="100"/>
        <v>200</v>
      </c>
      <c r="L525" s="946"/>
      <c r="M525" s="59"/>
      <c r="N525" s="260"/>
      <c r="O525" s="193"/>
      <c r="P525" s="948"/>
    </row>
    <row r="526" spans="1:16">
      <c r="A526" s="59">
        <v>2</v>
      </c>
      <c r="B526" s="54"/>
      <c r="C526" s="54" t="s">
        <v>642</v>
      </c>
      <c r="D526" s="40"/>
      <c r="E526" s="41"/>
      <c r="F526" s="41" t="s">
        <v>645</v>
      </c>
      <c r="G526" s="197" t="s">
        <v>459</v>
      </c>
      <c r="H526" s="53">
        <f t="shared" ref="H526:K526" si="101">SUM(H524:H525)</f>
        <v>337.59999999999997</v>
      </c>
      <c r="I526" s="53">
        <f t="shared" si="101"/>
        <v>512.79999999999995</v>
      </c>
      <c r="J526" s="53">
        <f t="shared" si="101"/>
        <v>150</v>
      </c>
      <c r="K526" s="53">
        <f t="shared" si="101"/>
        <v>250</v>
      </c>
      <c r="L526" s="946"/>
      <c r="M526" s="59"/>
      <c r="N526" s="260"/>
      <c r="O526" s="193"/>
      <c r="P526" s="948"/>
    </row>
    <row r="527" spans="1:16" ht="67.900000000000006" customHeight="1">
      <c r="A527" s="183">
        <v>2</v>
      </c>
      <c r="B527" s="54"/>
      <c r="C527" s="54" t="s">
        <v>646</v>
      </c>
      <c r="D527" s="294" t="s">
        <v>647</v>
      </c>
      <c r="E527" s="41" t="s">
        <v>648</v>
      </c>
      <c r="F527" s="41" t="s">
        <v>645</v>
      </c>
      <c r="G527" s="287" t="s">
        <v>193</v>
      </c>
      <c r="H527" s="288">
        <v>153.5</v>
      </c>
      <c r="I527" s="289"/>
      <c r="J527" s="295"/>
      <c r="K527" s="295"/>
      <c r="L527" s="946" t="s">
        <v>268</v>
      </c>
      <c r="M527" s="59"/>
      <c r="N527" s="260"/>
      <c r="O527" s="193"/>
      <c r="P527" s="948" t="s">
        <v>386</v>
      </c>
    </row>
    <row r="528" spans="1:16" ht="33.75">
      <c r="A528" s="59">
        <v>2</v>
      </c>
      <c r="B528" s="54"/>
      <c r="C528" s="54" t="s">
        <v>649</v>
      </c>
      <c r="D528" s="294" t="s">
        <v>650</v>
      </c>
      <c r="E528" s="41" t="s">
        <v>648</v>
      </c>
      <c r="F528" s="41" t="s">
        <v>645</v>
      </c>
      <c r="G528" s="287" t="s">
        <v>193</v>
      </c>
      <c r="H528" s="288">
        <v>5.2</v>
      </c>
      <c r="I528" s="289"/>
      <c r="J528" s="295"/>
      <c r="K528" s="295"/>
      <c r="L528" s="946" t="s">
        <v>268</v>
      </c>
      <c r="M528" s="59"/>
      <c r="N528" s="260"/>
      <c r="O528" s="193"/>
      <c r="P528" s="948" t="s">
        <v>386</v>
      </c>
    </row>
    <row r="529" spans="1:16" ht="33.75">
      <c r="A529" s="59">
        <v>2</v>
      </c>
      <c r="B529" s="54"/>
      <c r="C529" s="54" t="s">
        <v>651</v>
      </c>
      <c r="D529" s="1171" t="s">
        <v>652</v>
      </c>
      <c r="E529" s="41">
        <v>36</v>
      </c>
      <c r="F529" s="41" t="s">
        <v>645</v>
      </c>
      <c r="G529" s="287" t="s">
        <v>193</v>
      </c>
      <c r="H529" s="288"/>
      <c r="I529" s="289">
        <f>295</f>
        <v>295</v>
      </c>
      <c r="J529" s="295"/>
      <c r="K529" s="295"/>
      <c r="L529" s="946" t="s">
        <v>268</v>
      </c>
      <c r="M529" s="927" t="s">
        <v>2268</v>
      </c>
      <c r="N529" s="260" t="s">
        <v>2269</v>
      </c>
      <c r="O529" s="193">
        <v>100</v>
      </c>
      <c r="P529" s="948" t="s">
        <v>386</v>
      </c>
    </row>
    <row r="530" spans="1:16">
      <c r="A530" s="59">
        <v>2</v>
      </c>
      <c r="B530" s="54"/>
      <c r="C530" s="54" t="s">
        <v>651</v>
      </c>
      <c r="D530" s="1172"/>
      <c r="E530" s="41">
        <v>36</v>
      </c>
      <c r="F530" s="41" t="s">
        <v>645</v>
      </c>
      <c r="G530" s="287" t="s">
        <v>631</v>
      </c>
      <c r="H530" s="288">
        <v>20.5</v>
      </c>
      <c r="I530" s="289"/>
      <c r="J530" s="296"/>
      <c r="K530" s="296"/>
      <c r="L530" s="946"/>
      <c r="M530" s="927"/>
      <c r="N530" s="260"/>
      <c r="O530" s="193"/>
      <c r="P530" s="948" t="s">
        <v>386</v>
      </c>
    </row>
    <row r="531" spans="1:16" ht="33.75">
      <c r="A531" s="59">
        <v>2</v>
      </c>
      <c r="B531" s="54"/>
      <c r="C531" s="54" t="s">
        <v>653</v>
      </c>
      <c r="D531" s="1173" t="s">
        <v>654</v>
      </c>
      <c r="E531" s="41">
        <v>36</v>
      </c>
      <c r="F531" s="41" t="s">
        <v>645</v>
      </c>
      <c r="G531" s="287" t="s">
        <v>193</v>
      </c>
      <c r="H531" s="288">
        <f>185-145-4.5</f>
        <v>35.5</v>
      </c>
      <c r="I531" s="289">
        <v>195</v>
      </c>
      <c r="J531" s="296"/>
      <c r="K531" s="296"/>
      <c r="L531" s="946" t="s">
        <v>268</v>
      </c>
      <c r="M531" s="927" t="s">
        <v>2268</v>
      </c>
      <c r="N531" s="260" t="s">
        <v>2269</v>
      </c>
      <c r="O531" s="193">
        <v>100</v>
      </c>
      <c r="P531" s="948" t="s">
        <v>392</v>
      </c>
    </row>
    <row r="532" spans="1:16">
      <c r="A532" s="59">
        <v>2</v>
      </c>
      <c r="B532" s="54"/>
      <c r="C532" s="54" t="s">
        <v>653</v>
      </c>
      <c r="D532" s="1174"/>
      <c r="E532" s="59">
        <v>26</v>
      </c>
      <c r="F532" s="41" t="s">
        <v>655</v>
      </c>
      <c r="G532" s="287" t="s">
        <v>193</v>
      </c>
      <c r="H532" s="288">
        <v>4.3</v>
      </c>
      <c r="I532" s="289"/>
      <c r="J532" s="296"/>
      <c r="K532" s="296"/>
      <c r="L532" s="946" t="s">
        <v>268</v>
      </c>
      <c r="M532" s="59"/>
      <c r="N532" s="260"/>
      <c r="O532" s="193"/>
      <c r="P532" s="948" t="s">
        <v>392</v>
      </c>
    </row>
    <row r="533" spans="1:16" ht="33.75">
      <c r="A533" s="59">
        <v>2</v>
      </c>
      <c r="B533" s="54"/>
      <c r="C533" s="54" t="s">
        <v>656</v>
      </c>
      <c r="D533" s="294" t="s">
        <v>657</v>
      </c>
      <c r="E533" s="41">
        <v>36</v>
      </c>
      <c r="F533" s="41" t="s">
        <v>645</v>
      </c>
      <c r="G533" s="287" t="s">
        <v>193</v>
      </c>
      <c r="H533" s="288">
        <v>58.6</v>
      </c>
      <c r="I533" s="289">
        <v>12.8</v>
      </c>
      <c r="J533" s="295"/>
      <c r="K533" s="295"/>
      <c r="L533" s="946" t="s">
        <v>268</v>
      </c>
      <c r="M533" s="927" t="s">
        <v>2268</v>
      </c>
      <c r="N533" s="260" t="s">
        <v>2270</v>
      </c>
      <c r="O533" s="193">
        <v>100</v>
      </c>
      <c r="P533" s="948" t="s">
        <v>419</v>
      </c>
    </row>
    <row r="534" spans="1:16" ht="22.5">
      <c r="A534" s="59">
        <v>2</v>
      </c>
      <c r="B534" s="54"/>
      <c r="C534" s="54" t="s">
        <v>658</v>
      </c>
      <c r="D534" s="294" t="s">
        <v>659</v>
      </c>
      <c r="E534" s="41">
        <v>2</v>
      </c>
      <c r="F534" s="41" t="s">
        <v>645</v>
      </c>
      <c r="G534" s="287" t="s">
        <v>193</v>
      </c>
      <c r="H534" s="902">
        <f>41.3+18-17.2</f>
        <v>42.099999999999994</v>
      </c>
      <c r="I534" s="289"/>
      <c r="J534" s="295"/>
      <c r="K534" s="295"/>
      <c r="L534" s="946" t="s">
        <v>268</v>
      </c>
      <c r="M534" s="59"/>
      <c r="N534" s="260"/>
      <c r="O534" s="193"/>
      <c r="P534" s="948"/>
    </row>
    <row r="535" spans="1:16" ht="22.5">
      <c r="A535" s="183">
        <v>2</v>
      </c>
      <c r="B535" s="54"/>
      <c r="C535" s="54" t="s">
        <v>660</v>
      </c>
      <c r="D535" s="294" t="s">
        <v>661</v>
      </c>
      <c r="E535" s="41">
        <v>38</v>
      </c>
      <c r="F535" s="41" t="s">
        <v>645</v>
      </c>
      <c r="G535" s="287" t="s">
        <v>193</v>
      </c>
      <c r="H535" s="288">
        <f>10-10</f>
        <v>0</v>
      </c>
      <c r="I535" s="289">
        <f>50-40</f>
        <v>10</v>
      </c>
      <c r="J535" s="295">
        <v>50</v>
      </c>
      <c r="K535" s="295">
        <v>50</v>
      </c>
      <c r="L535" s="946" t="s">
        <v>398</v>
      </c>
      <c r="M535" s="927" t="s">
        <v>2271</v>
      </c>
      <c r="N535" s="967" t="s">
        <v>2245</v>
      </c>
      <c r="O535" s="962">
        <v>100</v>
      </c>
      <c r="P535" s="948"/>
    </row>
    <row r="536" spans="1:16">
      <c r="A536" s="59">
        <v>2</v>
      </c>
      <c r="B536" s="54"/>
      <c r="C536" s="54" t="s">
        <v>660</v>
      </c>
      <c r="D536" s="294"/>
      <c r="E536" s="41">
        <v>38</v>
      </c>
      <c r="F536" s="41" t="s">
        <v>645</v>
      </c>
      <c r="G536" s="287" t="s">
        <v>631</v>
      </c>
      <c r="H536" s="288">
        <v>17.899999999999999</v>
      </c>
      <c r="I536" s="289"/>
      <c r="J536" s="297">
        <v>100</v>
      </c>
      <c r="K536" s="297">
        <v>200</v>
      </c>
      <c r="L536" s="946"/>
      <c r="M536" s="59"/>
      <c r="N536" s="260"/>
      <c r="O536" s="193"/>
      <c r="P536" s="948"/>
    </row>
    <row r="537" spans="1:16" ht="33.75">
      <c r="A537" s="59">
        <v>2</v>
      </c>
      <c r="B537" s="190" t="s">
        <v>662</v>
      </c>
      <c r="C537" s="190" t="s">
        <v>662</v>
      </c>
      <c r="D537" s="198" t="s">
        <v>663</v>
      </c>
      <c r="E537" s="192"/>
      <c r="F537" s="41"/>
      <c r="G537" s="204"/>
      <c r="H537" s="654">
        <f>H539+H547</f>
        <v>180.5</v>
      </c>
      <c r="I537" s="654">
        <f>I539+I547</f>
        <v>555.29999999999995</v>
      </c>
      <c r="J537" s="654">
        <f>J539+J547</f>
        <v>3550.8</v>
      </c>
      <c r="K537" s="654">
        <f>K539+K547</f>
        <v>4939.7</v>
      </c>
      <c r="L537" s="328"/>
      <c r="M537" s="59"/>
      <c r="N537" s="260"/>
      <c r="O537" s="193"/>
      <c r="P537" s="948"/>
    </row>
    <row r="538" spans="1:16" ht="45">
      <c r="A538" s="59">
        <v>2</v>
      </c>
      <c r="B538" s="54"/>
      <c r="C538" s="54" t="s">
        <v>664</v>
      </c>
      <c r="D538" s="205" t="s">
        <v>665</v>
      </c>
      <c r="E538" s="41">
        <v>2</v>
      </c>
      <c r="F538" s="41" t="s">
        <v>666</v>
      </c>
      <c r="G538" s="44" t="s">
        <v>193</v>
      </c>
      <c r="H538" s="44">
        <f>SUM(H540:H545)</f>
        <v>22.9</v>
      </c>
      <c r="I538" s="44">
        <f>SUM(I540:I545)</f>
        <v>148.19999999999999</v>
      </c>
      <c r="J538" s="44">
        <f>SUM(J540:J545)</f>
        <v>305</v>
      </c>
      <c r="K538" s="44">
        <f>SUM(K540:K545)</f>
        <v>500</v>
      </c>
      <c r="L538" s="328" t="s">
        <v>274</v>
      </c>
      <c r="M538" s="59"/>
      <c r="N538" s="260"/>
      <c r="O538" s="193"/>
      <c r="P538" s="948"/>
    </row>
    <row r="539" spans="1:16">
      <c r="A539" s="59">
        <v>2</v>
      </c>
      <c r="B539" s="267"/>
      <c r="C539" s="267" t="s">
        <v>664</v>
      </c>
      <c r="D539" s="265"/>
      <c r="E539" s="269">
        <v>2</v>
      </c>
      <c r="F539" s="269" t="s">
        <v>666</v>
      </c>
      <c r="G539" s="298" t="s">
        <v>459</v>
      </c>
      <c r="H539" s="150">
        <f t="shared" ref="H539:K539" si="102">SUM(,H538)</f>
        <v>22.9</v>
      </c>
      <c r="I539" s="150">
        <f t="shared" si="102"/>
        <v>148.19999999999999</v>
      </c>
      <c r="J539" s="150">
        <f t="shared" si="102"/>
        <v>305</v>
      </c>
      <c r="K539" s="150">
        <f t="shared" si="102"/>
        <v>500</v>
      </c>
      <c r="L539" s="891"/>
      <c r="M539" s="59"/>
      <c r="N539" s="260"/>
      <c r="O539" s="193"/>
      <c r="P539" s="948"/>
    </row>
    <row r="540" spans="1:16" ht="22.5">
      <c r="A540" s="59">
        <v>2</v>
      </c>
      <c r="B540" s="271"/>
      <c r="C540" s="271" t="s">
        <v>667</v>
      </c>
      <c r="D540" s="300" t="s">
        <v>668</v>
      </c>
      <c r="E540" s="275">
        <v>2</v>
      </c>
      <c r="F540" s="275" t="s">
        <v>666</v>
      </c>
      <c r="G540" s="301" t="s">
        <v>193</v>
      </c>
      <c r="H540" s="304">
        <v>2.4</v>
      </c>
      <c r="I540" s="303">
        <f>20+82+13-115</f>
        <v>0</v>
      </c>
      <c r="J540" s="304">
        <f>300+115-300</f>
        <v>115</v>
      </c>
      <c r="K540" s="304">
        <f>700-200</f>
        <v>500</v>
      </c>
      <c r="L540" s="893" t="s">
        <v>398</v>
      </c>
      <c r="M540" s="260" t="s">
        <v>2261</v>
      </c>
      <c r="N540" s="260" t="s">
        <v>2272</v>
      </c>
      <c r="O540" s="193">
        <v>1</v>
      </c>
      <c r="P540" s="948" t="s">
        <v>275</v>
      </c>
    </row>
    <row r="541" spans="1:16" ht="22.5">
      <c r="A541" s="59">
        <v>2</v>
      </c>
      <c r="B541" s="271"/>
      <c r="C541" s="271" t="s">
        <v>669</v>
      </c>
      <c r="D541" s="300" t="s">
        <v>670</v>
      </c>
      <c r="E541" s="275" t="s">
        <v>59</v>
      </c>
      <c r="F541" s="275" t="s">
        <v>666</v>
      </c>
      <c r="G541" s="301" t="s">
        <v>193</v>
      </c>
      <c r="H541" s="302"/>
      <c r="I541" s="303">
        <v>20</v>
      </c>
      <c r="J541" s="304"/>
      <c r="K541" s="304"/>
      <c r="L541" s="893" t="s">
        <v>268</v>
      </c>
      <c r="M541" s="260" t="s">
        <v>2273</v>
      </c>
      <c r="N541" s="260" t="s">
        <v>1491</v>
      </c>
      <c r="O541" s="193">
        <v>1</v>
      </c>
      <c r="P541" s="948" t="s">
        <v>392</v>
      </c>
    </row>
    <row r="542" spans="1:16" ht="22.5">
      <c r="A542" s="59">
        <v>2</v>
      </c>
      <c r="B542" s="271"/>
      <c r="C542" s="271" t="s">
        <v>671</v>
      </c>
      <c r="D542" s="306" t="s">
        <v>672</v>
      </c>
      <c r="E542" s="282">
        <v>27</v>
      </c>
      <c r="F542" s="275" t="s">
        <v>673</v>
      </c>
      <c r="G542" s="301" t="s">
        <v>193</v>
      </c>
      <c r="H542" s="302">
        <v>12</v>
      </c>
      <c r="I542" s="303"/>
      <c r="J542" s="304"/>
      <c r="K542" s="304"/>
      <c r="L542" s="893" t="s">
        <v>398</v>
      </c>
      <c r="M542" s="59"/>
      <c r="N542" s="260"/>
      <c r="O542" s="193"/>
      <c r="P542" s="948" t="s">
        <v>386</v>
      </c>
    </row>
    <row r="543" spans="1:16" ht="22.5">
      <c r="A543" s="183">
        <v>2</v>
      </c>
      <c r="B543" s="271"/>
      <c r="C543" s="271" t="s">
        <v>674</v>
      </c>
      <c r="D543" s="306" t="s">
        <v>675</v>
      </c>
      <c r="E543" s="275">
        <v>25</v>
      </c>
      <c r="F543" s="275" t="s">
        <v>676</v>
      </c>
      <c r="G543" s="301" t="s">
        <v>193</v>
      </c>
      <c r="H543" s="302">
        <v>8.5</v>
      </c>
      <c r="I543" s="303">
        <v>100</v>
      </c>
      <c r="J543" s="304"/>
      <c r="K543" s="304"/>
      <c r="L543" s="893" t="s">
        <v>398</v>
      </c>
      <c r="M543" s="260" t="s">
        <v>2274</v>
      </c>
      <c r="N543" s="260" t="s">
        <v>1491</v>
      </c>
      <c r="O543" s="193">
        <v>1</v>
      </c>
      <c r="P543" s="948" t="s">
        <v>429</v>
      </c>
    </row>
    <row r="544" spans="1:16" ht="22.5">
      <c r="A544" s="59">
        <v>2</v>
      </c>
      <c r="B544" s="271"/>
      <c r="C544" s="271" t="s">
        <v>677</v>
      </c>
      <c r="D544" s="306" t="s">
        <v>678</v>
      </c>
      <c r="E544" s="275">
        <v>2</v>
      </c>
      <c r="F544" s="275" t="s">
        <v>679</v>
      </c>
      <c r="G544" s="301" t="s">
        <v>193</v>
      </c>
      <c r="H544" s="302"/>
      <c r="I544" s="303">
        <f>18.2</f>
        <v>18.2</v>
      </c>
      <c r="J544" s="304">
        <v>100</v>
      </c>
      <c r="K544" s="304"/>
      <c r="L544" s="893" t="s">
        <v>398</v>
      </c>
      <c r="M544" s="260" t="s">
        <v>2255</v>
      </c>
      <c r="N544" s="260" t="s">
        <v>2275</v>
      </c>
      <c r="O544" s="193">
        <v>2</v>
      </c>
      <c r="P544" s="948" t="s">
        <v>386</v>
      </c>
    </row>
    <row r="545" spans="1:16" ht="22.5">
      <c r="A545" s="59">
        <v>2</v>
      </c>
      <c r="B545" s="272"/>
      <c r="C545" s="272" t="s">
        <v>680</v>
      </c>
      <c r="D545" s="300" t="s">
        <v>681</v>
      </c>
      <c r="E545" s="307">
        <v>2</v>
      </c>
      <c r="F545" s="272" t="s">
        <v>682</v>
      </c>
      <c r="G545" s="308" t="s">
        <v>193</v>
      </c>
      <c r="H545" s="302"/>
      <c r="I545" s="303">
        <f>40-30</f>
        <v>10</v>
      </c>
      <c r="J545" s="768">
        <f>60+30</f>
        <v>90</v>
      </c>
      <c r="K545" s="833"/>
      <c r="L545" s="893" t="s">
        <v>398</v>
      </c>
      <c r="M545" s="260" t="s">
        <v>2276</v>
      </c>
      <c r="N545" s="260" t="s">
        <v>2277</v>
      </c>
      <c r="O545" s="193">
        <v>2</v>
      </c>
      <c r="P545" s="948" t="s">
        <v>429</v>
      </c>
    </row>
    <row r="546" spans="1:16" ht="22.5">
      <c r="A546" s="59">
        <v>2</v>
      </c>
      <c r="B546" s="276"/>
      <c r="C546" s="276" t="s">
        <v>683</v>
      </c>
      <c r="D546" s="277" t="s">
        <v>684</v>
      </c>
      <c r="E546" s="309"/>
      <c r="F546" s="189" t="s">
        <v>685</v>
      </c>
      <c r="G546" s="151" t="s">
        <v>193</v>
      </c>
      <c r="H546" s="285">
        <f>SUM(H548:H552)</f>
        <v>157.6</v>
      </c>
      <c r="I546" s="44">
        <f t="shared" ref="I546:K546" si="103">SUM(I548:I552)</f>
        <v>407.1</v>
      </c>
      <c r="J546" s="285">
        <f t="shared" si="103"/>
        <v>3245.8</v>
      </c>
      <c r="K546" s="285">
        <f t="shared" si="103"/>
        <v>4439.7</v>
      </c>
      <c r="L546" s="310" t="s">
        <v>385</v>
      </c>
      <c r="M546" s="59"/>
      <c r="N546" s="260"/>
      <c r="O546" s="193"/>
      <c r="P546" s="948" t="s">
        <v>275</v>
      </c>
    </row>
    <row r="547" spans="1:16">
      <c r="A547" s="59">
        <v>2</v>
      </c>
      <c r="B547" s="54"/>
      <c r="C547" s="276" t="s">
        <v>683</v>
      </c>
      <c r="D547" s="76"/>
      <c r="E547" s="189"/>
      <c r="F547" s="189"/>
      <c r="G547" s="197" t="s">
        <v>459</v>
      </c>
      <c r="H547" s="53">
        <f t="shared" ref="H547:K547" si="104">SUM(H546)</f>
        <v>157.6</v>
      </c>
      <c r="I547" s="53">
        <f t="shared" si="104"/>
        <v>407.1</v>
      </c>
      <c r="J547" s="53">
        <f t="shared" si="104"/>
        <v>3245.8</v>
      </c>
      <c r="K547" s="53">
        <f t="shared" si="104"/>
        <v>4439.7</v>
      </c>
      <c r="L547" s="328" t="s">
        <v>385</v>
      </c>
      <c r="M547" s="59"/>
      <c r="N547" s="260"/>
      <c r="O547" s="193"/>
      <c r="P547" s="948"/>
    </row>
    <row r="548" spans="1:16">
      <c r="A548" s="59">
        <v>2</v>
      </c>
      <c r="B548" s="54"/>
      <c r="C548" s="276" t="s">
        <v>683</v>
      </c>
      <c r="D548" s="76"/>
      <c r="E548" s="41">
        <v>2</v>
      </c>
      <c r="F548" s="41" t="s">
        <v>685</v>
      </c>
      <c r="G548" s="59" t="s">
        <v>193</v>
      </c>
      <c r="H548" s="288">
        <v>9.6</v>
      </c>
      <c r="I548" s="303">
        <v>35.4</v>
      </c>
      <c r="J548" s="290"/>
      <c r="K548" s="290"/>
      <c r="L548" s="328" t="s">
        <v>385</v>
      </c>
      <c r="M548" s="260" t="s">
        <v>2255</v>
      </c>
      <c r="N548" s="948" t="s">
        <v>2509</v>
      </c>
      <c r="O548" s="1104">
        <v>1</v>
      </c>
      <c r="P548" s="948" t="s">
        <v>275</v>
      </c>
    </row>
    <row r="549" spans="1:16">
      <c r="A549" s="59">
        <v>2</v>
      </c>
      <c r="B549" s="54"/>
      <c r="C549" s="276" t="s">
        <v>683</v>
      </c>
      <c r="D549" s="40"/>
      <c r="E549" s="41">
        <v>36</v>
      </c>
      <c r="F549" s="41" t="s">
        <v>685</v>
      </c>
      <c r="G549" s="59" t="s">
        <v>193</v>
      </c>
      <c r="H549" s="288">
        <v>144.1</v>
      </c>
      <c r="I549" s="303">
        <v>162.1</v>
      </c>
      <c r="J549" s="290">
        <v>1360</v>
      </c>
      <c r="K549" s="290">
        <v>1500</v>
      </c>
      <c r="L549" s="328" t="s">
        <v>385</v>
      </c>
      <c r="M549" s="927" t="s">
        <v>2268</v>
      </c>
      <c r="N549" s="930" t="s">
        <v>2278</v>
      </c>
      <c r="O549" s="193">
        <v>16</v>
      </c>
      <c r="P549" s="948" t="s">
        <v>275</v>
      </c>
    </row>
    <row r="550" spans="1:16">
      <c r="A550" s="183">
        <v>2</v>
      </c>
      <c r="B550" s="54"/>
      <c r="C550" s="276" t="s">
        <v>683</v>
      </c>
      <c r="D550" s="40"/>
      <c r="E550" s="41" t="s">
        <v>59</v>
      </c>
      <c r="F550" s="41" t="s">
        <v>685</v>
      </c>
      <c r="G550" s="59" t="s">
        <v>193</v>
      </c>
      <c r="H550" s="288"/>
      <c r="I550" s="303">
        <v>20</v>
      </c>
      <c r="J550" s="290">
        <v>66.599999999999994</v>
      </c>
      <c r="K550" s="290">
        <v>490</v>
      </c>
      <c r="L550" s="328" t="s">
        <v>385</v>
      </c>
      <c r="M550" s="260" t="s">
        <v>2279</v>
      </c>
      <c r="N550" s="260" t="s">
        <v>2208</v>
      </c>
      <c r="O550" s="193">
        <v>100</v>
      </c>
      <c r="P550" s="948" t="s">
        <v>275</v>
      </c>
    </row>
    <row r="551" spans="1:16">
      <c r="A551" s="59">
        <v>2</v>
      </c>
      <c r="B551" s="54"/>
      <c r="C551" s="276" t="s">
        <v>683</v>
      </c>
      <c r="D551" s="40"/>
      <c r="E551" s="41">
        <v>9</v>
      </c>
      <c r="F551" s="41" t="s">
        <v>685</v>
      </c>
      <c r="G551" s="59" t="s">
        <v>193</v>
      </c>
      <c r="H551" s="288"/>
      <c r="I551" s="303">
        <v>186.1</v>
      </c>
      <c r="J551" s="290">
        <v>1819.2</v>
      </c>
      <c r="K551" s="290">
        <v>2449.6999999999998</v>
      </c>
      <c r="L551" s="328" t="s">
        <v>385</v>
      </c>
      <c r="M551" s="260" t="s">
        <v>2205</v>
      </c>
      <c r="N551" s="260" t="s">
        <v>2208</v>
      </c>
      <c r="O551" s="193">
        <v>100</v>
      </c>
      <c r="P551" s="948" t="s">
        <v>275</v>
      </c>
    </row>
    <row r="552" spans="1:16">
      <c r="A552" s="59">
        <v>2</v>
      </c>
      <c r="B552" s="54"/>
      <c r="C552" s="276" t="s">
        <v>683</v>
      </c>
      <c r="D552" s="40"/>
      <c r="E552" s="59">
        <v>23</v>
      </c>
      <c r="F552" s="41" t="s">
        <v>2150</v>
      </c>
      <c r="G552" s="59" t="s">
        <v>193</v>
      </c>
      <c r="H552" s="288">
        <v>3.9</v>
      </c>
      <c r="I552" s="303">
        <v>3.5</v>
      </c>
      <c r="J552" s="290"/>
      <c r="K552" s="290"/>
      <c r="L552" s="328" t="s">
        <v>385</v>
      </c>
      <c r="M552" s="927" t="s">
        <v>147</v>
      </c>
      <c r="N552" s="930" t="s">
        <v>2280</v>
      </c>
      <c r="O552" s="193">
        <v>1</v>
      </c>
      <c r="P552" s="948" t="s">
        <v>275</v>
      </c>
    </row>
    <row r="553" spans="1:16" ht="12.75" customHeight="1">
      <c r="A553" s="59">
        <v>2</v>
      </c>
      <c r="B553" s="54"/>
      <c r="C553" s="54"/>
      <c r="D553" s="40"/>
      <c r="E553" s="41"/>
      <c r="F553" s="41"/>
      <c r="G553" s="120" t="s">
        <v>459</v>
      </c>
      <c r="H553" s="120">
        <f>SUM(H547,H539,H526,H517,H513,H511,H503,H500,H496,H493,H489,H484,H480,H476,H471,H468,H466,H464,H462,H451,H447,H439,H436,H431,H401,H396,H394,H505,H507,H453)</f>
        <v>3088</v>
      </c>
      <c r="I553" s="120">
        <f>SUM(I547,I539,I526,I517,I513,I511,I503,I500,I496,I493,I489,I484,I480,I476,I471,I468,I466,I464,I462,I451,I447,I439,I436,I431,I401,I396,I394,I505,I507,I453)</f>
        <v>5573.0999999999995</v>
      </c>
      <c r="J553" s="120">
        <f>SUM(J547,J539,J526,J517,J513,J511,J503,J500,J496,J493,J489,J484,J480,J476,J471,J468,J466,J464,J462,J451,J447,J439,J436,J431,J401,J396,J394,J505,J507,J453)</f>
        <v>6374.2999999999993</v>
      </c>
      <c r="K553" s="120">
        <f>SUM(K547,K539,K526,K517,K513,K511,K503,K500,K496,K493,K489,K484,K480,K476,K471,K468,K466,K464,K462,K451,K447,K439,K436,K431,K401,K396,K394,K505,K507,K453)</f>
        <v>6783</v>
      </c>
      <c r="L553" s="328"/>
      <c r="M553" s="59"/>
      <c r="N553" s="260"/>
      <c r="O553" s="193"/>
      <c r="P553" s="948"/>
    </row>
    <row r="554" spans="1:16" ht="12.75" customHeight="1">
      <c r="A554" s="59">
        <v>2</v>
      </c>
      <c r="B554" s="54"/>
      <c r="C554" s="54"/>
      <c r="D554" s="40"/>
      <c r="E554" s="41"/>
      <c r="F554" s="41"/>
      <c r="G554" s="59" t="s">
        <v>193</v>
      </c>
      <c r="H554" s="42">
        <f>SUM(H393,H395,H449,H510,H512,H430,H501,H497,H494,H485,H481,H482,H483,H479,H473,H472,H469,H467,H465,H463,H460,H435,H490,H498,H499,H491,H504,H506,H486,H488,H548,H549,H550,H551,H552,H545,H544,H543,H542,H541,H540,H535,H534,H533,H532,H531,H529,H528,H527,H523,H522,H520,H519,H518,H402,H403,H404,H405,H406,H407,H408,H409,H410,H411,H412,H413,H414,H415,H423,H487)</f>
        <v>1610.6999999999998</v>
      </c>
      <c r="I554" s="42">
        <f t="shared" ref="I554:K554" si="105">SUM(I393,I395,I449,I510,I512,I430,I501,I497,I494,I485,I481,I482,I483,I479,I473,I472,I469,I467,I465,I463,I460,I435,I490,I498,I499,I491,I504,I506,I486,I488,I548,I549,I550,I551,I552,I545,I544,I543,I542,I541,I540,I535,I534,I533,I532,I531,I529,I528,I527,I523,I522,I520,I519,I518,I402,I403,I404,I405,I406,I407,I408,I409,I410,I411,I412,I413,I414,I415,I423,I487)</f>
        <v>2601.6</v>
      </c>
      <c r="J554" s="42">
        <f t="shared" si="105"/>
        <v>5298</v>
      </c>
      <c r="K554" s="42">
        <f t="shared" si="105"/>
        <v>5879.1</v>
      </c>
      <c r="L554" s="328"/>
      <c r="M554" s="59"/>
      <c r="N554" s="260"/>
      <c r="O554" s="193"/>
      <c r="P554" s="948"/>
    </row>
    <row r="555" spans="1:16" ht="12.75" customHeight="1">
      <c r="A555" s="59">
        <v>2</v>
      </c>
      <c r="B555" s="54"/>
      <c r="C555" s="54"/>
      <c r="D555" s="40"/>
      <c r="E555" s="41"/>
      <c r="F555" s="41"/>
      <c r="G555" s="59" t="s">
        <v>381</v>
      </c>
      <c r="H555" s="42">
        <f>H461</f>
        <v>0</v>
      </c>
      <c r="I555" s="42">
        <f t="shared" ref="I555:K555" si="106">I461</f>
        <v>200</v>
      </c>
      <c r="J555" s="42">
        <f t="shared" si="106"/>
        <v>0</v>
      </c>
      <c r="K555" s="42">
        <f t="shared" si="106"/>
        <v>0</v>
      </c>
      <c r="L555" s="328"/>
      <c r="M555" s="59"/>
      <c r="N555" s="260"/>
      <c r="O555" s="193"/>
      <c r="P555" s="948"/>
    </row>
    <row r="556" spans="1:16" ht="12.75" customHeight="1">
      <c r="A556" s="59">
        <v>2</v>
      </c>
      <c r="B556" s="54"/>
      <c r="C556" s="54"/>
      <c r="D556" s="40"/>
      <c r="E556" s="41"/>
      <c r="F556" s="41"/>
      <c r="G556" s="59" t="s">
        <v>380</v>
      </c>
      <c r="H556" s="42">
        <f>H477</f>
        <v>200</v>
      </c>
      <c r="I556" s="42">
        <f>I477</f>
        <v>395.7</v>
      </c>
      <c r="J556" s="264">
        <f>J477</f>
        <v>30.2</v>
      </c>
      <c r="K556" s="264">
        <f>K477</f>
        <v>0</v>
      </c>
      <c r="L556" s="328"/>
      <c r="M556" s="59"/>
      <c r="N556" s="260"/>
      <c r="O556" s="193"/>
      <c r="P556" s="948"/>
    </row>
    <row r="557" spans="1:16" ht="12.75" customHeight="1">
      <c r="A557" s="59">
        <v>2</v>
      </c>
      <c r="B557" s="54"/>
      <c r="C557" s="54"/>
      <c r="D557" s="40"/>
      <c r="E557" s="41"/>
      <c r="F557" s="41"/>
      <c r="G557" s="41" t="s">
        <v>196</v>
      </c>
      <c r="H557" s="42">
        <f>H450+H452</f>
        <v>185.2</v>
      </c>
      <c r="I557" s="42">
        <f>I450+I452</f>
        <v>245.1</v>
      </c>
      <c r="J557" s="42">
        <f>J450+J452</f>
        <v>245.1</v>
      </c>
      <c r="K557" s="42">
        <f>K450+K452</f>
        <v>245.1</v>
      </c>
      <c r="L557" s="328"/>
      <c r="M557" s="59"/>
      <c r="N557" s="260"/>
      <c r="O557" s="193"/>
      <c r="P557" s="948"/>
    </row>
    <row r="558" spans="1:16" ht="12.75" customHeight="1">
      <c r="A558" s="183">
        <v>2</v>
      </c>
      <c r="B558" s="54"/>
      <c r="C558" s="54"/>
      <c r="D558" s="40"/>
      <c r="E558" s="41"/>
      <c r="F558" s="41"/>
      <c r="G558" s="41" t="s">
        <v>195</v>
      </c>
      <c r="H558" s="42"/>
      <c r="I558" s="42"/>
      <c r="J558" s="42"/>
      <c r="K558" s="42"/>
      <c r="L558" s="328"/>
      <c r="M558" s="59"/>
      <c r="N558" s="260"/>
      <c r="O558" s="193"/>
      <c r="P558" s="948"/>
    </row>
    <row r="559" spans="1:16" ht="12.75" customHeight="1">
      <c r="A559" s="183">
        <v>2</v>
      </c>
      <c r="B559" s="54"/>
      <c r="C559" s="54"/>
      <c r="D559" s="40"/>
      <c r="E559" s="41"/>
      <c r="F559" s="41"/>
      <c r="G559" s="41" t="s">
        <v>475</v>
      </c>
      <c r="H559" s="42">
        <f>SUM(H399,H438,H446)</f>
        <v>458.79999999999995</v>
      </c>
      <c r="I559" s="42">
        <f t="shared" ref="I559:J559" si="107">SUM(I399,I438,I446)</f>
        <v>700.2</v>
      </c>
      <c r="J559" s="42">
        <f t="shared" si="107"/>
        <v>458.79999999999995</v>
      </c>
      <c r="K559" s="42">
        <f>SUM(K399,K438,K446)</f>
        <v>458.8</v>
      </c>
      <c r="L559" s="328"/>
      <c r="M559" s="59"/>
      <c r="N559" s="260"/>
      <c r="O559" s="193"/>
      <c r="P559" s="948"/>
    </row>
    <row r="560" spans="1:16" ht="12.75" customHeight="1">
      <c r="A560" s="59">
        <v>2</v>
      </c>
      <c r="B560" s="54"/>
      <c r="C560" s="54"/>
      <c r="D560" s="40"/>
      <c r="E560" s="41"/>
      <c r="F560" s="41"/>
      <c r="G560" s="41" t="s">
        <v>267</v>
      </c>
      <c r="H560" s="42">
        <f>SUM(H428,H470,H474,H478,H502,H495,H492,H432)</f>
        <v>566.79999999999995</v>
      </c>
      <c r="I560" s="42">
        <f>SUM(I428,I470,I474,I478,I502,I495,I492,I432)</f>
        <v>1295.3</v>
      </c>
      <c r="J560" s="264">
        <f>SUM(J428,J470,J474,J478,J502,J495,J492,J432)</f>
        <v>142.19999999999999</v>
      </c>
      <c r="K560" s="264">
        <f>SUM(K428,K470,K474,K478,K502,K495,K492,K432)</f>
        <v>0</v>
      </c>
      <c r="L560" s="196"/>
      <c r="M560" s="59"/>
      <c r="N560" s="260"/>
      <c r="O560" s="193"/>
      <c r="P560" s="948"/>
    </row>
    <row r="561" spans="1:16" ht="12.75" customHeight="1">
      <c r="A561" s="59">
        <v>2</v>
      </c>
      <c r="B561" s="54"/>
      <c r="C561" s="54"/>
      <c r="D561" s="40"/>
      <c r="E561" s="41"/>
      <c r="F561" s="41"/>
      <c r="G561" s="41" t="s">
        <v>686</v>
      </c>
      <c r="H561" s="42"/>
      <c r="I561" s="42"/>
      <c r="J561" s="264"/>
      <c r="K561" s="264"/>
      <c r="L561" s="196"/>
      <c r="M561" s="59"/>
      <c r="N561" s="260"/>
      <c r="O561" s="193"/>
      <c r="P561" s="948"/>
    </row>
    <row r="562" spans="1:16" ht="12.75" customHeight="1">
      <c r="A562" s="59">
        <v>2</v>
      </c>
      <c r="B562" s="54"/>
      <c r="C562" s="54"/>
      <c r="D562" s="40"/>
      <c r="E562" s="41"/>
      <c r="F562" s="41"/>
      <c r="G562" s="41" t="s">
        <v>461</v>
      </c>
      <c r="H562" s="42">
        <f>SUM(H434)</f>
        <v>6.1</v>
      </c>
      <c r="I562" s="42">
        <f>SUM(I434)</f>
        <v>86.2</v>
      </c>
      <c r="J562" s="264">
        <f>SUM(J434)</f>
        <v>0</v>
      </c>
      <c r="K562" s="264">
        <f>SUM(K434)</f>
        <v>0</v>
      </c>
      <c r="L562" s="196"/>
      <c r="M562" s="59"/>
      <c r="N562" s="260"/>
      <c r="O562" s="193"/>
      <c r="P562" s="948"/>
    </row>
    <row r="563" spans="1:16" ht="12.75" customHeight="1">
      <c r="A563" s="59">
        <v>2</v>
      </c>
      <c r="B563" s="54"/>
      <c r="C563" s="54"/>
      <c r="D563" s="40"/>
      <c r="E563" s="41"/>
      <c r="F563" s="41"/>
      <c r="G563" s="41" t="s">
        <v>269</v>
      </c>
      <c r="H563" s="42">
        <f>SUM(H429,H433,H475)</f>
        <v>22</v>
      </c>
      <c r="I563" s="42">
        <f>SUM(I429,I433,I475)</f>
        <v>49</v>
      </c>
      <c r="J563" s="42">
        <f>SUM(J429,J433,J475)</f>
        <v>0</v>
      </c>
      <c r="K563" s="42">
        <f>SUM(K429,K433,K475)</f>
        <v>0</v>
      </c>
      <c r="L563" s="196"/>
      <c r="M563" s="59"/>
      <c r="N563" s="260"/>
      <c r="O563" s="193"/>
      <c r="P563" s="948"/>
    </row>
    <row r="564" spans="1:16" ht="12.75" customHeight="1">
      <c r="A564" s="59">
        <v>2</v>
      </c>
      <c r="B564" s="54"/>
      <c r="C564" s="54"/>
      <c r="D564" s="40"/>
      <c r="E564" s="41"/>
      <c r="F564" s="41"/>
      <c r="G564" s="41" t="s">
        <v>631</v>
      </c>
      <c r="H564" s="42">
        <f>SUM(H536,H530,H521)</f>
        <v>38.4</v>
      </c>
      <c r="I564" s="42">
        <f t="shared" ref="I564:K564" si="108">SUM(I536,I530,I521)</f>
        <v>0</v>
      </c>
      <c r="J564" s="42">
        <f t="shared" si="108"/>
        <v>200</v>
      </c>
      <c r="K564" s="42">
        <f t="shared" si="108"/>
        <v>200</v>
      </c>
      <c r="L564" s="196"/>
      <c r="M564" s="59"/>
      <c r="N564" s="260"/>
      <c r="O564" s="193"/>
      <c r="P564" s="948"/>
    </row>
    <row r="565" spans="1:16" ht="12.75" customHeight="1">
      <c r="A565" s="59">
        <v>2</v>
      </c>
      <c r="B565" s="54"/>
      <c r="C565" s="54"/>
      <c r="D565" s="40"/>
      <c r="E565" s="41"/>
      <c r="F565" s="41"/>
      <c r="G565" s="120" t="s">
        <v>459</v>
      </c>
      <c r="H565" s="120">
        <f t="shared" ref="H565:K565" si="109">SUM(H554:H564)</f>
        <v>3088</v>
      </c>
      <c r="I565" s="120">
        <f t="shared" si="109"/>
        <v>5573.0999999999995</v>
      </c>
      <c r="J565" s="311">
        <f t="shared" si="109"/>
        <v>6374.3</v>
      </c>
      <c r="K565" s="311">
        <f t="shared" si="109"/>
        <v>6783.0000000000009</v>
      </c>
      <c r="L565" s="196"/>
      <c r="M565" s="59"/>
      <c r="N565" s="260"/>
      <c r="O565" s="193"/>
      <c r="P565" s="948"/>
    </row>
    <row r="566" spans="1:16" ht="12.75" customHeight="1">
      <c r="A566" s="59">
        <v>2</v>
      </c>
      <c r="B566" s="312"/>
      <c r="C566" s="54"/>
      <c r="D566" s="40"/>
      <c r="E566" s="41"/>
      <c r="F566" s="41"/>
      <c r="G566" s="41"/>
      <c r="H566" s="42">
        <f>H553-H565</f>
        <v>0</v>
      </c>
      <c r="I566" s="42">
        <f>I553-I565</f>
        <v>0</v>
      </c>
      <c r="J566" s="264">
        <f>J553-J565</f>
        <v>0</v>
      </c>
      <c r="K566" s="264">
        <f>K553-K565</f>
        <v>0</v>
      </c>
      <c r="L566" s="196"/>
      <c r="M566" s="196"/>
      <c r="N566" s="196"/>
      <c r="O566" s="196"/>
      <c r="P566" s="126"/>
    </row>
    <row r="567" spans="1:16" ht="22.5">
      <c r="A567" s="183">
        <v>3</v>
      </c>
      <c r="B567" s="184"/>
      <c r="C567" s="184"/>
      <c r="D567" s="185" t="s">
        <v>688</v>
      </c>
      <c r="E567" s="186"/>
      <c r="F567" s="187"/>
      <c r="G567" s="186"/>
      <c r="H567" s="186"/>
      <c r="I567" s="186"/>
      <c r="J567" s="186"/>
      <c r="K567" s="186"/>
      <c r="L567" s="179"/>
      <c r="M567" s="196"/>
      <c r="N567" s="196"/>
      <c r="O567" s="196"/>
      <c r="P567" s="126"/>
    </row>
    <row r="568" spans="1:16" ht="29.25">
      <c r="A568" s="41">
        <v>3</v>
      </c>
      <c r="B568" s="190" t="s">
        <v>689</v>
      </c>
      <c r="C568" s="190" t="s">
        <v>689</v>
      </c>
      <c r="D568" s="198" t="s">
        <v>690</v>
      </c>
      <c r="E568" s="315"/>
      <c r="F568" s="316"/>
      <c r="G568" s="84"/>
      <c r="H568" s="317">
        <f>H573+H575+H577+H582+H584</f>
        <v>949.5</v>
      </c>
      <c r="I568" s="317">
        <f t="shared" ref="I568:K568" si="110">I573+I575+I577+I582+I584</f>
        <v>1352.6999999999998</v>
      </c>
      <c r="J568" s="317">
        <f t="shared" si="110"/>
        <v>968.8</v>
      </c>
      <c r="K568" s="317">
        <f t="shared" si="110"/>
        <v>1118.8</v>
      </c>
      <c r="L568" s="179"/>
      <c r="M568" s="930" t="s">
        <v>2281</v>
      </c>
      <c r="N568" s="963" t="s">
        <v>2282</v>
      </c>
      <c r="O568" s="193">
        <v>13</v>
      </c>
      <c r="P568" s="964"/>
    </row>
    <row r="569" spans="1:16" ht="29.25">
      <c r="A569" s="41">
        <v>3</v>
      </c>
      <c r="B569" s="54"/>
      <c r="C569" s="54" t="s">
        <v>691</v>
      </c>
      <c r="D569" s="1125" t="s">
        <v>692</v>
      </c>
      <c r="E569" s="54" t="s">
        <v>693</v>
      </c>
      <c r="F569" s="41" t="s">
        <v>694</v>
      </c>
      <c r="G569" s="319" t="s">
        <v>695</v>
      </c>
      <c r="H569" s="320">
        <v>410.1</v>
      </c>
      <c r="I569" s="321">
        <f>752.8-150</f>
        <v>602.79999999999995</v>
      </c>
      <c r="J569" s="320">
        <v>752.8</v>
      </c>
      <c r="K569" s="194">
        <v>752.8</v>
      </c>
      <c r="L569" s="179"/>
      <c r="M569" s="930" t="s">
        <v>2281</v>
      </c>
      <c r="N569" s="963" t="s">
        <v>2283</v>
      </c>
      <c r="O569" s="193">
        <v>1</v>
      </c>
      <c r="P569" s="964"/>
    </row>
    <row r="570" spans="1:16" ht="22.5">
      <c r="A570" s="41">
        <v>3</v>
      </c>
      <c r="B570" s="54"/>
      <c r="C570" s="54"/>
      <c r="D570" s="1167"/>
      <c r="E570" s="54" t="s">
        <v>693</v>
      </c>
      <c r="F570" s="41" t="s">
        <v>694</v>
      </c>
      <c r="G570" s="319" t="s">
        <v>195</v>
      </c>
      <c r="H570" s="320">
        <v>13.6</v>
      </c>
      <c r="I570" s="321">
        <v>30</v>
      </c>
      <c r="J570" s="194">
        <v>30</v>
      </c>
      <c r="K570" s="194">
        <v>30</v>
      </c>
      <c r="L570" s="179"/>
      <c r="M570" s="930" t="s">
        <v>2281</v>
      </c>
      <c r="N570" s="963" t="s">
        <v>2284</v>
      </c>
      <c r="O570" s="193">
        <v>5</v>
      </c>
      <c r="P570" s="964"/>
    </row>
    <row r="571" spans="1:16" ht="22.5">
      <c r="A571" s="41">
        <v>3</v>
      </c>
      <c r="B571" s="54"/>
      <c r="C571" s="54"/>
      <c r="D571" s="1167"/>
      <c r="E571" s="54" t="s">
        <v>693</v>
      </c>
      <c r="F571" s="41" t="s">
        <v>694</v>
      </c>
      <c r="G571" s="319" t="s">
        <v>696</v>
      </c>
      <c r="H571" s="320">
        <v>39.200000000000003</v>
      </c>
      <c r="I571" s="321">
        <v>104.3</v>
      </c>
      <c r="J571" s="194">
        <v>30</v>
      </c>
      <c r="K571" s="194">
        <v>30</v>
      </c>
      <c r="L571" s="179"/>
      <c r="M571" s="930" t="s">
        <v>2281</v>
      </c>
      <c r="N571" s="963" t="s">
        <v>2285</v>
      </c>
      <c r="O571" s="193">
        <v>2</v>
      </c>
      <c r="P571" s="964"/>
    </row>
    <row r="572" spans="1:16" ht="39">
      <c r="A572" s="41">
        <v>3</v>
      </c>
      <c r="B572" s="54"/>
      <c r="C572" s="54"/>
      <c r="D572" s="1167"/>
      <c r="E572" s="54" t="s">
        <v>142</v>
      </c>
      <c r="F572" s="41" t="s">
        <v>2152</v>
      </c>
      <c r="G572" s="319" t="s">
        <v>695</v>
      </c>
      <c r="H572" s="320"/>
      <c r="I572" s="321">
        <v>150</v>
      </c>
      <c r="J572" s="194"/>
      <c r="K572" s="194"/>
      <c r="L572" s="179"/>
      <c r="M572" s="930" t="s">
        <v>2281</v>
      </c>
      <c r="N572" s="963" t="s">
        <v>2286</v>
      </c>
      <c r="O572" s="193">
        <v>9</v>
      </c>
      <c r="P572" s="964"/>
    </row>
    <row r="573" spans="1:16">
      <c r="A573" s="41">
        <v>3</v>
      </c>
      <c r="B573" s="54"/>
      <c r="C573" s="54"/>
      <c r="D573" s="1126"/>
      <c r="E573" s="54" t="s">
        <v>693</v>
      </c>
      <c r="F573" s="41" t="s">
        <v>694</v>
      </c>
      <c r="G573" s="197" t="s">
        <v>459</v>
      </c>
      <c r="H573" s="53">
        <f>SUM(H569:H572)</f>
        <v>462.90000000000003</v>
      </c>
      <c r="I573" s="53">
        <f t="shared" ref="I573:K573" si="111">SUM(I569:I572)</f>
        <v>887.09999999999991</v>
      </c>
      <c r="J573" s="53">
        <f t="shared" si="111"/>
        <v>812.8</v>
      </c>
      <c r="K573" s="53">
        <f t="shared" si="111"/>
        <v>812.8</v>
      </c>
      <c r="L573" s="179"/>
      <c r="M573" s="196"/>
      <c r="N573" s="196"/>
      <c r="O573" s="196"/>
      <c r="P573" s="364"/>
    </row>
    <row r="574" spans="1:16" ht="33.75">
      <c r="A574" s="41">
        <v>3</v>
      </c>
      <c r="B574" s="54"/>
      <c r="C574" s="54" t="s">
        <v>697</v>
      </c>
      <c r="D574" s="40" t="s">
        <v>698</v>
      </c>
      <c r="E574" s="54" t="s">
        <v>693</v>
      </c>
      <c r="F574" s="196" t="s">
        <v>699</v>
      </c>
      <c r="G574" s="319" t="s">
        <v>193</v>
      </c>
      <c r="H574" s="320">
        <v>5.8</v>
      </c>
      <c r="I574" s="321">
        <v>6</v>
      </c>
      <c r="J574" s="194">
        <v>6</v>
      </c>
      <c r="K574" s="194">
        <v>6</v>
      </c>
      <c r="L574" s="179" t="s">
        <v>262</v>
      </c>
      <c r="M574" s="930" t="s">
        <v>2287</v>
      </c>
      <c r="N574" s="764" t="s">
        <v>2288</v>
      </c>
      <c r="O574" s="193">
        <v>60</v>
      </c>
      <c r="P574" s="964"/>
    </row>
    <row r="575" spans="1:16">
      <c r="A575" s="41">
        <v>3</v>
      </c>
      <c r="B575" s="54"/>
      <c r="C575" s="54"/>
      <c r="D575" s="40"/>
      <c r="E575" s="54"/>
      <c r="F575" s="196" t="s">
        <v>699</v>
      </c>
      <c r="G575" s="197" t="s">
        <v>459</v>
      </c>
      <c r="H575" s="53">
        <f t="shared" ref="H575:K575" si="112">SUM(H574)</f>
        <v>5.8</v>
      </c>
      <c r="I575" s="53">
        <f t="shared" si="112"/>
        <v>6</v>
      </c>
      <c r="J575" s="53">
        <f t="shared" si="112"/>
        <v>6</v>
      </c>
      <c r="K575" s="53">
        <f t="shared" si="112"/>
        <v>6</v>
      </c>
      <c r="L575" s="179"/>
      <c r="M575" s="59"/>
      <c r="N575" s="260"/>
      <c r="O575" s="193"/>
      <c r="P575" s="964"/>
    </row>
    <row r="576" spans="1:16" ht="22.5">
      <c r="A576" s="41">
        <v>3</v>
      </c>
      <c r="B576" s="54"/>
      <c r="C576" s="54" t="s">
        <v>700</v>
      </c>
      <c r="D576" s="40" t="s">
        <v>701</v>
      </c>
      <c r="E576" s="54" t="s">
        <v>693</v>
      </c>
      <c r="F576" s="196" t="s">
        <v>702</v>
      </c>
      <c r="G576" s="319" t="s">
        <v>193</v>
      </c>
      <c r="H576" s="320">
        <f>120-2.3</f>
        <v>117.7</v>
      </c>
      <c r="I576" s="321">
        <v>100</v>
      </c>
      <c r="J576" s="194">
        <v>100</v>
      </c>
      <c r="K576" s="194">
        <v>100</v>
      </c>
      <c r="L576" s="179" t="s">
        <v>274</v>
      </c>
      <c r="M576" s="260" t="s">
        <v>2289</v>
      </c>
      <c r="N576" s="930" t="s">
        <v>2290</v>
      </c>
      <c r="O576" s="193">
        <v>100</v>
      </c>
      <c r="P576" s="964"/>
    </row>
    <row r="577" spans="1:16">
      <c r="A577" s="59">
        <v>3</v>
      </c>
      <c r="B577" s="54"/>
      <c r="C577" s="54"/>
      <c r="D577" s="40"/>
      <c r="E577" s="54"/>
      <c r="F577" s="196"/>
      <c r="G577" s="197" t="s">
        <v>459</v>
      </c>
      <c r="H577" s="53">
        <f t="shared" ref="H577:K577" si="113">SUM(H576)</f>
        <v>117.7</v>
      </c>
      <c r="I577" s="53">
        <f t="shared" si="113"/>
        <v>100</v>
      </c>
      <c r="J577" s="53">
        <f t="shared" si="113"/>
        <v>100</v>
      </c>
      <c r="K577" s="53">
        <f t="shared" si="113"/>
        <v>100</v>
      </c>
      <c r="L577" s="179"/>
      <c r="M577" s="59"/>
      <c r="N577" s="260"/>
      <c r="O577" s="193"/>
      <c r="P577" s="964"/>
    </row>
    <row r="578" spans="1:16" ht="45">
      <c r="A578" s="41">
        <v>3</v>
      </c>
      <c r="B578" s="54"/>
      <c r="C578" s="54" t="s">
        <v>703</v>
      </c>
      <c r="D578" s="40" t="s">
        <v>704</v>
      </c>
      <c r="E578" s="54" t="s">
        <v>272</v>
      </c>
      <c r="F578" s="196" t="s">
        <v>705</v>
      </c>
      <c r="G578" s="319" t="s">
        <v>193</v>
      </c>
      <c r="H578" s="320">
        <v>341.2</v>
      </c>
      <c r="I578" s="321">
        <v>12.8</v>
      </c>
      <c r="J578" s="194"/>
      <c r="K578" s="194"/>
      <c r="L578" s="179" t="s">
        <v>268</v>
      </c>
      <c r="M578" s="260" t="s">
        <v>2051</v>
      </c>
      <c r="N578" s="260" t="s">
        <v>2291</v>
      </c>
      <c r="O578" s="193">
        <v>1</v>
      </c>
      <c r="P578" s="964" t="s">
        <v>275</v>
      </c>
    </row>
    <row r="579" spans="1:16">
      <c r="A579" s="41">
        <v>3</v>
      </c>
      <c r="B579" s="54"/>
      <c r="C579" s="54"/>
      <c r="D579" s="40"/>
      <c r="E579" s="54" t="s">
        <v>272</v>
      </c>
      <c r="F579" s="196" t="s">
        <v>705</v>
      </c>
      <c r="G579" s="319" t="s">
        <v>267</v>
      </c>
      <c r="H579" s="320">
        <v>8.9</v>
      </c>
      <c r="I579" s="321">
        <v>307.3</v>
      </c>
      <c r="J579" s="194"/>
      <c r="K579" s="194"/>
      <c r="L579" s="179"/>
      <c r="M579" s="59"/>
      <c r="N579" s="260"/>
      <c r="O579" s="193"/>
      <c r="P579" s="964" t="s">
        <v>275</v>
      </c>
    </row>
    <row r="580" spans="1:16">
      <c r="A580" s="41">
        <v>3</v>
      </c>
      <c r="B580" s="54"/>
      <c r="C580" s="54"/>
      <c r="D580" s="323"/>
      <c r="E580" s="54" t="s">
        <v>272</v>
      </c>
      <c r="F580" s="196" t="s">
        <v>705</v>
      </c>
      <c r="G580" s="319" t="s">
        <v>269</v>
      </c>
      <c r="H580" s="320"/>
      <c r="I580" s="321">
        <v>39.5</v>
      </c>
      <c r="J580" s="194"/>
      <c r="K580" s="194"/>
      <c r="L580" s="179"/>
      <c r="M580" s="59"/>
      <c r="N580" s="260"/>
      <c r="O580" s="193"/>
      <c r="P580" s="964" t="s">
        <v>275</v>
      </c>
    </row>
    <row r="581" spans="1:16">
      <c r="A581" s="41">
        <v>3</v>
      </c>
      <c r="B581" s="54"/>
      <c r="C581" s="54"/>
      <c r="D581" s="323"/>
      <c r="E581" s="54" t="s">
        <v>706</v>
      </c>
      <c r="F581" s="196" t="s">
        <v>707</v>
      </c>
      <c r="G581" s="324" t="s">
        <v>193</v>
      </c>
      <c r="H581" s="320">
        <v>13</v>
      </c>
      <c r="I581" s="321"/>
      <c r="J581" s="194"/>
      <c r="K581" s="194"/>
      <c r="L581" s="179" t="s">
        <v>268</v>
      </c>
      <c r="M581" s="59"/>
      <c r="N581" s="260"/>
      <c r="O581" s="193"/>
      <c r="P581" s="964" t="s">
        <v>275</v>
      </c>
    </row>
    <row r="582" spans="1:16">
      <c r="A582" s="41">
        <v>3</v>
      </c>
      <c r="B582" s="54"/>
      <c r="C582" s="54"/>
      <c r="D582" s="323"/>
      <c r="E582" s="54"/>
      <c r="F582" s="196" t="s">
        <v>705</v>
      </c>
      <c r="G582" s="197" t="s">
        <v>459</v>
      </c>
      <c r="H582" s="53">
        <f t="shared" ref="H582:K582" si="114">SUM(H578:H581)</f>
        <v>363.09999999999997</v>
      </c>
      <c r="I582" s="53">
        <f t="shared" si="114"/>
        <v>359.6</v>
      </c>
      <c r="J582" s="53">
        <f t="shared" si="114"/>
        <v>0</v>
      </c>
      <c r="K582" s="53">
        <f t="shared" si="114"/>
        <v>0</v>
      </c>
      <c r="L582" s="179"/>
      <c r="M582" s="59"/>
      <c r="N582" s="260"/>
      <c r="O582" s="193"/>
      <c r="P582" s="964"/>
    </row>
    <row r="583" spans="1:16" ht="22.15" customHeight="1">
      <c r="A583" s="41">
        <v>3</v>
      </c>
      <c r="B583" s="54"/>
      <c r="C583" s="54" t="s">
        <v>708</v>
      </c>
      <c r="D583" s="40" t="s">
        <v>709</v>
      </c>
      <c r="E583" s="62" t="s">
        <v>693</v>
      </c>
      <c r="F583" s="196" t="s">
        <v>710</v>
      </c>
      <c r="G583" s="59" t="s">
        <v>193</v>
      </c>
      <c r="H583" s="42"/>
      <c r="I583" s="321"/>
      <c r="J583" s="42">
        <v>50</v>
      </c>
      <c r="K583" s="42">
        <v>200</v>
      </c>
      <c r="L583" s="179" t="s">
        <v>398</v>
      </c>
      <c r="M583" s="59"/>
      <c r="N583" s="260"/>
      <c r="O583" s="193"/>
      <c r="P583" s="964"/>
    </row>
    <row r="584" spans="1:16">
      <c r="A584" s="41">
        <v>3</v>
      </c>
      <c r="B584" s="54"/>
      <c r="C584" s="54"/>
      <c r="D584" s="325"/>
      <c r="E584" s="54"/>
      <c r="F584" s="196"/>
      <c r="G584" s="197" t="s">
        <v>459</v>
      </c>
      <c r="H584" s="53">
        <f>SUM(H583)</f>
        <v>0</v>
      </c>
      <c r="I584" s="53">
        <f t="shared" ref="I584:K584" si="115">SUM(I583)</f>
        <v>0</v>
      </c>
      <c r="J584" s="53">
        <f t="shared" si="115"/>
        <v>50</v>
      </c>
      <c r="K584" s="53">
        <f t="shared" si="115"/>
        <v>200</v>
      </c>
      <c r="L584" s="179"/>
      <c r="M584" s="59"/>
      <c r="N584" s="260"/>
      <c r="O584" s="193"/>
      <c r="P584" s="964"/>
    </row>
    <row r="585" spans="1:16" ht="22.5">
      <c r="A585" s="41">
        <v>3</v>
      </c>
      <c r="B585" s="190" t="s">
        <v>711</v>
      </c>
      <c r="C585" s="190" t="s">
        <v>711</v>
      </c>
      <c r="D585" s="198" t="s">
        <v>712</v>
      </c>
      <c r="E585" s="315"/>
      <c r="F585" s="316"/>
      <c r="G585" s="326"/>
      <c r="H585" s="317">
        <f>H588+H593+H590</f>
        <v>3242.2</v>
      </c>
      <c r="I585" s="317">
        <f t="shared" ref="I585:K585" si="116">I588+I593+I590</f>
        <v>3491</v>
      </c>
      <c r="J585" s="317">
        <f t="shared" si="116"/>
        <v>3490</v>
      </c>
      <c r="K585" s="317">
        <f t="shared" si="116"/>
        <v>3490</v>
      </c>
      <c r="L585" s="179"/>
      <c r="M585" s="59"/>
      <c r="N585" s="260"/>
      <c r="O585" s="193"/>
      <c r="P585" s="964"/>
    </row>
    <row r="586" spans="1:16">
      <c r="A586" s="41">
        <v>3</v>
      </c>
      <c r="B586" s="327"/>
      <c r="C586" s="327" t="s">
        <v>713</v>
      </c>
      <c r="D586" s="40" t="s">
        <v>714</v>
      </c>
      <c r="E586" s="196" t="s">
        <v>142</v>
      </c>
      <c r="F586" s="41" t="s">
        <v>715</v>
      </c>
      <c r="G586" s="319" t="s">
        <v>716</v>
      </c>
      <c r="H586" s="320">
        <v>3161</v>
      </c>
      <c r="I586" s="321">
        <v>3430</v>
      </c>
      <c r="J586" s="194">
        <v>3430</v>
      </c>
      <c r="K586" s="194">
        <v>3430</v>
      </c>
      <c r="L586" s="179"/>
      <c r="M586" s="59"/>
      <c r="N586" s="260"/>
      <c r="O586" s="193"/>
      <c r="P586" s="964"/>
    </row>
    <row r="587" spans="1:16">
      <c r="A587" s="41">
        <v>3</v>
      </c>
      <c r="B587" s="327"/>
      <c r="C587" s="327"/>
      <c r="D587" s="40"/>
      <c r="E587" s="196" t="s">
        <v>142</v>
      </c>
      <c r="F587" s="41" t="s">
        <v>715</v>
      </c>
      <c r="G587" s="319" t="s">
        <v>717</v>
      </c>
      <c r="H587" s="320">
        <v>29</v>
      </c>
      <c r="I587" s="44">
        <v>34</v>
      </c>
      <c r="J587" s="194">
        <v>30</v>
      </c>
      <c r="K587" s="194">
        <v>30</v>
      </c>
      <c r="L587" s="179"/>
      <c r="M587" s="59"/>
      <c r="N587" s="260"/>
      <c r="O587" s="193"/>
      <c r="P587" s="964"/>
    </row>
    <row r="588" spans="1:16">
      <c r="A588" s="59">
        <v>3</v>
      </c>
      <c r="B588" s="327"/>
      <c r="C588" s="327"/>
      <c r="D588" s="40"/>
      <c r="E588" s="196"/>
      <c r="F588" s="41" t="s">
        <v>715</v>
      </c>
      <c r="G588" s="197" t="s">
        <v>459</v>
      </c>
      <c r="H588" s="53">
        <f t="shared" ref="H588:K588" si="117">SUM(H586:H587)</f>
        <v>3190</v>
      </c>
      <c r="I588" s="53">
        <f t="shared" si="117"/>
        <v>3464</v>
      </c>
      <c r="J588" s="53">
        <f t="shared" si="117"/>
        <v>3460</v>
      </c>
      <c r="K588" s="53">
        <f t="shared" si="117"/>
        <v>3460</v>
      </c>
      <c r="L588" s="179"/>
      <c r="M588" s="59"/>
      <c r="N588" s="260"/>
      <c r="O588" s="193"/>
      <c r="P588" s="964"/>
    </row>
    <row r="589" spans="1:16" ht="22.5">
      <c r="A589" s="59">
        <v>3</v>
      </c>
      <c r="B589" s="327"/>
      <c r="C589" s="327" t="s">
        <v>718</v>
      </c>
      <c r="D589" s="76" t="s">
        <v>719</v>
      </c>
      <c r="E589" s="196">
        <v>18</v>
      </c>
      <c r="F589" s="41" t="s">
        <v>720</v>
      </c>
      <c r="G589" s="193" t="s">
        <v>193</v>
      </c>
      <c r="H589" s="43"/>
      <c r="I589" s="44">
        <v>7</v>
      </c>
      <c r="J589" s="194"/>
      <c r="K589" s="194"/>
      <c r="L589" s="179" t="s">
        <v>274</v>
      </c>
      <c r="M589" s="260" t="s">
        <v>2292</v>
      </c>
      <c r="N589" s="260" t="s">
        <v>2293</v>
      </c>
      <c r="O589" s="193">
        <v>100</v>
      </c>
      <c r="P589" s="964"/>
    </row>
    <row r="590" spans="1:16">
      <c r="A590" s="59">
        <v>3</v>
      </c>
      <c r="B590" s="327"/>
      <c r="C590" s="327"/>
      <c r="D590" s="76"/>
      <c r="E590" s="196"/>
      <c r="F590" s="41"/>
      <c r="G590" s="197" t="s">
        <v>459</v>
      </c>
      <c r="H590" s="53">
        <f t="shared" ref="H590:J590" si="118">SUM(H589)</f>
        <v>0</v>
      </c>
      <c r="I590" s="53">
        <f t="shared" si="118"/>
        <v>7</v>
      </c>
      <c r="J590" s="53">
        <f t="shared" si="118"/>
        <v>0</v>
      </c>
      <c r="K590" s="53"/>
      <c r="L590" s="179"/>
      <c r="M590" s="59"/>
      <c r="N590" s="260"/>
      <c r="O590" s="193"/>
      <c r="P590" s="964"/>
    </row>
    <row r="591" spans="1:16" ht="33.75">
      <c r="A591" s="41">
        <v>3</v>
      </c>
      <c r="B591" s="327"/>
      <c r="C591" s="327" t="s">
        <v>721</v>
      </c>
      <c r="D591" s="40" t="s">
        <v>722</v>
      </c>
      <c r="E591" s="196">
        <v>18</v>
      </c>
      <c r="F591" s="41" t="s">
        <v>723</v>
      </c>
      <c r="G591" s="319" t="s">
        <v>195</v>
      </c>
      <c r="H591" s="320">
        <f>29.9</f>
        <v>29.9</v>
      </c>
      <c r="I591" s="321"/>
      <c r="J591" s="194"/>
      <c r="K591" s="194"/>
      <c r="L591" s="179"/>
      <c r="M591" s="59"/>
      <c r="N591" s="260"/>
      <c r="O591" s="193"/>
      <c r="P591" s="964"/>
    </row>
    <row r="592" spans="1:16" ht="22.5">
      <c r="A592" s="41">
        <v>3</v>
      </c>
      <c r="B592" s="327"/>
      <c r="C592" s="327"/>
      <c r="D592" s="40"/>
      <c r="E592" s="196">
        <v>18</v>
      </c>
      <c r="F592" s="41" t="s">
        <v>723</v>
      </c>
      <c r="G592" s="319" t="s">
        <v>193</v>
      </c>
      <c r="H592" s="320">
        <f>20+2.3</f>
        <v>22.3</v>
      </c>
      <c r="I592" s="321">
        <v>20</v>
      </c>
      <c r="J592" s="194">
        <v>30</v>
      </c>
      <c r="K592" s="194">
        <v>30</v>
      </c>
      <c r="L592" s="179" t="s">
        <v>274</v>
      </c>
      <c r="M592" s="930" t="s">
        <v>2294</v>
      </c>
      <c r="N592" s="930" t="s">
        <v>2295</v>
      </c>
      <c r="O592" s="193">
        <v>146</v>
      </c>
      <c r="P592" s="964"/>
    </row>
    <row r="593" spans="1:16">
      <c r="A593" s="59">
        <v>3</v>
      </c>
      <c r="B593" s="327"/>
      <c r="C593" s="327"/>
      <c r="D593" s="329"/>
      <c r="E593" s="78"/>
      <c r="F593" s="41" t="s">
        <v>723</v>
      </c>
      <c r="G593" s="197" t="s">
        <v>459</v>
      </c>
      <c r="H593" s="53">
        <f t="shared" ref="H593:K593" si="119">SUM(H591:H592)</f>
        <v>52.2</v>
      </c>
      <c r="I593" s="53">
        <f t="shared" si="119"/>
        <v>20</v>
      </c>
      <c r="J593" s="53">
        <f t="shared" si="119"/>
        <v>30</v>
      </c>
      <c r="K593" s="53">
        <f t="shared" si="119"/>
        <v>30</v>
      </c>
      <c r="L593" s="179"/>
      <c r="M593" s="59"/>
      <c r="N593" s="260"/>
      <c r="O593" s="193"/>
      <c r="P593" s="964"/>
    </row>
    <row r="594" spans="1:16" ht="22.5">
      <c r="A594" s="41">
        <v>3</v>
      </c>
      <c r="B594" s="190" t="s">
        <v>724</v>
      </c>
      <c r="C594" s="190" t="s">
        <v>724</v>
      </c>
      <c r="D594" s="198" t="s">
        <v>725</v>
      </c>
      <c r="E594" s="315"/>
      <c r="F594" s="316"/>
      <c r="G594" s="84"/>
      <c r="H594" s="317">
        <f>SUM(H596,H598,H600,H602,H604,H606,H608,H611,H613,H615,H617,H628,H631)</f>
        <v>2215.7999999999997</v>
      </c>
      <c r="I594" s="317">
        <f t="shared" ref="I594:K594" si="120">SUM(I596,I598,I600,I602,I604,I606,I608,I611,I613,I615,I617,I628,I631)</f>
        <v>2977.7999999999997</v>
      </c>
      <c r="J594" s="317">
        <f t="shared" si="120"/>
        <v>2872.6</v>
      </c>
      <c r="K594" s="317">
        <f t="shared" si="120"/>
        <v>2867.6</v>
      </c>
      <c r="L594" s="179"/>
      <c r="M594" s="59"/>
      <c r="N594" s="260"/>
      <c r="O594" s="193"/>
      <c r="P594" s="965"/>
    </row>
    <row r="595" spans="1:16" ht="22.5">
      <c r="A595" s="41">
        <v>3</v>
      </c>
      <c r="B595" s="78"/>
      <c r="C595" s="78" t="s">
        <v>726</v>
      </c>
      <c r="D595" s="40" t="s">
        <v>727</v>
      </c>
      <c r="E595" s="196">
        <v>19</v>
      </c>
      <c r="F595" s="196" t="s">
        <v>728</v>
      </c>
      <c r="G595" s="196" t="s">
        <v>193</v>
      </c>
      <c r="H595" s="320">
        <v>88.7</v>
      </c>
      <c r="I595" s="44">
        <f>107.4+12</f>
        <v>119.4</v>
      </c>
      <c r="J595" s="194">
        <v>109.1</v>
      </c>
      <c r="K595" s="194">
        <v>109.1</v>
      </c>
      <c r="L595" s="179" t="s">
        <v>262</v>
      </c>
      <c r="M595" s="930" t="s">
        <v>2296</v>
      </c>
      <c r="N595" s="930" t="s">
        <v>2297</v>
      </c>
      <c r="O595" s="193">
        <v>20.2</v>
      </c>
      <c r="P595" s="966" t="s">
        <v>415</v>
      </c>
    </row>
    <row r="596" spans="1:16">
      <c r="A596" s="41">
        <v>3</v>
      </c>
      <c r="B596" s="78"/>
      <c r="C596" s="78" t="s">
        <v>726</v>
      </c>
      <c r="D596" s="40"/>
      <c r="E596" s="196"/>
      <c r="F596" s="196" t="s">
        <v>729</v>
      </c>
      <c r="G596" s="197" t="s">
        <v>459</v>
      </c>
      <c r="H596" s="53">
        <f t="shared" ref="H596:K596" si="121">SUM(H595)</f>
        <v>88.7</v>
      </c>
      <c r="I596" s="53">
        <f t="shared" si="121"/>
        <v>119.4</v>
      </c>
      <c r="J596" s="53">
        <f t="shared" si="121"/>
        <v>109.1</v>
      </c>
      <c r="K596" s="53">
        <f t="shared" si="121"/>
        <v>109.1</v>
      </c>
      <c r="L596" s="179"/>
      <c r="M596" s="930"/>
      <c r="N596" s="930"/>
      <c r="O596" s="193"/>
      <c r="P596" s="966">
        <f>SUM(P595)</f>
        <v>0</v>
      </c>
    </row>
    <row r="597" spans="1:16" ht="22.5">
      <c r="A597" s="41">
        <v>3</v>
      </c>
      <c r="B597" s="78"/>
      <c r="C597" s="78" t="s">
        <v>730</v>
      </c>
      <c r="D597" s="40" t="s">
        <v>731</v>
      </c>
      <c r="E597" s="196">
        <v>20</v>
      </c>
      <c r="F597" s="196" t="s">
        <v>732</v>
      </c>
      <c r="G597" s="196" t="s">
        <v>193</v>
      </c>
      <c r="H597" s="43">
        <v>115.8</v>
      </c>
      <c r="I597" s="44">
        <v>149.6</v>
      </c>
      <c r="J597" s="194">
        <v>151.5</v>
      </c>
      <c r="K597" s="194">
        <v>151.5</v>
      </c>
      <c r="L597" s="179" t="s">
        <v>262</v>
      </c>
      <c r="M597" s="930" t="s">
        <v>2298</v>
      </c>
      <c r="N597" s="930" t="s">
        <v>2297</v>
      </c>
      <c r="O597" s="193">
        <v>22.1</v>
      </c>
      <c r="P597" s="967" t="s">
        <v>687</v>
      </c>
    </row>
    <row r="598" spans="1:16">
      <c r="A598" s="41">
        <v>3</v>
      </c>
      <c r="B598" s="78"/>
      <c r="C598" s="78" t="s">
        <v>730</v>
      </c>
      <c r="D598" s="40"/>
      <c r="E598" s="196"/>
      <c r="F598" s="196" t="s">
        <v>732</v>
      </c>
      <c r="G598" s="197" t="s">
        <v>459</v>
      </c>
      <c r="H598" s="53">
        <f t="shared" ref="H598:K598" si="122">SUM(H597)</f>
        <v>115.8</v>
      </c>
      <c r="I598" s="53">
        <f t="shared" si="122"/>
        <v>149.6</v>
      </c>
      <c r="J598" s="53">
        <f t="shared" si="122"/>
        <v>151.5</v>
      </c>
      <c r="K598" s="53">
        <f t="shared" si="122"/>
        <v>151.5</v>
      </c>
      <c r="L598" s="179"/>
      <c r="M598" s="930"/>
      <c r="N598" s="930"/>
      <c r="O598" s="193"/>
      <c r="P598" s="966">
        <f>SUM(P597)</f>
        <v>0</v>
      </c>
    </row>
    <row r="599" spans="1:16" ht="22.5">
      <c r="A599" s="59">
        <v>3</v>
      </c>
      <c r="B599" s="78"/>
      <c r="C599" s="78" t="s">
        <v>733</v>
      </c>
      <c r="D599" s="40" t="s">
        <v>734</v>
      </c>
      <c r="E599" s="196">
        <v>21</v>
      </c>
      <c r="F599" s="196" t="s">
        <v>735</v>
      </c>
      <c r="G599" s="196" t="s">
        <v>193</v>
      </c>
      <c r="H599" s="43">
        <v>172</v>
      </c>
      <c r="I599" s="44">
        <v>237.5</v>
      </c>
      <c r="J599" s="194">
        <v>242.6</v>
      </c>
      <c r="K599" s="194">
        <v>242.6</v>
      </c>
      <c r="L599" s="179" t="s">
        <v>262</v>
      </c>
      <c r="M599" s="930" t="s">
        <v>2299</v>
      </c>
      <c r="N599" s="930" t="s">
        <v>2300</v>
      </c>
      <c r="O599" s="193">
        <v>2</v>
      </c>
      <c r="P599" s="967" t="s">
        <v>389</v>
      </c>
    </row>
    <row r="600" spans="1:16">
      <c r="A600" s="41">
        <v>3</v>
      </c>
      <c r="B600" s="78"/>
      <c r="C600" s="78" t="s">
        <v>733</v>
      </c>
      <c r="D600" s="40"/>
      <c r="E600" s="196"/>
      <c r="F600" s="196" t="s">
        <v>735</v>
      </c>
      <c r="G600" s="197" t="s">
        <v>459</v>
      </c>
      <c r="H600" s="53">
        <f t="shared" ref="H600:K600" si="123">SUM(H599)</f>
        <v>172</v>
      </c>
      <c r="I600" s="53">
        <f t="shared" si="123"/>
        <v>237.5</v>
      </c>
      <c r="J600" s="53">
        <f t="shared" si="123"/>
        <v>242.6</v>
      </c>
      <c r="K600" s="53">
        <f t="shared" si="123"/>
        <v>242.6</v>
      </c>
      <c r="L600" s="179"/>
      <c r="M600" s="930" t="s">
        <v>2299</v>
      </c>
      <c r="N600" s="930" t="s">
        <v>2297</v>
      </c>
      <c r="O600" s="193">
        <v>57.9</v>
      </c>
      <c r="P600" s="967" t="s">
        <v>389</v>
      </c>
    </row>
    <row r="601" spans="1:16" ht="22.5">
      <c r="A601" s="41">
        <v>3</v>
      </c>
      <c r="B601" s="78"/>
      <c r="C601" s="78" t="s">
        <v>736</v>
      </c>
      <c r="D601" s="40" t="s">
        <v>737</v>
      </c>
      <c r="E601" s="196">
        <v>22</v>
      </c>
      <c r="F601" s="196" t="s">
        <v>738</v>
      </c>
      <c r="G601" s="196" t="s">
        <v>193</v>
      </c>
      <c r="H601" s="320">
        <v>98.4</v>
      </c>
      <c r="I601" s="321">
        <v>112.3</v>
      </c>
      <c r="J601" s="194">
        <v>113.7</v>
      </c>
      <c r="K601" s="194">
        <v>113.7</v>
      </c>
      <c r="L601" s="179" t="s">
        <v>262</v>
      </c>
      <c r="M601" s="930" t="s">
        <v>2301</v>
      </c>
      <c r="N601" s="930" t="s">
        <v>2302</v>
      </c>
      <c r="O601" s="193">
        <v>17.899999999999999</v>
      </c>
      <c r="P601" s="968" t="s">
        <v>458</v>
      </c>
    </row>
    <row r="602" spans="1:16">
      <c r="A602" s="41">
        <v>3</v>
      </c>
      <c r="B602" s="78"/>
      <c r="C602" s="78" t="s">
        <v>736</v>
      </c>
      <c r="D602" s="40"/>
      <c r="E602" s="196"/>
      <c r="F602" s="196" t="s">
        <v>738</v>
      </c>
      <c r="G602" s="197" t="s">
        <v>459</v>
      </c>
      <c r="H602" s="53">
        <f t="shared" ref="H602:K602" si="124">SUM(H601)</f>
        <v>98.4</v>
      </c>
      <c r="I602" s="53">
        <f t="shared" si="124"/>
        <v>112.3</v>
      </c>
      <c r="J602" s="53">
        <f t="shared" si="124"/>
        <v>113.7</v>
      </c>
      <c r="K602" s="53">
        <f t="shared" si="124"/>
        <v>113.7</v>
      </c>
      <c r="L602" s="179"/>
      <c r="M602" s="930"/>
      <c r="N602" s="930"/>
      <c r="O602" s="193"/>
      <c r="P602" s="966"/>
    </row>
    <row r="603" spans="1:16" ht="22.5">
      <c r="A603" s="41">
        <v>3</v>
      </c>
      <c r="B603" s="78"/>
      <c r="C603" s="78" t="s">
        <v>739</v>
      </c>
      <c r="D603" s="76" t="s">
        <v>740</v>
      </c>
      <c r="E603" s="193">
        <v>23</v>
      </c>
      <c r="F603" s="193" t="s">
        <v>741</v>
      </c>
      <c r="G603" s="196" t="s">
        <v>193</v>
      </c>
      <c r="H603" s="43">
        <v>589.1</v>
      </c>
      <c r="I603" s="44">
        <v>691.8</v>
      </c>
      <c r="J603" s="194">
        <v>691.8</v>
      </c>
      <c r="K603" s="194">
        <v>691.8</v>
      </c>
      <c r="L603" s="179" t="s">
        <v>262</v>
      </c>
      <c r="M603" s="930" t="s">
        <v>2303</v>
      </c>
      <c r="N603" s="930" t="s">
        <v>2297</v>
      </c>
      <c r="O603" s="193">
        <v>93.9</v>
      </c>
      <c r="P603" s="968" t="s">
        <v>275</v>
      </c>
    </row>
    <row r="604" spans="1:16">
      <c r="A604" s="41">
        <v>3</v>
      </c>
      <c r="B604" s="78"/>
      <c r="C604" s="78" t="s">
        <v>739</v>
      </c>
      <c r="D604" s="76"/>
      <c r="E604" s="193"/>
      <c r="F604" s="193" t="s">
        <v>741</v>
      </c>
      <c r="G604" s="197" t="s">
        <v>459</v>
      </c>
      <c r="H604" s="53">
        <f t="shared" ref="H604:K604" si="125">SUM(H603)</f>
        <v>589.1</v>
      </c>
      <c r="I604" s="53">
        <f t="shared" si="125"/>
        <v>691.8</v>
      </c>
      <c r="J604" s="53">
        <f t="shared" si="125"/>
        <v>691.8</v>
      </c>
      <c r="K604" s="53">
        <f t="shared" si="125"/>
        <v>691.8</v>
      </c>
      <c r="L604" s="179"/>
      <c r="M604" s="930"/>
      <c r="N604" s="930"/>
      <c r="O604" s="193"/>
      <c r="P604" s="966"/>
    </row>
    <row r="605" spans="1:16" ht="22.5">
      <c r="A605" s="59">
        <v>3</v>
      </c>
      <c r="B605" s="78"/>
      <c r="C605" s="78" t="s">
        <v>742</v>
      </c>
      <c r="D605" s="40" t="s">
        <v>743</v>
      </c>
      <c r="E605" s="196">
        <v>24</v>
      </c>
      <c r="F605" s="196" t="s">
        <v>744</v>
      </c>
      <c r="G605" s="196" t="s">
        <v>193</v>
      </c>
      <c r="H605" s="320">
        <v>87.1</v>
      </c>
      <c r="I605" s="321">
        <v>98</v>
      </c>
      <c r="J605" s="194">
        <v>98</v>
      </c>
      <c r="K605" s="194">
        <v>98</v>
      </c>
      <c r="L605" s="179" t="s">
        <v>262</v>
      </c>
      <c r="M605" s="930" t="s">
        <v>2304</v>
      </c>
      <c r="N605" s="930" t="s">
        <v>2297</v>
      </c>
      <c r="O605" s="193">
        <v>14.2</v>
      </c>
      <c r="P605" s="968" t="s">
        <v>565</v>
      </c>
    </row>
    <row r="606" spans="1:16">
      <c r="A606" s="41">
        <v>3</v>
      </c>
      <c r="B606" s="78"/>
      <c r="C606" s="78" t="s">
        <v>742</v>
      </c>
      <c r="D606" s="40"/>
      <c r="E606" s="196"/>
      <c r="F606" s="196" t="s">
        <v>744</v>
      </c>
      <c r="G606" s="197" t="s">
        <v>459</v>
      </c>
      <c r="H606" s="53">
        <f t="shared" ref="H606:K606" si="126">SUM(H605)</f>
        <v>87.1</v>
      </c>
      <c r="I606" s="53">
        <f t="shared" si="126"/>
        <v>98</v>
      </c>
      <c r="J606" s="53">
        <f t="shared" si="126"/>
        <v>98</v>
      </c>
      <c r="K606" s="53">
        <f t="shared" si="126"/>
        <v>98</v>
      </c>
      <c r="L606" s="179"/>
      <c r="M606" s="930"/>
      <c r="N606" s="930"/>
      <c r="O606" s="193"/>
      <c r="P606" s="966"/>
    </row>
    <row r="607" spans="1:16" ht="22.5">
      <c r="A607" s="41">
        <v>3</v>
      </c>
      <c r="B607" s="78"/>
      <c r="C607" s="78" t="s">
        <v>745</v>
      </c>
      <c r="D607" s="40" t="s">
        <v>746</v>
      </c>
      <c r="E607" s="196">
        <v>25</v>
      </c>
      <c r="F607" s="196" t="s">
        <v>747</v>
      </c>
      <c r="G607" s="196" t="s">
        <v>193</v>
      </c>
      <c r="H607" s="320">
        <v>190.8</v>
      </c>
      <c r="I607" s="321">
        <v>226.3</v>
      </c>
      <c r="J607" s="194">
        <v>241.1</v>
      </c>
      <c r="K607" s="194">
        <v>241.1</v>
      </c>
      <c r="L607" s="179" t="s">
        <v>262</v>
      </c>
      <c r="M607" s="930" t="s">
        <v>2305</v>
      </c>
      <c r="N607" s="930" t="s">
        <v>2297</v>
      </c>
      <c r="O607" s="193">
        <v>34.700000000000003</v>
      </c>
      <c r="P607" s="968" t="s">
        <v>429</v>
      </c>
    </row>
    <row r="608" spans="1:16">
      <c r="A608" s="41">
        <v>3</v>
      </c>
      <c r="B608" s="78"/>
      <c r="C608" s="78" t="s">
        <v>745</v>
      </c>
      <c r="D608" s="40"/>
      <c r="E608" s="196"/>
      <c r="F608" s="196" t="s">
        <v>747</v>
      </c>
      <c r="G608" s="197" t="s">
        <v>459</v>
      </c>
      <c r="H608" s="53">
        <f t="shared" ref="H608:K608" si="127">SUM(H607)</f>
        <v>190.8</v>
      </c>
      <c r="I608" s="53">
        <f t="shared" si="127"/>
        <v>226.3</v>
      </c>
      <c r="J608" s="53">
        <f t="shared" si="127"/>
        <v>241.1</v>
      </c>
      <c r="K608" s="53">
        <f t="shared" si="127"/>
        <v>241.1</v>
      </c>
      <c r="L608" s="179"/>
      <c r="M608" s="930"/>
      <c r="N608" s="930"/>
      <c r="O608" s="193"/>
      <c r="P608" s="966"/>
    </row>
    <row r="609" spans="1:16" ht="22.5">
      <c r="A609" s="41">
        <v>3</v>
      </c>
      <c r="B609" s="78"/>
      <c r="C609" s="78" t="s">
        <v>748</v>
      </c>
      <c r="D609" s="40" t="s">
        <v>749</v>
      </c>
      <c r="E609" s="196">
        <v>26</v>
      </c>
      <c r="F609" s="299" t="s">
        <v>750</v>
      </c>
      <c r="G609" s="196" t="s">
        <v>193</v>
      </c>
      <c r="H609" s="320">
        <v>352.6</v>
      </c>
      <c r="I609" s="321">
        <v>436.6</v>
      </c>
      <c r="J609" s="194">
        <v>460.5</v>
      </c>
      <c r="K609" s="194">
        <v>460.5</v>
      </c>
      <c r="L609" s="179" t="s">
        <v>262</v>
      </c>
      <c r="M609" s="930" t="s">
        <v>2306</v>
      </c>
      <c r="N609" s="930" t="s">
        <v>2297</v>
      </c>
      <c r="O609" s="193">
        <v>93.4</v>
      </c>
      <c r="P609" s="968" t="s">
        <v>392</v>
      </c>
    </row>
    <row r="610" spans="1:16">
      <c r="A610" s="41">
        <v>3</v>
      </c>
      <c r="B610" s="78"/>
      <c r="C610" s="78" t="s">
        <v>748</v>
      </c>
      <c r="D610" s="40"/>
      <c r="E610" s="328">
        <v>26</v>
      </c>
      <c r="F610" s="272" t="s">
        <v>750</v>
      </c>
      <c r="G610" s="453" t="s">
        <v>196</v>
      </c>
      <c r="H610" s="320">
        <v>7.1</v>
      </c>
      <c r="I610" s="321">
        <v>7.2</v>
      </c>
      <c r="J610" s="194">
        <v>7.2</v>
      </c>
      <c r="K610" s="194">
        <v>7.2</v>
      </c>
      <c r="L610" s="179"/>
      <c r="M610" s="930"/>
      <c r="N610" s="930"/>
      <c r="O610" s="193"/>
      <c r="P610" s="966" t="s">
        <v>392</v>
      </c>
    </row>
    <row r="611" spans="1:16">
      <c r="A611" s="59">
        <v>3</v>
      </c>
      <c r="B611" s="78"/>
      <c r="C611" s="78" t="s">
        <v>748</v>
      </c>
      <c r="D611" s="40"/>
      <c r="E611" s="328"/>
      <c r="F611" s="272" t="s">
        <v>750</v>
      </c>
      <c r="G611" s="274" t="s">
        <v>459</v>
      </c>
      <c r="H611" s="53">
        <f t="shared" ref="H611:K611" si="128">SUM(H609:H610)</f>
        <v>359.70000000000005</v>
      </c>
      <c r="I611" s="53">
        <f t="shared" si="128"/>
        <v>443.8</v>
      </c>
      <c r="J611" s="53">
        <f t="shared" si="128"/>
        <v>467.7</v>
      </c>
      <c r="K611" s="53">
        <f t="shared" si="128"/>
        <v>467.7</v>
      </c>
      <c r="L611" s="179"/>
      <c r="M611" s="930"/>
      <c r="N611" s="930"/>
      <c r="O611" s="193"/>
      <c r="P611" s="966">
        <f>SUM(P609:P610)</f>
        <v>0</v>
      </c>
    </row>
    <row r="612" spans="1:16" ht="22.5">
      <c r="A612" s="41">
        <v>3</v>
      </c>
      <c r="B612" s="78"/>
      <c r="C612" s="78" t="s">
        <v>751</v>
      </c>
      <c r="D612" s="40" t="s">
        <v>752</v>
      </c>
      <c r="E612" s="328">
        <v>27</v>
      </c>
      <c r="F612" s="272" t="s">
        <v>753</v>
      </c>
      <c r="G612" s="453" t="s">
        <v>193</v>
      </c>
      <c r="H612" s="43">
        <v>106</v>
      </c>
      <c r="I612" s="44">
        <v>161.80000000000001</v>
      </c>
      <c r="J612" s="194">
        <v>173.5</v>
      </c>
      <c r="K612" s="194">
        <v>173.5</v>
      </c>
      <c r="L612" s="179" t="s">
        <v>262</v>
      </c>
      <c r="M612" s="930" t="s">
        <v>2307</v>
      </c>
      <c r="N612" s="930" t="s">
        <v>2297</v>
      </c>
      <c r="O612" s="193">
        <v>43.1</v>
      </c>
      <c r="P612" s="968" t="s">
        <v>386</v>
      </c>
    </row>
    <row r="613" spans="1:16">
      <c r="A613" s="41">
        <v>3</v>
      </c>
      <c r="B613" s="78"/>
      <c r="C613" s="78" t="s">
        <v>751</v>
      </c>
      <c r="D613" s="40"/>
      <c r="E613" s="328"/>
      <c r="F613" s="272" t="s">
        <v>753</v>
      </c>
      <c r="G613" s="274" t="s">
        <v>459</v>
      </c>
      <c r="H613" s="53">
        <f t="shared" ref="H613:K613" si="129">SUM(H612)</f>
        <v>106</v>
      </c>
      <c r="I613" s="53">
        <f t="shared" si="129"/>
        <v>161.80000000000001</v>
      </c>
      <c r="J613" s="53">
        <f t="shared" si="129"/>
        <v>173.5</v>
      </c>
      <c r="K613" s="53">
        <f t="shared" si="129"/>
        <v>173.5</v>
      </c>
      <c r="L613" s="179"/>
      <c r="M613" s="930"/>
      <c r="N613" s="930"/>
      <c r="O613" s="193"/>
      <c r="P613" s="969"/>
    </row>
    <row r="614" spans="1:16" ht="22.5">
      <c r="A614" s="41">
        <v>3</v>
      </c>
      <c r="B614" s="78"/>
      <c r="C614" s="78" t="s">
        <v>754</v>
      </c>
      <c r="D614" s="40" t="s">
        <v>755</v>
      </c>
      <c r="E614" s="328">
        <v>28</v>
      </c>
      <c r="F614" s="272" t="s">
        <v>756</v>
      </c>
      <c r="G614" s="453" t="s">
        <v>193</v>
      </c>
      <c r="H614" s="320">
        <v>126.3</v>
      </c>
      <c r="I614" s="321">
        <v>171.7</v>
      </c>
      <c r="J614" s="194">
        <v>174.7</v>
      </c>
      <c r="K614" s="194">
        <v>174.7</v>
      </c>
      <c r="L614" s="179" t="s">
        <v>262</v>
      </c>
      <c r="M614" s="930" t="s">
        <v>2308</v>
      </c>
      <c r="N614" s="930" t="s">
        <v>2297</v>
      </c>
      <c r="O614" s="193">
        <v>37.700000000000003</v>
      </c>
      <c r="P614" s="968" t="s">
        <v>399</v>
      </c>
    </row>
    <row r="615" spans="1:16">
      <c r="A615" s="41">
        <v>3</v>
      </c>
      <c r="B615" s="78"/>
      <c r="C615" s="78" t="s">
        <v>754</v>
      </c>
      <c r="D615" s="40"/>
      <c r="E615" s="891"/>
      <c r="F615" s="272" t="s">
        <v>756</v>
      </c>
      <c r="G615" s="274" t="s">
        <v>459</v>
      </c>
      <c r="H615" s="53">
        <f t="shared" ref="H615:K615" si="130">SUM(H614)</f>
        <v>126.3</v>
      </c>
      <c r="I615" s="53">
        <f t="shared" si="130"/>
        <v>171.7</v>
      </c>
      <c r="J615" s="53">
        <f t="shared" si="130"/>
        <v>174.7</v>
      </c>
      <c r="K615" s="53">
        <f t="shared" si="130"/>
        <v>174.7</v>
      </c>
      <c r="L615" s="179"/>
      <c r="M615" s="930"/>
      <c r="N615" s="930"/>
      <c r="O615" s="193"/>
      <c r="P615" s="966"/>
    </row>
    <row r="616" spans="1:16" ht="22.5">
      <c r="A616" s="41">
        <v>3</v>
      </c>
      <c r="B616" s="78"/>
      <c r="C616" s="78" t="s">
        <v>757</v>
      </c>
      <c r="D616" s="330" t="s">
        <v>758</v>
      </c>
      <c r="E616" s="892">
        <v>29</v>
      </c>
      <c r="F616" s="272" t="s">
        <v>759</v>
      </c>
      <c r="G616" s="453" t="s">
        <v>193</v>
      </c>
      <c r="H616" s="320">
        <v>138.30000000000001</v>
      </c>
      <c r="I616" s="321">
        <v>131.9</v>
      </c>
      <c r="J616" s="194">
        <v>131.9</v>
      </c>
      <c r="K616" s="194">
        <v>131.9</v>
      </c>
      <c r="L616" s="179" t="s">
        <v>262</v>
      </c>
      <c r="M616" s="930" t="s">
        <v>2309</v>
      </c>
      <c r="N616" s="930" t="s">
        <v>2297</v>
      </c>
      <c r="O616" s="193">
        <v>33.799999999999997</v>
      </c>
      <c r="P616" s="966" t="s">
        <v>419</v>
      </c>
    </row>
    <row r="617" spans="1:16">
      <c r="A617" s="59">
        <v>3</v>
      </c>
      <c r="B617" s="78"/>
      <c r="C617" s="78" t="s">
        <v>757</v>
      </c>
      <c r="D617" s="330"/>
      <c r="E617" s="893"/>
      <c r="F617" s="272" t="s">
        <v>759</v>
      </c>
      <c r="G617" s="274" t="s">
        <v>459</v>
      </c>
      <c r="H617" s="53">
        <f t="shared" ref="H617:K617" si="131">SUM(H616)</f>
        <v>138.30000000000001</v>
      </c>
      <c r="I617" s="53">
        <f t="shared" si="131"/>
        <v>131.9</v>
      </c>
      <c r="J617" s="53">
        <f t="shared" si="131"/>
        <v>131.9</v>
      </c>
      <c r="K617" s="53">
        <f t="shared" si="131"/>
        <v>131.9</v>
      </c>
      <c r="L617" s="179"/>
      <c r="M617" s="59"/>
      <c r="N617" s="260"/>
      <c r="O617" s="193"/>
      <c r="P617" s="966">
        <f>SUM(P616)</f>
        <v>0</v>
      </c>
    </row>
    <row r="618" spans="1:16">
      <c r="A618" s="41">
        <v>3</v>
      </c>
      <c r="B618" s="332"/>
      <c r="C618" s="332"/>
      <c r="D618" s="333" t="s">
        <v>760</v>
      </c>
      <c r="E618" s="334"/>
      <c r="F618" s="335"/>
      <c r="G618" s="336"/>
      <c r="H618" s="337">
        <f t="shared" ref="H618:K618" si="132">SUM(H617,H615,H613,H611,H608,H606,H604,H602,H600,H598,H596)</f>
        <v>2072.2000000000003</v>
      </c>
      <c r="I618" s="337">
        <f t="shared" si="132"/>
        <v>2544.1</v>
      </c>
      <c r="J618" s="337">
        <f t="shared" si="132"/>
        <v>2595.5999999999995</v>
      </c>
      <c r="K618" s="337">
        <f t="shared" si="132"/>
        <v>2595.5999999999995</v>
      </c>
      <c r="L618" s="179"/>
      <c r="M618" s="59"/>
      <c r="N618" s="260"/>
      <c r="O618" s="193"/>
      <c r="P618" s="966"/>
    </row>
    <row r="619" spans="1:16">
      <c r="A619" s="41">
        <v>3</v>
      </c>
      <c r="B619" s="78"/>
      <c r="C619" s="54" t="s">
        <v>761</v>
      </c>
      <c r="D619" s="338" t="s">
        <v>762</v>
      </c>
      <c r="E619" s="867">
        <v>6</v>
      </c>
      <c r="F619" s="41" t="s">
        <v>763</v>
      </c>
      <c r="G619" s="59" t="s">
        <v>196</v>
      </c>
      <c r="H619" s="320">
        <v>1.1000000000000001</v>
      </c>
      <c r="I619" s="321">
        <v>2</v>
      </c>
      <c r="J619" s="194">
        <v>2</v>
      </c>
      <c r="K619" s="194">
        <v>2</v>
      </c>
      <c r="L619" s="179"/>
      <c r="M619" s="260" t="s">
        <v>1804</v>
      </c>
      <c r="N619" s="260" t="s">
        <v>2175</v>
      </c>
      <c r="O619" s="193">
        <v>100</v>
      </c>
      <c r="P619" s="966"/>
    </row>
    <row r="620" spans="1:16">
      <c r="A620" s="41">
        <v>3</v>
      </c>
      <c r="B620" s="78"/>
      <c r="C620" s="54"/>
      <c r="D620" s="338"/>
      <c r="E620" s="867">
        <v>6</v>
      </c>
      <c r="F620" s="41" t="s">
        <v>763</v>
      </c>
      <c r="G620" s="59" t="s">
        <v>764</v>
      </c>
      <c r="H620" s="320">
        <v>0.7</v>
      </c>
      <c r="I620" s="321"/>
      <c r="J620" s="194"/>
      <c r="K620" s="194"/>
      <c r="L620" s="179"/>
      <c r="M620" s="59"/>
      <c r="N620" s="260"/>
      <c r="O620" s="193"/>
      <c r="P620" s="966"/>
    </row>
    <row r="621" spans="1:16" ht="22.5">
      <c r="A621" s="41">
        <v>3</v>
      </c>
      <c r="B621" s="78"/>
      <c r="C621" s="54"/>
      <c r="D621" s="339"/>
      <c r="E621" s="340" t="s">
        <v>765</v>
      </c>
      <c r="F621" s="59" t="s">
        <v>763</v>
      </c>
      <c r="G621" s="41" t="s">
        <v>193</v>
      </c>
      <c r="H621" s="194"/>
      <c r="I621" s="321">
        <f>100+100-10</f>
        <v>190</v>
      </c>
      <c r="J621" s="194"/>
      <c r="K621" s="194"/>
      <c r="L621" s="179" t="s">
        <v>268</v>
      </c>
      <c r="M621" s="930" t="s">
        <v>151</v>
      </c>
      <c r="N621" s="930" t="s">
        <v>2310</v>
      </c>
      <c r="O621" s="414">
        <v>100</v>
      </c>
      <c r="P621" s="968" t="s">
        <v>386</v>
      </c>
    </row>
    <row r="622" spans="1:16" ht="33.75">
      <c r="A622" s="41">
        <v>3</v>
      </c>
      <c r="B622" s="78"/>
      <c r="C622" s="54"/>
      <c r="D622" s="329"/>
      <c r="E622" s="78" t="s">
        <v>706</v>
      </c>
      <c r="F622" s="341" t="s">
        <v>766</v>
      </c>
      <c r="G622" s="41" t="s">
        <v>193</v>
      </c>
      <c r="H622" s="320">
        <v>50</v>
      </c>
      <c r="I622" s="321">
        <f>300-100-100</f>
        <v>100</v>
      </c>
      <c r="J622" s="194">
        <v>200</v>
      </c>
      <c r="K622" s="194">
        <v>200</v>
      </c>
      <c r="L622" s="179" t="s">
        <v>268</v>
      </c>
      <c r="M622" s="930" t="s">
        <v>147</v>
      </c>
      <c r="N622" s="260" t="s">
        <v>2311</v>
      </c>
      <c r="O622" s="193">
        <v>1</v>
      </c>
      <c r="P622" s="968" t="s">
        <v>275</v>
      </c>
    </row>
    <row r="623" spans="1:16">
      <c r="A623" s="41">
        <v>3</v>
      </c>
      <c r="B623" s="78"/>
      <c r="C623" s="54"/>
      <c r="D623" s="329"/>
      <c r="E623" s="78" t="s">
        <v>767</v>
      </c>
      <c r="F623" s="342" t="s">
        <v>768</v>
      </c>
      <c r="G623" s="41" t="s">
        <v>193</v>
      </c>
      <c r="H623" s="320">
        <v>5</v>
      </c>
      <c r="I623" s="321">
        <v>5</v>
      </c>
      <c r="J623" s="194"/>
      <c r="K623" s="194"/>
      <c r="L623" s="179" t="s">
        <v>268</v>
      </c>
      <c r="M623" s="930" t="s">
        <v>148</v>
      </c>
      <c r="N623" s="680" t="s">
        <v>2312</v>
      </c>
      <c r="O623" s="687">
        <v>1</v>
      </c>
      <c r="P623" s="968" t="s">
        <v>565</v>
      </c>
    </row>
    <row r="624" spans="1:16" ht="22.5">
      <c r="A624" s="41">
        <v>3</v>
      </c>
      <c r="B624" s="78"/>
      <c r="C624" s="54"/>
      <c r="D624" s="329"/>
      <c r="E624" s="78" t="s">
        <v>769</v>
      </c>
      <c r="F624" s="342" t="s">
        <v>770</v>
      </c>
      <c r="G624" s="41" t="s">
        <v>193</v>
      </c>
      <c r="H624" s="320">
        <v>9.1</v>
      </c>
      <c r="I624" s="321">
        <v>10</v>
      </c>
      <c r="J624" s="194">
        <v>10</v>
      </c>
      <c r="K624" s="194">
        <v>10</v>
      </c>
      <c r="L624" s="179" t="s">
        <v>268</v>
      </c>
      <c r="M624" s="930" t="s">
        <v>150</v>
      </c>
      <c r="N624" s="680" t="s">
        <v>2313</v>
      </c>
      <c r="O624" s="105">
        <v>1</v>
      </c>
      <c r="P624" s="966" t="s">
        <v>392</v>
      </c>
    </row>
    <row r="625" spans="1:16" ht="22.5">
      <c r="A625" s="41">
        <v>3</v>
      </c>
      <c r="B625" s="78"/>
      <c r="C625" s="54"/>
      <c r="D625" s="329"/>
      <c r="E625" s="78" t="s">
        <v>771</v>
      </c>
      <c r="F625" s="341" t="s">
        <v>772</v>
      </c>
      <c r="G625" s="41" t="s">
        <v>193</v>
      </c>
      <c r="H625" s="320">
        <v>22.7</v>
      </c>
      <c r="I625" s="321">
        <v>30</v>
      </c>
      <c r="J625" s="194">
        <v>15</v>
      </c>
      <c r="K625" s="194">
        <v>10</v>
      </c>
      <c r="L625" s="179" t="s">
        <v>268</v>
      </c>
      <c r="M625" s="930" t="s">
        <v>152</v>
      </c>
      <c r="N625" s="680" t="s">
        <v>2314</v>
      </c>
      <c r="O625" s="105">
        <v>1</v>
      </c>
      <c r="P625" s="968" t="s">
        <v>399</v>
      </c>
    </row>
    <row r="626" spans="1:16">
      <c r="A626" s="41">
        <v>3</v>
      </c>
      <c r="B626" s="78"/>
      <c r="C626" s="54"/>
      <c r="D626" s="329"/>
      <c r="E626" s="78" t="s">
        <v>773</v>
      </c>
      <c r="F626" s="920" t="s">
        <v>2147</v>
      </c>
      <c r="G626" s="41" t="s">
        <v>193</v>
      </c>
      <c r="H626" s="320"/>
      <c r="I626" s="321">
        <v>20</v>
      </c>
      <c r="J626" s="194"/>
      <c r="K626" s="194"/>
      <c r="L626" s="179" t="s">
        <v>268</v>
      </c>
      <c r="M626" s="260" t="s">
        <v>2315</v>
      </c>
      <c r="N626" s="680" t="s">
        <v>2316</v>
      </c>
      <c r="O626" s="105">
        <v>1</v>
      </c>
      <c r="P626" s="968" t="s">
        <v>419</v>
      </c>
    </row>
    <row r="627" spans="1:16" ht="22.5">
      <c r="A627" s="41">
        <v>3</v>
      </c>
      <c r="B627" s="78"/>
      <c r="C627" s="54"/>
      <c r="D627" s="329"/>
      <c r="E627" s="78" t="s">
        <v>581</v>
      </c>
      <c r="F627" s="920" t="s">
        <v>2148</v>
      </c>
      <c r="G627" s="41" t="s">
        <v>193</v>
      </c>
      <c r="H627" s="320"/>
      <c r="I627" s="321">
        <v>12</v>
      </c>
      <c r="J627" s="194"/>
      <c r="K627" s="194"/>
      <c r="L627" s="179" t="s">
        <v>268</v>
      </c>
      <c r="M627" s="260" t="s">
        <v>143</v>
      </c>
      <c r="N627" s="680" t="s">
        <v>2317</v>
      </c>
      <c r="O627" s="105">
        <v>1</v>
      </c>
      <c r="P627" s="968" t="s">
        <v>415</v>
      </c>
    </row>
    <row r="628" spans="1:16">
      <c r="A628" s="41">
        <v>3</v>
      </c>
      <c r="B628" s="78"/>
      <c r="C628" s="54"/>
      <c r="D628" s="329"/>
      <c r="E628" s="78"/>
      <c r="F628" s="41"/>
      <c r="G628" s="197" t="s">
        <v>459</v>
      </c>
      <c r="H628" s="53">
        <f>SUM(H619:H627)</f>
        <v>88.6</v>
      </c>
      <c r="I628" s="53">
        <f t="shared" ref="I628:K628" si="133">SUM(I619:I627)</f>
        <v>369</v>
      </c>
      <c r="J628" s="53">
        <f t="shared" si="133"/>
        <v>227</v>
      </c>
      <c r="K628" s="53">
        <f t="shared" si="133"/>
        <v>222</v>
      </c>
      <c r="L628" s="179"/>
      <c r="M628" s="59"/>
      <c r="N628" s="260"/>
      <c r="O628" s="193"/>
      <c r="P628" s="966"/>
    </row>
    <row r="629" spans="1:16" ht="22.5">
      <c r="A629" s="59">
        <v>3</v>
      </c>
      <c r="B629" s="327"/>
      <c r="C629" s="343" t="s">
        <v>774</v>
      </c>
      <c r="D629" s="76" t="s">
        <v>775</v>
      </c>
      <c r="E629" s="78" t="s">
        <v>776</v>
      </c>
      <c r="F629" s="59" t="s">
        <v>777</v>
      </c>
      <c r="G629" s="319" t="s">
        <v>193</v>
      </c>
      <c r="H629" s="320">
        <v>30</v>
      </c>
      <c r="I629" s="321">
        <v>63</v>
      </c>
      <c r="J629" s="320">
        <v>50</v>
      </c>
      <c r="K629" s="320">
        <v>50</v>
      </c>
      <c r="L629" s="179" t="s">
        <v>274</v>
      </c>
      <c r="M629" s="59"/>
      <c r="N629" s="260"/>
      <c r="O629" s="193"/>
      <c r="P629" s="970" t="s">
        <v>419</v>
      </c>
    </row>
    <row r="630" spans="1:16">
      <c r="A630" s="41">
        <v>3</v>
      </c>
      <c r="B630" s="327"/>
      <c r="C630" s="343"/>
      <c r="D630" s="76"/>
      <c r="E630" s="340" t="s">
        <v>778</v>
      </c>
      <c r="F630" s="59" t="s">
        <v>777</v>
      </c>
      <c r="G630" s="319" t="s">
        <v>193</v>
      </c>
      <c r="H630" s="320">
        <v>25</v>
      </c>
      <c r="I630" s="321">
        <v>1.7</v>
      </c>
      <c r="J630" s="320"/>
      <c r="K630" s="320"/>
      <c r="L630" s="179" t="s">
        <v>274</v>
      </c>
      <c r="M630" s="260" t="s">
        <v>144</v>
      </c>
      <c r="N630" s="260" t="s">
        <v>2318</v>
      </c>
      <c r="O630" s="193">
        <v>100</v>
      </c>
      <c r="P630" s="969" t="s">
        <v>687</v>
      </c>
    </row>
    <row r="631" spans="1:16">
      <c r="A631" s="41">
        <v>3</v>
      </c>
      <c r="B631" s="327"/>
      <c r="C631" s="343"/>
      <c r="D631" s="76"/>
      <c r="E631" s="340"/>
      <c r="F631" s="59" t="s">
        <v>777</v>
      </c>
      <c r="G631" s="197" t="s">
        <v>459</v>
      </c>
      <c r="H631" s="53">
        <f t="shared" ref="H631:K631" si="134">SUM(H629:H630)</f>
        <v>55</v>
      </c>
      <c r="I631" s="53">
        <f t="shared" si="134"/>
        <v>64.7</v>
      </c>
      <c r="J631" s="53">
        <f t="shared" si="134"/>
        <v>50</v>
      </c>
      <c r="K631" s="53">
        <f t="shared" si="134"/>
        <v>50</v>
      </c>
      <c r="L631" s="179"/>
      <c r="M631" s="59"/>
      <c r="N631" s="260"/>
      <c r="O631" s="193"/>
      <c r="P631" s="966"/>
    </row>
    <row r="632" spans="1:16">
      <c r="A632" s="41">
        <v>3</v>
      </c>
      <c r="B632" s="190" t="s">
        <v>779</v>
      </c>
      <c r="C632" s="190" t="s">
        <v>779</v>
      </c>
      <c r="D632" s="198" t="s">
        <v>780</v>
      </c>
      <c r="E632" s="340" t="s">
        <v>706</v>
      </c>
      <c r="F632" s="41" t="s">
        <v>781</v>
      </c>
      <c r="G632" s="319" t="s">
        <v>193</v>
      </c>
      <c r="H632" s="320">
        <v>2.4</v>
      </c>
      <c r="I632" s="321">
        <f>100-100</f>
        <v>0</v>
      </c>
      <c r="J632" s="344">
        <f>100-100</f>
        <v>0</v>
      </c>
      <c r="K632" s="344"/>
      <c r="L632" s="179" t="s">
        <v>398</v>
      </c>
      <c r="M632" s="59"/>
      <c r="N632" s="260"/>
      <c r="O632" s="193"/>
      <c r="P632" s="966" t="s">
        <v>275</v>
      </c>
    </row>
    <row r="633" spans="1:16">
      <c r="A633" s="41">
        <v>3</v>
      </c>
      <c r="B633" s="78"/>
      <c r="C633" s="54"/>
      <c r="D633" s="40"/>
      <c r="E633" s="78"/>
      <c r="F633" s="41" t="s">
        <v>781</v>
      </c>
      <c r="G633" s="197" t="s">
        <v>459</v>
      </c>
      <c r="H633" s="53">
        <f t="shared" ref="H633:K633" si="135">SUM(H632:H632)</f>
        <v>2.4</v>
      </c>
      <c r="I633" s="53">
        <f t="shared" si="135"/>
        <v>0</v>
      </c>
      <c r="J633" s="53">
        <f t="shared" si="135"/>
        <v>0</v>
      </c>
      <c r="K633" s="53">
        <f t="shared" si="135"/>
        <v>0</v>
      </c>
      <c r="L633" s="179"/>
      <c r="M633" s="59"/>
      <c r="N633" s="260"/>
      <c r="O633" s="193"/>
      <c r="P633" s="964"/>
    </row>
    <row r="634" spans="1:16">
      <c r="A634" s="41">
        <v>3</v>
      </c>
      <c r="B634" s="78"/>
      <c r="C634" s="54"/>
      <c r="D634" s="40"/>
      <c r="E634" s="78"/>
      <c r="F634" s="41"/>
      <c r="G634" s="120" t="s">
        <v>459</v>
      </c>
      <c r="H634" s="120">
        <f>SUM(H633,H631,H628,H617,H615,H613,H611,H608,H606,H604,H602,H600,H598,H596,H593,H588,H582,H577,H575,H573,H590,H584)</f>
        <v>6409.9</v>
      </c>
      <c r="I634" s="120">
        <f t="shared" ref="I634:K634" si="136">SUM(I633,I631,I628,I617,I615,I613,I611,I608,I606,I604,I602,I600,I598,I596,I593,I588,I582,I577,I575,I573,I590,I584)</f>
        <v>7821.5</v>
      </c>
      <c r="J634" s="120">
        <f t="shared" si="136"/>
        <v>7331.4</v>
      </c>
      <c r="K634" s="120">
        <f t="shared" si="136"/>
        <v>7476.4</v>
      </c>
      <c r="L634" s="179"/>
      <c r="M634" s="59"/>
      <c r="N634" s="260"/>
      <c r="O634" s="193"/>
      <c r="P634" s="964"/>
    </row>
    <row r="635" spans="1:16">
      <c r="A635" s="41">
        <v>3</v>
      </c>
      <c r="B635" s="78"/>
      <c r="C635" s="54"/>
      <c r="D635" s="40"/>
      <c r="E635" s="78"/>
      <c r="F635" s="41"/>
      <c r="G635" s="41" t="s">
        <v>193</v>
      </c>
      <c r="H635" s="42">
        <f>SUM(H592,H595,H597,H599,H601,H603,H605,H607,H612,H614,H616,H621,H622,H623,H624,H625,H629,H630,H609,H574,H576,H578,H632,H581,H589,H626,H627,H583)</f>
        <v>2709.2999999999997</v>
      </c>
      <c r="I635" s="42">
        <f t="shared" ref="I635:K635" si="137">SUM(I592,I595,I597,I599,I601,I603,I605,I607,I612,I614,I616,I621,I622,I623,I624,I625,I629,I630,I609,I574,I576,I578,I632,I581,I589,I626,I627,I583)</f>
        <v>3114.3999999999996</v>
      </c>
      <c r="J635" s="42">
        <f t="shared" si="137"/>
        <v>3049.4</v>
      </c>
      <c r="K635" s="42">
        <f t="shared" si="137"/>
        <v>3194.4</v>
      </c>
      <c r="L635" s="179"/>
      <c r="M635" s="59"/>
      <c r="N635" s="260"/>
      <c r="O635" s="193"/>
      <c r="P635" s="964"/>
    </row>
    <row r="636" spans="1:16">
      <c r="A636" s="41">
        <v>3</v>
      </c>
      <c r="B636" s="78"/>
      <c r="C636" s="54"/>
      <c r="D636" s="40"/>
      <c r="E636" s="78"/>
      <c r="F636" s="41"/>
      <c r="G636" s="41" t="s">
        <v>695</v>
      </c>
      <c r="H636" s="42">
        <f>SUM(H569,H572)</f>
        <v>410.1</v>
      </c>
      <c r="I636" s="42">
        <f t="shared" ref="I636:K636" si="138">SUM(I569,I572)</f>
        <v>752.8</v>
      </c>
      <c r="J636" s="42">
        <f t="shared" si="138"/>
        <v>752.8</v>
      </c>
      <c r="K636" s="42">
        <f t="shared" si="138"/>
        <v>752.8</v>
      </c>
      <c r="L636" s="179"/>
      <c r="M636" s="41"/>
      <c r="N636" s="126"/>
      <c r="O636" s="196"/>
      <c r="P636" s="964"/>
    </row>
    <row r="637" spans="1:16">
      <c r="A637" s="59">
        <v>3</v>
      </c>
      <c r="B637" s="78"/>
      <c r="C637" s="54"/>
      <c r="D637" s="40"/>
      <c r="E637" s="78"/>
      <c r="F637" s="41"/>
      <c r="G637" s="41" t="s">
        <v>696</v>
      </c>
      <c r="H637" s="42">
        <f>SUM(H571)</f>
        <v>39.200000000000003</v>
      </c>
      <c r="I637" s="42">
        <f>SUM(I571)</f>
        <v>104.3</v>
      </c>
      <c r="J637" s="42">
        <f>SUM(J571)</f>
        <v>30</v>
      </c>
      <c r="K637" s="42">
        <f>SUM(K571)</f>
        <v>30</v>
      </c>
      <c r="L637" s="179"/>
      <c r="M637" s="41"/>
      <c r="N637" s="126"/>
      <c r="O637" s="196"/>
      <c r="P637" s="964"/>
    </row>
    <row r="638" spans="1:16">
      <c r="A638" s="41">
        <v>3</v>
      </c>
      <c r="B638" s="78"/>
      <c r="C638" s="54"/>
      <c r="D638" s="40"/>
      <c r="E638" s="78"/>
      <c r="F638" s="41"/>
      <c r="G638" s="41" t="s">
        <v>267</v>
      </c>
      <c r="H638" s="42">
        <f t="shared" ref="H638:K639" si="139">SUM(H579)</f>
        <v>8.9</v>
      </c>
      <c r="I638" s="42">
        <f t="shared" si="139"/>
        <v>307.3</v>
      </c>
      <c r="J638" s="42">
        <f t="shared" si="139"/>
        <v>0</v>
      </c>
      <c r="K638" s="42">
        <f t="shared" si="139"/>
        <v>0</v>
      </c>
      <c r="L638" s="179"/>
      <c r="M638" s="41"/>
      <c r="N638" s="126"/>
      <c r="O638" s="196"/>
      <c r="P638" s="964"/>
    </row>
    <row r="639" spans="1:16">
      <c r="A639" s="41">
        <v>3</v>
      </c>
      <c r="B639" s="78"/>
      <c r="C639" s="54"/>
      <c r="D639" s="40"/>
      <c r="E639" s="78"/>
      <c r="F639" s="41"/>
      <c r="G639" s="41" t="s">
        <v>269</v>
      </c>
      <c r="H639" s="42">
        <f t="shared" si="139"/>
        <v>0</v>
      </c>
      <c r="I639" s="42">
        <f t="shared" si="139"/>
        <v>39.5</v>
      </c>
      <c r="J639" s="42">
        <f t="shared" si="139"/>
        <v>0</v>
      </c>
      <c r="K639" s="42">
        <f t="shared" si="139"/>
        <v>0</v>
      </c>
      <c r="L639" s="179"/>
      <c r="M639" s="41"/>
      <c r="N639" s="126"/>
      <c r="O639" s="196"/>
      <c r="P639" s="964"/>
    </row>
    <row r="640" spans="1:16">
      <c r="A640" s="41">
        <v>3</v>
      </c>
      <c r="B640" s="78"/>
      <c r="C640" s="54"/>
      <c r="D640" s="40"/>
      <c r="E640" s="78"/>
      <c r="F640" s="41"/>
      <c r="G640" s="41" t="s">
        <v>196</v>
      </c>
      <c r="H640" s="42">
        <f>SUM(H610,H619)</f>
        <v>8.1999999999999993</v>
      </c>
      <c r="I640" s="42">
        <f>SUM(I610,I619)</f>
        <v>9.1999999999999993</v>
      </c>
      <c r="J640" s="42">
        <f>SUM(J610,J619)</f>
        <v>9.1999999999999993</v>
      </c>
      <c r="K640" s="42">
        <f>SUM(K610,K619)</f>
        <v>9.1999999999999993</v>
      </c>
      <c r="L640" s="179"/>
      <c r="M640" s="41"/>
      <c r="N640" s="126"/>
      <c r="O640" s="196"/>
      <c r="P640" s="964"/>
    </row>
    <row r="641" spans="1:16">
      <c r="A641" s="41">
        <v>3</v>
      </c>
      <c r="B641" s="78"/>
      <c r="C641" s="54"/>
      <c r="D641" s="40"/>
      <c r="E641" s="78"/>
      <c r="F641" s="41"/>
      <c r="G641" s="59" t="s">
        <v>764</v>
      </c>
      <c r="H641" s="42">
        <f>H620</f>
        <v>0.7</v>
      </c>
      <c r="I641" s="42">
        <f>I620</f>
        <v>0</v>
      </c>
      <c r="J641" s="42">
        <f>J620</f>
        <v>0</v>
      </c>
      <c r="K641" s="42">
        <f>K620</f>
        <v>0</v>
      </c>
      <c r="L641" s="179"/>
      <c r="M641" s="41"/>
      <c r="N641" s="126"/>
      <c r="O641" s="196"/>
      <c r="P641" s="964"/>
    </row>
    <row r="642" spans="1:16">
      <c r="A642" s="41">
        <v>3</v>
      </c>
      <c r="B642" s="78"/>
      <c r="C642" s="54"/>
      <c r="D642" s="40"/>
      <c r="E642" s="78"/>
      <c r="F642" s="41"/>
      <c r="G642" s="41" t="s">
        <v>195</v>
      </c>
      <c r="H642" s="42">
        <f>SUM(H570,H591)</f>
        <v>43.5</v>
      </c>
      <c r="I642" s="42">
        <f>SUM(I570,I591)</f>
        <v>30</v>
      </c>
      <c r="J642" s="42">
        <f>SUM(J570,J591)</f>
        <v>30</v>
      </c>
      <c r="K642" s="42">
        <f>SUM(K570,K591)</f>
        <v>30</v>
      </c>
      <c r="L642" s="179"/>
      <c r="M642" s="41"/>
      <c r="N642" s="126"/>
      <c r="O642" s="196"/>
      <c r="P642" s="964"/>
    </row>
    <row r="643" spans="1:16">
      <c r="A643" s="59">
        <v>3</v>
      </c>
      <c r="B643" s="78"/>
      <c r="C643" s="54"/>
      <c r="D643" s="40"/>
      <c r="E643" s="78"/>
      <c r="F643" s="41"/>
      <c r="G643" s="41" t="s">
        <v>716</v>
      </c>
      <c r="H643" s="42">
        <f>SUM(H586)</f>
        <v>3161</v>
      </c>
      <c r="I643" s="42">
        <f>SUM(I586)</f>
        <v>3430</v>
      </c>
      <c r="J643" s="42">
        <f>SUM(J586)</f>
        <v>3430</v>
      </c>
      <c r="K643" s="42">
        <f>SUM(K586)</f>
        <v>3430</v>
      </c>
      <c r="L643" s="179"/>
      <c r="M643" s="41"/>
      <c r="N643" s="126"/>
      <c r="O643" s="196"/>
      <c r="P643" s="964"/>
    </row>
    <row r="644" spans="1:16">
      <c r="A644" s="41">
        <v>3</v>
      </c>
      <c r="B644" s="78"/>
      <c r="C644" s="54"/>
      <c r="D644" s="40"/>
      <c r="E644" s="78"/>
      <c r="F644" s="41"/>
      <c r="G644" s="41" t="s">
        <v>717</v>
      </c>
      <c r="H644" s="42">
        <f>SUM(H587,)</f>
        <v>29</v>
      </c>
      <c r="I644" s="42">
        <f>SUM(I587,)</f>
        <v>34</v>
      </c>
      <c r="J644" s="42">
        <f>SUM(J587,)</f>
        <v>30</v>
      </c>
      <c r="K644" s="42">
        <f>SUM(K587,)</f>
        <v>30</v>
      </c>
      <c r="L644" s="179"/>
      <c r="M644" s="41"/>
      <c r="N644" s="126"/>
      <c r="O644" s="196"/>
      <c r="P644" s="964"/>
    </row>
    <row r="645" spans="1:16">
      <c r="A645" s="41">
        <v>3</v>
      </c>
      <c r="B645" s="78"/>
      <c r="C645" s="54"/>
      <c r="D645" s="40"/>
      <c r="E645" s="78"/>
      <c r="F645" s="41"/>
      <c r="G645" s="120" t="s">
        <v>459</v>
      </c>
      <c r="H645" s="120">
        <f t="shared" ref="H645:K645" si="140">SUM(H635:H644)</f>
        <v>6409.9</v>
      </c>
      <c r="I645" s="120">
        <f t="shared" si="140"/>
        <v>7821.5</v>
      </c>
      <c r="J645" s="120">
        <f t="shared" si="140"/>
        <v>7331.4</v>
      </c>
      <c r="K645" s="120">
        <f t="shared" si="140"/>
        <v>7476.4</v>
      </c>
      <c r="L645" s="179"/>
      <c r="M645" s="41"/>
      <c r="N645" s="126"/>
      <c r="O645" s="196"/>
      <c r="P645" s="964"/>
    </row>
    <row r="646" spans="1:16">
      <c r="A646" s="41">
        <v>3</v>
      </c>
      <c r="B646" s="78"/>
      <c r="C646" s="54"/>
      <c r="D646" s="40"/>
      <c r="E646" s="78"/>
      <c r="F646" s="41"/>
      <c r="G646" s="41"/>
      <c r="H646" s="42">
        <f t="shared" ref="H646:K646" si="141">H634-H645</f>
        <v>0</v>
      </c>
      <c r="I646" s="42">
        <f t="shared" si="141"/>
        <v>0</v>
      </c>
      <c r="J646" s="42">
        <f t="shared" si="141"/>
        <v>0</v>
      </c>
      <c r="K646" s="42">
        <f t="shared" si="141"/>
        <v>0</v>
      </c>
      <c r="L646" s="179"/>
      <c r="M646" s="196"/>
      <c r="N646" s="196"/>
      <c r="O646" s="196"/>
      <c r="P646" s="318"/>
    </row>
    <row r="647" spans="1:16" ht="33.75">
      <c r="A647" s="189">
        <v>4</v>
      </c>
      <c r="B647" s="184"/>
      <c r="C647" s="184"/>
      <c r="D647" s="185" t="s">
        <v>782</v>
      </c>
      <c r="E647" s="186"/>
      <c r="F647" s="187"/>
      <c r="G647" s="186"/>
      <c r="H647" s="186"/>
      <c r="I647" s="186"/>
      <c r="J647" s="186"/>
      <c r="K647" s="186"/>
      <c r="L647" s="179"/>
      <c r="M647" s="41"/>
      <c r="N647" s="126"/>
      <c r="O647" s="196"/>
      <c r="P647" s="962"/>
    </row>
    <row r="648" spans="1:16" ht="27" customHeight="1">
      <c r="A648" s="345">
        <v>4</v>
      </c>
      <c r="B648" s="190" t="s">
        <v>783</v>
      </c>
      <c r="C648" s="190" t="s">
        <v>783</v>
      </c>
      <c r="D648" s="198" t="s">
        <v>784</v>
      </c>
      <c r="E648" s="346"/>
      <c r="F648" s="41"/>
      <c r="G648" s="85"/>
      <c r="H648" s="85">
        <f>SUM(H652,H654,H658,H664,H668,H670,H673,H679,H683,H686,H689,H692,H694,H697,H699)</f>
        <v>1897.8000000000002</v>
      </c>
      <c r="I648" s="85">
        <f>SUM(I652,I654,I658,I664,I668,I670,I673,I679,I683,I686,I689,I692,I694,I697,I699)</f>
        <v>2477.6999999999994</v>
      </c>
      <c r="J648" s="85">
        <f>SUM(J652,J654,J658,J664,J668,J670,J673,J679,J683,J686,J689,J692,J694,J697,J699)</f>
        <v>2486.2000000000003</v>
      </c>
      <c r="K648" s="85">
        <f>SUM(K652,K654,K658,K664,K668,K670,K673,K679,K683,K686,K689,K692,K694,K697,K699)</f>
        <v>2313.5</v>
      </c>
      <c r="L648" s="179"/>
      <c r="M648" s="41"/>
      <c r="N648" s="126"/>
      <c r="O648" s="196"/>
      <c r="P648" s="977"/>
    </row>
    <row r="649" spans="1:16" ht="47.45" customHeight="1">
      <c r="A649" s="345">
        <v>4</v>
      </c>
      <c r="B649" s="283"/>
      <c r="C649" s="349" t="s">
        <v>785</v>
      </c>
      <c r="D649" s="350" t="s">
        <v>786</v>
      </c>
      <c r="E649" s="349" t="s">
        <v>27</v>
      </c>
      <c r="F649" s="351" t="s">
        <v>787</v>
      </c>
      <c r="G649" s="345" t="s">
        <v>193</v>
      </c>
      <c r="H649" s="42">
        <v>207.3</v>
      </c>
      <c r="I649" s="44">
        <v>222.8</v>
      </c>
      <c r="J649" s="357">
        <v>235.2</v>
      </c>
      <c r="K649" s="357">
        <v>248.3</v>
      </c>
      <c r="L649" s="354" t="s">
        <v>194</v>
      </c>
      <c r="M649" s="59"/>
      <c r="N649" s="260"/>
      <c r="O649" s="193"/>
      <c r="P649" s="977"/>
    </row>
    <row r="650" spans="1:16">
      <c r="A650" s="345">
        <v>4</v>
      </c>
      <c r="B650" s="283"/>
      <c r="C650" s="349"/>
      <c r="D650" s="350"/>
      <c r="E650" s="349" t="s">
        <v>27</v>
      </c>
      <c r="F650" s="351" t="s">
        <v>787</v>
      </c>
      <c r="G650" s="345" t="s">
        <v>195</v>
      </c>
      <c r="H650" s="42">
        <v>606.70000000000005</v>
      </c>
      <c r="I650" s="44"/>
      <c r="J650" s="355"/>
      <c r="K650" s="355"/>
      <c r="L650" s="179"/>
      <c r="M650" s="41"/>
      <c r="N650" s="126"/>
      <c r="O650" s="196"/>
      <c r="P650" s="977"/>
    </row>
    <row r="651" spans="1:16">
      <c r="A651" s="345"/>
      <c r="B651" s="283"/>
      <c r="C651" s="349"/>
      <c r="D651" s="350"/>
      <c r="E651" s="349" t="s">
        <v>27</v>
      </c>
      <c r="F651" s="351" t="s">
        <v>787</v>
      </c>
      <c r="G651" s="41" t="s">
        <v>475</v>
      </c>
      <c r="H651" s="42"/>
      <c r="I651" s="44">
        <v>627.79999999999995</v>
      </c>
      <c r="J651" s="915">
        <v>624.20000000000005</v>
      </c>
      <c r="K651" s="915">
        <v>624.20000000000005</v>
      </c>
      <c r="L651" s="179"/>
      <c r="M651" s="41"/>
      <c r="N651" s="126"/>
      <c r="O651" s="196"/>
      <c r="P651" s="977"/>
    </row>
    <row r="652" spans="1:16">
      <c r="A652" s="41">
        <v>4</v>
      </c>
      <c r="B652" s="283"/>
      <c r="C652" s="349"/>
      <c r="D652" s="350"/>
      <c r="E652" s="349" t="s">
        <v>27</v>
      </c>
      <c r="F652" s="351" t="s">
        <v>787</v>
      </c>
      <c r="G652" s="197" t="s">
        <v>459</v>
      </c>
      <c r="H652" s="53">
        <f>SUM(H649:H651)</f>
        <v>814</v>
      </c>
      <c r="I652" s="53">
        <f t="shared" ref="I652:K652" si="142">SUM(I649:I651)</f>
        <v>850.59999999999991</v>
      </c>
      <c r="J652" s="53">
        <f t="shared" si="142"/>
        <v>859.40000000000009</v>
      </c>
      <c r="K652" s="53">
        <f t="shared" si="142"/>
        <v>872.5</v>
      </c>
      <c r="L652" s="179"/>
      <c r="M652" s="41"/>
      <c r="N652" s="126"/>
      <c r="O652" s="196"/>
      <c r="P652" s="977"/>
    </row>
    <row r="653" spans="1:16" ht="22.5">
      <c r="A653" s="41">
        <v>4</v>
      </c>
      <c r="B653" s="283"/>
      <c r="C653" s="349" t="s">
        <v>788</v>
      </c>
      <c r="D653" s="350" t="s">
        <v>789</v>
      </c>
      <c r="E653" s="356" t="s">
        <v>27</v>
      </c>
      <c r="F653" s="351" t="s">
        <v>790</v>
      </c>
      <c r="G653" s="345" t="s">
        <v>695</v>
      </c>
      <c r="H653" s="357">
        <v>5.5</v>
      </c>
      <c r="I653" s="358">
        <v>5.5</v>
      </c>
      <c r="J653" s="357">
        <v>5.5</v>
      </c>
      <c r="K653" s="357">
        <v>5.5</v>
      </c>
      <c r="L653" s="179"/>
      <c r="M653" s="41"/>
      <c r="N653" s="126"/>
      <c r="O653" s="196"/>
      <c r="P653" s="977"/>
    </row>
    <row r="654" spans="1:16">
      <c r="A654" s="345">
        <v>4</v>
      </c>
      <c r="B654" s="283"/>
      <c r="C654" s="349"/>
      <c r="D654" s="350"/>
      <c r="E654" s="356" t="s">
        <v>27</v>
      </c>
      <c r="F654" s="351" t="s">
        <v>790</v>
      </c>
      <c r="G654" s="197" t="s">
        <v>459</v>
      </c>
      <c r="H654" s="53">
        <f t="shared" ref="H654:K654" si="143">SUM(H653)</f>
        <v>5.5</v>
      </c>
      <c r="I654" s="53">
        <f t="shared" si="143"/>
        <v>5.5</v>
      </c>
      <c r="J654" s="53">
        <f t="shared" si="143"/>
        <v>5.5</v>
      </c>
      <c r="K654" s="53">
        <f t="shared" si="143"/>
        <v>5.5</v>
      </c>
      <c r="L654" s="179"/>
      <c r="M654" s="41"/>
      <c r="N654" s="126"/>
      <c r="O654" s="196"/>
      <c r="P654" s="977"/>
    </row>
    <row r="655" spans="1:16" ht="22.5">
      <c r="A655" s="345">
        <v>4</v>
      </c>
      <c r="B655" s="283"/>
      <c r="C655" s="349" t="s">
        <v>791</v>
      </c>
      <c r="D655" s="350" t="s">
        <v>792</v>
      </c>
      <c r="E655" s="356" t="s">
        <v>27</v>
      </c>
      <c r="F655" s="359" t="s">
        <v>793</v>
      </c>
      <c r="G655" s="360" t="s">
        <v>193</v>
      </c>
      <c r="H655" s="42">
        <v>57</v>
      </c>
      <c r="I655" s="44">
        <v>60.9</v>
      </c>
      <c r="J655" s="357">
        <v>63.2</v>
      </c>
      <c r="K655" s="357">
        <v>65.7</v>
      </c>
      <c r="L655" s="354" t="s">
        <v>268</v>
      </c>
      <c r="M655" s="59"/>
      <c r="N655" s="260"/>
      <c r="O655" s="193"/>
      <c r="P655" s="977"/>
    </row>
    <row r="656" spans="1:16">
      <c r="A656" s="345">
        <v>4</v>
      </c>
      <c r="B656" s="283"/>
      <c r="C656" s="349"/>
      <c r="D656" s="350"/>
      <c r="E656" s="356" t="s">
        <v>27</v>
      </c>
      <c r="F656" s="359" t="s">
        <v>793</v>
      </c>
      <c r="G656" s="360" t="s">
        <v>794</v>
      </c>
      <c r="H656" s="42"/>
      <c r="I656" s="44"/>
      <c r="J656" s="357"/>
      <c r="K656" s="357"/>
      <c r="L656" s="179"/>
      <c r="M656" s="41"/>
      <c r="N656" s="126"/>
      <c r="O656" s="196"/>
      <c r="P656" s="977"/>
    </row>
    <row r="657" spans="1:16">
      <c r="A657" s="345">
        <v>4</v>
      </c>
      <c r="B657" s="283"/>
      <c r="C657" s="349"/>
      <c r="D657" s="350"/>
      <c r="E657" s="356" t="s">
        <v>27</v>
      </c>
      <c r="F657" s="359" t="s">
        <v>793</v>
      </c>
      <c r="G657" s="360" t="s">
        <v>795</v>
      </c>
      <c r="H657" s="357"/>
      <c r="I657" s="361"/>
      <c r="J657" s="357"/>
      <c r="K657" s="357"/>
      <c r="L657" s="179"/>
      <c r="M657" s="41"/>
      <c r="N657" s="126"/>
      <c r="O657" s="196"/>
      <c r="P657" s="977"/>
    </row>
    <row r="658" spans="1:16">
      <c r="A658" s="41">
        <v>4</v>
      </c>
      <c r="B658" s="283"/>
      <c r="C658" s="349"/>
      <c r="D658" s="350"/>
      <c r="E658" s="356" t="s">
        <v>27</v>
      </c>
      <c r="F658" s="359" t="s">
        <v>793</v>
      </c>
      <c r="G658" s="197" t="s">
        <v>459</v>
      </c>
      <c r="H658" s="53">
        <f t="shared" ref="H658:K658" si="144">SUM(H655:H657)</f>
        <v>57</v>
      </c>
      <c r="I658" s="53">
        <f t="shared" si="144"/>
        <v>60.9</v>
      </c>
      <c r="J658" s="53">
        <f t="shared" si="144"/>
        <v>63.2</v>
      </c>
      <c r="K658" s="53">
        <f t="shared" si="144"/>
        <v>65.7</v>
      </c>
      <c r="L658" s="179"/>
      <c r="M658" s="41"/>
      <c r="N658" s="126"/>
      <c r="O658" s="196"/>
      <c r="P658" s="977"/>
    </row>
    <row r="659" spans="1:16" ht="22.5">
      <c r="A659" s="345">
        <v>4</v>
      </c>
      <c r="B659" s="283"/>
      <c r="C659" s="349" t="s">
        <v>796</v>
      </c>
      <c r="D659" s="350" t="s">
        <v>797</v>
      </c>
      <c r="E659" s="349" t="s">
        <v>27</v>
      </c>
      <c r="F659" s="345" t="s">
        <v>798</v>
      </c>
      <c r="G659" s="345" t="s">
        <v>193</v>
      </c>
      <c r="H659" s="42">
        <v>181.5</v>
      </c>
      <c r="I659" s="358">
        <f>233.4+1.4</f>
        <v>234.8</v>
      </c>
      <c r="J659" s="357">
        <v>243.5</v>
      </c>
      <c r="K659" s="357">
        <v>254.1</v>
      </c>
      <c r="L659" s="179" t="s">
        <v>194</v>
      </c>
      <c r="M659" s="196"/>
      <c r="N659" s="196"/>
      <c r="O659" s="196"/>
      <c r="P659" s="977"/>
    </row>
    <row r="660" spans="1:16">
      <c r="A660" s="345">
        <v>4</v>
      </c>
      <c r="B660" s="283"/>
      <c r="C660" s="349"/>
      <c r="D660" s="350"/>
      <c r="E660" s="349" t="s">
        <v>27</v>
      </c>
      <c r="F660" s="351" t="s">
        <v>798</v>
      </c>
      <c r="G660" s="345" t="s">
        <v>195</v>
      </c>
      <c r="H660" s="42">
        <f>255-255</f>
        <v>0</v>
      </c>
      <c r="I660" s="44">
        <f t="shared" ref="I660:K660" si="145">255-255</f>
        <v>0</v>
      </c>
      <c r="J660" s="43">
        <f t="shared" si="145"/>
        <v>0</v>
      </c>
      <c r="K660" s="43">
        <f t="shared" si="145"/>
        <v>0</v>
      </c>
      <c r="L660" s="179"/>
      <c r="M660" s="59"/>
      <c r="N660" s="260"/>
      <c r="O660" s="193"/>
      <c r="P660" s="977"/>
    </row>
    <row r="661" spans="1:16">
      <c r="A661" s="345">
        <v>4</v>
      </c>
      <c r="B661" s="283"/>
      <c r="C661" s="349"/>
      <c r="D661" s="350"/>
      <c r="E661" s="349" t="s">
        <v>27</v>
      </c>
      <c r="F661" s="351" t="s">
        <v>798</v>
      </c>
      <c r="G661" s="345" t="s">
        <v>799</v>
      </c>
      <c r="H661" s="42">
        <f>255</f>
        <v>255</v>
      </c>
      <c r="I661" s="44">
        <f>255</f>
        <v>255</v>
      </c>
      <c r="J661" s="357">
        <f>255</f>
        <v>255</v>
      </c>
      <c r="K661" s="357">
        <f>255</f>
        <v>255</v>
      </c>
      <c r="L661" s="179"/>
      <c r="M661" s="59"/>
      <c r="N661" s="260"/>
      <c r="O661" s="193"/>
      <c r="P661" s="977"/>
    </row>
    <row r="662" spans="1:16">
      <c r="A662" s="41">
        <v>4</v>
      </c>
      <c r="B662" s="283"/>
      <c r="C662" s="349"/>
      <c r="D662" s="350"/>
      <c r="E662" s="349" t="s">
        <v>27</v>
      </c>
      <c r="F662" s="351" t="s">
        <v>798</v>
      </c>
      <c r="G662" s="345" t="s">
        <v>196</v>
      </c>
      <c r="H662" s="42">
        <f>4+1</f>
        <v>5</v>
      </c>
      <c r="I662" s="44">
        <v>7</v>
      </c>
      <c r="J662" s="353">
        <v>7</v>
      </c>
      <c r="K662" s="353">
        <v>7</v>
      </c>
      <c r="L662" s="179"/>
      <c r="M662" s="59"/>
      <c r="N662" s="260"/>
      <c r="O662" s="193"/>
      <c r="P662" s="977"/>
    </row>
    <row r="663" spans="1:16">
      <c r="A663" s="41">
        <v>4</v>
      </c>
      <c r="B663" s="283"/>
      <c r="C663" s="349"/>
      <c r="D663" s="350"/>
      <c r="E663" s="349" t="s">
        <v>27</v>
      </c>
      <c r="F663" s="351" t="s">
        <v>798</v>
      </c>
      <c r="G663" s="345" t="s">
        <v>461</v>
      </c>
      <c r="H663" s="42">
        <v>42.2</v>
      </c>
      <c r="I663" s="89">
        <v>42.2</v>
      </c>
      <c r="J663" s="357">
        <v>42.2</v>
      </c>
      <c r="K663" s="357">
        <v>42.2</v>
      </c>
      <c r="L663" s="179"/>
      <c r="M663" s="59"/>
      <c r="N663" s="260"/>
      <c r="O663" s="193"/>
      <c r="P663" s="977"/>
    </row>
    <row r="664" spans="1:16">
      <c r="A664" s="345">
        <v>4</v>
      </c>
      <c r="B664" s="283"/>
      <c r="C664" s="349"/>
      <c r="D664" s="350"/>
      <c r="E664" s="349" t="s">
        <v>27</v>
      </c>
      <c r="F664" s="351" t="s">
        <v>798</v>
      </c>
      <c r="G664" s="197" t="s">
        <v>459</v>
      </c>
      <c r="H664" s="53">
        <f t="shared" ref="H664:K664" si="146">SUM(H659:H663)</f>
        <v>483.7</v>
      </c>
      <c r="I664" s="53">
        <f t="shared" si="146"/>
        <v>539</v>
      </c>
      <c r="J664" s="53">
        <f t="shared" si="146"/>
        <v>547.70000000000005</v>
      </c>
      <c r="K664" s="53">
        <f t="shared" si="146"/>
        <v>558.30000000000007</v>
      </c>
      <c r="L664" s="179"/>
      <c r="M664" s="59"/>
      <c r="N664" s="260"/>
      <c r="O664" s="193"/>
      <c r="P664" s="977"/>
    </row>
    <row r="665" spans="1:16">
      <c r="A665" s="345">
        <v>4</v>
      </c>
      <c r="B665" s="283"/>
      <c r="C665" s="349" t="s">
        <v>800</v>
      </c>
      <c r="D665" s="1163" t="s">
        <v>801</v>
      </c>
      <c r="E665" s="349" t="s">
        <v>27</v>
      </c>
      <c r="F665" s="360" t="s">
        <v>802</v>
      </c>
      <c r="G665" s="360" t="s">
        <v>195</v>
      </c>
      <c r="H665" s="42">
        <v>143.6</v>
      </c>
      <c r="I665" s="44"/>
      <c r="J665" s="357"/>
      <c r="K665" s="362"/>
      <c r="L665" s="179"/>
      <c r="M665" s="59"/>
      <c r="N665" s="260"/>
      <c r="O665" s="193"/>
      <c r="P665" s="977"/>
    </row>
    <row r="666" spans="1:16">
      <c r="A666" s="345"/>
      <c r="B666" s="283"/>
      <c r="C666" s="349"/>
      <c r="D666" s="1164"/>
      <c r="E666" s="349" t="s">
        <v>27</v>
      </c>
      <c r="F666" s="360" t="s">
        <v>802</v>
      </c>
      <c r="G666" s="41" t="s">
        <v>475</v>
      </c>
      <c r="H666" s="42"/>
      <c r="I666" s="44">
        <v>185.5</v>
      </c>
      <c r="J666" s="357">
        <v>183.9</v>
      </c>
      <c r="K666" s="362">
        <v>183.9</v>
      </c>
      <c r="L666" s="179"/>
      <c r="M666" s="59"/>
      <c r="N666" s="260"/>
      <c r="O666" s="193"/>
      <c r="P666" s="977"/>
    </row>
    <row r="667" spans="1:16" ht="78.75">
      <c r="A667" s="345">
        <v>4</v>
      </c>
      <c r="B667" s="283"/>
      <c r="C667" s="349"/>
      <c r="D667" s="1165"/>
      <c r="E667" s="349" t="s">
        <v>803</v>
      </c>
      <c r="F667" s="360" t="s">
        <v>802</v>
      </c>
      <c r="G667" s="360" t="s">
        <v>193</v>
      </c>
      <c r="H667" s="42">
        <v>30</v>
      </c>
      <c r="I667" s="44">
        <v>30</v>
      </c>
      <c r="J667" s="357">
        <v>30</v>
      </c>
      <c r="K667" s="357">
        <v>30</v>
      </c>
      <c r="L667" s="179" t="s">
        <v>274</v>
      </c>
      <c r="M667" s="972" t="s">
        <v>2319</v>
      </c>
      <c r="N667" s="971" t="s">
        <v>2320</v>
      </c>
      <c r="O667" s="366" t="s">
        <v>2321</v>
      </c>
      <c r="P667" s="977"/>
    </row>
    <row r="668" spans="1:16">
      <c r="A668" s="345">
        <v>4</v>
      </c>
      <c r="B668" s="283"/>
      <c r="C668" s="349"/>
      <c r="D668" s="350"/>
      <c r="E668" s="349"/>
      <c r="F668" s="359"/>
      <c r="G668" s="197" t="s">
        <v>459</v>
      </c>
      <c r="H668" s="53">
        <f t="shared" ref="H668:K668" si="147">SUM(H665:H667)</f>
        <v>173.6</v>
      </c>
      <c r="I668" s="53">
        <f t="shared" si="147"/>
        <v>215.5</v>
      </c>
      <c r="J668" s="53">
        <f t="shared" si="147"/>
        <v>213.9</v>
      </c>
      <c r="K668" s="53">
        <f t="shared" si="147"/>
        <v>213.9</v>
      </c>
      <c r="L668" s="179"/>
      <c r="M668" s="59"/>
      <c r="N668" s="260"/>
      <c r="O668" s="193"/>
      <c r="P668" s="977"/>
    </row>
    <row r="669" spans="1:16" ht="22.5">
      <c r="A669" s="41">
        <v>4</v>
      </c>
      <c r="B669" s="283"/>
      <c r="C669" s="349" t="s">
        <v>804</v>
      </c>
      <c r="D669" s="350" t="s">
        <v>805</v>
      </c>
      <c r="E669" s="349" t="s">
        <v>110</v>
      </c>
      <c r="F669" s="359" t="s">
        <v>806</v>
      </c>
      <c r="G669" s="360" t="s">
        <v>695</v>
      </c>
      <c r="H669" s="42">
        <v>12.7</v>
      </c>
      <c r="I669" s="44">
        <v>13</v>
      </c>
      <c r="J669" s="357">
        <v>13</v>
      </c>
      <c r="K669" s="357">
        <v>13</v>
      </c>
      <c r="L669" s="179"/>
      <c r="M669" s="59"/>
      <c r="N669" s="260"/>
      <c r="O669" s="193"/>
      <c r="P669" s="977"/>
    </row>
    <row r="670" spans="1:16">
      <c r="A670" s="345">
        <v>4</v>
      </c>
      <c r="B670" s="283"/>
      <c r="C670" s="349"/>
      <c r="D670" s="350"/>
      <c r="E670" s="349"/>
      <c r="F670" s="359" t="s">
        <v>806</v>
      </c>
      <c r="G670" s="197" t="s">
        <v>459</v>
      </c>
      <c r="H670" s="53">
        <f t="shared" ref="H670:K670" si="148">SUM(H669)</f>
        <v>12.7</v>
      </c>
      <c r="I670" s="53">
        <f t="shared" si="148"/>
        <v>13</v>
      </c>
      <c r="J670" s="53">
        <f t="shared" si="148"/>
        <v>13</v>
      </c>
      <c r="K670" s="53">
        <f t="shared" si="148"/>
        <v>13</v>
      </c>
      <c r="L670" s="179"/>
      <c r="M670" s="59"/>
      <c r="N670" s="260"/>
      <c r="O670" s="193"/>
      <c r="P670" s="977"/>
    </row>
    <row r="671" spans="1:16">
      <c r="A671" s="345">
        <v>4</v>
      </c>
      <c r="B671" s="283"/>
      <c r="C671" s="349" t="s">
        <v>807</v>
      </c>
      <c r="D671" s="350" t="s">
        <v>808</v>
      </c>
      <c r="E671" s="349" t="s">
        <v>27</v>
      </c>
      <c r="F671" s="359" t="s">
        <v>809</v>
      </c>
      <c r="G671" s="360" t="s">
        <v>695</v>
      </c>
      <c r="H671" s="357">
        <v>25.5</v>
      </c>
      <c r="I671" s="44">
        <f>35-28</f>
        <v>7</v>
      </c>
      <c r="J671" s="357">
        <v>35</v>
      </c>
      <c r="K671" s="357">
        <v>35</v>
      </c>
      <c r="L671" s="179"/>
      <c r="M671" s="59"/>
      <c r="N671" s="260"/>
      <c r="O671" s="193"/>
      <c r="P671" s="977"/>
    </row>
    <row r="672" spans="1:16">
      <c r="A672" s="345">
        <v>4</v>
      </c>
      <c r="B672" s="283"/>
      <c r="C672" s="349"/>
      <c r="D672" s="350"/>
      <c r="E672" s="349" t="s">
        <v>116</v>
      </c>
      <c r="F672" s="359" t="s">
        <v>809</v>
      </c>
      <c r="G672" s="360" t="s">
        <v>695</v>
      </c>
      <c r="H672" s="357"/>
      <c r="I672" s="44">
        <v>28</v>
      </c>
      <c r="J672" s="357"/>
      <c r="K672" s="357"/>
      <c r="L672" s="179"/>
      <c r="M672" s="59"/>
      <c r="N672" s="260"/>
      <c r="O672" s="193"/>
      <c r="P672" s="977"/>
    </row>
    <row r="673" spans="1:16">
      <c r="A673" s="345">
        <v>4</v>
      </c>
      <c r="B673" s="283"/>
      <c r="C673" s="349"/>
      <c r="D673" s="350"/>
      <c r="E673" s="349"/>
      <c r="F673" s="359" t="s">
        <v>809</v>
      </c>
      <c r="G673" s="197" t="s">
        <v>459</v>
      </c>
      <c r="H673" s="53">
        <f>SUM(H671:H672)</f>
        <v>25.5</v>
      </c>
      <c r="I673" s="53">
        <f t="shared" ref="I673:K673" si="149">SUM(I671:I672)</f>
        <v>35</v>
      </c>
      <c r="J673" s="53">
        <f t="shared" si="149"/>
        <v>35</v>
      </c>
      <c r="K673" s="53">
        <f t="shared" si="149"/>
        <v>35</v>
      </c>
      <c r="L673" s="179"/>
      <c r="M673" s="196"/>
      <c r="N673" s="196"/>
      <c r="O673" s="196"/>
      <c r="P673" s="364"/>
    </row>
    <row r="674" spans="1:16" ht="21.6" customHeight="1">
      <c r="A674" s="41">
        <v>4</v>
      </c>
      <c r="B674" s="283"/>
      <c r="C674" s="349" t="s">
        <v>810</v>
      </c>
      <c r="D674" s="350" t="s">
        <v>811</v>
      </c>
      <c r="E674" s="349" t="s">
        <v>803</v>
      </c>
      <c r="F674" s="351" t="s">
        <v>812</v>
      </c>
      <c r="G674" s="345" t="s">
        <v>695</v>
      </c>
      <c r="H674" s="42">
        <v>28</v>
      </c>
      <c r="I674" s="44">
        <f>117.5</f>
        <v>117.5</v>
      </c>
      <c r="J674" s="357">
        <v>117.5</v>
      </c>
      <c r="K674" s="357">
        <v>117.5</v>
      </c>
      <c r="L674" s="179"/>
      <c r="M674" s="972" t="s">
        <v>2322</v>
      </c>
      <c r="N674" s="971" t="s">
        <v>2323</v>
      </c>
      <c r="O674" s="363">
        <v>10</v>
      </c>
      <c r="P674" s="977"/>
    </row>
    <row r="675" spans="1:16">
      <c r="A675" s="41">
        <v>4</v>
      </c>
      <c r="B675" s="283"/>
      <c r="C675" s="349"/>
      <c r="D675" s="350"/>
      <c r="E675" s="349" t="s">
        <v>803</v>
      </c>
      <c r="F675" s="351" t="s">
        <v>812</v>
      </c>
      <c r="G675" s="363" t="s">
        <v>193</v>
      </c>
      <c r="H675" s="42">
        <f>15-12</f>
        <v>3</v>
      </c>
      <c r="I675" s="44"/>
      <c r="J675" s="357"/>
      <c r="K675" s="357"/>
      <c r="L675" s="179"/>
      <c r="M675" s="59"/>
      <c r="N675" s="260"/>
      <c r="O675" s="193"/>
      <c r="P675" s="977"/>
    </row>
    <row r="676" spans="1:16">
      <c r="A676" s="345">
        <v>4</v>
      </c>
      <c r="B676" s="283"/>
      <c r="C676" s="349"/>
      <c r="D676" s="350"/>
      <c r="E676" s="349" t="s">
        <v>27</v>
      </c>
      <c r="F676" s="351" t="s">
        <v>812</v>
      </c>
      <c r="G676" s="345" t="s">
        <v>695</v>
      </c>
      <c r="H676" s="42">
        <v>7.2</v>
      </c>
      <c r="I676" s="44">
        <v>7.2</v>
      </c>
      <c r="J676" s="357">
        <v>7.2</v>
      </c>
      <c r="K676" s="357">
        <v>7.2</v>
      </c>
      <c r="L676" s="179"/>
      <c r="M676" s="59"/>
      <c r="N676" s="260"/>
      <c r="O676" s="193"/>
      <c r="P676" s="977"/>
    </row>
    <row r="677" spans="1:16">
      <c r="A677" s="345">
        <v>4</v>
      </c>
      <c r="B677" s="283"/>
      <c r="C677" s="349"/>
      <c r="D677" s="350"/>
      <c r="E677" s="349" t="s">
        <v>803</v>
      </c>
      <c r="F677" s="351" t="s">
        <v>812</v>
      </c>
      <c r="G677" s="345" t="s">
        <v>696</v>
      </c>
      <c r="H677" s="357"/>
      <c r="I677" s="44">
        <f>34.6-19.6</f>
        <v>15</v>
      </c>
      <c r="J677" s="357"/>
      <c r="K677" s="357"/>
      <c r="L677" s="179"/>
      <c r="M677" s="59"/>
      <c r="N677" s="260"/>
      <c r="O677" s="193"/>
      <c r="P677" s="977"/>
    </row>
    <row r="678" spans="1:16">
      <c r="A678" s="345">
        <v>4</v>
      </c>
      <c r="B678" s="283"/>
      <c r="C678" s="349"/>
      <c r="D678" s="350"/>
      <c r="E678" s="349" t="s">
        <v>27</v>
      </c>
      <c r="F678" s="351" t="s">
        <v>812</v>
      </c>
      <c r="G678" s="345" t="s">
        <v>696</v>
      </c>
      <c r="H678" s="357"/>
      <c r="I678" s="44">
        <v>19.600000000000001</v>
      </c>
      <c r="J678" s="357"/>
      <c r="K678" s="357"/>
      <c r="L678" s="179"/>
      <c r="M678" s="59"/>
      <c r="N678" s="260"/>
      <c r="O678" s="193"/>
      <c r="P678" s="977"/>
    </row>
    <row r="679" spans="1:16">
      <c r="A679" s="345">
        <v>4</v>
      </c>
      <c r="B679" s="283"/>
      <c r="C679" s="349"/>
      <c r="D679" s="350"/>
      <c r="E679" s="349"/>
      <c r="F679" s="351" t="s">
        <v>812</v>
      </c>
      <c r="G679" s="197" t="s">
        <v>459</v>
      </c>
      <c r="H679" s="53">
        <f>SUM(H674:H678)</f>
        <v>38.200000000000003</v>
      </c>
      <c r="I679" s="53">
        <f t="shared" ref="I679:K679" si="150">SUM(I674:I678)</f>
        <v>159.29999999999998</v>
      </c>
      <c r="J679" s="53">
        <f t="shared" si="150"/>
        <v>124.7</v>
      </c>
      <c r="K679" s="53">
        <f t="shared" si="150"/>
        <v>124.7</v>
      </c>
      <c r="L679" s="179"/>
      <c r="M679" s="59"/>
      <c r="N679" s="260"/>
      <c r="O679" s="193"/>
      <c r="P679" s="981"/>
    </row>
    <row r="680" spans="1:16" ht="22.5">
      <c r="A680" s="345">
        <v>4</v>
      </c>
      <c r="B680" s="283"/>
      <c r="C680" s="349" t="s">
        <v>813</v>
      </c>
      <c r="D680" s="350" t="s">
        <v>814</v>
      </c>
      <c r="E680" s="349" t="s">
        <v>27</v>
      </c>
      <c r="F680" s="359" t="s">
        <v>815</v>
      </c>
      <c r="G680" s="345" t="s">
        <v>193</v>
      </c>
      <c r="H680" s="357">
        <v>52.2</v>
      </c>
      <c r="I680" s="361">
        <v>47.8</v>
      </c>
      <c r="J680" s="357">
        <v>49.9</v>
      </c>
      <c r="K680" s="357">
        <v>52.2</v>
      </c>
      <c r="L680" s="354" t="s">
        <v>268</v>
      </c>
      <c r="M680" s="971"/>
      <c r="N680" s="971"/>
      <c r="O680" s="366"/>
      <c r="P680" s="981"/>
    </row>
    <row r="681" spans="1:16">
      <c r="A681" s="41">
        <v>4</v>
      </c>
      <c r="B681" s="283"/>
      <c r="C681" s="349"/>
      <c r="D681" s="350"/>
      <c r="E681" s="349" t="s">
        <v>816</v>
      </c>
      <c r="F681" s="359" t="s">
        <v>815</v>
      </c>
      <c r="G681" s="360" t="s">
        <v>794</v>
      </c>
      <c r="H681" s="357"/>
      <c r="I681" s="361"/>
      <c r="J681" s="357"/>
      <c r="K681" s="357"/>
      <c r="L681" s="179"/>
      <c r="M681" s="59"/>
      <c r="N681" s="260"/>
      <c r="O681" s="193"/>
      <c r="P681" s="977"/>
    </row>
    <row r="682" spans="1:16">
      <c r="A682" s="345">
        <v>4</v>
      </c>
      <c r="B682" s="283"/>
      <c r="C682" s="349"/>
      <c r="D682" s="350"/>
      <c r="E682" s="349" t="s">
        <v>816</v>
      </c>
      <c r="F682" s="359" t="s">
        <v>815</v>
      </c>
      <c r="G682" s="360" t="s">
        <v>795</v>
      </c>
      <c r="H682" s="357">
        <v>0</v>
      </c>
      <c r="I682" s="361">
        <v>0</v>
      </c>
      <c r="J682" s="357">
        <v>0</v>
      </c>
      <c r="K682" s="357">
        <v>0</v>
      </c>
      <c r="L682" s="179"/>
      <c r="M682" s="59"/>
      <c r="N682" s="260"/>
      <c r="O682" s="193"/>
      <c r="P682" s="977"/>
    </row>
    <row r="683" spans="1:16">
      <c r="A683" s="345">
        <v>4</v>
      </c>
      <c r="B683" s="283"/>
      <c r="C683" s="349"/>
      <c r="D683" s="350"/>
      <c r="E683" s="349" t="s">
        <v>816</v>
      </c>
      <c r="F683" s="359" t="s">
        <v>815</v>
      </c>
      <c r="G683" s="197" t="s">
        <v>459</v>
      </c>
      <c r="H683" s="53">
        <f t="shared" ref="H683:K683" si="151">SUM(H680:H682)</f>
        <v>52.2</v>
      </c>
      <c r="I683" s="53">
        <f t="shared" si="151"/>
        <v>47.8</v>
      </c>
      <c r="J683" s="53">
        <f t="shared" si="151"/>
        <v>49.9</v>
      </c>
      <c r="K683" s="53">
        <f t="shared" si="151"/>
        <v>52.2</v>
      </c>
      <c r="L683" s="179"/>
      <c r="M683" s="59"/>
      <c r="N683" s="260"/>
      <c r="O683" s="193"/>
      <c r="P683" s="977"/>
    </row>
    <row r="684" spans="1:16">
      <c r="A684" s="345">
        <v>4</v>
      </c>
      <c r="B684" s="283"/>
      <c r="C684" s="349" t="s">
        <v>817</v>
      </c>
      <c r="D684" s="350" t="s">
        <v>818</v>
      </c>
      <c r="E684" s="349" t="s">
        <v>27</v>
      </c>
      <c r="F684" s="360" t="s">
        <v>819</v>
      </c>
      <c r="G684" s="360" t="s">
        <v>193</v>
      </c>
      <c r="H684" s="357"/>
      <c r="I684" s="361">
        <v>12.9</v>
      </c>
      <c r="J684" s="357">
        <v>12.9</v>
      </c>
      <c r="K684" s="357">
        <v>12.9</v>
      </c>
      <c r="L684" s="179" t="s">
        <v>268</v>
      </c>
      <c r="M684" s="59"/>
      <c r="N684" s="260"/>
      <c r="O684" s="193"/>
      <c r="P684" s="977"/>
    </row>
    <row r="685" spans="1:16">
      <c r="A685" s="41">
        <v>4</v>
      </c>
      <c r="B685" s="283"/>
      <c r="C685" s="349"/>
      <c r="D685" s="350"/>
      <c r="E685" s="349" t="s">
        <v>27</v>
      </c>
      <c r="F685" s="360" t="s">
        <v>819</v>
      </c>
      <c r="G685" s="360" t="s">
        <v>267</v>
      </c>
      <c r="H685" s="357"/>
      <c r="I685" s="361">
        <v>71.7</v>
      </c>
      <c r="J685" s="357">
        <v>71.7</v>
      </c>
      <c r="K685" s="357">
        <v>71.7</v>
      </c>
      <c r="L685" s="179"/>
      <c r="M685" s="59"/>
      <c r="N685" s="260"/>
      <c r="O685" s="193"/>
      <c r="P685" s="977"/>
    </row>
    <row r="686" spans="1:16">
      <c r="A686" s="41">
        <v>4</v>
      </c>
      <c r="B686" s="283"/>
      <c r="C686" s="349"/>
      <c r="D686" s="350"/>
      <c r="E686" s="349"/>
      <c r="F686" s="360"/>
      <c r="G686" s="197" t="s">
        <v>459</v>
      </c>
      <c r="H686" s="53">
        <f t="shared" ref="H686:K686" si="152">SUM(H684:H685)</f>
        <v>0</v>
      </c>
      <c r="I686" s="53">
        <f t="shared" si="152"/>
        <v>84.600000000000009</v>
      </c>
      <c r="J686" s="53">
        <f t="shared" si="152"/>
        <v>84.600000000000009</v>
      </c>
      <c r="K686" s="53">
        <f t="shared" si="152"/>
        <v>84.600000000000009</v>
      </c>
      <c r="L686" s="179"/>
      <c r="M686" s="59"/>
      <c r="N686" s="260"/>
      <c r="O686" s="193"/>
      <c r="P686" s="977"/>
    </row>
    <row r="687" spans="1:16" ht="22.5">
      <c r="A687" s="345">
        <v>4</v>
      </c>
      <c r="B687" s="283"/>
      <c r="C687" s="349" t="s">
        <v>820</v>
      </c>
      <c r="D687" s="350" t="s">
        <v>821</v>
      </c>
      <c r="E687" s="349" t="s">
        <v>27</v>
      </c>
      <c r="F687" s="360" t="s">
        <v>822</v>
      </c>
      <c r="G687" s="360" t="s">
        <v>193</v>
      </c>
      <c r="H687" s="357">
        <v>0.5</v>
      </c>
      <c r="I687" s="361">
        <v>8.1999999999999993</v>
      </c>
      <c r="J687" s="357">
        <v>8.1999999999999993</v>
      </c>
      <c r="K687" s="357">
        <v>8.1999999999999993</v>
      </c>
      <c r="L687" s="179" t="s">
        <v>268</v>
      </c>
      <c r="M687" s="59"/>
      <c r="N687" s="260"/>
      <c r="O687" s="193"/>
      <c r="P687" s="977"/>
    </row>
    <row r="688" spans="1:16">
      <c r="A688" s="345">
        <v>4</v>
      </c>
      <c r="B688" s="283"/>
      <c r="C688" s="349"/>
      <c r="D688" s="365"/>
      <c r="E688" s="349" t="s">
        <v>27</v>
      </c>
      <c r="F688" s="360" t="s">
        <v>822</v>
      </c>
      <c r="G688" s="360" t="s">
        <v>267</v>
      </c>
      <c r="H688" s="357"/>
      <c r="I688" s="361">
        <v>46</v>
      </c>
      <c r="J688" s="357">
        <v>46</v>
      </c>
      <c r="K688" s="357">
        <v>46</v>
      </c>
      <c r="L688" s="179"/>
      <c r="M688" s="59"/>
      <c r="N688" s="260"/>
      <c r="O688" s="193"/>
      <c r="P688" s="977"/>
    </row>
    <row r="689" spans="1:16">
      <c r="A689" s="345">
        <v>4</v>
      </c>
      <c r="B689" s="283"/>
      <c r="C689" s="349"/>
      <c r="D689" s="365"/>
      <c r="E689" s="349"/>
      <c r="F689" s="360"/>
      <c r="G689" s="197" t="s">
        <v>459</v>
      </c>
      <c r="H689" s="53">
        <f t="shared" ref="H689:K689" si="153">SUM(H687:H688)</f>
        <v>0.5</v>
      </c>
      <c r="I689" s="53">
        <f t="shared" si="153"/>
        <v>54.2</v>
      </c>
      <c r="J689" s="53">
        <f t="shared" si="153"/>
        <v>54.2</v>
      </c>
      <c r="K689" s="53">
        <f t="shared" si="153"/>
        <v>54.2</v>
      </c>
      <c r="L689" s="179"/>
      <c r="M689" s="196"/>
      <c r="N689" s="196"/>
      <c r="O689" s="196"/>
      <c r="P689" s="364"/>
    </row>
    <row r="690" spans="1:16" ht="22.5">
      <c r="A690" s="345">
        <v>4</v>
      </c>
      <c r="B690" s="283"/>
      <c r="C690" s="349" t="s">
        <v>823</v>
      </c>
      <c r="D690" s="350" t="s">
        <v>824</v>
      </c>
      <c r="E690" s="349" t="s">
        <v>803</v>
      </c>
      <c r="F690" s="360" t="s">
        <v>825</v>
      </c>
      <c r="G690" s="360" t="s">
        <v>267</v>
      </c>
      <c r="H690" s="357">
        <v>39.799999999999997</v>
      </c>
      <c r="I690" s="361">
        <f>206.2-31</f>
        <v>175.2</v>
      </c>
      <c r="J690" s="320">
        <f>206.2-31</f>
        <v>175.2</v>
      </c>
      <c r="K690" s="194"/>
      <c r="L690" s="179"/>
      <c r="M690" s="972" t="s">
        <v>2322</v>
      </c>
      <c r="N690" s="971" t="s">
        <v>2324</v>
      </c>
      <c r="O690" s="363">
        <v>1</v>
      </c>
      <c r="P690" s="977"/>
    </row>
    <row r="691" spans="1:16">
      <c r="A691" s="41">
        <v>4</v>
      </c>
      <c r="B691" s="283"/>
      <c r="C691" s="349"/>
      <c r="D691" s="350"/>
      <c r="E691" s="349" t="s">
        <v>803</v>
      </c>
      <c r="F691" s="360" t="s">
        <v>825</v>
      </c>
      <c r="G691" s="366" t="s">
        <v>269</v>
      </c>
      <c r="H691" s="357">
        <v>7.4</v>
      </c>
      <c r="I691" s="361">
        <v>31</v>
      </c>
      <c r="J691" s="320">
        <v>31</v>
      </c>
      <c r="K691" s="194"/>
      <c r="L691" s="179"/>
      <c r="M691" s="59"/>
      <c r="N691" s="260"/>
      <c r="O691" s="193"/>
      <c r="P691" s="977"/>
    </row>
    <row r="692" spans="1:16">
      <c r="A692" s="345">
        <v>4</v>
      </c>
      <c r="B692" s="283"/>
      <c r="C692" s="349"/>
      <c r="D692" s="350"/>
      <c r="E692" s="349"/>
      <c r="F692" s="360"/>
      <c r="G692" s="197" t="s">
        <v>459</v>
      </c>
      <c r="H692" s="53">
        <f t="shared" ref="H692:K692" si="154">SUM(H690:H691)</f>
        <v>47.199999999999996</v>
      </c>
      <c r="I692" s="53">
        <f t="shared" si="154"/>
        <v>206.2</v>
      </c>
      <c r="J692" s="53">
        <f t="shared" si="154"/>
        <v>206.2</v>
      </c>
      <c r="K692" s="53">
        <f t="shared" si="154"/>
        <v>0</v>
      </c>
      <c r="L692" s="179"/>
      <c r="M692" s="59"/>
      <c r="N692" s="260"/>
      <c r="O692" s="193"/>
      <c r="P692" s="977"/>
    </row>
    <row r="693" spans="1:16" ht="22.9" customHeight="1">
      <c r="A693" s="345">
        <v>4</v>
      </c>
      <c r="B693" s="283"/>
      <c r="C693" s="349" t="s">
        <v>826</v>
      </c>
      <c r="D693" s="350" t="s">
        <v>827</v>
      </c>
      <c r="E693" s="349">
        <v>17</v>
      </c>
      <c r="F693" s="360" t="s">
        <v>828</v>
      </c>
      <c r="G693" s="360" t="s">
        <v>193</v>
      </c>
      <c r="H693" s="355">
        <v>49.8</v>
      </c>
      <c r="I693" s="44">
        <v>50</v>
      </c>
      <c r="J693" s="357">
        <v>55</v>
      </c>
      <c r="K693" s="357">
        <v>60</v>
      </c>
      <c r="L693" s="978" t="s">
        <v>274</v>
      </c>
      <c r="M693" s="982" t="s">
        <v>2176</v>
      </c>
      <c r="N693" s="372" t="s">
        <v>2325</v>
      </c>
      <c r="O693" s="363">
        <v>4</v>
      </c>
      <c r="P693" s="977"/>
    </row>
    <row r="694" spans="1:16">
      <c r="A694" s="345">
        <v>4</v>
      </c>
      <c r="B694" s="283"/>
      <c r="C694" s="367" t="s">
        <v>829</v>
      </c>
      <c r="D694" s="368" t="s">
        <v>829</v>
      </c>
      <c r="E694" s="369" t="s">
        <v>829</v>
      </c>
      <c r="F694" s="370" t="s">
        <v>829</v>
      </c>
      <c r="G694" s="197" t="s">
        <v>459</v>
      </c>
      <c r="H694" s="53">
        <f t="shared" ref="H694:K694" si="155">SUM(H693)</f>
        <v>49.8</v>
      </c>
      <c r="I694" s="53">
        <f t="shared" si="155"/>
        <v>50</v>
      </c>
      <c r="J694" s="53">
        <f t="shared" si="155"/>
        <v>55</v>
      </c>
      <c r="K694" s="53">
        <f t="shared" si="155"/>
        <v>60</v>
      </c>
      <c r="L694" s="979" t="s">
        <v>829</v>
      </c>
      <c r="M694" s="459"/>
      <c r="N694" s="973"/>
      <c r="O694" s="459"/>
      <c r="P694" s="977"/>
    </row>
    <row r="695" spans="1:16" ht="22.5">
      <c r="A695" s="41">
        <v>4</v>
      </c>
      <c r="B695" s="283"/>
      <c r="C695" s="349" t="s">
        <v>830</v>
      </c>
      <c r="D695" s="371" t="s">
        <v>831</v>
      </c>
      <c r="E695" s="349" t="s">
        <v>27</v>
      </c>
      <c r="F695" s="360" t="s">
        <v>832</v>
      </c>
      <c r="G695" s="360" t="s">
        <v>195</v>
      </c>
      <c r="H695" s="42">
        <v>129.9</v>
      </c>
      <c r="I695" s="908"/>
      <c r="J695" s="67"/>
      <c r="K695" s="67"/>
      <c r="L695" s="979"/>
      <c r="M695" s="459"/>
      <c r="N695" s="973"/>
      <c r="O695" s="459"/>
      <c r="P695" s="977"/>
    </row>
    <row r="696" spans="1:16">
      <c r="A696" s="41">
        <v>4</v>
      </c>
      <c r="B696" s="283"/>
      <c r="C696" s="911"/>
      <c r="D696" s="371"/>
      <c r="E696" s="349" t="s">
        <v>27</v>
      </c>
      <c r="F696" s="360" t="s">
        <v>832</v>
      </c>
      <c r="G696" s="41" t="s">
        <v>475</v>
      </c>
      <c r="H696" s="42"/>
      <c r="I696" s="71">
        <v>144.1</v>
      </c>
      <c r="J696" s="70">
        <v>161.9</v>
      </c>
      <c r="K696" s="70">
        <v>161.9</v>
      </c>
      <c r="L696" s="979"/>
      <c r="M696" s="459"/>
      <c r="N696" s="973"/>
      <c r="O696" s="459"/>
      <c r="P696" s="977"/>
    </row>
    <row r="697" spans="1:16">
      <c r="A697" s="41">
        <v>4</v>
      </c>
      <c r="B697" s="283"/>
      <c r="C697" s="367"/>
      <c r="D697" s="368"/>
      <c r="E697" s="369"/>
      <c r="F697" s="370"/>
      <c r="G697" s="197" t="s">
        <v>459</v>
      </c>
      <c r="H697" s="53">
        <f>SUM(H695:H696)</f>
        <v>129.9</v>
      </c>
      <c r="I697" s="53">
        <f t="shared" ref="I697:K697" si="156">SUM(I695:I696)</f>
        <v>144.1</v>
      </c>
      <c r="J697" s="53">
        <f t="shared" si="156"/>
        <v>161.9</v>
      </c>
      <c r="K697" s="53">
        <f t="shared" si="156"/>
        <v>161.9</v>
      </c>
      <c r="L697" s="979"/>
      <c r="M697" s="459"/>
      <c r="N697" s="973"/>
      <c r="O697" s="459"/>
      <c r="P697" s="977"/>
    </row>
    <row r="698" spans="1:16" ht="22.5">
      <c r="A698" s="345">
        <v>4</v>
      </c>
      <c r="B698" s="283"/>
      <c r="C698" s="349" t="s">
        <v>833</v>
      </c>
      <c r="D698" s="372" t="s">
        <v>834</v>
      </c>
      <c r="E698" s="349" t="s">
        <v>803</v>
      </c>
      <c r="F698" s="360" t="s">
        <v>835</v>
      </c>
      <c r="G698" s="360" t="s">
        <v>193</v>
      </c>
      <c r="H698" s="357">
        <v>8</v>
      </c>
      <c r="I698" s="361">
        <v>12</v>
      </c>
      <c r="J698" s="357">
        <v>12</v>
      </c>
      <c r="K698" s="357">
        <v>12</v>
      </c>
      <c r="L698" s="179" t="s">
        <v>262</v>
      </c>
      <c r="M698" s="972" t="s">
        <v>1939</v>
      </c>
      <c r="N698" s="971" t="s">
        <v>2326</v>
      </c>
      <c r="O698" s="363">
        <v>1</v>
      </c>
      <c r="P698" s="977"/>
    </row>
    <row r="699" spans="1:16">
      <c r="A699" s="345">
        <v>4</v>
      </c>
      <c r="B699" s="283"/>
      <c r="C699" s="349"/>
      <c r="D699" s="373"/>
      <c r="E699" s="349" t="s">
        <v>803</v>
      </c>
      <c r="F699" s="351" t="s">
        <v>835</v>
      </c>
      <c r="G699" s="197" t="s">
        <v>459</v>
      </c>
      <c r="H699" s="53">
        <f t="shared" ref="H699:K699" si="157">SUM(H698)</f>
        <v>8</v>
      </c>
      <c r="I699" s="53">
        <f t="shared" si="157"/>
        <v>12</v>
      </c>
      <c r="J699" s="53">
        <f t="shared" si="157"/>
        <v>12</v>
      </c>
      <c r="K699" s="53">
        <f t="shared" si="157"/>
        <v>12</v>
      </c>
      <c r="L699" s="179"/>
      <c r="M699" s="59"/>
      <c r="N699" s="260"/>
      <c r="O699" s="193"/>
      <c r="P699" s="977"/>
    </row>
    <row r="700" spans="1:16" ht="22.5">
      <c r="A700" s="345">
        <v>4</v>
      </c>
      <c r="B700" s="190" t="s">
        <v>836</v>
      </c>
      <c r="C700" s="190" t="s">
        <v>836</v>
      </c>
      <c r="D700" s="198" t="s">
        <v>837</v>
      </c>
      <c r="E700" s="346"/>
      <c r="F700" s="41"/>
      <c r="G700" s="84"/>
      <c r="H700" s="85">
        <f>H702+H704+H710+H719+H722+H725+H737+H739+H742+H745</f>
        <v>1395.8999999999999</v>
      </c>
      <c r="I700" s="85">
        <f>I702+I704+I710+I719+I722+I725+I737+I739+I742+I745</f>
        <v>3932.2</v>
      </c>
      <c r="J700" s="85">
        <f>J702+J704+J710+J719+J722+J725+J737+J739+J742+J745</f>
        <v>1928</v>
      </c>
      <c r="K700" s="85">
        <f>K702+K704+K710+K719+K722+K725+K737+K739+K742+K745</f>
        <v>600.4</v>
      </c>
      <c r="L700" s="980"/>
      <c r="M700" s="84"/>
      <c r="N700" s="942"/>
      <c r="O700" s="374"/>
      <c r="P700" s="983"/>
    </row>
    <row r="701" spans="1:16" ht="33.75">
      <c r="A701" s="345">
        <v>4</v>
      </c>
      <c r="B701" s="349"/>
      <c r="C701" s="349" t="s">
        <v>838</v>
      </c>
      <c r="D701" s="372" t="s">
        <v>839</v>
      </c>
      <c r="E701" s="349" t="s">
        <v>37</v>
      </c>
      <c r="F701" s="345" t="s">
        <v>840</v>
      </c>
      <c r="G701" s="345" t="s">
        <v>193</v>
      </c>
      <c r="H701" s="42">
        <f>174-54</f>
        <v>120</v>
      </c>
      <c r="I701" s="44">
        <f>180-60</f>
        <v>120</v>
      </c>
      <c r="J701" s="362"/>
      <c r="K701" s="357"/>
      <c r="L701" s="179" t="s">
        <v>274</v>
      </c>
      <c r="M701" s="59"/>
      <c r="N701" s="260"/>
      <c r="O701" s="193"/>
      <c r="P701" s="977"/>
    </row>
    <row r="702" spans="1:16">
      <c r="A702" s="345">
        <v>4</v>
      </c>
      <c r="B702" s="349"/>
      <c r="C702" s="349"/>
      <c r="D702" s="372"/>
      <c r="E702" s="349"/>
      <c r="F702" s="345" t="s">
        <v>840</v>
      </c>
      <c r="G702" s="197" t="s">
        <v>459</v>
      </c>
      <c r="H702" s="53">
        <f>SUM(H701:H701)</f>
        <v>120</v>
      </c>
      <c r="I702" s="53">
        <f>SUM(I701:I701)</f>
        <v>120</v>
      </c>
      <c r="J702" s="53">
        <f>SUM(J701:J701)</f>
        <v>0</v>
      </c>
      <c r="K702" s="53">
        <f>SUM(K701:K701)</f>
        <v>0</v>
      </c>
      <c r="L702" s="179"/>
      <c r="M702" s="59"/>
      <c r="N702" s="260"/>
      <c r="O702" s="193"/>
      <c r="P702" s="977"/>
    </row>
    <row r="703" spans="1:16" ht="22.5">
      <c r="A703" s="345">
        <v>4</v>
      </c>
      <c r="B703" s="349"/>
      <c r="C703" s="349" t="s">
        <v>841</v>
      </c>
      <c r="D703" s="350" t="s">
        <v>842</v>
      </c>
      <c r="E703" s="349" t="s">
        <v>803</v>
      </c>
      <c r="F703" s="359" t="s">
        <v>843</v>
      </c>
      <c r="G703" s="345" t="s">
        <v>193</v>
      </c>
      <c r="H703" s="362">
        <v>223.7</v>
      </c>
      <c r="I703" s="376">
        <v>160</v>
      </c>
      <c r="J703" s="357">
        <f>160-160</f>
        <v>0</v>
      </c>
      <c r="K703" s="357"/>
      <c r="L703" s="179" t="s">
        <v>274</v>
      </c>
      <c r="M703" s="971" t="s">
        <v>2327</v>
      </c>
      <c r="N703" s="971" t="s">
        <v>2328</v>
      </c>
      <c r="O703" s="363">
        <v>8</v>
      </c>
      <c r="P703" s="977"/>
    </row>
    <row r="704" spans="1:16">
      <c r="A704" s="345">
        <v>4</v>
      </c>
      <c r="B704" s="349"/>
      <c r="C704" s="349"/>
      <c r="D704" s="350"/>
      <c r="E704" s="349" t="s">
        <v>803</v>
      </c>
      <c r="F704" s="359" t="s">
        <v>843</v>
      </c>
      <c r="G704" s="197" t="s">
        <v>459</v>
      </c>
      <c r="H704" s="53">
        <f t="shared" ref="H704:K704" si="158">SUM(H703:H703)</f>
        <v>223.7</v>
      </c>
      <c r="I704" s="53">
        <f t="shared" si="158"/>
        <v>160</v>
      </c>
      <c r="J704" s="53">
        <f t="shared" si="158"/>
        <v>0</v>
      </c>
      <c r="K704" s="53">
        <f t="shared" si="158"/>
        <v>0</v>
      </c>
      <c r="L704" s="179"/>
      <c r="M704" s="59"/>
      <c r="N704" s="260"/>
      <c r="O704" s="193"/>
      <c r="P704" s="977"/>
    </row>
    <row r="705" spans="1:16">
      <c r="A705" s="41">
        <v>4</v>
      </c>
      <c r="B705" s="349"/>
      <c r="C705" s="356" t="s">
        <v>844</v>
      </c>
      <c r="D705" s="1163" t="s">
        <v>845</v>
      </c>
      <c r="E705" s="349" t="s">
        <v>21</v>
      </c>
      <c r="F705" s="359" t="s">
        <v>846</v>
      </c>
      <c r="G705" s="360" t="s">
        <v>193</v>
      </c>
      <c r="H705" s="357"/>
      <c r="I705" s="361"/>
      <c r="J705" s="357"/>
      <c r="K705" s="357"/>
      <c r="L705" s="179" t="s">
        <v>262</v>
      </c>
      <c r="M705" s="59"/>
      <c r="N705" s="260"/>
      <c r="O705" s="193"/>
      <c r="P705" s="977"/>
    </row>
    <row r="706" spans="1:16">
      <c r="A706" s="345">
        <v>4</v>
      </c>
      <c r="B706" s="349"/>
      <c r="C706" s="356"/>
      <c r="D706" s="1164"/>
      <c r="E706" s="349" t="s">
        <v>23</v>
      </c>
      <c r="F706" s="359" t="s">
        <v>846</v>
      </c>
      <c r="G706" s="360" t="s">
        <v>193</v>
      </c>
      <c r="H706" s="357">
        <v>1.2</v>
      </c>
      <c r="I706" s="361">
        <v>2</v>
      </c>
      <c r="J706" s="357">
        <v>2</v>
      </c>
      <c r="K706" s="357">
        <v>2</v>
      </c>
      <c r="L706" s="179" t="s">
        <v>262</v>
      </c>
      <c r="M706" s="59"/>
      <c r="N706" s="260"/>
      <c r="O706" s="193"/>
      <c r="P706" s="977"/>
    </row>
    <row r="707" spans="1:16">
      <c r="A707" s="345">
        <v>4</v>
      </c>
      <c r="B707" s="349"/>
      <c r="C707" s="356"/>
      <c r="D707" s="1164"/>
      <c r="E707" s="349" t="s">
        <v>25</v>
      </c>
      <c r="F707" s="359" t="s">
        <v>846</v>
      </c>
      <c r="G707" s="360" t="s">
        <v>193</v>
      </c>
      <c r="H707" s="357">
        <v>14</v>
      </c>
      <c r="I707" s="361">
        <v>16.2</v>
      </c>
      <c r="J707" s="357">
        <v>16.2</v>
      </c>
      <c r="K707" s="357">
        <v>16.2</v>
      </c>
      <c r="L707" s="179" t="s">
        <v>262</v>
      </c>
      <c r="M707" s="59"/>
      <c r="N707" s="260"/>
      <c r="O707" s="193"/>
      <c r="P707" s="977"/>
    </row>
    <row r="708" spans="1:16">
      <c r="A708" s="345">
        <v>4</v>
      </c>
      <c r="B708" s="349"/>
      <c r="C708" s="356"/>
      <c r="D708" s="1164"/>
      <c r="E708" s="349" t="s">
        <v>27</v>
      </c>
      <c r="F708" s="359" t="s">
        <v>846</v>
      </c>
      <c r="G708" s="360" t="s">
        <v>193</v>
      </c>
      <c r="H708" s="357">
        <v>21.5</v>
      </c>
      <c r="I708" s="361">
        <v>32.200000000000003</v>
      </c>
      <c r="J708" s="357">
        <v>32.200000000000003</v>
      </c>
      <c r="K708" s="357">
        <v>32.200000000000003</v>
      </c>
      <c r="L708" s="179" t="s">
        <v>262</v>
      </c>
      <c r="M708" s="59"/>
      <c r="N708" s="260"/>
      <c r="O708" s="193"/>
      <c r="P708" s="977"/>
    </row>
    <row r="709" spans="1:16">
      <c r="A709" s="345">
        <v>4</v>
      </c>
      <c r="B709" s="349"/>
      <c r="C709" s="356"/>
      <c r="D709" s="1164"/>
      <c r="E709" s="349" t="s">
        <v>37</v>
      </c>
      <c r="F709" s="359" t="s">
        <v>846</v>
      </c>
      <c r="G709" s="360" t="s">
        <v>193</v>
      </c>
      <c r="H709" s="357">
        <v>82.2</v>
      </c>
      <c r="I709" s="361">
        <v>90</v>
      </c>
      <c r="J709" s="357">
        <v>90</v>
      </c>
      <c r="K709" s="357">
        <v>90</v>
      </c>
      <c r="L709" s="179" t="s">
        <v>262</v>
      </c>
      <c r="M709" s="59"/>
      <c r="N709" s="260"/>
      <c r="O709" s="193"/>
      <c r="P709" s="977"/>
    </row>
    <row r="710" spans="1:16">
      <c r="A710" s="41">
        <v>4</v>
      </c>
      <c r="B710" s="349"/>
      <c r="C710" s="356"/>
      <c r="D710" s="1165"/>
      <c r="E710" s="349"/>
      <c r="F710" s="359" t="s">
        <v>846</v>
      </c>
      <c r="G710" s="197" t="s">
        <v>459</v>
      </c>
      <c r="H710" s="53">
        <f>SUM(H705:H709)</f>
        <v>118.9</v>
      </c>
      <c r="I710" s="53">
        <f>SUM(I705:I709)</f>
        <v>140.4</v>
      </c>
      <c r="J710" s="53">
        <f>SUM(J705:J709)</f>
        <v>140.4</v>
      </c>
      <c r="K710" s="53">
        <f>SUM(K705:K709)</f>
        <v>140.4</v>
      </c>
      <c r="L710" s="179"/>
      <c r="M710" s="59"/>
      <c r="N710" s="260"/>
      <c r="O710" s="193"/>
      <c r="P710" s="977"/>
    </row>
    <row r="711" spans="1:16" ht="45">
      <c r="A711" s="345">
        <v>4</v>
      </c>
      <c r="B711" s="349"/>
      <c r="C711" s="377" t="s">
        <v>847</v>
      </c>
      <c r="D711" s="378" t="s">
        <v>848</v>
      </c>
      <c r="E711" s="349" t="s">
        <v>27</v>
      </c>
      <c r="F711" s="360" t="s">
        <v>849</v>
      </c>
      <c r="G711" s="360" t="s">
        <v>193</v>
      </c>
      <c r="H711" s="357">
        <v>9.6</v>
      </c>
      <c r="I711" s="44"/>
      <c r="J711" s="357">
        <v>0</v>
      </c>
      <c r="K711" s="357">
        <v>0</v>
      </c>
      <c r="L711" s="354" t="s">
        <v>268</v>
      </c>
      <c r="M711" s="347" t="s">
        <v>2333</v>
      </c>
      <c r="N711" s="260"/>
      <c r="O711" s="193"/>
      <c r="P711" s="977"/>
    </row>
    <row r="712" spans="1:16" ht="22.5">
      <c r="A712" s="345">
        <v>4</v>
      </c>
      <c r="B712" s="349"/>
      <c r="C712" s="377"/>
      <c r="D712" s="329"/>
      <c r="E712" s="349" t="s">
        <v>25</v>
      </c>
      <c r="F712" s="360" t="s">
        <v>849</v>
      </c>
      <c r="G712" s="360" t="s">
        <v>193</v>
      </c>
      <c r="H712" s="357">
        <v>23.5</v>
      </c>
      <c r="I712" s="361">
        <v>118.2</v>
      </c>
      <c r="J712" s="355"/>
      <c r="K712" s="357"/>
      <c r="L712" s="179" t="s">
        <v>398</v>
      </c>
      <c r="M712" s="347" t="s">
        <v>2334</v>
      </c>
      <c r="N712" s="260"/>
      <c r="O712" s="193"/>
      <c r="P712" s="977"/>
    </row>
    <row r="713" spans="1:16">
      <c r="A713" s="345">
        <v>4</v>
      </c>
      <c r="B713" s="349"/>
      <c r="C713" s="377"/>
      <c r="D713" s="364"/>
      <c r="E713" s="349" t="s">
        <v>23</v>
      </c>
      <c r="F713" s="360" t="s">
        <v>849</v>
      </c>
      <c r="G713" s="360" t="s">
        <v>193</v>
      </c>
      <c r="H713" s="357">
        <v>2</v>
      </c>
      <c r="I713" s="361">
        <v>25</v>
      </c>
      <c r="J713" s="357"/>
      <c r="K713" s="357"/>
      <c r="L713" s="179"/>
      <c r="M713" s="994" t="s">
        <v>2335</v>
      </c>
      <c r="N713" s="260"/>
      <c r="O713" s="193"/>
      <c r="P713" s="977"/>
    </row>
    <row r="714" spans="1:16" ht="33.75">
      <c r="A714" s="41">
        <v>4</v>
      </c>
      <c r="B714" s="349"/>
      <c r="C714" s="377"/>
      <c r="D714" s="96"/>
      <c r="E714" s="349" t="s">
        <v>37</v>
      </c>
      <c r="F714" s="360" t="s">
        <v>849</v>
      </c>
      <c r="G714" s="360" t="s">
        <v>193</v>
      </c>
      <c r="H714" s="355"/>
      <c r="I714" s="44">
        <f>110-110</f>
        <v>0</v>
      </c>
      <c r="J714" s="357">
        <f>100-100</f>
        <v>0</v>
      </c>
      <c r="K714" s="355">
        <f>100</f>
        <v>100</v>
      </c>
      <c r="L714" s="179" t="s">
        <v>398</v>
      </c>
      <c r="M714" s="994" t="s">
        <v>2336</v>
      </c>
      <c r="N714" s="347" t="s">
        <v>2338</v>
      </c>
      <c r="O714" s="193"/>
      <c r="P714" s="977"/>
    </row>
    <row r="715" spans="1:16" ht="33.75">
      <c r="A715" s="41">
        <v>4</v>
      </c>
      <c r="B715" s="349"/>
      <c r="C715" s="379"/>
      <c r="D715" s="380"/>
      <c r="E715" s="381" t="s">
        <v>37</v>
      </c>
      <c r="F715" s="360" t="s">
        <v>849</v>
      </c>
      <c r="G715" s="345" t="s">
        <v>193</v>
      </c>
      <c r="H715" s="357"/>
      <c r="I715" s="44">
        <f>260-260</f>
        <v>0</v>
      </c>
      <c r="J715" s="357">
        <f>100</f>
        <v>100</v>
      </c>
      <c r="K715" s="357">
        <v>260</v>
      </c>
      <c r="L715" s="179" t="s">
        <v>398</v>
      </c>
      <c r="M715" s="994" t="s">
        <v>2336</v>
      </c>
      <c r="N715" s="347" t="s">
        <v>2339</v>
      </c>
      <c r="O715" s="193"/>
      <c r="P715" s="977"/>
    </row>
    <row r="716" spans="1:16" ht="19.5">
      <c r="A716" s="345">
        <v>4</v>
      </c>
      <c r="B716" s="349"/>
      <c r="C716" s="379"/>
      <c r="D716" s="380"/>
      <c r="E716" s="381" t="s">
        <v>37</v>
      </c>
      <c r="F716" s="360" t="s">
        <v>849</v>
      </c>
      <c r="G716" s="345" t="s">
        <v>193</v>
      </c>
      <c r="H716" s="357">
        <v>22.3</v>
      </c>
      <c r="I716" s="361">
        <v>200</v>
      </c>
      <c r="J716" s="357"/>
      <c r="K716" s="357"/>
      <c r="L716" s="179"/>
      <c r="M716" s="994" t="s">
        <v>2336</v>
      </c>
      <c r="N716" s="347" t="s">
        <v>2337</v>
      </c>
      <c r="O716" s="193"/>
      <c r="P716" s="977"/>
    </row>
    <row r="717" spans="1:16" ht="19.5">
      <c r="A717" s="345">
        <v>4</v>
      </c>
      <c r="B717" s="349"/>
      <c r="C717" s="377"/>
      <c r="D717" s="380"/>
      <c r="E717" s="349" t="s">
        <v>37</v>
      </c>
      <c r="F717" s="360" t="s">
        <v>849</v>
      </c>
      <c r="G717" s="360" t="s">
        <v>461</v>
      </c>
      <c r="H717" s="357"/>
      <c r="I717" s="361"/>
      <c r="J717" s="357">
        <v>0</v>
      </c>
      <c r="K717" s="357">
        <v>0</v>
      </c>
      <c r="L717" s="179"/>
      <c r="M717" s="994" t="s">
        <v>2336</v>
      </c>
      <c r="N717" s="260"/>
      <c r="O717" s="193"/>
      <c r="P717" s="977" t="s">
        <v>275</v>
      </c>
    </row>
    <row r="718" spans="1:16">
      <c r="A718" s="345">
        <v>4</v>
      </c>
      <c r="B718" s="349"/>
      <c r="C718" s="377"/>
      <c r="D718" s="382"/>
      <c r="E718" s="349" t="s">
        <v>803</v>
      </c>
      <c r="F718" s="360" t="s">
        <v>849</v>
      </c>
      <c r="G718" s="360" t="s">
        <v>193</v>
      </c>
      <c r="H718" s="357"/>
      <c r="I718" s="361">
        <v>6.5</v>
      </c>
      <c r="J718" s="362">
        <v>60</v>
      </c>
      <c r="K718" s="357"/>
      <c r="L718" s="179"/>
      <c r="M718" s="994" t="s">
        <v>2322</v>
      </c>
      <c r="N718" s="260" t="s">
        <v>2171</v>
      </c>
      <c r="O718" s="193">
        <v>100</v>
      </c>
      <c r="P718" s="977" t="s">
        <v>275</v>
      </c>
    </row>
    <row r="719" spans="1:16">
      <c r="A719" s="345">
        <v>4</v>
      </c>
      <c r="B719" s="349"/>
      <c r="C719" s="377"/>
      <c r="D719" s="364"/>
      <c r="E719" s="356"/>
      <c r="F719" s="360" t="s">
        <v>849</v>
      </c>
      <c r="G719" s="197" t="s">
        <v>459</v>
      </c>
      <c r="H719" s="53">
        <f>SUM(H711:H718)</f>
        <v>57.400000000000006</v>
      </c>
      <c r="I719" s="53">
        <f>SUM(I711:I718)</f>
        <v>349.7</v>
      </c>
      <c r="J719" s="53">
        <f>SUM(J711:J718)</f>
        <v>160</v>
      </c>
      <c r="K719" s="53">
        <f>SUM(K711:K718)</f>
        <v>360</v>
      </c>
      <c r="L719" s="179"/>
      <c r="M719" s="59"/>
      <c r="N719" s="260"/>
      <c r="O719" s="193"/>
      <c r="P719" s="977"/>
    </row>
    <row r="720" spans="1:16" ht="18.600000000000001" customHeight="1">
      <c r="A720" s="41">
        <v>4</v>
      </c>
      <c r="B720" s="349"/>
      <c r="C720" s="349" t="s">
        <v>850</v>
      </c>
      <c r="D720" s="350" t="s">
        <v>851</v>
      </c>
      <c r="E720" s="349" t="s">
        <v>21</v>
      </c>
      <c r="F720" s="360" t="s">
        <v>852</v>
      </c>
      <c r="G720" s="345" t="s">
        <v>193</v>
      </c>
      <c r="H720" s="357"/>
      <c r="I720" s="361"/>
      <c r="J720" s="357"/>
      <c r="K720" s="357"/>
      <c r="L720" s="179" t="s">
        <v>274</v>
      </c>
      <c r="M720" s="59"/>
      <c r="N720" s="260"/>
      <c r="O720" s="193"/>
      <c r="P720" s="977"/>
    </row>
    <row r="721" spans="1:16">
      <c r="A721" s="345">
        <v>4</v>
      </c>
      <c r="B721" s="349"/>
      <c r="C721" s="179"/>
      <c r="D721" s="350"/>
      <c r="E721" s="349" t="s">
        <v>37</v>
      </c>
      <c r="F721" s="360" t="s">
        <v>852</v>
      </c>
      <c r="G721" s="345" t="s">
        <v>193</v>
      </c>
      <c r="H721" s="357">
        <f>50-10</f>
        <v>40</v>
      </c>
      <c r="I721" s="361">
        <v>60</v>
      </c>
      <c r="J721" s="357"/>
      <c r="K721" s="357"/>
      <c r="L721" s="179" t="s">
        <v>274</v>
      </c>
      <c r="M721" s="59"/>
      <c r="N721" s="260"/>
      <c r="O721" s="193"/>
      <c r="P721" s="977"/>
    </row>
    <row r="722" spans="1:16">
      <c r="A722" s="345">
        <v>4</v>
      </c>
      <c r="B722" s="349"/>
      <c r="C722" s="349"/>
      <c r="D722" s="350"/>
      <c r="E722" s="349"/>
      <c r="F722" s="360"/>
      <c r="G722" s="197" t="s">
        <v>459</v>
      </c>
      <c r="H722" s="53">
        <f t="shared" ref="H722:K722" si="159">SUM(H720:H721)</f>
        <v>40</v>
      </c>
      <c r="I722" s="53">
        <f t="shared" si="159"/>
        <v>60</v>
      </c>
      <c r="J722" s="53">
        <f t="shared" si="159"/>
        <v>0</v>
      </c>
      <c r="K722" s="53">
        <f t="shared" si="159"/>
        <v>0</v>
      </c>
      <c r="L722" s="179"/>
      <c r="M722" s="59"/>
      <c r="N722" s="260"/>
      <c r="O722" s="193"/>
      <c r="P722" s="977"/>
    </row>
    <row r="723" spans="1:16" ht="22.5">
      <c r="A723" s="345">
        <v>4</v>
      </c>
      <c r="B723" s="383"/>
      <c r="C723" s="349" t="s">
        <v>853</v>
      </c>
      <c r="D723" s="384" t="s">
        <v>854</v>
      </c>
      <c r="E723" s="349" t="s">
        <v>803</v>
      </c>
      <c r="F723" s="360" t="s">
        <v>855</v>
      </c>
      <c r="G723" s="345" t="s">
        <v>267</v>
      </c>
      <c r="H723" s="357">
        <v>11.6</v>
      </c>
      <c r="I723" s="361"/>
      <c r="J723" s="385"/>
      <c r="K723" s="385"/>
      <c r="L723" s="386"/>
      <c r="M723" s="974"/>
      <c r="N723" s="975"/>
      <c r="O723" s="976"/>
      <c r="P723" s="984"/>
    </row>
    <row r="724" spans="1:16">
      <c r="A724" s="41">
        <v>4</v>
      </c>
      <c r="B724" s="349"/>
      <c r="C724" s="349"/>
      <c r="D724" s="350"/>
      <c r="E724" s="349" t="s">
        <v>803</v>
      </c>
      <c r="F724" s="360" t="s">
        <v>855</v>
      </c>
      <c r="G724" s="345" t="s">
        <v>269</v>
      </c>
      <c r="H724" s="357">
        <v>2.4</v>
      </c>
      <c r="I724" s="361"/>
      <c r="J724" s="357"/>
      <c r="K724" s="357"/>
      <c r="L724" s="179"/>
      <c r="M724" s="59"/>
      <c r="N724" s="260"/>
      <c r="O724" s="193"/>
      <c r="P724" s="977"/>
    </row>
    <row r="725" spans="1:16">
      <c r="A725" s="41">
        <v>4</v>
      </c>
      <c r="B725" s="349"/>
      <c r="C725" s="349"/>
      <c r="D725" s="365"/>
      <c r="E725" s="349"/>
      <c r="F725" s="360"/>
      <c r="G725" s="197" t="s">
        <v>459</v>
      </c>
      <c r="H725" s="53">
        <f t="shared" ref="H725:K725" si="160">SUM(H723:H724)</f>
        <v>14</v>
      </c>
      <c r="I725" s="53">
        <f t="shared" si="160"/>
        <v>0</v>
      </c>
      <c r="J725" s="53">
        <f t="shared" si="160"/>
        <v>0</v>
      </c>
      <c r="K725" s="53">
        <f t="shared" si="160"/>
        <v>0</v>
      </c>
      <c r="L725" s="179"/>
      <c r="M725" s="59"/>
      <c r="N725" s="260"/>
      <c r="O725" s="193"/>
      <c r="P725" s="977"/>
    </row>
    <row r="726" spans="1:16" ht="22.5">
      <c r="A726" s="345">
        <v>4</v>
      </c>
      <c r="B726" s="283"/>
      <c r="C726" s="349" t="s">
        <v>856</v>
      </c>
      <c r="D726" s="347" t="s">
        <v>857</v>
      </c>
      <c r="E726" s="349" t="s">
        <v>803</v>
      </c>
      <c r="F726" s="360" t="s">
        <v>858</v>
      </c>
      <c r="G726" s="366" t="s">
        <v>267</v>
      </c>
      <c r="H726" s="352"/>
      <c r="I726" s="361">
        <v>28.8</v>
      </c>
      <c r="J726" s="194">
        <v>15</v>
      </c>
      <c r="K726" s="320"/>
      <c r="L726" s="179" t="s">
        <v>385</v>
      </c>
      <c r="M726" s="972" t="s">
        <v>2329</v>
      </c>
      <c r="N726" s="971" t="s">
        <v>2330</v>
      </c>
      <c r="O726" s="363">
        <v>20</v>
      </c>
      <c r="P726" s="977"/>
    </row>
    <row r="727" spans="1:16">
      <c r="A727" s="345">
        <v>4</v>
      </c>
      <c r="B727" s="283"/>
      <c r="C727" s="349"/>
      <c r="D727" s="347"/>
      <c r="E727" s="349" t="s">
        <v>803</v>
      </c>
      <c r="F727" s="360" t="s">
        <v>858</v>
      </c>
      <c r="G727" s="366" t="s">
        <v>269</v>
      </c>
      <c r="H727" s="352"/>
      <c r="I727" s="361">
        <v>5.0999999999999996</v>
      </c>
      <c r="J727" s="194">
        <v>2.7</v>
      </c>
      <c r="K727" s="320"/>
      <c r="L727" s="179"/>
      <c r="M727" s="59"/>
      <c r="N727" s="260"/>
      <c r="O727" s="193"/>
      <c r="P727" s="977"/>
    </row>
    <row r="728" spans="1:16">
      <c r="A728" s="345">
        <v>4</v>
      </c>
      <c r="B728" s="283"/>
      <c r="C728" s="349"/>
      <c r="D728" s="347"/>
      <c r="E728" s="349" t="s">
        <v>37</v>
      </c>
      <c r="F728" s="360" t="s">
        <v>858</v>
      </c>
      <c r="G728" s="366" t="s">
        <v>267</v>
      </c>
      <c r="H728" s="352">
        <v>645.1</v>
      </c>
      <c r="I728" s="361">
        <f>2337.8-782.2</f>
        <v>1555.6000000000001</v>
      </c>
      <c r="J728" s="194">
        <v>782.2</v>
      </c>
      <c r="K728" s="320"/>
      <c r="L728" s="179"/>
      <c r="M728" s="59"/>
      <c r="N728" s="260"/>
      <c r="O728" s="193"/>
      <c r="P728" s="977"/>
    </row>
    <row r="729" spans="1:16">
      <c r="A729" s="345">
        <v>4</v>
      </c>
      <c r="B729" s="283"/>
      <c r="C729" s="349"/>
      <c r="D729" s="347"/>
      <c r="E729" s="349" t="s">
        <v>37</v>
      </c>
      <c r="F729" s="360" t="s">
        <v>858</v>
      </c>
      <c r="G729" s="366" t="s">
        <v>269</v>
      </c>
      <c r="H729" s="352">
        <v>113.8</v>
      </c>
      <c r="I729" s="361">
        <f>412.6-138</f>
        <v>274.60000000000002</v>
      </c>
      <c r="J729" s="194">
        <v>138</v>
      </c>
      <c r="K729" s="320"/>
      <c r="L729" s="179"/>
      <c r="M729" s="59"/>
      <c r="N729" s="260"/>
      <c r="O729" s="193"/>
      <c r="P729" s="977"/>
    </row>
    <row r="730" spans="1:16">
      <c r="A730" s="41">
        <v>4</v>
      </c>
      <c r="B730" s="283"/>
      <c r="C730" s="349"/>
      <c r="D730" s="347"/>
      <c r="E730" s="349" t="s">
        <v>37</v>
      </c>
      <c r="F730" s="360" t="s">
        <v>858</v>
      </c>
      <c r="G730" s="366" t="s">
        <v>193</v>
      </c>
      <c r="H730" s="352"/>
      <c r="I730" s="361">
        <f>398+261-100-559</f>
        <v>0</v>
      </c>
      <c r="J730" s="770">
        <f>200-200</f>
        <v>0</v>
      </c>
      <c r="K730" s="770">
        <f>100-100</f>
        <v>0</v>
      </c>
      <c r="L730" s="179" t="s">
        <v>385</v>
      </c>
      <c r="M730" s="59"/>
      <c r="N730" s="260"/>
      <c r="O730" s="193"/>
      <c r="P730" s="977"/>
    </row>
    <row r="731" spans="1:16">
      <c r="A731" s="345">
        <v>4</v>
      </c>
      <c r="B731" s="283"/>
      <c r="C731" s="349"/>
      <c r="D731" s="347"/>
      <c r="E731" s="388" t="s">
        <v>803</v>
      </c>
      <c r="F731" s="360" t="s">
        <v>858</v>
      </c>
      <c r="G731" s="366" t="s">
        <v>380</v>
      </c>
      <c r="H731" s="762"/>
      <c r="I731" s="361">
        <f>559-100</f>
        <v>459</v>
      </c>
      <c r="J731" s="770">
        <f>200+100</f>
        <v>300</v>
      </c>
      <c r="K731" s="770">
        <v>100</v>
      </c>
      <c r="L731" s="179"/>
      <c r="M731" s="59"/>
      <c r="N731" s="260"/>
      <c r="O731" s="193"/>
      <c r="P731" s="977"/>
    </row>
    <row r="732" spans="1:16">
      <c r="A732" s="345">
        <v>4</v>
      </c>
      <c r="B732" s="283"/>
      <c r="C732" s="349"/>
      <c r="D732" s="347"/>
      <c r="E732" s="349" t="s">
        <v>859</v>
      </c>
      <c r="F732" s="360" t="s">
        <v>858</v>
      </c>
      <c r="G732" s="366" t="s">
        <v>267</v>
      </c>
      <c r="H732" s="352"/>
      <c r="I732" s="361">
        <v>172.4</v>
      </c>
      <c r="J732" s="320"/>
      <c r="K732" s="320"/>
      <c r="L732" s="179" t="s">
        <v>385</v>
      </c>
      <c r="M732" s="59"/>
      <c r="N732" s="260"/>
      <c r="O732" s="193"/>
      <c r="P732" s="977"/>
    </row>
    <row r="733" spans="1:16">
      <c r="A733" s="345">
        <v>4</v>
      </c>
      <c r="B733" s="283"/>
      <c r="C733" s="349"/>
      <c r="D733" s="347"/>
      <c r="E733" s="349" t="s">
        <v>859</v>
      </c>
      <c r="F733" s="360" t="s">
        <v>858</v>
      </c>
      <c r="G733" s="366" t="s">
        <v>269</v>
      </c>
      <c r="H733" s="352"/>
      <c r="I733" s="361">
        <v>30.5</v>
      </c>
      <c r="J733" s="320"/>
      <c r="K733" s="320"/>
      <c r="L733" s="179"/>
      <c r="M733" s="59"/>
      <c r="N733" s="260"/>
      <c r="O733" s="193"/>
      <c r="P733" s="977"/>
    </row>
    <row r="734" spans="1:16">
      <c r="A734" s="41">
        <v>4</v>
      </c>
      <c r="B734" s="283"/>
      <c r="C734" s="349"/>
      <c r="D734" s="347"/>
      <c r="E734" s="349" t="s">
        <v>23</v>
      </c>
      <c r="F734" s="360" t="s">
        <v>858</v>
      </c>
      <c r="G734" s="366" t="s">
        <v>193</v>
      </c>
      <c r="H734" s="352"/>
      <c r="I734" s="361">
        <v>65.7</v>
      </c>
      <c r="J734" s="320"/>
      <c r="K734" s="320"/>
      <c r="L734" s="179" t="s">
        <v>385</v>
      </c>
      <c r="M734" s="59"/>
      <c r="N734" s="260"/>
      <c r="O734" s="193"/>
      <c r="P734" s="977"/>
    </row>
    <row r="735" spans="1:16">
      <c r="A735" s="345">
        <v>4</v>
      </c>
      <c r="B735" s="283"/>
      <c r="C735" s="349"/>
      <c r="D735" s="347"/>
      <c r="E735" s="388" t="s">
        <v>860</v>
      </c>
      <c r="F735" s="360" t="s">
        <v>858</v>
      </c>
      <c r="G735" s="366" t="s">
        <v>267</v>
      </c>
      <c r="H735" s="352">
        <v>47.5</v>
      </c>
      <c r="I735" s="361">
        <v>114.5</v>
      </c>
      <c r="J735" s="194">
        <v>11.9</v>
      </c>
      <c r="K735" s="320"/>
      <c r="L735" s="179" t="s">
        <v>385</v>
      </c>
      <c r="M735" s="59"/>
      <c r="N735" s="260"/>
      <c r="O735" s="193"/>
      <c r="P735" s="977"/>
    </row>
    <row r="736" spans="1:16">
      <c r="A736" s="345">
        <v>4</v>
      </c>
      <c r="B736" s="283"/>
      <c r="C736" s="349"/>
      <c r="D736" s="347"/>
      <c r="E736" s="388" t="s">
        <v>860</v>
      </c>
      <c r="F736" s="360" t="s">
        <v>858</v>
      </c>
      <c r="G736" s="366" t="s">
        <v>269</v>
      </c>
      <c r="H736" s="352">
        <v>8.6999999999999993</v>
      </c>
      <c r="I736" s="361">
        <v>20.2</v>
      </c>
      <c r="J736" s="194">
        <v>2.1</v>
      </c>
      <c r="K736" s="320"/>
      <c r="L736" s="179"/>
      <c r="M736" s="59"/>
      <c r="N736" s="260"/>
      <c r="O736" s="193"/>
      <c r="P736" s="977"/>
    </row>
    <row r="737" spans="1:16">
      <c r="A737" s="345">
        <v>4</v>
      </c>
      <c r="B737" s="283"/>
      <c r="C737" s="349"/>
      <c r="D737" s="347"/>
      <c r="E737" s="388"/>
      <c r="F737" s="360"/>
      <c r="G737" s="197" t="s">
        <v>459</v>
      </c>
      <c r="H737" s="53">
        <f>SUM(H726:H736)</f>
        <v>815.1</v>
      </c>
      <c r="I737" s="53">
        <f>SUM(I726:I736)</f>
        <v>2726.4</v>
      </c>
      <c r="J737" s="53">
        <f>SUM(J726:J736)</f>
        <v>1251.9000000000001</v>
      </c>
      <c r="K737" s="53">
        <f>SUM(K726:K736)</f>
        <v>100</v>
      </c>
      <c r="L737" s="179" t="s">
        <v>385</v>
      </c>
      <c r="M737" s="59"/>
      <c r="N737" s="260"/>
      <c r="O737" s="193"/>
      <c r="P737" s="977"/>
    </row>
    <row r="738" spans="1:16" ht="22.5">
      <c r="A738" s="41">
        <v>4</v>
      </c>
      <c r="B738" s="283"/>
      <c r="C738" s="349" t="s">
        <v>861</v>
      </c>
      <c r="D738" s="347" t="s">
        <v>862</v>
      </c>
      <c r="E738" s="349" t="s">
        <v>803</v>
      </c>
      <c r="F738" s="360" t="s">
        <v>863</v>
      </c>
      <c r="G738" s="389" t="s">
        <v>193</v>
      </c>
      <c r="H738" s="390">
        <v>6.7</v>
      </c>
      <c r="I738" s="387"/>
      <c r="J738" s="391"/>
      <c r="K738" s="391"/>
      <c r="L738" s="179" t="s">
        <v>398</v>
      </c>
      <c r="M738" s="59"/>
      <c r="N738" s="260"/>
      <c r="O738" s="193"/>
      <c r="P738" s="977"/>
    </row>
    <row r="739" spans="1:16">
      <c r="A739" s="345">
        <v>4</v>
      </c>
      <c r="B739" s="283"/>
      <c r="C739" s="349"/>
      <c r="D739" s="392"/>
      <c r="E739" s="349"/>
      <c r="F739" s="393"/>
      <c r="G739" s="197" t="s">
        <v>459</v>
      </c>
      <c r="H739" s="53">
        <f t="shared" ref="H739:K739" si="161">SUM(H738)</f>
        <v>6.7</v>
      </c>
      <c r="I739" s="53">
        <f t="shared" si="161"/>
        <v>0</v>
      </c>
      <c r="J739" s="53">
        <f t="shared" si="161"/>
        <v>0</v>
      </c>
      <c r="K739" s="53">
        <f t="shared" si="161"/>
        <v>0</v>
      </c>
      <c r="L739" s="179"/>
      <c r="M739" s="59"/>
      <c r="N739" s="260"/>
      <c r="O739" s="193"/>
      <c r="P739" s="977"/>
    </row>
    <row r="740" spans="1:16" ht="22.5">
      <c r="A740" s="345">
        <v>4</v>
      </c>
      <c r="B740" s="283"/>
      <c r="C740" s="349" t="s">
        <v>864</v>
      </c>
      <c r="D740" s="180" t="s">
        <v>865</v>
      </c>
      <c r="E740" s="349" t="s">
        <v>803</v>
      </c>
      <c r="F740" s="360" t="s">
        <v>866</v>
      </c>
      <c r="G740" s="272" t="s">
        <v>193</v>
      </c>
      <c r="H740" s="395"/>
      <c r="I740" s="387">
        <v>29.1</v>
      </c>
      <c r="J740" s="396">
        <v>29.1</v>
      </c>
      <c r="K740" s="397"/>
      <c r="L740" s="179" t="s">
        <v>268</v>
      </c>
      <c r="M740" s="972" t="s">
        <v>2322</v>
      </c>
      <c r="N740" s="971" t="s">
        <v>2331</v>
      </c>
      <c r="O740" s="363">
        <v>15</v>
      </c>
      <c r="P740" s="985" t="s">
        <v>275</v>
      </c>
    </row>
    <row r="741" spans="1:16">
      <c r="A741" s="345">
        <v>4</v>
      </c>
      <c r="B741" s="283"/>
      <c r="C741" s="349"/>
      <c r="D741" s="347"/>
      <c r="E741" s="349" t="s">
        <v>803</v>
      </c>
      <c r="F741" s="360" t="s">
        <v>866</v>
      </c>
      <c r="G741" s="272" t="s">
        <v>267</v>
      </c>
      <c r="H741" s="394"/>
      <c r="I741" s="387">
        <v>165</v>
      </c>
      <c r="J741" s="396">
        <v>165</v>
      </c>
      <c r="K741" s="397"/>
      <c r="L741" s="179"/>
      <c r="M741" s="59"/>
      <c r="N741" s="260"/>
      <c r="O741" s="193"/>
      <c r="P741" s="977"/>
    </row>
    <row r="742" spans="1:16">
      <c r="A742" s="41">
        <v>4</v>
      </c>
      <c r="B742" s="283"/>
      <c r="C742" s="349"/>
      <c r="D742" s="347"/>
      <c r="E742" s="349"/>
      <c r="F742" s="393"/>
      <c r="G742" s="398" t="s">
        <v>459</v>
      </c>
      <c r="H742" s="399">
        <f t="shared" ref="H742:K742" si="162">SUM(H740:H741)</f>
        <v>0</v>
      </c>
      <c r="I742" s="399">
        <f t="shared" si="162"/>
        <v>194.1</v>
      </c>
      <c r="J742" s="399">
        <f t="shared" si="162"/>
        <v>194.1</v>
      </c>
      <c r="K742" s="399">
        <f t="shared" si="162"/>
        <v>0</v>
      </c>
      <c r="L742" s="179"/>
      <c r="M742" s="59"/>
      <c r="N742" s="260"/>
      <c r="O742" s="193"/>
      <c r="P742" s="977"/>
    </row>
    <row r="743" spans="1:16" ht="33.75">
      <c r="A743" s="345">
        <v>4</v>
      </c>
      <c r="B743" s="283"/>
      <c r="C743" s="349" t="s">
        <v>867</v>
      </c>
      <c r="D743" s="400" t="s">
        <v>868</v>
      </c>
      <c r="E743" s="349" t="s">
        <v>803</v>
      </c>
      <c r="F743" s="360" t="s">
        <v>869</v>
      </c>
      <c r="G743" s="272" t="s">
        <v>267</v>
      </c>
      <c r="H743" s="394">
        <v>0.1</v>
      </c>
      <c r="I743" s="387">
        <v>154.30000000000001</v>
      </c>
      <c r="J743" s="396">
        <v>154.30000000000001</v>
      </c>
      <c r="K743" s="397"/>
      <c r="L743" s="179" t="s">
        <v>268</v>
      </c>
      <c r="M743" s="972" t="s">
        <v>2322</v>
      </c>
      <c r="N743" s="986" t="s">
        <v>2332</v>
      </c>
      <c r="O743" s="363">
        <v>1</v>
      </c>
      <c r="P743" s="977"/>
    </row>
    <row r="744" spans="1:16">
      <c r="A744" s="345">
        <v>4</v>
      </c>
      <c r="B744" s="283"/>
      <c r="C744" s="349"/>
      <c r="D744" s="347"/>
      <c r="E744" s="349" t="s">
        <v>803</v>
      </c>
      <c r="F744" s="360" t="s">
        <v>869</v>
      </c>
      <c r="G744" s="331" t="s">
        <v>269</v>
      </c>
      <c r="H744" s="401"/>
      <c r="I744" s="387">
        <v>27.3</v>
      </c>
      <c r="J744" s="402">
        <v>27.3</v>
      </c>
      <c r="K744" s="403"/>
      <c r="L744" s="179"/>
      <c r="M744" s="59"/>
      <c r="N744" s="260"/>
      <c r="O744" s="193"/>
      <c r="P744" s="977"/>
    </row>
    <row r="745" spans="1:16">
      <c r="A745" s="345">
        <v>4</v>
      </c>
      <c r="B745" s="283"/>
      <c r="C745" s="349"/>
      <c r="D745" s="347"/>
      <c r="E745" s="349"/>
      <c r="F745" s="393"/>
      <c r="G745" s="404" t="s">
        <v>459</v>
      </c>
      <c r="H745" s="148">
        <f t="shared" ref="H745:K745" si="163">SUM(H743:H744)</f>
        <v>0.1</v>
      </c>
      <c r="I745" s="148">
        <f t="shared" si="163"/>
        <v>181.60000000000002</v>
      </c>
      <c r="J745" s="148">
        <f t="shared" si="163"/>
        <v>181.60000000000002</v>
      </c>
      <c r="K745" s="148">
        <f t="shared" si="163"/>
        <v>0</v>
      </c>
      <c r="L745" s="179"/>
      <c r="M745" s="59"/>
      <c r="N745" s="260"/>
      <c r="O745" s="193"/>
      <c r="P745" s="977"/>
    </row>
    <row r="746" spans="1:16" ht="12.75" customHeight="1">
      <c r="A746" s="41">
        <v>4</v>
      </c>
      <c r="B746" s="283"/>
      <c r="C746" s="349"/>
      <c r="D746" s="347"/>
      <c r="E746" s="349"/>
      <c r="F746" s="393"/>
      <c r="G746" s="405" t="s">
        <v>459</v>
      </c>
      <c r="H746" s="405">
        <f>SUM(H652,H654,H658,H664,H668,H670,H673,H679,H683,H702,H704,H710,H719,H725,H742,H739,H737,H722,H692,H689,H686,H694,H745,H697,H699)</f>
        <v>3293.7</v>
      </c>
      <c r="I746" s="405">
        <f>SUM(I652,I654,I658,I664,I668,I670,I673,I679,I683,I702,I704,I710,I719,I725,I742,I739,I737,I722,I692,I689,I686,I694,I745,I697,I699)</f>
        <v>6409.9000000000005</v>
      </c>
      <c r="J746" s="405">
        <f>SUM(J652,J654,J658,J664,J668,J670,J673,J679,J683,J702,J704,J710,J719,J725,J742,J739,J737,J722,J692,J689,J686,J694,J745,J697,J699)</f>
        <v>4414.2</v>
      </c>
      <c r="K746" s="405">
        <f>SUM(K652,K654,K658,K664,K668,K670,K673,K679,K683,K702,K704,K710,K719,K725,K742,K739,K737,K722,K692,K689,K686,K694,K745,K697,K699)</f>
        <v>2913.9</v>
      </c>
      <c r="L746" s="354"/>
      <c r="M746" s="59"/>
      <c r="N746" s="260"/>
      <c r="O746" s="193"/>
      <c r="P746" s="977"/>
    </row>
    <row r="747" spans="1:16" ht="12.75" customHeight="1">
      <c r="A747" s="345">
        <v>4</v>
      </c>
      <c r="B747" s="283"/>
      <c r="C747" s="349"/>
      <c r="D747" s="347"/>
      <c r="E747" s="349"/>
      <c r="F747" s="393"/>
      <c r="G747" s="406" t="s">
        <v>193</v>
      </c>
      <c r="H747" s="113">
        <f>SUM(H649,H655,H659,H667,H680,H684,H687,H701,H703,H705,H706,H707,H708,H709,H711,H712,H714,H720,H721,H715,H730,H734,H738,H740,H693,H675,H716,H718,H713,H698)</f>
        <v>1156.0000000000002</v>
      </c>
      <c r="I747" s="113">
        <f>SUM(I649,I655,I659,I667,I680,I684,I687,I701,I703,I705,I706,I707,I708,I709,I711,I712,I714,I720,I721,I715,I730,I734,I738,I740,I693,I675,I716,I718,I713,I698)</f>
        <v>1604.3000000000002</v>
      </c>
      <c r="J747" s="113">
        <f>SUM(J649,J655,J659,J667,J680,J684,J687,J701,J703,J705,J706,J707,J708,J709,J711,J712,J714,J720,J721,J715,J730,J734,J738,J740,J693,J675,J716,J718,J713,J698)</f>
        <v>1039.4000000000001</v>
      </c>
      <c r="K747" s="113">
        <f>SUM(K649,K655,K659,K667,K680,K684,K687,K701,K703,K705,K706,K707,K708,K709,K711,K712,K714,K720,K721,K715,K730,K734,K738,K740,K693,K675,K716,K718,K713,K698)</f>
        <v>1243.8000000000002</v>
      </c>
      <c r="L747" s="179"/>
      <c r="M747" s="59"/>
      <c r="N747" s="260"/>
      <c r="O747" s="193"/>
      <c r="P747" s="977"/>
    </row>
    <row r="748" spans="1:16" ht="12.75" customHeight="1">
      <c r="A748" s="345">
        <v>4</v>
      </c>
      <c r="B748" s="283"/>
      <c r="C748" s="349"/>
      <c r="D748" s="347"/>
      <c r="E748" s="349"/>
      <c r="F748" s="393"/>
      <c r="G748" s="407" t="s">
        <v>195</v>
      </c>
      <c r="H748" s="113">
        <f>SUM(H650,H660,H665,H695)</f>
        <v>880.2</v>
      </c>
      <c r="I748" s="352">
        <f>SUM(I650,I660,I665,I695)</f>
        <v>0</v>
      </c>
      <c r="J748" s="113">
        <f>SUM(J650,J660,J665,J695)</f>
        <v>0</v>
      </c>
      <c r="K748" s="113">
        <f>SUM(K650,K660,K665,K695)</f>
        <v>0</v>
      </c>
      <c r="L748" s="179"/>
      <c r="M748" s="59"/>
      <c r="N748" s="260"/>
      <c r="O748" s="193"/>
      <c r="P748" s="977"/>
    </row>
    <row r="749" spans="1:16" ht="12.75" customHeight="1">
      <c r="A749" s="345">
        <v>4</v>
      </c>
      <c r="B749" s="283"/>
      <c r="C749" s="349"/>
      <c r="D749" s="347"/>
      <c r="E749" s="349"/>
      <c r="F749" s="393"/>
      <c r="G749" s="41" t="s">
        <v>475</v>
      </c>
      <c r="H749" s="113">
        <f>SUM(H666,H651,H696)</f>
        <v>0</v>
      </c>
      <c r="I749" s="113">
        <f t="shared" ref="I749:K749" si="164">SUM(I666,I651,I696)</f>
        <v>957.4</v>
      </c>
      <c r="J749" s="113">
        <f t="shared" si="164"/>
        <v>970</v>
      </c>
      <c r="K749" s="113">
        <f t="shared" si="164"/>
        <v>970</v>
      </c>
      <c r="L749" s="179"/>
      <c r="M749" s="59"/>
      <c r="N749" s="260"/>
      <c r="O749" s="193"/>
      <c r="P749" s="977"/>
    </row>
    <row r="750" spans="1:16" ht="12.75" customHeight="1">
      <c r="A750" s="345">
        <v>4</v>
      </c>
      <c r="B750" s="283"/>
      <c r="C750" s="349"/>
      <c r="D750" s="347"/>
      <c r="E750" s="349"/>
      <c r="F750" s="393"/>
      <c r="G750" s="407" t="s">
        <v>695</v>
      </c>
      <c r="H750" s="113">
        <f>SUM(H669,H671,H674,H676,H653,H672)</f>
        <v>78.900000000000006</v>
      </c>
      <c r="I750" s="113">
        <f t="shared" ref="I750:K750" si="165">SUM(I669,I671,I674,I676,I653,I672)</f>
        <v>178.2</v>
      </c>
      <c r="J750" s="113">
        <f t="shared" si="165"/>
        <v>178.2</v>
      </c>
      <c r="K750" s="113">
        <f t="shared" si="165"/>
        <v>178.2</v>
      </c>
      <c r="L750" s="179"/>
      <c r="M750" s="59"/>
      <c r="N750" s="260"/>
      <c r="O750" s="193"/>
      <c r="P750" s="977"/>
    </row>
    <row r="751" spans="1:16" ht="12.75" customHeight="1">
      <c r="A751" s="41">
        <v>4</v>
      </c>
      <c r="B751" s="283"/>
      <c r="C751" s="349"/>
      <c r="D751" s="347"/>
      <c r="E751" s="349"/>
      <c r="F751" s="393"/>
      <c r="G751" s="407" t="s">
        <v>696</v>
      </c>
      <c r="H751" s="113">
        <f>H677+H678</f>
        <v>0</v>
      </c>
      <c r="I751" s="113">
        <f t="shared" ref="I751:K751" si="166">I677+I678</f>
        <v>34.6</v>
      </c>
      <c r="J751" s="113">
        <f t="shared" si="166"/>
        <v>0</v>
      </c>
      <c r="K751" s="113">
        <f t="shared" si="166"/>
        <v>0</v>
      </c>
      <c r="L751" s="179"/>
      <c r="M751" s="59"/>
      <c r="N751" s="260"/>
      <c r="O751" s="193"/>
      <c r="P751" s="977"/>
    </row>
    <row r="752" spans="1:16" ht="12.75" customHeight="1">
      <c r="A752" s="345">
        <v>4</v>
      </c>
      <c r="B752" s="283"/>
      <c r="C752" s="349"/>
      <c r="D752" s="347"/>
      <c r="E752" s="349"/>
      <c r="F752" s="393"/>
      <c r="G752" s="407" t="s">
        <v>196</v>
      </c>
      <c r="H752" s="113">
        <f>H662</f>
        <v>5</v>
      </c>
      <c r="I752" s="352">
        <f>I662</f>
        <v>7</v>
      </c>
      <c r="J752" s="113">
        <f>J662</f>
        <v>7</v>
      </c>
      <c r="K752" s="113">
        <f>K662</f>
        <v>7</v>
      </c>
      <c r="L752" s="179"/>
      <c r="M752" s="59"/>
      <c r="N752" s="260"/>
      <c r="O752" s="193"/>
      <c r="P752" s="977"/>
    </row>
    <row r="753" spans="1:16" ht="12.75" customHeight="1">
      <c r="A753" s="345">
        <v>4</v>
      </c>
      <c r="B753" s="349"/>
      <c r="C753" s="349"/>
      <c r="D753" s="365"/>
      <c r="E753" s="349"/>
      <c r="F753" s="360"/>
      <c r="G753" s="189" t="s">
        <v>799</v>
      </c>
      <c r="H753" s="113">
        <f>H661</f>
        <v>255</v>
      </c>
      <c r="I753" s="352">
        <f>I661</f>
        <v>255</v>
      </c>
      <c r="J753" s="113">
        <f>J661</f>
        <v>255</v>
      </c>
      <c r="K753" s="113">
        <f>K661</f>
        <v>255</v>
      </c>
      <c r="L753" s="179"/>
      <c r="M753" s="59"/>
      <c r="N753" s="260"/>
      <c r="O753" s="193"/>
      <c r="P753" s="977"/>
    </row>
    <row r="754" spans="1:16" ht="12.75" customHeight="1">
      <c r="A754" s="345">
        <v>4</v>
      </c>
      <c r="B754" s="349"/>
      <c r="C754" s="349"/>
      <c r="D754" s="365"/>
      <c r="E754" s="349"/>
      <c r="F754" s="360"/>
      <c r="G754" s="41" t="s">
        <v>269</v>
      </c>
      <c r="H754" s="42">
        <f>H724+H744+H691+H736+H733+H729+H727</f>
        <v>132.30000000000001</v>
      </c>
      <c r="I754" s="352">
        <f>I724+I744+I691+I736+I733+I729+I727</f>
        <v>388.70000000000005</v>
      </c>
      <c r="J754" s="42">
        <f>J724+J744+J691+J736+J733+J729+J727</f>
        <v>201.1</v>
      </c>
      <c r="K754" s="42">
        <f>K724+K744+K691+K736+K733+K729+K727</f>
        <v>0</v>
      </c>
      <c r="L754" s="179"/>
      <c r="M754" s="59"/>
      <c r="N754" s="260"/>
      <c r="O754" s="193"/>
      <c r="P754" s="977"/>
    </row>
    <row r="755" spans="1:16" ht="12.75" customHeight="1">
      <c r="A755" s="41">
        <v>4</v>
      </c>
      <c r="B755" s="349"/>
      <c r="C755" s="349"/>
      <c r="D755" s="365"/>
      <c r="E755" s="349"/>
      <c r="F755" s="360"/>
      <c r="G755" s="41" t="s">
        <v>267</v>
      </c>
      <c r="H755" s="408">
        <f>SUM(H735,H732,H726,H723,H690,H688,H685,H741,H743,H728)</f>
        <v>744.1</v>
      </c>
      <c r="I755" s="352">
        <f>SUM(I735,I732,I726,I723,I690,I688,I685,I741,I743,I728)</f>
        <v>2483.5</v>
      </c>
      <c r="J755" s="408">
        <f>SUM(J735,J732,J726,J723,J690,J688,J685,J741,J743,J728)</f>
        <v>1421.3000000000002</v>
      </c>
      <c r="K755" s="408">
        <f>SUM(K735,K732,K726,K723,K690,K688,K685,K741,K743,K728)</f>
        <v>117.7</v>
      </c>
      <c r="L755" s="179"/>
      <c r="M755" s="59"/>
      <c r="N755" s="260"/>
      <c r="O755" s="193"/>
      <c r="P755" s="977"/>
    </row>
    <row r="756" spans="1:16" ht="12.75" customHeight="1">
      <c r="A756" s="345">
        <v>4</v>
      </c>
      <c r="B756" s="349"/>
      <c r="C756" s="349"/>
      <c r="D756" s="365"/>
      <c r="E756" s="349"/>
      <c r="F756" s="360"/>
      <c r="G756" s="41" t="s">
        <v>795</v>
      </c>
      <c r="H756" s="42">
        <f>SUM(H657,H682)</f>
        <v>0</v>
      </c>
      <c r="I756" s="352">
        <f>SUM(I657,I682)</f>
        <v>0</v>
      </c>
      <c r="J756" s="42">
        <f>SUM(J657,J682)</f>
        <v>0</v>
      </c>
      <c r="K756" s="42">
        <f>SUM(K657,K682)</f>
        <v>0</v>
      </c>
      <c r="L756" s="179"/>
      <c r="M756" s="59"/>
      <c r="N756" s="260"/>
      <c r="O756" s="193"/>
      <c r="P756" s="977"/>
    </row>
    <row r="757" spans="1:16" ht="12.75" customHeight="1">
      <c r="A757" s="345">
        <v>4</v>
      </c>
      <c r="B757" s="349"/>
      <c r="C757" s="349"/>
      <c r="D757" s="365"/>
      <c r="E757" s="349"/>
      <c r="F757" s="360"/>
      <c r="G757" s="41" t="s">
        <v>461</v>
      </c>
      <c r="H757" s="42">
        <f>SUM(H663,H717)</f>
        <v>42.2</v>
      </c>
      <c r="I757" s="352">
        <f>SUM(I663,I717)</f>
        <v>42.2</v>
      </c>
      <c r="J757" s="42">
        <f>SUM(J663,J717)</f>
        <v>42.2</v>
      </c>
      <c r="K757" s="42">
        <f>SUM(K663,K717)</f>
        <v>42.2</v>
      </c>
      <c r="L757" s="179"/>
      <c r="M757" s="59"/>
      <c r="N757" s="260"/>
      <c r="O757" s="193"/>
      <c r="P757" s="977"/>
    </row>
    <row r="758" spans="1:16" ht="12.75" customHeight="1">
      <c r="A758" s="345">
        <v>4</v>
      </c>
      <c r="B758" s="349"/>
      <c r="C758" s="349"/>
      <c r="D758" s="365"/>
      <c r="E758" s="349"/>
      <c r="F758" s="360"/>
      <c r="G758" s="41" t="s">
        <v>794</v>
      </c>
      <c r="H758" s="42">
        <f>SUM(H656,H681,)</f>
        <v>0</v>
      </c>
      <c r="I758" s="352">
        <f>SUM(I656,I681,)</f>
        <v>0</v>
      </c>
      <c r="J758" s="42">
        <f>SUM(J656,J681,)</f>
        <v>0</v>
      </c>
      <c r="K758" s="42">
        <f>SUM(K656,K681,)</f>
        <v>0</v>
      </c>
      <c r="L758" s="179"/>
      <c r="M758" s="59"/>
      <c r="N758" s="260"/>
      <c r="O758" s="193"/>
      <c r="P758" s="977"/>
    </row>
    <row r="759" spans="1:16" ht="12.75" customHeight="1">
      <c r="A759" s="41">
        <v>4</v>
      </c>
      <c r="B759" s="349"/>
      <c r="C759" s="349"/>
      <c r="D759" s="365"/>
      <c r="E759" s="349"/>
      <c r="F759" s="360"/>
      <c r="G759" s="41" t="s">
        <v>381</v>
      </c>
      <c r="H759" s="42"/>
      <c r="I759" s="352"/>
      <c r="J759" s="42"/>
      <c r="K759" s="42"/>
      <c r="L759" s="179"/>
      <c r="M759" s="59"/>
      <c r="N759" s="260"/>
      <c r="O759" s="193"/>
      <c r="P759" s="977"/>
    </row>
    <row r="760" spans="1:16" ht="12.75" customHeight="1">
      <c r="A760" s="345">
        <v>4</v>
      </c>
      <c r="B760" s="349"/>
      <c r="C760" s="349"/>
      <c r="D760" s="365"/>
      <c r="E760" s="349"/>
      <c r="F760" s="360"/>
      <c r="G760" s="41" t="s">
        <v>380</v>
      </c>
      <c r="H760" s="42">
        <f>H731</f>
        <v>0</v>
      </c>
      <c r="I760" s="42">
        <f t="shared" ref="I760:K760" si="167">I731</f>
        <v>459</v>
      </c>
      <c r="J760" s="42">
        <f t="shared" si="167"/>
        <v>300</v>
      </c>
      <c r="K760" s="42">
        <f t="shared" si="167"/>
        <v>100</v>
      </c>
      <c r="L760" s="179"/>
      <c r="M760" s="59"/>
      <c r="N760" s="260"/>
      <c r="O760" s="193"/>
      <c r="P760" s="977"/>
    </row>
    <row r="761" spans="1:16" ht="12.75" customHeight="1">
      <c r="A761" s="345">
        <v>4</v>
      </c>
      <c r="B761" s="349"/>
      <c r="C761" s="349"/>
      <c r="D761" s="365"/>
      <c r="E761" s="349"/>
      <c r="F761" s="360"/>
      <c r="G761" s="120" t="s">
        <v>459</v>
      </c>
      <c r="H761" s="120">
        <f>SUM(H747:H760)</f>
        <v>3293.7000000000003</v>
      </c>
      <c r="I761" s="120">
        <f t="shared" ref="I761:K761" si="168">SUM(I747:I760)</f>
        <v>6409.9</v>
      </c>
      <c r="J761" s="120">
        <f t="shared" si="168"/>
        <v>4414.2</v>
      </c>
      <c r="K761" s="120">
        <f t="shared" si="168"/>
        <v>2913.8999999999996</v>
      </c>
      <c r="L761" s="179"/>
      <c r="M761" s="59"/>
      <c r="N761" s="260"/>
      <c r="O761" s="193"/>
      <c r="P761" s="977"/>
    </row>
    <row r="762" spans="1:16" ht="12.75" customHeight="1">
      <c r="A762" s="345">
        <v>4</v>
      </c>
      <c r="B762" s="349"/>
      <c r="C762" s="349"/>
      <c r="D762" s="365"/>
      <c r="E762" s="349"/>
      <c r="F762" s="360"/>
      <c r="G762" s="86"/>
      <c r="H762" s="42">
        <f>H746-H761</f>
        <v>0</v>
      </c>
      <c r="I762" s="42">
        <f>I746-I761</f>
        <v>0</v>
      </c>
      <c r="J762" s="42">
        <f>J746-J761</f>
        <v>0</v>
      </c>
      <c r="K762" s="42">
        <f>K746-K761</f>
        <v>0</v>
      </c>
      <c r="L762" s="179"/>
      <c r="M762" s="196"/>
      <c r="N762" s="196"/>
      <c r="O762" s="196"/>
      <c r="P762" s="348"/>
    </row>
    <row r="763" spans="1:16" ht="22.5">
      <c r="A763" s="189">
        <v>5</v>
      </c>
      <c r="B763" s="409"/>
      <c r="C763" s="409"/>
      <c r="D763" s="185" t="s">
        <v>870</v>
      </c>
      <c r="E763" s="186"/>
      <c r="F763" s="187"/>
      <c r="G763" s="186"/>
      <c r="H763" s="186"/>
      <c r="I763" s="186"/>
      <c r="J763" s="186"/>
      <c r="K763" s="186"/>
      <c r="L763" s="179"/>
      <c r="M763" s="59"/>
      <c r="N763" s="260"/>
      <c r="O763" s="193"/>
      <c r="P763" s="962"/>
    </row>
    <row r="764" spans="1:16" ht="22.5">
      <c r="A764" s="41">
        <v>5</v>
      </c>
      <c r="B764" s="411" t="s">
        <v>871</v>
      </c>
      <c r="C764" s="411" t="s">
        <v>871</v>
      </c>
      <c r="D764" s="412" t="s">
        <v>872</v>
      </c>
      <c r="E764" s="115"/>
      <c r="F764" s="41"/>
      <c r="G764" s="85"/>
      <c r="H764" s="85">
        <f>SUM(H767,H769,H774,H779,H783,H785,H771)</f>
        <v>37651.099999999991</v>
      </c>
      <c r="I764" s="85">
        <f t="shared" ref="I764:K764" si="169">SUM(I767,I769,I774,I779,I783,I785,I771)</f>
        <v>39248.100000000006</v>
      </c>
      <c r="J764" s="85">
        <f t="shared" si="169"/>
        <v>38914.800000000003</v>
      </c>
      <c r="K764" s="85">
        <f t="shared" si="169"/>
        <v>38914.800000000003</v>
      </c>
      <c r="L764" s="179"/>
      <c r="M764" s="59"/>
      <c r="N764" s="260"/>
      <c r="O764" s="193"/>
      <c r="P764" s="962"/>
    </row>
    <row r="765" spans="1:16">
      <c r="A765" s="41">
        <v>5</v>
      </c>
      <c r="B765" s="54"/>
      <c r="C765" s="54" t="s">
        <v>873</v>
      </c>
      <c r="D765" s="40" t="s">
        <v>874</v>
      </c>
      <c r="E765" s="41">
        <v>7</v>
      </c>
      <c r="F765" s="41" t="s">
        <v>875</v>
      </c>
      <c r="G765" s="41" t="s">
        <v>379</v>
      </c>
      <c r="H765" s="43">
        <v>26591</v>
      </c>
      <c r="I765" s="44">
        <v>27818.400000000001</v>
      </c>
      <c r="J765" s="413">
        <v>27000</v>
      </c>
      <c r="K765" s="413">
        <v>27000</v>
      </c>
      <c r="L765" s="179"/>
      <c r="M765" s="930" t="s">
        <v>2340</v>
      </c>
      <c r="N765" s="930" t="s">
        <v>2245</v>
      </c>
      <c r="O765" s="193">
        <v>100</v>
      </c>
      <c r="P765" s="993"/>
    </row>
    <row r="766" spans="1:16">
      <c r="A766" s="41">
        <v>5</v>
      </c>
      <c r="B766" s="54"/>
      <c r="C766" s="54"/>
      <c r="D766" s="40"/>
      <c r="E766" s="41">
        <v>7</v>
      </c>
      <c r="F766" s="41" t="s">
        <v>875</v>
      </c>
      <c r="G766" s="41" t="s">
        <v>876</v>
      </c>
      <c r="H766" s="43">
        <v>242.6</v>
      </c>
      <c r="I766" s="44">
        <v>150</v>
      </c>
      <c r="J766" s="43">
        <v>108.9</v>
      </c>
      <c r="K766" s="43">
        <v>108.9</v>
      </c>
      <c r="L766" s="179"/>
      <c r="M766" s="930" t="s">
        <v>2520</v>
      </c>
      <c r="N766" s="930" t="s">
        <v>2341</v>
      </c>
      <c r="O766" s="193">
        <v>10</v>
      </c>
      <c r="P766" s="993"/>
    </row>
    <row r="767" spans="1:16">
      <c r="A767" s="41">
        <v>5</v>
      </c>
      <c r="B767" s="54"/>
      <c r="C767" s="54"/>
      <c r="D767" s="40"/>
      <c r="E767" s="41"/>
      <c r="F767" s="41" t="s">
        <v>875</v>
      </c>
      <c r="G767" s="197" t="s">
        <v>459</v>
      </c>
      <c r="H767" s="53">
        <f>SUM(H765:H766)</f>
        <v>26833.599999999999</v>
      </c>
      <c r="I767" s="53">
        <f>SUM(I765:I766)</f>
        <v>27968.400000000001</v>
      </c>
      <c r="J767" s="53">
        <f>SUM(J765:J766)</f>
        <v>27108.9</v>
      </c>
      <c r="K767" s="53">
        <f>SUM(K765:K766)</f>
        <v>27108.9</v>
      </c>
      <c r="L767" s="179"/>
      <c r="M767" s="930"/>
      <c r="N767" s="930"/>
      <c r="O767" s="193"/>
      <c r="P767" s="993"/>
    </row>
    <row r="768" spans="1:16" ht="33.75">
      <c r="A768" s="41">
        <v>5</v>
      </c>
      <c r="B768" s="54"/>
      <c r="C768" s="54" t="s">
        <v>877</v>
      </c>
      <c r="D768" s="40" t="s">
        <v>878</v>
      </c>
      <c r="E768" s="41">
        <v>7</v>
      </c>
      <c r="F768" s="41" t="s">
        <v>879</v>
      </c>
      <c r="G768" s="41" t="s">
        <v>193</v>
      </c>
      <c r="H768" s="43">
        <f>400-50-21-10</f>
        <v>319</v>
      </c>
      <c r="I768" s="44">
        <f>319-11</f>
        <v>308</v>
      </c>
      <c r="J768" s="42">
        <v>319</v>
      </c>
      <c r="K768" s="42">
        <v>319</v>
      </c>
      <c r="L768" s="354" t="s">
        <v>274</v>
      </c>
      <c r="M768" s="930" t="s">
        <v>2519</v>
      </c>
      <c r="N768" s="930" t="s">
        <v>2342</v>
      </c>
      <c r="O768" s="193">
        <v>800</v>
      </c>
      <c r="P768" s="993"/>
    </row>
    <row r="769" spans="1:16" ht="22.5">
      <c r="A769" s="41">
        <v>5</v>
      </c>
      <c r="B769" s="54"/>
      <c r="C769" s="54"/>
      <c r="D769" s="40"/>
      <c r="E769" s="41"/>
      <c r="F769" s="41" t="s">
        <v>879</v>
      </c>
      <c r="G769" s="197" t="s">
        <v>459</v>
      </c>
      <c r="H769" s="53">
        <f t="shared" ref="H769:K769" si="170">SUM(H768)</f>
        <v>319</v>
      </c>
      <c r="I769" s="53">
        <f t="shared" si="170"/>
        <v>308</v>
      </c>
      <c r="J769" s="53">
        <f t="shared" si="170"/>
        <v>319</v>
      </c>
      <c r="K769" s="53">
        <f t="shared" si="170"/>
        <v>319</v>
      </c>
      <c r="L769" s="179"/>
      <c r="M769" s="930" t="s">
        <v>2519</v>
      </c>
      <c r="N769" s="930" t="s">
        <v>2343</v>
      </c>
      <c r="O769" s="193">
        <v>25</v>
      </c>
      <c r="P769" s="993"/>
    </row>
    <row r="770" spans="1:16" ht="22.5">
      <c r="A770" s="189">
        <v>5</v>
      </c>
      <c r="B770" s="54"/>
      <c r="C770" s="54" t="s">
        <v>880</v>
      </c>
      <c r="D770" s="40" t="s">
        <v>881</v>
      </c>
      <c r="E770" s="41">
        <v>7</v>
      </c>
      <c r="F770" s="41" t="s">
        <v>882</v>
      </c>
      <c r="G770" s="41" t="s">
        <v>193</v>
      </c>
      <c r="H770" s="43">
        <v>206.1</v>
      </c>
      <c r="I770" s="44">
        <v>240</v>
      </c>
      <c r="J770" s="43">
        <v>240</v>
      </c>
      <c r="K770" s="43">
        <v>240</v>
      </c>
      <c r="L770" s="179" t="s">
        <v>274</v>
      </c>
      <c r="M770" s="930" t="s">
        <v>2519</v>
      </c>
      <c r="N770" s="930" t="s">
        <v>2344</v>
      </c>
      <c r="O770" s="193">
        <v>85</v>
      </c>
      <c r="P770" s="993"/>
    </row>
    <row r="771" spans="1:16">
      <c r="A771" s="41">
        <v>5</v>
      </c>
      <c r="B771" s="54"/>
      <c r="C771" s="54"/>
      <c r="D771" s="40"/>
      <c r="E771" s="41"/>
      <c r="F771" s="59"/>
      <c r="G771" s="197" t="s">
        <v>459</v>
      </c>
      <c r="H771" s="53">
        <f t="shared" ref="H771:K771" si="171">SUM(H770)</f>
        <v>206.1</v>
      </c>
      <c r="I771" s="53">
        <f t="shared" si="171"/>
        <v>240</v>
      </c>
      <c r="J771" s="53">
        <f t="shared" si="171"/>
        <v>240</v>
      </c>
      <c r="K771" s="53">
        <f t="shared" si="171"/>
        <v>240</v>
      </c>
      <c r="L771" s="179"/>
      <c r="M771" s="930"/>
      <c r="N771" s="930"/>
      <c r="O771" s="193"/>
      <c r="P771" s="993"/>
    </row>
    <row r="772" spans="1:16" ht="33.75">
      <c r="A772" s="41">
        <v>5</v>
      </c>
      <c r="B772" s="54"/>
      <c r="C772" s="54" t="s">
        <v>883</v>
      </c>
      <c r="D772" s="76" t="s">
        <v>884</v>
      </c>
      <c r="E772" s="41">
        <v>7</v>
      </c>
      <c r="F772" s="41" t="s">
        <v>885</v>
      </c>
      <c r="G772" s="41" t="s">
        <v>379</v>
      </c>
      <c r="H772" s="43">
        <v>6680</v>
      </c>
      <c r="I772" s="44">
        <v>6703.8</v>
      </c>
      <c r="J772" s="43">
        <v>7000</v>
      </c>
      <c r="K772" s="43">
        <v>7000</v>
      </c>
      <c r="L772" s="179"/>
      <c r="M772" s="930" t="s">
        <v>2521</v>
      </c>
      <c r="N772" s="930" t="s">
        <v>2345</v>
      </c>
      <c r="O772" s="193">
        <v>100</v>
      </c>
      <c r="P772" s="993"/>
    </row>
    <row r="773" spans="1:16">
      <c r="A773" s="41">
        <v>5</v>
      </c>
      <c r="B773" s="54"/>
      <c r="C773" s="54"/>
      <c r="D773" s="40"/>
      <c r="E773" s="41">
        <v>7</v>
      </c>
      <c r="F773" s="41" t="s">
        <v>885</v>
      </c>
      <c r="G773" s="41" t="s">
        <v>876</v>
      </c>
      <c r="H773" s="43">
        <v>7.2</v>
      </c>
      <c r="I773" s="44"/>
      <c r="J773" s="42"/>
      <c r="K773" s="42"/>
      <c r="L773" s="179"/>
      <c r="M773" s="930" t="s">
        <v>2522</v>
      </c>
      <c r="N773" s="930" t="s">
        <v>2341</v>
      </c>
      <c r="O773" s="193">
        <v>10</v>
      </c>
      <c r="P773" s="993"/>
    </row>
    <row r="774" spans="1:16">
      <c r="A774" s="41">
        <v>5</v>
      </c>
      <c r="B774" s="54"/>
      <c r="C774" s="54"/>
      <c r="D774" s="40"/>
      <c r="E774" s="41"/>
      <c r="F774" s="41" t="s">
        <v>885</v>
      </c>
      <c r="G774" s="197" t="s">
        <v>459</v>
      </c>
      <c r="H774" s="53">
        <f t="shared" ref="H774:K774" si="172">SUM(H772:H773)</f>
        <v>6687.2</v>
      </c>
      <c r="I774" s="53">
        <f t="shared" si="172"/>
        <v>6703.8</v>
      </c>
      <c r="J774" s="53">
        <f t="shared" si="172"/>
        <v>7000</v>
      </c>
      <c r="K774" s="53">
        <f t="shared" si="172"/>
        <v>7000</v>
      </c>
      <c r="L774" s="179"/>
      <c r="M774" s="930" t="s">
        <v>2520</v>
      </c>
      <c r="N774" s="930"/>
      <c r="O774" s="193"/>
      <c r="P774" s="993"/>
    </row>
    <row r="775" spans="1:16" ht="33.75">
      <c r="A775" s="41">
        <v>5</v>
      </c>
      <c r="B775" s="54"/>
      <c r="C775" s="54" t="s">
        <v>886</v>
      </c>
      <c r="D775" s="1161" t="s">
        <v>887</v>
      </c>
      <c r="E775" s="41">
        <v>7</v>
      </c>
      <c r="F775" s="41" t="s">
        <v>888</v>
      </c>
      <c r="G775" s="41" t="s">
        <v>195</v>
      </c>
      <c r="H775" s="43">
        <v>343.6</v>
      </c>
      <c r="I775" s="44"/>
      <c r="J775" s="43"/>
      <c r="K775" s="43"/>
      <c r="L775" s="179"/>
      <c r="M775" s="930" t="s">
        <v>2523</v>
      </c>
      <c r="N775" s="930" t="s">
        <v>2346</v>
      </c>
      <c r="O775" s="193">
        <v>100</v>
      </c>
      <c r="P775" s="993"/>
    </row>
    <row r="776" spans="1:16">
      <c r="A776" s="41">
        <v>5</v>
      </c>
      <c r="B776" s="54"/>
      <c r="C776" s="54"/>
      <c r="D776" s="1166"/>
      <c r="E776" s="41">
        <v>7</v>
      </c>
      <c r="F776" s="41" t="s">
        <v>888</v>
      </c>
      <c r="G776" s="41" t="s">
        <v>475</v>
      </c>
      <c r="H776" s="43"/>
      <c r="I776" s="44">
        <v>403.8</v>
      </c>
      <c r="J776" s="42">
        <v>403.8</v>
      </c>
      <c r="K776" s="42">
        <v>403.8</v>
      </c>
      <c r="L776" s="179"/>
      <c r="M776" s="930" t="s">
        <v>2524</v>
      </c>
      <c r="N776" s="930" t="s">
        <v>2341</v>
      </c>
      <c r="O776" s="193">
        <v>10</v>
      </c>
      <c r="P776" s="993"/>
    </row>
    <row r="777" spans="1:16">
      <c r="A777" s="189">
        <v>5</v>
      </c>
      <c r="B777" s="54"/>
      <c r="C777" s="54"/>
      <c r="D777" s="1166"/>
      <c r="E777" s="41">
        <v>7</v>
      </c>
      <c r="F777" s="41" t="s">
        <v>888</v>
      </c>
      <c r="G777" s="41" t="s">
        <v>197</v>
      </c>
      <c r="H777" s="43">
        <v>44</v>
      </c>
      <c r="I777" s="44"/>
      <c r="J777" s="43"/>
      <c r="K777" s="43"/>
      <c r="L777" s="179"/>
      <c r="M777" s="930" t="s">
        <v>2525</v>
      </c>
      <c r="N777" s="930"/>
      <c r="O777" s="414"/>
      <c r="P777" s="993"/>
    </row>
    <row r="778" spans="1:16">
      <c r="A778" s="41">
        <v>5</v>
      </c>
      <c r="B778" s="54"/>
      <c r="C778" s="54"/>
      <c r="D778" s="1162"/>
      <c r="E778" s="41">
        <v>7</v>
      </c>
      <c r="F778" s="41" t="s">
        <v>888</v>
      </c>
      <c r="G778" s="41" t="s">
        <v>193</v>
      </c>
      <c r="H778" s="43">
        <v>1908.5</v>
      </c>
      <c r="I778" s="44">
        <f>2226.1-220</f>
        <v>2006.1</v>
      </c>
      <c r="J778" s="43">
        <v>2226.1</v>
      </c>
      <c r="K778" s="43">
        <v>2226.1</v>
      </c>
      <c r="L778" s="179" t="s">
        <v>262</v>
      </c>
      <c r="M778" s="930" t="s">
        <v>2526</v>
      </c>
      <c r="N778" s="930"/>
      <c r="O778" s="414"/>
      <c r="P778" s="993"/>
    </row>
    <row r="779" spans="1:16" ht="22.5">
      <c r="A779" s="41">
        <v>5</v>
      </c>
      <c r="B779" s="54"/>
      <c r="C779" s="54"/>
      <c r="D779" s="40"/>
      <c r="E779" s="41"/>
      <c r="F779" s="41"/>
      <c r="G779" s="197" t="s">
        <v>459</v>
      </c>
      <c r="H779" s="53">
        <f t="shared" ref="H779:K779" si="173">SUM(H775:H778)</f>
        <v>2296.1</v>
      </c>
      <c r="I779" s="53">
        <f t="shared" si="173"/>
        <v>2409.9</v>
      </c>
      <c r="J779" s="53">
        <f t="shared" si="173"/>
        <v>2629.9</v>
      </c>
      <c r="K779" s="53">
        <f t="shared" si="173"/>
        <v>2629.9</v>
      </c>
      <c r="L779" s="179"/>
      <c r="M779" s="930" t="s">
        <v>2519</v>
      </c>
      <c r="N779" s="930"/>
      <c r="O779" s="414"/>
      <c r="P779" s="993"/>
    </row>
    <row r="780" spans="1:16">
      <c r="A780" s="41">
        <v>5</v>
      </c>
      <c r="B780" s="54"/>
      <c r="C780" s="54" t="s">
        <v>889</v>
      </c>
      <c r="D780" s="1125" t="s">
        <v>890</v>
      </c>
      <c r="E780" s="41">
        <v>7</v>
      </c>
      <c r="F780" s="41" t="s">
        <v>891</v>
      </c>
      <c r="G780" s="41" t="s">
        <v>195</v>
      </c>
      <c r="H780" s="43">
        <v>1297.9000000000001</v>
      </c>
      <c r="I780" s="44"/>
      <c r="J780" s="43"/>
      <c r="K780" s="43"/>
      <c r="L780" s="179"/>
      <c r="M780" s="930"/>
      <c r="N780" s="930"/>
      <c r="O780" s="414"/>
      <c r="P780" s="993"/>
    </row>
    <row r="781" spans="1:16" ht="22.5">
      <c r="A781" s="41">
        <v>5</v>
      </c>
      <c r="B781" s="54"/>
      <c r="C781" s="54"/>
      <c r="D781" s="1167"/>
      <c r="E781" s="41">
        <v>7</v>
      </c>
      <c r="F781" s="41" t="s">
        <v>891</v>
      </c>
      <c r="G781" s="41" t="s">
        <v>475</v>
      </c>
      <c r="H781" s="43"/>
      <c r="I781" s="44">
        <v>1617</v>
      </c>
      <c r="J781" s="43">
        <v>1617</v>
      </c>
      <c r="K781" s="43">
        <v>1617</v>
      </c>
      <c r="L781" s="179"/>
      <c r="M781" s="930" t="s">
        <v>2519</v>
      </c>
      <c r="N781" s="930" t="s">
        <v>2344</v>
      </c>
      <c r="O781" s="193">
        <v>3000</v>
      </c>
      <c r="P781" s="993"/>
    </row>
    <row r="782" spans="1:16" ht="22.5">
      <c r="A782" s="41">
        <v>5</v>
      </c>
      <c r="B782" s="54"/>
      <c r="C782" s="54"/>
      <c r="D782" s="1126"/>
      <c r="E782" s="41">
        <v>7</v>
      </c>
      <c r="F782" s="41" t="s">
        <v>891</v>
      </c>
      <c r="G782" s="41" t="s">
        <v>197</v>
      </c>
      <c r="H782" s="43">
        <v>8.8000000000000007</v>
      </c>
      <c r="I782" s="44"/>
      <c r="J782" s="42"/>
      <c r="K782" s="42"/>
      <c r="L782" s="179"/>
      <c r="M782" s="930" t="s">
        <v>2519</v>
      </c>
      <c r="N782" s="930" t="s">
        <v>2347</v>
      </c>
      <c r="O782" s="193">
        <v>12</v>
      </c>
      <c r="P782" s="993"/>
    </row>
    <row r="783" spans="1:16">
      <c r="A783" s="41">
        <v>5</v>
      </c>
      <c r="B783" s="54"/>
      <c r="C783" s="54"/>
      <c r="D783" s="40"/>
      <c r="E783" s="41"/>
      <c r="F783" s="41" t="s">
        <v>892</v>
      </c>
      <c r="G783" s="197" t="s">
        <v>459</v>
      </c>
      <c r="H783" s="53">
        <f t="shared" ref="H783:K783" si="174">SUM(H780:H782)</f>
        <v>1306.7</v>
      </c>
      <c r="I783" s="53">
        <f t="shared" si="174"/>
        <v>1617</v>
      </c>
      <c r="J783" s="53">
        <f t="shared" si="174"/>
        <v>1617</v>
      </c>
      <c r="K783" s="53">
        <f t="shared" si="174"/>
        <v>1617</v>
      </c>
      <c r="L783" s="179"/>
      <c r="M783" s="930"/>
      <c r="N783" s="930"/>
      <c r="O783" s="193"/>
      <c r="P783" s="993"/>
    </row>
    <row r="784" spans="1:16" ht="45">
      <c r="A784" s="41">
        <v>5</v>
      </c>
      <c r="B784" s="54"/>
      <c r="C784" s="54" t="s">
        <v>893</v>
      </c>
      <c r="D784" s="40" t="s">
        <v>894</v>
      </c>
      <c r="E784" s="41">
        <v>7</v>
      </c>
      <c r="F784" s="41" t="s">
        <v>895</v>
      </c>
      <c r="G784" s="41" t="s">
        <v>197</v>
      </c>
      <c r="H784" s="43">
        <f>2.4</f>
        <v>2.4</v>
      </c>
      <c r="I784" s="44">
        <v>1</v>
      </c>
      <c r="J784" s="43"/>
      <c r="K784" s="43"/>
      <c r="L784" s="179"/>
      <c r="M784" s="930" t="s">
        <v>2519</v>
      </c>
      <c r="N784" s="998" t="s">
        <v>2344</v>
      </c>
      <c r="O784" s="193">
        <v>40</v>
      </c>
      <c r="P784" s="993"/>
    </row>
    <row r="785" spans="1:16">
      <c r="A785" s="41">
        <v>5</v>
      </c>
      <c r="B785" s="54"/>
      <c r="C785" s="54"/>
      <c r="D785" s="40"/>
      <c r="E785" s="41">
        <v>7</v>
      </c>
      <c r="F785" s="41" t="s">
        <v>895</v>
      </c>
      <c r="G785" s="197" t="s">
        <v>459</v>
      </c>
      <c r="H785" s="53">
        <f t="shared" ref="H785:K785" si="175">SUM(H784)</f>
        <v>2.4</v>
      </c>
      <c r="I785" s="53">
        <f t="shared" si="175"/>
        <v>1</v>
      </c>
      <c r="J785" s="53">
        <f t="shared" si="175"/>
        <v>0</v>
      </c>
      <c r="K785" s="53">
        <f t="shared" si="175"/>
        <v>0</v>
      </c>
      <c r="L785" s="179"/>
      <c r="M785" s="930"/>
      <c r="N785" s="930"/>
      <c r="O785" s="193"/>
      <c r="P785" s="993"/>
    </row>
    <row r="786" spans="1:16" ht="22.5">
      <c r="A786" s="41">
        <v>5</v>
      </c>
      <c r="B786" s="411" t="s">
        <v>896</v>
      </c>
      <c r="C786" s="411" t="s">
        <v>896</v>
      </c>
      <c r="D786" s="412" t="s">
        <v>897</v>
      </c>
      <c r="E786" s="115"/>
      <c r="F786" s="41"/>
      <c r="G786" s="415"/>
      <c r="H786" s="84">
        <f>SUM(H788,H791,H794,H797)</f>
        <v>160.10000000000002</v>
      </c>
      <c r="I786" s="85">
        <f>SUM(I788,I791,I794,I797)</f>
        <v>237.6</v>
      </c>
      <c r="J786" s="85">
        <f>SUM(J788,J791,J794,J797)</f>
        <v>217.7</v>
      </c>
      <c r="K786" s="85">
        <f>SUM(K788,K791,K794,K797)</f>
        <v>257.7</v>
      </c>
      <c r="L786" s="179"/>
      <c r="M786" s="930"/>
      <c r="N786" s="930"/>
      <c r="O786" s="193"/>
      <c r="P786" s="993"/>
    </row>
    <row r="787" spans="1:16" ht="33.75">
      <c r="A787" s="41">
        <v>5</v>
      </c>
      <c r="B787" s="54"/>
      <c r="C787" s="54" t="s">
        <v>898</v>
      </c>
      <c r="D787" s="40" t="s">
        <v>899</v>
      </c>
      <c r="E787" s="41">
        <v>7</v>
      </c>
      <c r="F787" s="41" t="s">
        <v>900</v>
      </c>
      <c r="G787" s="41" t="s">
        <v>193</v>
      </c>
      <c r="H787" s="43">
        <v>12</v>
      </c>
      <c r="I787" s="44">
        <v>12</v>
      </c>
      <c r="J787" s="43">
        <v>12</v>
      </c>
      <c r="K787" s="43">
        <v>12</v>
      </c>
      <c r="L787" s="354" t="s">
        <v>262</v>
      </c>
      <c r="M787" s="930" t="s">
        <v>2519</v>
      </c>
      <c r="N787" s="998" t="s">
        <v>2344</v>
      </c>
      <c r="O787" s="193">
        <v>2500</v>
      </c>
      <c r="P787" s="993"/>
    </row>
    <row r="788" spans="1:16">
      <c r="A788" s="41">
        <v>5</v>
      </c>
      <c r="B788" s="54"/>
      <c r="C788" s="54"/>
      <c r="D788" s="40"/>
      <c r="E788" s="41"/>
      <c r="F788" s="41" t="s">
        <v>900</v>
      </c>
      <c r="G788" s="197" t="s">
        <v>459</v>
      </c>
      <c r="H788" s="53">
        <f t="shared" ref="H788:K788" si="176">SUM(H787)</f>
        <v>12</v>
      </c>
      <c r="I788" s="53">
        <f t="shared" si="176"/>
        <v>12</v>
      </c>
      <c r="J788" s="53">
        <f t="shared" si="176"/>
        <v>12</v>
      </c>
      <c r="K788" s="53">
        <f t="shared" si="176"/>
        <v>12</v>
      </c>
      <c r="L788" s="179"/>
      <c r="M788" s="930"/>
      <c r="N788" s="459"/>
      <c r="O788" s="193"/>
      <c r="P788" s="993"/>
    </row>
    <row r="789" spans="1:16">
      <c r="A789" s="41">
        <v>5</v>
      </c>
      <c r="B789" s="54"/>
      <c r="C789" s="54" t="s">
        <v>901</v>
      </c>
      <c r="D789" s="40" t="s">
        <v>902</v>
      </c>
      <c r="E789" s="41">
        <v>7</v>
      </c>
      <c r="F789" s="41" t="s">
        <v>903</v>
      </c>
      <c r="G789" s="41" t="s">
        <v>193</v>
      </c>
      <c r="H789" s="43">
        <v>60.1</v>
      </c>
      <c r="I789" s="44">
        <v>32</v>
      </c>
      <c r="J789" s="43">
        <v>32</v>
      </c>
      <c r="K789" s="43">
        <v>32</v>
      </c>
      <c r="L789" s="179" t="s">
        <v>274</v>
      </c>
      <c r="M789" s="930" t="s">
        <v>2518</v>
      </c>
      <c r="N789" s="930" t="s">
        <v>2348</v>
      </c>
      <c r="O789" s="193">
        <v>37</v>
      </c>
      <c r="P789" s="993"/>
    </row>
    <row r="790" spans="1:16" ht="22.5">
      <c r="A790" s="41">
        <v>5</v>
      </c>
      <c r="B790" s="54"/>
      <c r="C790" s="54"/>
      <c r="D790" s="40"/>
      <c r="E790" s="41">
        <v>7</v>
      </c>
      <c r="F790" s="41" t="s">
        <v>903</v>
      </c>
      <c r="G790" s="41" t="s">
        <v>195</v>
      </c>
      <c r="H790" s="43">
        <v>75.8</v>
      </c>
      <c r="I790" s="44">
        <f>40+55.9</f>
        <v>95.9</v>
      </c>
      <c r="J790" s="43">
        <v>40</v>
      </c>
      <c r="K790" s="43">
        <v>40</v>
      </c>
      <c r="L790" s="179"/>
      <c r="M790" s="930" t="s">
        <v>2518</v>
      </c>
      <c r="N790" s="930" t="s">
        <v>2349</v>
      </c>
      <c r="O790" s="193">
        <v>37</v>
      </c>
      <c r="P790" s="993"/>
    </row>
    <row r="791" spans="1:16">
      <c r="A791" s="189">
        <v>5</v>
      </c>
      <c r="B791" s="54"/>
      <c r="C791" s="54"/>
      <c r="D791" s="40"/>
      <c r="E791" s="41"/>
      <c r="F791" s="41" t="s">
        <v>903</v>
      </c>
      <c r="G791" s="197" t="s">
        <v>459</v>
      </c>
      <c r="H791" s="53">
        <f t="shared" ref="H791:K791" si="177">SUM(H789:H790)</f>
        <v>135.9</v>
      </c>
      <c r="I791" s="53">
        <f t="shared" si="177"/>
        <v>127.9</v>
      </c>
      <c r="J791" s="53">
        <f t="shared" si="177"/>
        <v>72</v>
      </c>
      <c r="K791" s="53">
        <f t="shared" si="177"/>
        <v>72</v>
      </c>
      <c r="L791" s="179"/>
      <c r="M791" s="930"/>
      <c r="N791" s="930"/>
      <c r="O791" s="193"/>
      <c r="P791" s="993"/>
    </row>
    <row r="792" spans="1:16" ht="22.5">
      <c r="A792" s="41">
        <v>5</v>
      </c>
      <c r="B792" s="54"/>
      <c r="C792" s="54" t="s">
        <v>904</v>
      </c>
      <c r="D792" s="40" t="s">
        <v>905</v>
      </c>
      <c r="E792" s="41">
        <v>7</v>
      </c>
      <c r="F792" s="41" t="s">
        <v>906</v>
      </c>
      <c r="G792" s="41" t="s">
        <v>195</v>
      </c>
      <c r="H792" s="43">
        <v>3.4</v>
      </c>
      <c r="I792" s="44"/>
      <c r="J792" s="43"/>
      <c r="K792" s="43"/>
      <c r="L792" s="179"/>
      <c r="M792" s="930" t="s">
        <v>2513</v>
      </c>
      <c r="N792" s="930" t="s">
        <v>2350</v>
      </c>
      <c r="O792" s="193">
        <v>100</v>
      </c>
      <c r="P792" s="993"/>
    </row>
    <row r="793" spans="1:16">
      <c r="A793" s="41">
        <v>5</v>
      </c>
      <c r="B793" s="54"/>
      <c r="C793" s="54"/>
      <c r="D793" s="40"/>
      <c r="E793" s="41">
        <v>7</v>
      </c>
      <c r="F793" s="41" t="s">
        <v>906</v>
      </c>
      <c r="G793" s="41" t="s">
        <v>475</v>
      </c>
      <c r="H793" s="43"/>
      <c r="I793" s="44">
        <v>3.7</v>
      </c>
      <c r="J793" s="43">
        <v>3.7</v>
      </c>
      <c r="K793" s="43">
        <v>3.7</v>
      </c>
      <c r="L793" s="179"/>
      <c r="M793" s="999"/>
      <c r="N793" s="999"/>
      <c r="O793" s="414"/>
      <c r="P793" s="993"/>
    </row>
    <row r="794" spans="1:16">
      <c r="A794" s="41">
        <v>5</v>
      </c>
      <c r="B794" s="54"/>
      <c r="C794" s="54"/>
      <c r="D794" s="40"/>
      <c r="E794" s="41"/>
      <c r="F794" s="41" t="s">
        <v>906</v>
      </c>
      <c r="G794" s="197" t="s">
        <v>459</v>
      </c>
      <c r="H794" s="53">
        <f>SUM(H792:H793)</f>
        <v>3.4</v>
      </c>
      <c r="I794" s="53">
        <f t="shared" ref="I794:K794" si="178">SUM(I792:I793)</f>
        <v>3.7</v>
      </c>
      <c r="J794" s="53">
        <f t="shared" si="178"/>
        <v>3.7</v>
      </c>
      <c r="K794" s="53">
        <f t="shared" si="178"/>
        <v>3.7</v>
      </c>
      <c r="L794" s="179"/>
      <c r="M794" s="75"/>
      <c r="N794" s="764"/>
      <c r="O794" s="178"/>
      <c r="P794" s="993"/>
    </row>
    <row r="795" spans="1:16">
      <c r="A795" s="41">
        <v>5</v>
      </c>
      <c r="B795" s="54"/>
      <c r="C795" s="54" t="s">
        <v>907</v>
      </c>
      <c r="D795" s="40" t="s">
        <v>908</v>
      </c>
      <c r="E795" s="41">
        <v>7</v>
      </c>
      <c r="F795" s="41" t="s">
        <v>909</v>
      </c>
      <c r="G795" s="41" t="s">
        <v>195</v>
      </c>
      <c r="H795" s="43">
        <v>7.4</v>
      </c>
      <c r="I795" s="44">
        <v>54</v>
      </c>
      <c r="J795" s="43">
        <v>70</v>
      </c>
      <c r="K795" s="43">
        <v>90</v>
      </c>
      <c r="L795" s="179"/>
      <c r="M795" s="930" t="s">
        <v>1994</v>
      </c>
      <c r="N795" s="998" t="s">
        <v>2344</v>
      </c>
      <c r="O795" s="414">
        <v>52</v>
      </c>
      <c r="P795" s="993"/>
    </row>
    <row r="796" spans="1:16">
      <c r="A796" s="41">
        <v>5</v>
      </c>
      <c r="B796" s="54"/>
      <c r="C796" s="54"/>
      <c r="D796" s="40"/>
      <c r="E796" s="41">
        <v>7</v>
      </c>
      <c r="F796" s="41" t="s">
        <v>909</v>
      </c>
      <c r="G796" s="41" t="s">
        <v>193</v>
      </c>
      <c r="H796" s="43">
        <v>1.4</v>
      </c>
      <c r="I796" s="44">
        <v>40</v>
      </c>
      <c r="J796" s="43">
        <v>60</v>
      </c>
      <c r="K796" s="43">
        <v>80</v>
      </c>
      <c r="L796" s="179" t="s">
        <v>274</v>
      </c>
      <c r="M796" s="999"/>
      <c r="N796" s="999"/>
      <c r="O796" s="414"/>
      <c r="P796" s="993"/>
    </row>
    <row r="797" spans="1:16">
      <c r="A797" s="41">
        <v>5</v>
      </c>
      <c r="B797" s="54"/>
      <c r="C797" s="54"/>
      <c r="D797" s="40"/>
      <c r="E797" s="41">
        <v>7</v>
      </c>
      <c r="F797" s="41" t="s">
        <v>909</v>
      </c>
      <c r="G797" s="197" t="s">
        <v>459</v>
      </c>
      <c r="H797" s="53">
        <f t="shared" ref="H797:K797" si="179">SUM(H795:H796)</f>
        <v>8.8000000000000007</v>
      </c>
      <c r="I797" s="53">
        <f t="shared" si="179"/>
        <v>94</v>
      </c>
      <c r="J797" s="53">
        <f t="shared" si="179"/>
        <v>130</v>
      </c>
      <c r="K797" s="53">
        <f t="shared" si="179"/>
        <v>170</v>
      </c>
      <c r="L797" s="179"/>
      <c r="M797" s="999"/>
      <c r="N797" s="999"/>
      <c r="O797" s="414"/>
      <c r="P797" s="993"/>
    </row>
    <row r="798" spans="1:16" ht="22.5">
      <c r="A798" s="41">
        <v>5</v>
      </c>
      <c r="B798" s="416"/>
      <c r="C798" s="416"/>
      <c r="D798" s="200" t="s">
        <v>910</v>
      </c>
      <c r="E798" s="201"/>
      <c r="F798" s="202"/>
      <c r="G798" s="201"/>
      <c r="H798" s="201"/>
      <c r="I798" s="201"/>
      <c r="J798" s="201"/>
      <c r="K798" s="201"/>
      <c r="L798" s="179"/>
      <c r="M798" s="999"/>
      <c r="N798" s="999"/>
      <c r="O798" s="414"/>
      <c r="P798" s="993"/>
    </row>
    <row r="799" spans="1:16" ht="22.5">
      <c r="A799" s="189">
        <v>5</v>
      </c>
      <c r="B799" s="411" t="s">
        <v>911</v>
      </c>
      <c r="C799" s="411" t="s">
        <v>911</v>
      </c>
      <c r="D799" s="412" t="s">
        <v>912</v>
      </c>
      <c r="E799" s="115"/>
      <c r="F799" s="41"/>
      <c r="G799" s="85"/>
      <c r="H799" s="85">
        <f>SUM(H806,H811,H819,H824,H828,H831,H833,H840,H843,H847,H851)</f>
        <v>9847.6</v>
      </c>
      <c r="I799" s="85">
        <f>SUM(I806,I811,I819,I824,I828,I831,I833,I840,I843,I847,I851)</f>
        <v>10851.499999999998</v>
      </c>
      <c r="J799" s="85">
        <f>SUM(J806,J811,J819,J824,J828,J831,J833,J840,J843,J847,J851)</f>
        <v>11213.5</v>
      </c>
      <c r="K799" s="85">
        <f>SUM(K806,K811,K819,K824,K828,K831,K833,K840,K843,K847,K851)</f>
        <v>11498.800000000001</v>
      </c>
      <c r="L799" s="179"/>
      <c r="M799" s="75"/>
      <c r="N799" s="999"/>
      <c r="O799" s="414"/>
      <c r="P799" s="993"/>
    </row>
    <row r="800" spans="1:16" ht="33.75">
      <c r="A800" s="41">
        <v>5</v>
      </c>
      <c r="B800" s="54"/>
      <c r="C800" s="54" t="s">
        <v>913</v>
      </c>
      <c r="D800" s="127" t="s">
        <v>914</v>
      </c>
      <c r="E800" s="417" t="s">
        <v>31</v>
      </c>
      <c r="F800" s="41" t="s">
        <v>915</v>
      </c>
      <c r="G800" s="41" t="s">
        <v>193</v>
      </c>
      <c r="H800" s="43">
        <v>792.8</v>
      </c>
      <c r="I800" s="44">
        <f>961.7+16</f>
        <v>977.7</v>
      </c>
      <c r="J800" s="42">
        <f>1012.1+16</f>
        <v>1028.0999999999999</v>
      </c>
      <c r="K800" s="42">
        <f>1065.4+16</f>
        <v>1081.4000000000001</v>
      </c>
      <c r="L800" s="179" t="s">
        <v>194</v>
      </c>
      <c r="M800" s="999"/>
      <c r="N800" s="999"/>
      <c r="O800" s="414"/>
      <c r="P800" s="993"/>
    </row>
    <row r="801" spans="1:16">
      <c r="A801" s="41">
        <v>5</v>
      </c>
      <c r="B801" s="54"/>
      <c r="C801" s="54"/>
      <c r="D801" s="40"/>
      <c r="E801" s="417" t="s">
        <v>31</v>
      </c>
      <c r="F801" s="41" t="s">
        <v>915</v>
      </c>
      <c r="G801" s="41" t="s">
        <v>461</v>
      </c>
      <c r="H801" s="43"/>
      <c r="I801" s="44"/>
      <c r="J801" s="42"/>
      <c r="K801" s="42"/>
      <c r="L801" s="179"/>
      <c r="M801" s="999"/>
      <c r="N801" s="999"/>
      <c r="O801" s="414"/>
      <c r="P801" s="993"/>
    </row>
    <row r="802" spans="1:16">
      <c r="A802" s="41">
        <v>5</v>
      </c>
      <c r="B802" s="54"/>
      <c r="C802" s="54"/>
      <c r="D802" s="40"/>
      <c r="E802" s="417" t="s">
        <v>31</v>
      </c>
      <c r="F802" s="41" t="s">
        <v>915</v>
      </c>
      <c r="G802" s="41" t="s">
        <v>195</v>
      </c>
      <c r="H802" s="43"/>
      <c r="I802" s="44"/>
      <c r="J802" s="42"/>
      <c r="K802" s="42"/>
      <c r="L802" s="179"/>
      <c r="M802" s="999"/>
      <c r="N802" s="999"/>
      <c r="O802" s="414"/>
      <c r="P802" s="993"/>
    </row>
    <row r="803" spans="1:16">
      <c r="A803" s="41">
        <v>5</v>
      </c>
      <c r="B803" s="54"/>
      <c r="C803" s="54"/>
      <c r="D803" s="40"/>
      <c r="E803" s="417" t="s">
        <v>31</v>
      </c>
      <c r="F803" s="41" t="s">
        <v>915</v>
      </c>
      <c r="G803" s="41" t="s">
        <v>196</v>
      </c>
      <c r="H803" s="43">
        <v>47.8</v>
      </c>
      <c r="I803" s="44">
        <v>48.3</v>
      </c>
      <c r="J803" s="42">
        <v>48.3</v>
      </c>
      <c r="K803" s="42">
        <v>48.3</v>
      </c>
      <c r="L803" s="179"/>
      <c r="M803" s="999"/>
      <c r="N803" s="999"/>
      <c r="O803" s="414"/>
      <c r="P803" s="993"/>
    </row>
    <row r="804" spans="1:16">
      <c r="A804" s="41">
        <v>5</v>
      </c>
      <c r="B804" s="54"/>
      <c r="C804" s="54"/>
      <c r="D804" s="40"/>
      <c r="E804" s="417" t="s">
        <v>31</v>
      </c>
      <c r="F804" s="41" t="s">
        <v>915</v>
      </c>
      <c r="G804" s="41" t="s">
        <v>197</v>
      </c>
      <c r="H804" s="43"/>
      <c r="I804" s="44"/>
      <c r="J804" s="42"/>
      <c r="K804" s="42"/>
      <c r="L804" s="179"/>
      <c r="M804" s="999"/>
      <c r="N804" s="999"/>
      <c r="O804" s="414"/>
      <c r="P804" s="993"/>
    </row>
    <row r="805" spans="1:16">
      <c r="A805" s="41">
        <v>5</v>
      </c>
      <c r="B805" s="54"/>
      <c r="C805" s="54"/>
      <c r="D805" s="40"/>
      <c r="E805" s="417" t="s">
        <v>31</v>
      </c>
      <c r="F805" s="41" t="s">
        <v>915</v>
      </c>
      <c r="G805" s="41" t="s">
        <v>686</v>
      </c>
      <c r="H805" s="43">
        <v>64.900000000000006</v>
      </c>
      <c r="I805" s="44">
        <v>64.900000000000006</v>
      </c>
      <c r="J805" s="42">
        <v>64.900000000000006</v>
      </c>
      <c r="K805" s="42"/>
      <c r="L805" s="179"/>
      <c r="M805" s="999"/>
      <c r="N805" s="999"/>
      <c r="O805" s="414"/>
      <c r="P805" s="993"/>
    </row>
    <row r="806" spans="1:16">
      <c r="A806" s="189">
        <v>5</v>
      </c>
      <c r="B806" s="54"/>
      <c r="C806" s="54"/>
      <c r="D806" s="40"/>
      <c r="E806" s="417"/>
      <c r="F806" s="41" t="s">
        <v>915</v>
      </c>
      <c r="G806" s="197" t="s">
        <v>459</v>
      </c>
      <c r="H806" s="53">
        <f t="shared" ref="H806:K806" si="180">SUM(H800:H805)</f>
        <v>905.49999999999989</v>
      </c>
      <c r="I806" s="53">
        <f t="shared" si="180"/>
        <v>1090.9000000000001</v>
      </c>
      <c r="J806" s="53">
        <f t="shared" si="180"/>
        <v>1141.3</v>
      </c>
      <c r="K806" s="53">
        <f t="shared" si="180"/>
        <v>1129.7</v>
      </c>
      <c r="L806" s="179"/>
      <c r="M806" s="999"/>
      <c r="N806" s="999"/>
      <c r="O806" s="414"/>
      <c r="P806" s="993"/>
    </row>
    <row r="807" spans="1:16" ht="33.75">
      <c r="A807" s="41">
        <v>5</v>
      </c>
      <c r="B807" s="54"/>
      <c r="C807" s="54" t="s">
        <v>916</v>
      </c>
      <c r="D807" s="127" t="s">
        <v>917</v>
      </c>
      <c r="E807" s="192" t="s">
        <v>33</v>
      </c>
      <c r="F807" s="41" t="s">
        <v>918</v>
      </c>
      <c r="G807" s="41" t="s">
        <v>193</v>
      </c>
      <c r="H807" s="43">
        <v>1239.7</v>
      </c>
      <c r="I807" s="44">
        <f>1487.1+8.2</f>
        <v>1495.3</v>
      </c>
      <c r="J807" s="43">
        <f>1558.6+8.2</f>
        <v>1566.8</v>
      </c>
      <c r="K807" s="43">
        <f>1634.4+8.2</f>
        <v>1642.6000000000001</v>
      </c>
      <c r="L807" s="179" t="s">
        <v>194</v>
      </c>
      <c r="M807" s="999"/>
      <c r="N807" s="999"/>
      <c r="O807" s="414"/>
      <c r="P807" s="993"/>
    </row>
    <row r="808" spans="1:16">
      <c r="A808" s="41">
        <v>5</v>
      </c>
      <c r="B808" s="54"/>
      <c r="C808" s="54"/>
      <c r="D808" s="40"/>
      <c r="E808" s="192" t="s">
        <v>33</v>
      </c>
      <c r="F808" s="41" t="s">
        <v>918</v>
      </c>
      <c r="G808" s="41" t="s">
        <v>461</v>
      </c>
      <c r="H808" s="43"/>
      <c r="I808" s="44"/>
      <c r="J808" s="42"/>
      <c r="K808" s="42"/>
      <c r="L808" s="179"/>
      <c r="M808" s="999"/>
      <c r="N808" s="999"/>
      <c r="O808" s="414"/>
      <c r="P808" s="993"/>
    </row>
    <row r="809" spans="1:16">
      <c r="A809" s="41">
        <v>5</v>
      </c>
      <c r="B809" s="54"/>
      <c r="C809" s="54"/>
      <c r="D809" s="40"/>
      <c r="E809" s="192" t="s">
        <v>33</v>
      </c>
      <c r="F809" s="41" t="s">
        <v>918</v>
      </c>
      <c r="G809" s="41" t="s">
        <v>195</v>
      </c>
      <c r="H809" s="43"/>
      <c r="I809" s="44"/>
      <c r="J809" s="42"/>
      <c r="K809" s="42"/>
      <c r="L809" s="179"/>
      <c r="M809" s="999"/>
      <c r="N809" s="999"/>
      <c r="O809" s="414"/>
      <c r="P809" s="993"/>
    </row>
    <row r="810" spans="1:16">
      <c r="A810" s="41">
        <v>5</v>
      </c>
      <c r="B810" s="54"/>
      <c r="C810" s="54"/>
      <c r="D810" s="40"/>
      <c r="E810" s="192" t="s">
        <v>33</v>
      </c>
      <c r="F810" s="41" t="s">
        <v>918</v>
      </c>
      <c r="G810" s="41" t="s">
        <v>196</v>
      </c>
      <c r="H810" s="43">
        <v>57.8</v>
      </c>
      <c r="I810" s="44">
        <v>60</v>
      </c>
      <c r="J810" s="42">
        <v>60</v>
      </c>
      <c r="K810" s="42">
        <v>60</v>
      </c>
      <c r="L810" s="179"/>
      <c r="M810" s="999"/>
      <c r="N810" s="999"/>
      <c r="O810" s="414"/>
      <c r="P810" s="993"/>
    </row>
    <row r="811" spans="1:16">
      <c r="A811" s="41">
        <v>5</v>
      </c>
      <c r="B811" s="54"/>
      <c r="C811" s="54"/>
      <c r="D811" s="40"/>
      <c r="E811" s="192"/>
      <c r="F811" s="41" t="s">
        <v>918</v>
      </c>
      <c r="G811" s="197" t="s">
        <v>459</v>
      </c>
      <c r="H811" s="53">
        <f>SUM(H807:H810)</f>
        <v>1297.5</v>
      </c>
      <c r="I811" s="53">
        <f>SUM(I807:I810)</f>
        <v>1555.3</v>
      </c>
      <c r="J811" s="53">
        <f>SUM(J807:J810)</f>
        <v>1626.8</v>
      </c>
      <c r="K811" s="53">
        <f>SUM(K807:K810)</f>
        <v>1702.6000000000001</v>
      </c>
      <c r="L811" s="179"/>
      <c r="M811" s="999"/>
      <c r="N811" s="999"/>
      <c r="O811" s="414"/>
      <c r="P811" s="993"/>
    </row>
    <row r="812" spans="1:16" ht="33.75">
      <c r="A812" s="41">
        <v>5</v>
      </c>
      <c r="B812" s="54"/>
      <c r="C812" s="54" t="s">
        <v>919</v>
      </c>
      <c r="D812" s="418" t="s">
        <v>920</v>
      </c>
      <c r="E812" s="192" t="s">
        <v>29</v>
      </c>
      <c r="F812" s="41" t="s">
        <v>921</v>
      </c>
      <c r="G812" s="41" t="s">
        <v>193</v>
      </c>
      <c r="H812" s="43">
        <v>886.8</v>
      </c>
      <c r="I812" s="44">
        <v>1021.2</v>
      </c>
      <c r="J812" s="42">
        <v>1077.7</v>
      </c>
      <c r="K812" s="42">
        <v>1138</v>
      </c>
      <c r="L812" s="179" t="s">
        <v>194</v>
      </c>
      <c r="M812" s="999"/>
      <c r="N812" s="999"/>
      <c r="O812" s="414"/>
      <c r="P812" s="993"/>
    </row>
    <row r="813" spans="1:16">
      <c r="A813" s="189">
        <v>5</v>
      </c>
      <c r="B813" s="54"/>
      <c r="C813" s="54"/>
      <c r="D813" s="40"/>
      <c r="E813" s="192" t="s">
        <v>29</v>
      </c>
      <c r="F813" s="41" t="s">
        <v>921</v>
      </c>
      <c r="G813" s="41" t="s">
        <v>195</v>
      </c>
      <c r="H813" s="43">
        <v>50.8</v>
      </c>
      <c r="I813" s="44"/>
      <c r="J813" s="42"/>
      <c r="K813" s="42"/>
      <c r="L813" s="179"/>
      <c r="M813" s="75"/>
      <c r="N813" s="999"/>
      <c r="O813" s="414"/>
      <c r="P813" s="993"/>
    </row>
    <row r="814" spans="1:16">
      <c r="A814" s="41">
        <v>5</v>
      </c>
      <c r="B814" s="54"/>
      <c r="C814" s="54"/>
      <c r="D814" s="40"/>
      <c r="E814" s="192" t="s">
        <v>29</v>
      </c>
      <c r="F814" s="41" t="s">
        <v>921</v>
      </c>
      <c r="G814" s="41" t="s">
        <v>195</v>
      </c>
      <c r="H814" s="43">
        <v>41.6</v>
      </c>
      <c r="I814" s="44">
        <v>31.4</v>
      </c>
      <c r="J814" s="42">
        <v>31.4</v>
      </c>
      <c r="K814" s="42">
        <v>31.4</v>
      </c>
      <c r="L814" s="179"/>
      <c r="M814" s="999"/>
      <c r="N814" s="999"/>
      <c r="O814" s="414"/>
      <c r="P814" s="993" t="s">
        <v>922</v>
      </c>
    </row>
    <row r="815" spans="1:16">
      <c r="A815" s="41">
        <v>5</v>
      </c>
      <c r="B815" s="54"/>
      <c r="C815" s="54"/>
      <c r="D815" s="40"/>
      <c r="E815" s="192" t="s">
        <v>29</v>
      </c>
      <c r="F815" s="41" t="s">
        <v>921</v>
      </c>
      <c r="G815" s="41" t="s">
        <v>196</v>
      </c>
      <c r="H815" s="43">
        <v>74.099999999999994</v>
      </c>
      <c r="I815" s="44">
        <v>82.8</v>
      </c>
      <c r="J815" s="42">
        <v>87.6</v>
      </c>
      <c r="K815" s="42">
        <v>92.6</v>
      </c>
      <c r="L815" s="179"/>
      <c r="M815" s="999"/>
      <c r="N815" s="999"/>
      <c r="O815" s="414"/>
      <c r="P815" s="993"/>
    </row>
    <row r="816" spans="1:16">
      <c r="A816" s="41">
        <v>5</v>
      </c>
      <c r="B816" s="54"/>
      <c r="C816" s="54"/>
      <c r="D816" s="40"/>
      <c r="E816" s="192" t="s">
        <v>29</v>
      </c>
      <c r="F816" s="41" t="s">
        <v>921</v>
      </c>
      <c r="G816" s="41" t="s">
        <v>195</v>
      </c>
      <c r="H816" s="43">
        <v>655.20000000000005</v>
      </c>
      <c r="I816" s="44"/>
      <c r="J816" s="42"/>
      <c r="K816" s="42"/>
      <c r="L816" s="179"/>
      <c r="M816" s="999"/>
      <c r="N816" s="999"/>
      <c r="O816" s="414"/>
      <c r="P816" s="993"/>
    </row>
    <row r="817" spans="1:16">
      <c r="A817" s="41">
        <v>5</v>
      </c>
      <c r="B817" s="54"/>
      <c r="C817" s="54"/>
      <c r="D817" s="40"/>
      <c r="E817" s="192" t="s">
        <v>29</v>
      </c>
      <c r="F817" s="41" t="s">
        <v>921</v>
      </c>
      <c r="G817" s="41" t="s">
        <v>475</v>
      </c>
      <c r="H817" s="43"/>
      <c r="I817" s="44">
        <v>760</v>
      </c>
      <c r="J817" s="42">
        <v>760</v>
      </c>
      <c r="K817" s="42">
        <v>760</v>
      </c>
      <c r="L817" s="179"/>
      <c r="M817" s="999"/>
      <c r="N817" s="999"/>
      <c r="O817" s="414"/>
      <c r="P817" s="987"/>
    </row>
    <row r="818" spans="1:16">
      <c r="A818" s="41">
        <v>5</v>
      </c>
      <c r="B818" s="54"/>
      <c r="C818" s="54"/>
      <c r="D818" s="40"/>
      <c r="E818" s="192" t="s">
        <v>29</v>
      </c>
      <c r="F818" s="41" t="s">
        <v>921</v>
      </c>
      <c r="G818" s="41" t="s">
        <v>461</v>
      </c>
      <c r="H818" s="43"/>
      <c r="I818" s="44"/>
      <c r="J818" s="42"/>
      <c r="K818" s="42"/>
      <c r="L818" s="179"/>
      <c r="M818" s="999"/>
      <c r="N818" s="999"/>
      <c r="O818" s="414"/>
      <c r="P818" s="993"/>
    </row>
    <row r="819" spans="1:16">
      <c r="A819" s="41">
        <v>5</v>
      </c>
      <c r="B819" s="54"/>
      <c r="C819" s="54"/>
      <c r="D819" s="40"/>
      <c r="E819" s="192"/>
      <c r="F819" s="41"/>
      <c r="G819" s="197" t="s">
        <v>459</v>
      </c>
      <c r="H819" s="53">
        <f>SUM(H812:H818)</f>
        <v>1708.5</v>
      </c>
      <c r="I819" s="53">
        <f>SUM(I812:I818)</f>
        <v>1895.4</v>
      </c>
      <c r="J819" s="53">
        <f>SUM(J812:J818)</f>
        <v>1956.7</v>
      </c>
      <c r="K819" s="53">
        <f>SUM(K812:K818)</f>
        <v>2022</v>
      </c>
      <c r="L819" s="179"/>
      <c r="M819" s="999"/>
      <c r="N819" s="999"/>
      <c r="O819" s="414"/>
      <c r="P819" s="993"/>
    </row>
    <row r="820" spans="1:16">
      <c r="A820" s="189">
        <v>5</v>
      </c>
      <c r="B820" s="54"/>
      <c r="C820" s="54" t="s">
        <v>923</v>
      </c>
      <c r="D820" s="1127" t="s">
        <v>924</v>
      </c>
      <c r="E820" s="54" t="s">
        <v>35</v>
      </c>
      <c r="F820" s="41" t="s">
        <v>925</v>
      </c>
      <c r="G820" s="41" t="s">
        <v>196</v>
      </c>
      <c r="H820" s="43">
        <v>1972.5</v>
      </c>
      <c r="I820" s="44">
        <v>2100</v>
      </c>
      <c r="J820" s="42">
        <v>2176.6999999999998</v>
      </c>
      <c r="K820" s="42">
        <v>2209</v>
      </c>
      <c r="L820" s="179"/>
      <c r="M820" s="999"/>
      <c r="N820" s="999"/>
      <c r="O820" s="414"/>
      <c r="P820" s="993"/>
    </row>
    <row r="821" spans="1:16">
      <c r="A821" s="41">
        <v>5</v>
      </c>
      <c r="B821" s="54"/>
      <c r="C821" s="54"/>
      <c r="D821" s="1167"/>
      <c r="E821" s="54" t="s">
        <v>35</v>
      </c>
      <c r="F821" s="41" t="s">
        <v>925</v>
      </c>
      <c r="G821" s="41" t="s">
        <v>195</v>
      </c>
      <c r="H821" s="43">
        <v>360.2</v>
      </c>
      <c r="I821" s="44">
        <v>295.10000000000002</v>
      </c>
      <c r="J821" s="42">
        <v>309.5</v>
      </c>
      <c r="K821" s="42">
        <v>324.7</v>
      </c>
      <c r="L821" s="179"/>
      <c r="M821" s="999"/>
      <c r="N821" s="999"/>
      <c r="O821" s="414"/>
      <c r="P821" s="993"/>
    </row>
    <row r="822" spans="1:16">
      <c r="A822" s="41">
        <v>5</v>
      </c>
      <c r="B822" s="54"/>
      <c r="C822" s="54"/>
      <c r="D822" s="1167"/>
      <c r="E822" s="54" t="s">
        <v>35</v>
      </c>
      <c r="F822" s="41" t="s">
        <v>925</v>
      </c>
      <c r="G822" s="41" t="s">
        <v>193</v>
      </c>
      <c r="H822" s="43">
        <v>17.5</v>
      </c>
      <c r="I822" s="44">
        <v>20.5</v>
      </c>
      <c r="J822" s="42">
        <v>20.5</v>
      </c>
      <c r="K822" s="42">
        <v>20.5</v>
      </c>
      <c r="L822" s="179" t="s">
        <v>194</v>
      </c>
      <c r="M822" s="999"/>
      <c r="N822" s="999"/>
      <c r="O822" s="414"/>
      <c r="P822" s="993"/>
    </row>
    <row r="823" spans="1:16">
      <c r="A823" s="41">
        <v>5</v>
      </c>
      <c r="B823" s="54"/>
      <c r="C823" s="54"/>
      <c r="D823" s="1126"/>
      <c r="E823" s="54" t="s">
        <v>35</v>
      </c>
      <c r="F823" s="41" t="s">
        <v>925</v>
      </c>
      <c r="G823" s="41" t="s">
        <v>461</v>
      </c>
      <c r="H823" s="43">
        <f>1681.4-202.6</f>
        <v>1478.8000000000002</v>
      </c>
      <c r="I823" s="44">
        <v>1505.9</v>
      </c>
      <c r="J823" s="42">
        <v>1564.7</v>
      </c>
      <c r="K823" s="42">
        <v>1589.4</v>
      </c>
      <c r="L823" s="179"/>
      <c r="M823" s="999"/>
      <c r="N823" s="999"/>
      <c r="O823" s="414"/>
      <c r="P823" s="993"/>
    </row>
    <row r="824" spans="1:16">
      <c r="A824" s="41">
        <v>5</v>
      </c>
      <c r="B824" s="54"/>
      <c r="C824" s="54"/>
      <c r="D824" s="40"/>
      <c r="E824" s="54"/>
      <c r="F824" s="41" t="s">
        <v>925</v>
      </c>
      <c r="G824" s="197" t="s">
        <v>459</v>
      </c>
      <c r="H824" s="53">
        <f t="shared" ref="H824:K824" si="181">SUM(H820:H823)</f>
        <v>3829</v>
      </c>
      <c r="I824" s="53">
        <f t="shared" si="181"/>
        <v>3921.5</v>
      </c>
      <c r="J824" s="53">
        <f t="shared" si="181"/>
        <v>4071.3999999999996</v>
      </c>
      <c r="K824" s="53">
        <f t="shared" si="181"/>
        <v>4143.6000000000004</v>
      </c>
      <c r="L824" s="179"/>
      <c r="M824" s="999"/>
      <c r="N824" s="999"/>
      <c r="O824" s="414"/>
      <c r="P824" s="993"/>
    </row>
    <row r="825" spans="1:16" ht="22.5">
      <c r="A825" s="41">
        <v>5</v>
      </c>
      <c r="B825" s="54"/>
      <c r="C825" s="54" t="s">
        <v>926</v>
      </c>
      <c r="D825" s="127" t="s">
        <v>927</v>
      </c>
      <c r="E825" s="417" t="s">
        <v>31</v>
      </c>
      <c r="F825" s="41" t="s">
        <v>928</v>
      </c>
      <c r="G825" s="41" t="s">
        <v>193</v>
      </c>
      <c r="H825" s="43">
        <v>248.6</v>
      </c>
      <c r="I825" s="44">
        <v>268.10000000000002</v>
      </c>
      <c r="J825" s="42">
        <v>282.8</v>
      </c>
      <c r="K825" s="42">
        <v>298.3</v>
      </c>
      <c r="L825" s="179" t="s">
        <v>194</v>
      </c>
      <c r="M825" s="999"/>
      <c r="N825" s="999"/>
      <c r="O825" s="414"/>
      <c r="P825" s="993"/>
    </row>
    <row r="826" spans="1:16">
      <c r="A826" s="41">
        <v>5</v>
      </c>
      <c r="B826" s="54"/>
      <c r="C826" s="54"/>
      <c r="D826" s="40"/>
      <c r="E826" s="417" t="s">
        <v>31</v>
      </c>
      <c r="F826" s="41" t="s">
        <v>928</v>
      </c>
      <c r="G826" s="41" t="s">
        <v>195</v>
      </c>
      <c r="H826" s="43"/>
      <c r="I826" s="44"/>
      <c r="J826" s="42"/>
      <c r="K826" s="42"/>
      <c r="L826" s="179"/>
      <c r="M826" s="999"/>
      <c r="N826" s="999"/>
      <c r="O826" s="414"/>
      <c r="P826" s="993"/>
    </row>
    <row r="827" spans="1:16">
      <c r="A827" s="41">
        <v>5</v>
      </c>
      <c r="B827" s="54"/>
      <c r="C827" s="54"/>
      <c r="D827" s="40"/>
      <c r="E827" s="417" t="s">
        <v>31</v>
      </c>
      <c r="F827" s="41" t="s">
        <v>928</v>
      </c>
      <c r="G827" s="41" t="s">
        <v>196</v>
      </c>
      <c r="H827" s="43">
        <v>13.7</v>
      </c>
      <c r="I827" s="44">
        <v>17.8</v>
      </c>
      <c r="J827" s="42">
        <v>17.8</v>
      </c>
      <c r="K827" s="42">
        <v>17.8</v>
      </c>
      <c r="L827" s="179"/>
      <c r="M827" s="999"/>
      <c r="N827" s="999"/>
      <c r="O827" s="414"/>
      <c r="P827" s="993"/>
    </row>
    <row r="828" spans="1:16">
      <c r="A828" s="189">
        <v>5</v>
      </c>
      <c r="B828" s="54"/>
      <c r="C828" s="54"/>
      <c r="D828" s="40"/>
      <c r="E828" s="417"/>
      <c r="F828" s="41" t="s">
        <v>928</v>
      </c>
      <c r="G828" s="197" t="s">
        <v>459</v>
      </c>
      <c r="H828" s="53">
        <f t="shared" ref="H828:K828" si="182">SUM(H825:H827)</f>
        <v>262.3</v>
      </c>
      <c r="I828" s="53">
        <f t="shared" si="182"/>
        <v>285.90000000000003</v>
      </c>
      <c r="J828" s="53">
        <f t="shared" si="182"/>
        <v>300.60000000000002</v>
      </c>
      <c r="K828" s="53">
        <f t="shared" si="182"/>
        <v>316.10000000000002</v>
      </c>
      <c r="L828" s="179"/>
      <c r="M828" s="999"/>
      <c r="N828" s="999"/>
      <c r="O828" s="414"/>
      <c r="P828" s="993"/>
    </row>
    <row r="829" spans="1:16" ht="22.5">
      <c r="A829" s="41">
        <v>5</v>
      </c>
      <c r="B829" s="54"/>
      <c r="C829" s="54" t="s">
        <v>929</v>
      </c>
      <c r="D829" s="127" t="s">
        <v>930</v>
      </c>
      <c r="E829" s="41" t="s">
        <v>31</v>
      </c>
      <c r="F829" s="41" t="s">
        <v>931</v>
      </c>
      <c r="G829" s="41" t="s">
        <v>193</v>
      </c>
      <c r="H829" s="43">
        <f>470.6+21</f>
        <v>491.6</v>
      </c>
      <c r="I829" s="44">
        <v>642.29999999999995</v>
      </c>
      <c r="J829" s="42">
        <v>658.8</v>
      </c>
      <c r="K829" s="42">
        <v>676.3</v>
      </c>
      <c r="L829" s="179" t="s">
        <v>194</v>
      </c>
      <c r="M829" s="999"/>
      <c r="N829" s="999"/>
      <c r="O829" s="414"/>
      <c r="P829" s="993"/>
    </row>
    <row r="830" spans="1:16">
      <c r="A830" s="41">
        <v>5</v>
      </c>
      <c r="B830" s="54"/>
      <c r="C830" s="54"/>
      <c r="D830" s="40"/>
      <c r="E830" s="41" t="s">
        <v>31</v>
      </c>
      <c r="F830" s="41" t="s">
        <v>931</v>
      </c>
      <c r="G830" s="41" t="s">
        <v>195</v>
      </c>
      <c r="H830" s="43"/>
      <c r="I830" s="44"/>
      <c r="J830" s="42"/>
      <c r="K830" s="42"/>
      <c r="L830" s="179"/>
      <c r="M830" s="999"/>
      <c r="N830" s="999"/>
      <c r="O830" s="414"/>
      <c r="P830" s="993"/>
    </row>
    <row r="831" spans="1:16">
      <c r="A831" s="41">
        <v>5</v>
      </c>
      <c r="B831" s="54"/>
      <c r="C831" s="54"/>
      <c r="D831" s="40"/>
      <c r="E831" s="41"/>
      <c r="F831" s="41" t="s">
        <v>931</v>
      </c>
      <c r="G831" s="197" t="s">
        <v>459</v>
      </c>
      <c r="H831" s="53">
        <f t="shared" ref="H831:K831" si="183">SUM(H829:H830)</f>
        <v>491.6</v>
      </c>
      <c r="I831" s="53">
        <f t="shared" si="183"/>
        <v>642.29999999999995</v>
      </c>
      <c r="J831" s="53">
        <f t="shared" si="183"/>
        <v>658.8</v>
      </c>
      <c r="K831" s="53">
        <f t="shared" si="183"/>
        <v>676.3</v>
      </c>
      <c r="L831" s="179"/>
      <c r="M831" s="999"/>
      <c r="N831" s="999"/>
      <c r="O831" s="414"/>
      <c r="P831" s="993"/>
    </row>
    <row r="832" spans="1:16" ht="33.75">
      <c r="A832" s="41">
        <v>5</v>
      </c>
      <c r="B832" s="54"/>
      <c r="C832" s="54" t="s">
        <v>932</v>
      </c>
      <c r="D832" s="419" t="s">
        <v>933</v>
      </c>
      <c r="E832" s="41">
        <v>18</v>
      </c>
      <c r="F832" s="41" t="s">
        <v>934</v>
      </c>
      <c r="G832" s="41" t="s">
        <v>193</v>
      </c>
      <c r="H832" s="43">
        <v>148</v>
      </c>
      <c r="I832" s="44">
        <f>160-24.2-23.4</f>
        <v>112.4</v>
      </c>
      <c r="J832" s="42">
        <f>160-24.2-23.4</f>
        <v>112.4</v>
      </c>
      <c r="K832" s="42">
        <f>160-24.2-23.4</f>
        <v>112.4</v>
      </c>
      <c r="L832" s="179" t="s">
        <v>262</v>
      </c>
      <c r="M832" s="930" t="s">
        <v>2517</v>
      </c>
      <c r="N832" s="930" t="s">
        <v>2351</v>
      </c>
      <c r="O832" s="193">
        <v>100</v>
      </c>
      <c r="P832" s="993"/>
    </row>
    <row r="833" spans="1:16">
      <c r="A833" s="41">
        <v>5</v>
      </c>
      <c r="B833" s="54"/>
      <c r="C833" s="54"/>
      <c r="D833" s="419"/>
      <c r="E833" s="41"/>
      <c r="F833" s="41" t="s">
        <v>934</v>
      </c>
      <c r="G833" s="197" t="s">
        <v>459</v>
      </c>
      <c r="H833" s="53">
        <f t="shared" ref="H833:K833" si="184">SUM(H832)</f>
        <v>148</v>
      </c>
      <c r="I833" s="53">
        <f t="shared" si="184"/>
        <v>112.4</v>
      </c>
      <c r="J833" s="53">
        <f t="shared" si="184"/>
        <v>112.4</v>
      </c>
      <c r="K833" s="53">
        <f t="shared" si="184"/>
        <v>112.4</v>
      </c>
      <c r="L833" s="179"/>
      <c r="M833" s="999"/>
      <c r="N833" s="999"/>
      <c r="O833" s="414"/>
      <c r="P833" s="993"/>
    </row>
    <row r="834" spans="1:16" ht="33.75">
      <c r="A834" s="41">
        <v>5</v>
      </c>
      <c r="B834" s="54"/>
      <c r="C834" s="54" t="s">
        <v>935</v>
      </c>
      <c r="D834" s="40" t="s">
        <v>936</v>
      </c>
      <c r="E834" s="41">
        <v>7</v>
      </c>
      <c r="F834" s="41" t="s">
        <v>937</v>
      </c>
      <c r="G834" s="41" t="s">
        <v>193</v>
      </c>
      <c r="H834" s="43">
        <v>6.5</v>
      </c>
      <c r="I834" s="44">
        <v>8</v>
      </c>
      <c r="J834" s="43">
        <v>8</v>
      </c>
      <c r="K834" s="43">
        <v>8</v>
      </c>
      <c r="L834" s="179"/>
      <c r="M834" s="260" t="s">
        <v>2516</v>
      </c>
      <c r="N834" s="930" t="s">
        <v>2352</v>
      </c>
      <c r="O834" s="193">
        <v>100</v>
      </c>
      <c r="P834" s="993"/>
    </row>
    <row r="835" spans="1:16">
      <c r="A835" s="41">
        <v>5</v>
      </c>
      <c r="B835" s="54"/>
      <c r="C835" s="54"/>
      <c r="D835" s="40"/>
      <c r="E835" s="41" t="s">
        <v>29</v>
      </c>
      <c r="F835" s="41" t="s">
        <v>937</v>
      </c>
      <c r="G835" s="41" t="s">
        <v>193</v>
      </c>
      <c r="H835" s="43">
        <v>16</v>
      </c>
      <c r="I835" s="44">
        <v>40</v>
      </c>
      <c r="J835" s="43">
        <v>40</v>
      </c>
      <c r="K835" s="43">
        <v>40</v>
      </c>
      <c r="L835" s="179"/>
      <c r="M835" s="75"/>
      <c r="N835" s="764"/>
      <c r="O835" s="178"/>
      <c r="P835" s="993"/>
    </row>
    <row r="836" spans="1:16">
      <c r="A836" s="189">
        <v>5</v>
      </c>
      <c r="B836" s="54"/>
      <c r="C836" s="54"/>
      <c r="D836" s="40"/>
      <c r="E836" s="41" t="s">
        <v>33</v>
      </c>
      <c r="F836" s="41" t="s">
        <v>937</v>
      </c>
      <c r="G836" s="41" t="s">
        <v>193</v>
      </c>
      <c r="H836" s="43">
        <v>46.5</v>
      </c>
      <c r="I836" s="44">
        <v>40</v>
      </c>
      <c r="J836" s="43">
        <v>40</v>
      </c>
      <c r="K836" s="43">
        <v>40</v>
      </c>
      <c r="L836" s="179"/>
      <c r="M836" s="75"/>
      <c r="N836" s="764"/>
      <c r="O836" s="178"/>
      <c r="P836" s="993"/>
    </row>
    <row r="837" spans="1:16">
      <c r="A837" s="41">
        <v>5</v>
      </c>
      <c r="B837" s="54"/>
      <c r="C837" s="54"/>
      <c r="D837" s="40"/>
      <c r="E837" s="41" t="s">
        <v>35</v>
      </c>
      <c r="F837" s="41" t="s">
        <v>937</v>
      </c>
      <c r="G837" s="41" t="s">
        <v>193</v>
      </c>
      <c r="H837" s="43">
        <v>40</v>
      </c>
      <c r="I837" s="44">
        <v>40</v>
      </c>
      <c r="J837" s="43">
        <v>40</v>
      </c>
      <c r="K837" s="43">
        <v>40</v>
      </c>
      <c r="L837" s="179"/>
      <c r="M837" s="999"/>
      <c r="N837" s="999"/>
      <c r="O837" s="414"/>
      <c r="P837" s="993"/>
    </row>
    <row r="838" spans="1:16">
      <c r="A838" s="41">
        <v>5</v>
      </c>
      <c r="B838" s="54"/>
      <c r="C838" s="54"/>
      <c r="D838" s="40"/>
      <c r="E838" s="41" t="s">
        <v>136</v>
      </c>
      <c r="F838" s="41" t="s">
        <v>937</v>
      </c>
      <c r="G838" s="41" t="s">
        <v>193</v>
      </c>
      <c r="H838" s="43"/>
      <c r="I838" s="44">
        <f>40+50</f>
        <v>90</v>
      </c>
      <c r="J838" s="43">
        <v>40</v>
      </c>
      <c r="K838" s="43">
        <v>40</v>
      </c>
      <c r="L838" s="179"/>
      <c r="M838" s="999"/>
      <c r="N838" s="999"/>
      <c r="O838" s="414"/>
      <c r="P838" s="993"/>
    </row>
    <row r="839" spans="1:16">
      <c r="A839" s="41">
        <v>5</v>
      </c>
      <c r="B839" s="54"/>
      <c r="C839" s="54"/>
      <c r="D839" s="40"/>
      <c r="E839" s="41" t="s">
        <v>31</v>
      </c>
      <c r="F839" s="41" t="s">
        <v>937</v>
      </c>
      <c r="G839" s="41" t="s">
        <v>193</v>
      </c>
      <c r="H839" s="43">
        <v>46</v>
      </c>
      <c r="I839" s="44">
        <f>370-330</f>
        <v>40</v>
      </c>
      <c r="J839" s="43">
        <v>40</v>
      </c>
      <c r="K839" s="43">
        <v>40</v>
      </c>
      <c r="L839" s="179"/>
      <c r="M839" s="999"/>
      <c r="N839" s="999"/>
      <c r="O839" s="414"/>
      <c r="P839" s="993"/>
    </row>
    <row r="840" spans="1:16">
      <c r="A840" s="41">
        <v>5</v>
      </c>
      <c r="B840" s="54"/>
      <c r="C840" s="54"/>
      <c r="D840" s="40"/>
      <c r="E840" s="41"/>
      <c r="F840" s="41" t="s">
        <v>937</v>
      </c>
      <c r="G840" s="197" t="s">
        <v>459</v>
      </c>
      <c r="H840" s="53">
        <f t="shared" ref="H840:K840" si="185">SUM(H834:H839)</f>
        <v>155</v>
      </c>
      <c r="I840" s="53">
        <f t="shared" si="185"/>
        <v>258</v>
      </c>
      <c r="J840" s="53">
        <f t="shared" si="185"/>
        <v>208</v>
      </c>
      <c r="K840" s="53">
        <f t="shared" si="185"/>
        <v>208</v>
      </c>
      <c r="L840" s="179" t="s">
        <v>274</v>
      </c>
      <c r="M840" s="999"/>
      <c r="N840" s="999"/>
      <c r="O840" s="414"/>
      <c r="P840" s="993"/>
    </row>
    <row r="841" spans="1:16" ht="22.5">
      <c r="A841" s="41">
        <v>5</v>
      </c>
      <c r="B841" s="54"/>
      <c r="C841" s="54" t="s">
        <v>938</v>
      </c>
      <c r="D841" s="40" t="s">
        <v>939</v>
      </c>
      <c r="E841" s="41" t="s">
        <v>31</v>
      </c>
      <c r="F841" s="41" t="s">
        <v>940</v>
      </c>
      <c r="G841" s="41" t="s">
        <v>193</v>
      </c>
      <c r="H841" s="43">
        <v>838.2</v>
      </c>
      <c r="I841" s="44">
        <v>853.9</v>
      </c>
      <c r="J841" s="42">
        <v>901.6</v>
      </c>
      <c r="K841" s="42">
        <v>952.2</v>
      </c>
      <c r="L841" s="179" t="s">
        <v>194</v>
      </c>
      <c r="M841" s="999"/>
      <c r="N841" s="999"/>
      <c r="O841" s="414"/>
      <c r="P841" s="993"/>
    </row>
    <row r="842" spans="1:16">
      <c r="A842" s="41">
        <v>5</v>
      </c>
      <c r="B842" s="54"/>
      <c r="C842" s="179"/>
      <c r="D842" s="40"/>
      <c r="E842" s="41" t="s">
        <v>31</v>
      </c>
      <c r="F842" s="41" t="s">
        <v>940</v>
      </c>
      <c r="G842" s="41" t="s">
        <v>195</v>
      </c>
      <c r="H842" s="43">
        <v>0</v>
      </c>
      <c r="I842" s="44">
        <v>0</v>
      </c>
      <c r="J842" s="42">
        <v>0</v>
      </c>
      <c r="K842" s="42">
        <v>0</v>
      </c>
      <c r="L842" s="179"/>
      <c r="M842" s="999"/>
      <c r="N842" s="999"/>
      <c r="O842" s="414"/>
      <c r="P842" s="993"/>
    </row>
    <row r="843" spans="1:16">
      <c r="A843" s="41">
        <v>5</v>
      </c>
      <c r="B843" s="54"/>
      <c r="C843" s="54"/>
      <c r="D843" s="40"/>
      <c r="E843" s="41"/>
      <c r="F843" s="41" t="s">
        <v>940</v>
      </c>
      <c r="G843" s="197" t="s">
        <v>459</v>
      </c>
      <c r="H843" s="53">
        <f t="shared" ref="H843:K843" si="186">SUM(H841:H842)</f>
        <v>838.2</v>
      </c>
      <c r="I843" s="53">
        <f t="shared" si="186"/>
        <v>853.9</v>
      </c>
      <c r="J843" s="53">
        <f t="shared" si="186"/>
        <v>901.6</v>
      </c>
      <c r="K843" s="53">
        <f t="shared" si="186"/>
        <v>952.2</v>
      </c>
      <c r="L843" s="179"/>
      <c r="M843" s="999"/>
      <c r="N843" s="999"/>
      <c r="O843" s="414"/>
      <c r="P843" s="993"/>
    </row>
    <row r="844" spans="1:16" ht="22.5">
      <c r="A844" s="189">
        <v>5</v>
      </c>
      <c r="B844" s="54"/>
      <c r="C844" s="54" t="s">
        <v>941</v>
      </c>
      <c r="D844" s="40" t="s">
        <v>942</v>
      </c>
      <c r="E844" s="41" t="s">
        <v>31</v>
      </c>
      <c r="F844" s="41" t="s">
        <v>943</v>
      </c>
      <c r="G844" s="41" t="s">
        <v>195</v>
      </c>
      <c r="H844" s="43">
        <v>61.3</v>
      </c>
      <c r="I844" s="44">
        <v>85.1</v>
      </c>
      <c r="J844" s="43">
        <v>85.1</v>
      </c>
      <c r="K844" s="43">
        <v>85.1</v>
      </c>
      <c r="L844" s="179"/>
      <c r="M844" s="75"/>
      <c r="N844" s="764"/>
      <c r="O844" s="178"/>
      <c r="P844" s="993"/>
    </row>
    <row r="845" spans="1:16">
      <c r="A845" s="41">
        <v>5</v>
      </c>
      <c r="B845" s="54"/>
      <c r="C845" s="54"/>
      <c r="D845" s="40"/>
      <c r="E845" s="41" t="s">
        <v>33</v>
      </c>
      <c r="F845" s="41" t="s">
        <v>943</v>
      </c>
      <c r="G845" s="41" t="s">
        <v>195</v>
      </c>
      <c r="H845" s="43">
        <v>42.4</v>
      </c>
      <c r="I845" s="44">
        <v>56.7</v>
      </c>
      <c r="J845" s="43">
        <v>56.7</v>
      </c>
      <c r="K845" s="43">
        <v>56.7</v>
      </c>
      <c r="L845" s="179"/>
      <c r="M845" s="75"/>
      <c r="N845" s="764"/>
      <c r="O845" s="178"/>
      <c r="P845" s="993"/>
    </row>
    <row r="846" spans="1:16">
      <c r="A846" s="41">
        <v>5</v>
      </c>
      <c r="B846" s="54"/>
      <c r="C846" s="54"/>
      <c r="D846" s="40"/>
      <c r="E846" s="41" t="s">
        <v>29</v>
      </c>
      <c r="F846" s="41" t="s">
        <v>943</v>
      </c>
      <c r="G846" s="41" t="s">
        <v>195</v>
      </c>
      <c r="H846" s="43">
        <v>40.299999999999997</v>
      </c>
      <c r="I846" s="44">
        <v>15.8</v>
      </c>
      <c r="J846" s="43">
        <v>15.8</v>
      </c>
      <c r="K846" s="43">
        <v>15.8</v>
      </c>
      <c r="L846" s="179"/>
      <c r="M846" s="75"/>
      <c r="N846" s="764"/>
      <c r="O846" s="178"/>
      <c r="P846" s="993"/>
    </row>
    <row r="847" spans="1:16">
      <c r="A847" s="41">
        <v>5</v>
      </c>
      <c r="B847" s="54"/>
      <c r="C847" s="54"/>
      <c r="D847" s="40"/>
      <c r="E847" s="41"/>
      <c r="F847" s="41"/>
      <c r="G847" s="197" t="s">
        <v>459</v>
      </c>
      <c r="H847" s="53">
        <f t="shared" ref="H847:K847" si="187">SUM(H844:H846)</f>
        <v>144</v>
      </c>
      <c r="I847" s="53">
        <f t="shared" si="187"/>
        <v>157.60000000000002</v>
      </c>
      <c r="J847" s="53">
        <f t="shared" si="187"/>
        <v>157.60000000000002</v>
      </c>
      <c r="K847" s="53">
        <f t="shared" si="187"/>
        <v>157.60000000000002</v>
      </c>
      <c r="L847" s="179"/>
      <c r="M847" s="999"/>
      <c r="N847" s="999"/>
      <c r="O847" s="414"/>
      <c r="P847" s="993"/>
    </row>
    <row r="848" spans="1:16" ht="22.5">
      <c r="A848" s="41">
        <v>5</v>
      </c>
      <c r="B848" s="54"/>
      <c r="C848" s="267" t="s">
        <v>944</v>
      </c>
      <c r="D848" s="40" t="s">
        <v>945</v>
      </c>
      <c r="E848" s="41" t="s">
        <v>31</v>
      </c>
      <c r="F848" s="41" t="s">
        <v>946</v>
      </c>
      <c r="G848" s="41" t="s">
        <v>195</v>
      </c>
      <c r="H848" s="43">
        <v>28.3</v>
      </c>
      <c r="I848" s="44">
        <v>32.4</v>
      </c>
      <c r="J848" s="42">
        <v>32.4</v>
      </c>
      <c r="K848" s="42">
        <v>32.4</v>
      </c>
      <c r="L848" s="179"/>
      <c r="M848" s="999"/>
      <c r="N848" s="999"/>
      <c r="O848" s="414"/>
      <c r="P848" s="993"/>
    </row>
    <row r="849" spans="1:16">
      <c r="A849" s="41">
        <v>5</v>
      </c>
      <c r="B849" s="420"/>
      <c r="C849" s="272"/>
      <c r="D849" s="421"/>
      <c r="E849" s="41" t="s">
        <v>33</v>
      </c>
      <c r="F849" s="41" t="s">
        <v>946</v>
      </c>
      <c r="G849" s="41" t="s">
        <v>195</v>
      </c>
      <c r="H849" s="43">
        <v>20.7</v>
      </c>
      <c r="I849" s="44">
        <v>22.5</v>
      </c>
      <c r="J849" s="42">
        <v>22.5</v>
      </c>
      <c r="K849" s="42">
        <v>22.5</v>
      </c>
      <c r="L849" s="179"/>
      <c r="M849" s="999"/>
      <c r="N849" s="999"/>
      <c r="O849" s="414"/>
      <c r="P849" s="993"/>
    </row>
    <row r="850" spans="1:16">
      <c r="A850" s="41">
        <v>5</v>
      </c>
      <c r="B850" s="420"/>
      <c r="C850" s="272"/>
      <c r="D850" s="421"/>
      <c r="E850" s="41" t="s">
        <v>29</v>
      </c>
      <c r="F850" s="41" t="s">
        <v>946</v>
      </c>
      <c r="G850" s="41" t="s">
        <v>195</v>
      </c>
      <c r="H850" s="43">
        <v>19</v>
      </c>
      <c r="I850" s="44">
        <v>23.4</v>
      </c>
      <c r="J850" s="42">
        <v>23.4</v>
      </c>
      <c r="K850" s="42">
        <v>23.4</v>
      </c>
      <c r="L850" s="179"/>
      <c r="M850" s="999"/>
      <c r="N850" s="999"/>
      <c r="O850" s="414"/>
      <c r="P850" s="993"/>
    </row>
    <row r="851" spans="1:16">
      <c r="A851" s="41">
        <v>5</v>
      </c>
      <c r="B851" s="54"/>
      <c r="C851" s="276"/>
      <c r="D851" s="40"/>
      <c r="E851" s="41"/>
      <c r="F851" s="41"/>
      <c r="G851" s="197" t="s">
        <v>459</v>
      </c>
      <c r="H851" s="53">
        <f>SUM(H848:H850)</f>
        <v>68</v>
      </c>
      <c r="I851" s="53">
        <f t="shared" ref="I851:K851" si="188">SUM(I848:I850)</f>
        <v>78.3</v>
      </c>
      <c r="J851" s="53">
        <f t="shared" si="188"/>
        <v>78.3</v>
      </c>
      <c r="K851" s="53">
        <f t="shared" si="188"/>
        <v>78.3</v>
      </c>
      <c r="L851" s="179"/>
      <c r="M851" s="999"/>
      <c r="N851" s="999"/>
      <c r="O851" s="414"/>
      <c r="P851" s="993"/>
    </row>
    <row r="852" spans="1:16" ht="22.5">
      <c r="A852" s="189">
        <v>5</v>
      </c>
      <c r="B852" s="411" t="s">
        <v>947</v>
      </c>
      <c r="C852" s="411" t="s">
        <v>947</v>
      </c>
      <c r="D852" s="412" t="s">
        <v>948</v>
      </c>
      <c r="E852" s="41"/>
      <c r="F852" s="41"/>
      <c r="G852" s="86"/>
      <c r="H852" s="85">
        <f>SUM(H857,H860,H862,H864,H872,H876,H879,H882,H886)</f>
        <v>5133.4999999999991</v>
      </c>
      <c r="I852" s="85">
        <f>SUM(I857,I860,I862,I864,I872,I876,I879,I882,I886)</f>
        <v>5393.8</v>
      </c>
      <c r="J852" s="85">
        <f>SUM(J857,J860,J862,J864,J872,J876,J879,J882,J886)</f>
        <v>5893.3</v>
      </c>
      <c r="K852" s="85">
        <f>SUM(K857,K860,K862,K864,K872,K876,K879,K882,K886)</f>
        <v>6153.9000000000005</v>
      </c>
      <c r="L852" s="179"/>
      <c r="M852" s="999"/>
      <c r="N852" s="999"/>
      <c r="O852" s="414"/>
      <c r="P852" s="993"/>
    </row>
    <row r="853" spans="1:16" ht="33.75">
      <c r="A853" s="41">
        <v>5</v>
      </c>
      <c r="B853" s="54"/>
      <c r="C853" s="54" t="s">
        <v>949</v>
      </c>
      <c r="D853" s="1161" t="s">
        <v>950</v>
      </c>
      <c r="E853" s="41">
        <v>7</v>
      </c>
      <c r="F853" s="41" t="s">
        <v>951</v>
      </c>
      <c r="G853" s="41" t="s">
        <v>195</v>
      </c>
      <c r="H853" s="43">
        <v>2124</v>
      </c>
      <c r="I853" s="44"/>
      <c r="J853" s="423"/>
      <c r="K853" s="423"/>
      <c r="L853" s="179"/>
      <c r="M853" s="1158" t="s">
        <v>2515</v>
      </c>
      <c r="N853" s="930" t="s">
        <v>2353</v>
      </c>
      <c r="O853" s="193">
        <v>100</v>
      </c>
      <c r="P853" s="993"/>
    </row>
    <row r="854" spans="1:16" ht="33.75">
      <c r="A854" s="41">
        <v>5</v>
      </c>
      <c r="B854" s="54"/>
      <c r="C854" s="54"/>
      <c r="D854" s="1166"/>
      <c r="E854" s="41">
        <v>7</v>
      </c>
      <c r="F854" s="41" t="s">
        <v>951</v>
      </c>
      <c r="G854" s="41" t="s">
        <v>475</v>
      </c>
      <c r="H854" s="43"/>
      <c r="I854" s="44">
        <v>1950</v>
      </c>
      <c r="J854" s="423">
        <v>2570</v>
      </c>
      <c r="K854" s="423">
        <v>2827</v>
      </c>
      <c r="L854" s="179"/>
      <c r="M854" s="1159"/>
      <c r="N854" s="998" t="s">
        <v>2354</v>
      </c>
      <c r="O854" s="193">
        <v>1174</v>
      </c>
      <c r="P854" s="993"/>
    </row>
    <row r="855" spans="1:16" ht="22.5">
      <c r="A855" s="41">
        <v>5</v>
      </c>
      <c r="B855" s="54"/>
      <c r="C855" s="54"/>
      <c r="D855" s="1166"/>
      <c r="E855" s="41">
        <v>7</v>
      </c>
      <c r="F855" s="41" t="s">
        <v>951</v>
      </c>
      <c r="G855" s="41" t="s">
        <v>193</v>
      </c>
      <c r="H855" s="43">
        <f>2207.1-150-20</f>
        <v>2037.1</v>
      </c>
      <c r="I855" s="44">
        <f>2200-12</f>
        <v>2188</v>
      </c>
      <c r="J855" s="422">
        <v>2200</v>
      </c>
      <c r="K855" s="422">
        <v>2200</v>
      </c>
      <c r="L855" s="179" t="s">
        <v>262</v>
      </c>
      <c r="M855" s="1160"/>
      <c r="N855" s="998" t="s">
        <v>2355</v>
      </c>
      <c r="O855" s="193">
        <v>100</v>
      </c>
      <c r="P855" s="993"/>
    </row>
    <row r="856" spans="1:16">
      <c r="A856" s="41">
        <v>5</v>
      </c>
      <c r="B856" s="54"/>
      <c r="C856" s="54"/>
      <c r="D856" s="1162"/>
      <c r="E856" s="41">
        <v>7</v>
      </c>
      <c r="F856" s="41" t="s">
        <v>951</v>
      </c>
      <c r="G856" s="59" t="s">
        <v>197</v>
      </c>
      <c r="H856" s="43">
        <v>9.1999999999999993</v>
      </c>
      <c r="I856" s="44"/>
      <c r="J856" s="422"/>
      <c r="K856" s="422"/>
      <c r="L856" s="179"/>
      <c r="M856" s="459"/>
      <c r="N856" s="764"/>
      <c r="O856" s="178"/>
      <c r="P856" s="993"/>
    </row>
    <row r="857" spans="1:16">
      <c r="A857" s="41">
        <v>5</v>
      </c>
      <c r="B857" s="54"/>
      <c r="C857" s="54"/>
      <c r="D857" s="40"/>
      <c r="E857" s="41"/>
      <c r="F857" s="41" t="s">
        <v>951</v>
      </c>
      <c r="G857" s="197" t="s">
        <v>459</v>
      </c>
      <c r="H857" s="53">
        <f t="shared" ref="H857:K857" si="189">SUM(H853:H856)</f>
        <v>4170.3</v>
      </c>
      <c r="I857" s="53">
        <f t="shared" si="189"/>
        <v>4138</v>
      </c>
      <c r="J857" s="53">
        <f t="shared" si="189"/>
        <v>4770</v>
      </c>
      <c r="K857" s="53">
        <f t="shared" si="189"/>
        <v>5027</v>
      </c>
      <c r="L857" s="179"/>
      <c r="M857" s="75"/>
      <c r="N857" s="764"/>
      <c r="O857" s="178"/>
      <c r="P857" s="993"/>
    </row>
    <row r="858" spans="1:16" ht="33.75">
      <c r="A858" s="41">
        <v>5</v>
      </c>
      <c r="B858" s="54"/>
      <c r="C858" s="54" t="s">
        <v>952</v>
      </c>
      <c r="D858" s="1161" t="s">
        <v>953</v>
      </c>
      <c r="E858" s="41">
        <v>7</v>
      </c>
      <c r="F858" s="41" t="s">
        <v>954</v>
      </c>
      <c r="G858" s="41" t="s">
        <v>193</v>
      </c>
      <c r="H858" s="43">
        <v>38.799999999999997</v>
      </c>
      <c r="I858" s="44">
        <v>40</v>
      </c>
      <c r="J858" s="42">
        <v>40</v>
      </c>
      <c r="K858" s="42">
        <v>40</v>
      </c>
      <c r="L858" s="354" t="s">
        <v>262</v>
      </c>
      <c r="M858" s="927" t="s">
        <v>1994</v>
      </c>
      <c r="N858" s="998" t="s">
        <v>2356</v>
      </c>
      <c r="O858" s="193">
        <v>4</v>
      </c>
      <c r="P858" s="993"/>
    </row>
    <row r="859" spans="1:16" ht="33.75">
      <c r="A859" s="41">
        <v>5</v>
      </c>
      <c r="B859" s="54"/>
      <c r="C859" s="54"/>
      <c r="D859" s="1162"/>
      <c r="E859" s="41">
        <v>7</v>
      </c>
      <c r="F859" s="41" t="s">
        <v>954</v>
      </c>
      <c r="G859" s="41" t="s">
        <v>195</v>
      </c>
      <c r="H859" s="43">
        <v>40.1</v>
      </c>
      <c r="I859" s="44">
        <v>41.6</v>
      </c>
      <c r="J859" s="42">
        <v>41.6</v>
      </c>
      <c r="K859" s="42">
        <v>41.6</v>
      </c>
      <c r="L859" s="179"/>
      <c r="M859" s="927" t="s">
        <v>1994</v>
      </c>
      <c r="N859" s="998" t="s">
        <v>2357</v>
      </c>
      <c r="O859" s="193">
        <v>96</v>
      </c>
      <c r="P859" s="993"/>
    </row>
    <row r="860" spans="1:16">
      <c r="A860" s="189">
        <v>5</v>
      </c>
      <c r="B860" s="54"/>
      <c r="C860" s="54"/>
      <c r="D860" s="40"/>
      <c r="E860" s="41"/>
      <c r="F860" s="41" t="s">
        <v>954</v>
      </c>
      <c r="G860" s="197" t="s">
        <v>459</v>
      </c>
      <c r="H860" s="53">
        <f t="shared" ref="H860:K860" si="190">SUM(H858:H859)</f>
        <v>78.900000000000006</v>
      </c>
      <c r="I860" s="53">
        <f t="shared" si="190"/>
        <v>81.599999999999994</v>
      </c>
      <c r="J860" s="53">
        <f t="shared" si="190"/>
        <v>81.599999999999994</v>
      </c>
      <c r="K860" s="53">
        <f t="shared" si="190"/>
        <v>81.599999999999994</v>
      </c>
      <c r="L860" s="179"/>
      <c r="M860" s="927" t="s">
        <v>1994</v>
      </c>
      <c r="N860" s="998" t="s">
        <v>2347</v>
      </c>
      <c r="O860" s="193">
        <v>4</v>
      </c>
      <c r="P860" s="993"/>
    </row>
    <row r="861" spans="1:16" ht="33.75">
      <c r="A861" s="41">
        <v>5</v>
      </c>
      <c r="B861" s="54"/>
      <c r="C861" s="54" t="s">
        <v>955</v>
      </c>
      <c r="D861" s="40" t="s">
        <v>956</v>
      </c>
      <c r="E861" s="41">
        <v>7</v>
      </c>
      <c r="F861" s="41" t="s">
        <v>957</v>
      </c>
      <c r="G861" s="41" t="s">
        <v>193</v>
      </c>
      <c r="H861" s="43">
        <v>45</v>
      </c>
      <c r="I861" s="44">
        <v>45</v>
      </c>
      <c r="J861" s="43">
        <v>45</v>
      </c>
      <c r="K861" s="43">
        <v>45</v>
      </c>
      <c r="L861" s="179" t="s">
        <v>262</v>
      </c>
      <c r="M861" s="927" t="s">
        <v>1994</v>
      </c>
      <c r="N861" s="930" t="s">
        <v>2344</v>
      </c>
      <c r="O861" s="193">
        <v>521</v>
      </c>
      <c r="P861" s="993"/>
    </row>
    <row r="862" spans="1:16">
      <c r="A862" s="41">
        <v>5</v>
      </c>
      <c r="B862" s="54"/>
      <c r="C862" s="54"/>
      <c r="D862" s="40"/>
      <c r="E862" s="41"/>
      <c r="F862" s="41" t="s">
        <v>957</v>
      </c>
      <c r="G862" s="197" t="s">
        <v>459</v>
      </c>
      <c r="H862" s="53">
        <f t="shared" ref="H862:K862" si="191">SUM(H861)</f>
        <v>45</v>
      </c>
      <c r="I862" s="53">
        <f t="shared" si="191"/>
        <v>45</v>
      </c>
      <c r="J862" s="53">
        <f t="shared" si="191"/>
        <v>45</v>
      </c>
      <c r="K862" s="53">
        <f t="shared" si="191"/>
        <v>45</v>
      </c>
      <c r="L862" s="179"/>
      <c r="M862" s="75"/>
      <c r="N862" s="764"/>
      <c r="O862" s="178"/>
      <c r="P862" s="993"/>
    </row>
    <row r="863" spans="1:16" ht="22.5">
      <c r="A863" s="41">
        <v>5</v>
      </c>
      <c r="B863" s="54"/>
      <c r="C863" s="54" t="s">
        <v>958</v>
      </c>
      <c r="D863" s="40" t="s">
        <v>959</v>
      </c>
      <c r="E863" s="41">
        <v>7</v>
      </c>
      <c r="F863" s="41" t="s">
        <v>960</v>
      </c>
      <c r="G863" s="41" t="s">
        <v>193</v>
      </c>
      <c r="H863" s="43">
        <v>0.2</v>
      </c>
      <c r="I863" s="44">
        <v>2</v>
      </c>
      <c r="J863" s="43">
        <v>2</v>
      </c>
      <c r="K863" s="43">
        <v>2</v>
      </c>
      <c r="L863" s="179" t="s">
        <v>262</v>
      </c>
      <c r="M863" s="927" t="s">
        <v>1994</v>
      </c>
      <c r="N863" s="998" t="s">
        <v>2250</v>
      </c>
      <c r="O863" s="1000">
        <v>100</v>
      </c>
      <c r="P863" s="993"/>
    </row>
    <row r="864" spans="1:16">
      <c r="A864" s="41">
        <v>5</v>
      </c>
      <c r="B864" s="54"/>
      <c r="C864" s="54"/>
      <c r="D864" s="40"/>
      <c r="E864" s="41"/>
      <c r="F864" s="41" t="s">
        <v>960</v>
      </c>
      <c r="G864" s="197" t="s">
        <v>459</v>
      </c>
      <c r="H864" s="53">
        <f t="shared" ref="H864:K864" si="192">SUM(H863)</f>
        <v>0.2</v>
      </c>
      <c r="I864" s="53">
        <f t="shared" si="192"/>
        <v>2</v>
      </c>
      <c r="J864" s="53">
        <f t="shared" si="192"/>
        <v>2</v>
      </c>
      <c r="K864" s="53">
        <f t="shared" si="192"/>
        <v>2</v>
      </c>
      <c r="L864" s="179"/>
      <c r="M864" s="75"/>
      <c r="N864" s="764"/>
      <c r="O864" s="178"/>
      <c r="P864" s="993"/>
    </row>
    <row r="865" spans="1:16" ht="22.5">
      <c r="A865" s="41">
        <v>5</v>
      </c>
      <c r="B865" s="54"/>
      <c r="C865" s="54" t="s">
        <v>961</v>
      </c>
      <c r="D865" s="40" t="s">
        <v>962</v>
      </c>
      <c r="E865" s="41">
        <v>7</v>
      </c>
      <c r="F865" s="41" t="s">
        <v>963</v>
      </c>
      <c r="G865" s="41" t="s">
        <v>193</v>
      </c>
      <c r="H865" s="43">
        <v>107.1</v>
      </c>
      <c r="I865" s="44">
        <v>122.1</v>
      </c>
      <c r="J865" s="43">
        <v>122.1</v>
      </c>
      <c r="K865" s="43">
        <v>122.1</v>
      </c>
      <c r="L865" s="179" t="s">
        <v>262</v>
      </c>
      <c r="M865" s="930" t="s">
        <v>2329</v>
      </c>
      <c r="N865" s="998" t="s">
        <v>2250</v>
      </c>
      <c r="O865" s="193">
        <v>100</v>
      </c>
      <c r="P865" s="993"/>
    </row>
    <row r="866" spans="1:16">
      <c r="A866" s="41">
        <v>5</v>
      </c>
      <c r="B866" s="54"/>
      <c r="C866" s="54"/>
      <c r="D866" s="40"/>
      <c r="E866" s="41" t="s">
        <v>31</v>
      </c>
      <c r="F866" s="41" t="s">
        <v>963</v>
      </c>
      <c r="G866" s="41" t="s">
        <v>193</v>
      </c>
      <c r="H866" s="43">
        <v>40.299999999999997</v>
      </c>
      <c r="I866" s="44">
        <v>41.4</v>
      </c>
      <c r="J866" s="43">
        <v>41.4</v>
      </c>
      <c r="K866" s="43">
        <v>41.4</v>
      </c>
      <c r="L866" s="179" t="s">
        <v>262</v>
      </c>
      <c r="M866" s="930" t="s">
        <v>2329</v>
      </c>
      <c r="N866" s="998" t="s">
        <v>2344</v>
      </c>
      <c r="O866" s="193">
        <v>112</v>
      </c>
      <c r="P866" s="993"/>
    </row>
    <row r="867" spans="1:16">
      <c r="A867" s="41">
        <v>5</v>
      </c>
      <c r="B867" s="54"/>
      <c r="C867" s="54"/>
      <c r="D867" s="40"/>
      <c r="E867" s="41" t="s">
        <v>33</v>
      </c>
      <c r="F867" s="41" t="s">
        <v>963</v>
      </c>
      <c r="G867" s="41" t="s">
        <v>193</v>
      </c>
      <c r="H867" s="43">
        <v>57.1</v>
      </c>
      <c r="I867" s="44">
        <v>62.3</v>
      </c>
      <c r="J867" s="43">
        <v>62.3</v>
      </c>
      <c r="K867" s="43">
        <v>62.3</v>
      </c>
      <c r="L867" s="179" t="s">
        <v>262</v>
      </c>
      <c r="M867" s="930"/>
      <c r="N867" s="930"/>
      <c r="O867" s="193"/>
      <c r="P867" s="993"/>
    </row>
    <row r="868" spans="1:16">
      <c r="A868" s="189">
        <v>5</v>
      </c>
      <c r="B868" s="54"/>
      <c r="C868" s="54"/>
      <c r="D868" s="40"/>
      <c r="E868" s="41">
        <v>7</v>
      </c>
      <c r="F868" s="41" t="s">
        <v>963</v>
      </c>
      <c r="G868" s="41" t="s">
        <v>195</v>
      </c>
      <c r="H868" s="43">
        <v>94.7</v>
      </c>
      <c r="I868" s="44">
        <v>102</v>
      </c>
      <c r="J868" s="43">
        <v>118.9</v>
      </c>
      <c r="K868" s="43">
        <v>118.9</v>
      </c>
      <c r="L868" s="179"/>
      <c r="M868" s="930"/>
      <c r="N868" s="930"/>
      <c r="O868" s="193"/>
      <c r="P868" s="993"/>
    </row>
    <row r="869" spans="1:16">
      <c r="A869" s="41">
        <v>5</v>
      </c>
      <c r="B869" s="54"/>
      <c r="C869" s="54"/>
      <c r="D869" s="40"/>
      <c r="E869" s="41">
        <v>7</v>
      </c>
      <c r="F869" s="41" t="s">
        <v>963</v>
      </c>
      <c r="G869" s="41" t="s">
        <v>197</v>
      </c>
      <c r="H869" s="43"/>
      <c r="I869" s="44"/>
      <c r="J869" s="43"/>
      <c r="K869" s="43"/>
      <c r="L869" s="179"/>
      <c r="M869" s="930"/>
      <c r="N869" s="930"/>
      <c r="O869" s="193"/>
      <c r="P869" s="993"/>
    </row>
    <row r="870" spans="1:16">
      <c r="A870" s="41">
        <v>5</v>
      </c>
      <c r="B870" s="54"/>
      <c r="C870" s="54"/>
      <c r="D870" s="40"/>
      <c r="E870" s="41" t="s">
        <v>31</v>
      </c>
      <c r="F870" s="41" t="s">
        <v>963</v>
      </c>
      <c r="G870" s="41" t="s">
        <v>195</v>
      </c>
      <c r="H870" s="43">
        <v>7.9</v>
      </c>
      <c r="I870" s="44">
        <v>8</v>
      </c>
      <c r="J870" s="43">
        <v>7.9</v>
      </c>
      <c r="K870" s="43">
        <v>7.9</v>
      </c>
      <c r="L870" s="179"/>
      <c r="M870" s="930"/>
      <c r="N870" s="930"/>
      <c r="O870" s="263"/>
      <c r="P870" s="993"/>
    </row>
    <row r="871" spans="1:16">
      <c r="A871" s="41">
        <v>5</v>
      </c>
      <c r="B871" s="54"/>
      <c r="C871" s="54"/>
      <c r="D871" s="40"/>
      <c r="E871" s="41" t="s">
        <v>33</v>
      </c>
      <c r="F871" s="41" t="s">
        <v>963</v>
      </c>
      <c r="G871" s="41" t="s">
        <v>195</v>
      </c>
      <c r="H871" s="43">
        <v>8.8000000000000007</v>
      </c>
      <c r="I871" s="44">
        <v>8.9</v>
      </c>
      <c r="J871" s="43">
        <v>8.8000000000000007</v>
      </c>
      <c r="K871" s="43">
        <v>8.8000000000000007</v>
      </c>
      <c r="L871" s="179"/>
      <c r="M871" s="999"/>
      <c r="N871" s="999"/>
      <c r="O871" s="414"/>
      <c r="P871" s="993"/>
    </row>
    <row r="872" spans="1:16">
      <c r="A872" s="41">
        <v>5</v>
      </c>
      <c r="B872" s="54"/>
      <c r="C872" s="54"/>
      <c r="D872" s="40"/>
      <c r="E872" s="41"/>
      <c r="F872" s="41" t="s">
        <v>963</v>
      </c>
      <c r="G872" s="197" t="s">
        <v>459</v>
      </c>
      <c r="H872" s="53">
        <f t="shared" ref="H872:K872" si="193">SUM(H865:H871)</f>
        <v>315.89999999999998</v>
      </c>
      <c r="I872" s="53">
        <f t="shared" si="193"/>
        <v>344.7</v>
      </c>
      <c r="J872" s="53">
        <f t="shared" si="193"/>
        <v>361.40000000000003</v>
      </c>
      <c r="K872" s="53">
        <f t="shared" si="193"/>
        <v>361.40000000000003</v>
      </c>
      <c r="L872" s="179"/>
      <c r="M872" s="75"/>
      <c r="N872" s="764"/>
      <c r="O872" s="178"/>
      <c r="P872" s="993"/>
    </row>
    <row r="873" spans="1:16" ht="22.5">
      <c r="A873" s="41">
        <v>5</v>
      </c>
      <c r="B873" s="54"/>
      <c r="C873" s="54" t="s">
        <v>964</v>
      </c>
      <c r="D873" s="40" t="s">
        <v>965</v>
      </c>
      <c r="E873" s="41">
        <v>7</v>
      </c>
      <c r="F873" s="41" t="s">
        <v>966</v>
      </c>
      <c r="G873" s="415" t="s">
        <v>195</v>
      </c>
      <c r="H873" s="43">
        <v>276.8</v>
      </c>
      <c r="I873" s="44">
        <v>265.3</v>
      </c>
      <c r="J873" s="43">
        <v>265.3</v>
      </c>
      <c r="K873" s="43">
        <v>265.3</v>
      </c>
      <c r="L873" s="179"/>
      <c r="M873" s="927" t="s">
        <v>2513</v>
      </c>
      <c r="N873" s="998" t="s">
        <v>2250</v>
      </c>
      <c r="O873" s="193">
        <v>100</v>
      </c>
      <c r="P873" s="993"/>
    </row>
    <row r="874" spans="1:16">
      <c r="A874" s="41">
        <v>5</v>
      </c>
      <c r="B874" s="54"/>
      <c r="C874" s="54"/>
      <c r="D874" s="40"/>
      <c r="E874" s="41" t="s">
        <v>29</v>
      </c>
      <c r="F874" s="41" t="s">
        <v>966</v>
      </c>
      <c r="G874" s="41" t="s">
        <v>193</v>
      </c>
      <c r="H874" s="43">
        <v>20</v>
      </c>
      <c r="I874" s="44">
        <v>20</v>
      </c>
      <c r="J874" s="84">
        <v>20</v>
      </c>
      <c r="K874" s="84">
        <v>20</v>
      </c>
      <c r="L874" s="179" t="s">
        <v>274</v>
      </c>
      <c r="M874" s="927" t="s">
        <v>2513</v>
      </c>
      <c r="N874" s="998" t="s">
        <v>2344</v>
      </c>
      <c r="O874" s="193">
        <v>39</v>
      </c>
      <c r="P874" s="993"/>
    </row>
    <row r="875" spans="1:16">
      <c r="A875" s="41">
        <v>5</v>
      </c>
      <c r="B875" s="54"/>
      <c r="C875" s="54"/>
      <c r="D875" s="40"/>
      <c r="E875" s="41">
        <v>7</v>
      </c>
      <c r="F875" s="41" t="s">
        <v>966</v>
      </c>
      <c r="G875" s="41" t="s">
        <v>197</v>
      </c>
      <c r="H875" s="43">
        <v>12.7</v>
      </c>
      <c r="I875" s="44"/>
      <c r="J875" s="42"/>
      <c r="K875" s="42"/>
      <c r="L875" s="179"/>
      <c r="M875" s="999"/>
      <c r="N875" s="999"/>
      <c r="O875" s="414"/>
      <c r="P875" s="993"/>
    </row>
    <row r="876" spans="1:16">
      <c r="A876" s="189">
        <v>5</v>
      </c>
      <c r="B876" s="54"/>
      <c r="C876" s="54"/>
      <c r="D876" s="40"/>
      <c r="E876" s="41">
        <v>7</v>
      </c>
      <c r="F876" s="41" t="s">
        <v>966</v>
      </c>
      <c r="G876" s="197" t="s">
        <v>459</v>
      </c>
      <c r="H876" s="53">
        <f t="shared" ref="H876:K876" si="194">SUM(H873:H875)</f>
        <v>309.5</v>
      </c>
      <c r="I876" s="53">
        <f t="shared" si="194"/>
        <v>285.3</v>
      </c>
      <c r="J876" s="53">
        <f t="shared" si="194"/>
        <v>285.3</v>
      </c>
      <c r="K876" s="53">
        <f t="shared" si="194"/>
        <v>285.3</v>
      </c>
      <c r="L876" s="179"/>
      <c r="M876" s="75"/>
      <c r="N876" s="764"/>
      <c r="O876" s="178"/>
      <c r="P876" s="993"/>
    </row>
    <row r="877" spans="1:16" ht="22.5">
      <c r="A877" s="41">
        <v>5</v>
      </c>
      <c r="B877" s="54"/>
      <c r="C877" s="54" t="s">
        <v>967</v>
      </c>
      <c r="D877" s="40" t="s">
        <v>968</v>
      </c>
      <c r="E877" s="41">
        <v>7</v>
      </c>
      <c r="F877" s="41" t="s">
        <v>969</v>
      </c>
      <c r="G877" s="41" t="s">
        <v>267</v>
      </c>
      <c r="H877" s="43">
        <v>4.5</v>
      </c>
      <c r="I877" s="44">
        <f>200.4-50.1</f>
        <v>150.30000000000001</v>
      </c>
      <c r="J877" s="43">
        <v>66.8</v>
      </c>
      <c r="K877" s="43">
        <v>63.5</v>
      </c>
      <c r="L877" s="179"/>
      <c r="M877" s="999" t="s">
        <v>2329</v>
      </c>
      <c r="N877" s="999" t="s">
        <v>2250</v>
      </c>
      <c r="O877" s="414">
        <v>100</v>
      </c>
      <c r="P877" s="993"/>
    </row>
    <row r="878" spans="1:16">
      <c r="A878" s="41">
        <v>5</v>
      </c>
      <c r="B878" s="54"/>
      <c r="C878" s="54"/>
      <c r="D878" s="40"/>
      <c r="E878" s="41">
        <v>7</v>
      </c>
      <c r="F878" s="41" t="s">
        <v>969</v>
      </c>
      <c r="G878" s="59" t="s">
        <v>269</v>
      </c>
      <c r="H878" s="43"/>
      <c r="I878" s="44">
        <v>50.1</v>
      </c>
      <c r="J878" s="43"/>
      <c r="K878" s="43"/>
      <c r="L878" s="179"/>
      <c r="M878" s="75"/>
      <c r="N878" s="764"/>
      <c r="O878" s="178"/>
      <c r="P878" s="993"/>
    </row>
    <row r="879" spans="1:16">
      <c r="A879" s="41">
        <v>5</v>
      </c>
      <c r="B879" s="54"/>
      <c r="C879" s="54"/>
      <c r="D879" s="40"/>
      <c r="E879" s="41">
        <v>7</v>
      </c>
      <c r="F879" s="41" t="s">
        <v>969</v>
      </c>
      <c r="G879" s="197" t="s">
        <v>459</v>
      </c>
      <c r="H879" s="53">
        <f>SUM(H877:H878)</f>
        <v>4.5</v>
      </c>
      <c r="I879" s="53">
        <f t="shared" ref="I879:K879" si="195">SUM(I877:I878)</f>
        <v>200.4</v>
      </c>
      <c r="J879" s="53">
        <f t="shared" si="195"/>
        <v>66.8</v>
      </c>
      <c r="K879" s="53">
        <f t="shared" si="195"/>
        <v>63.5</v>
      </c>
      <c r="L879" s="179"/>
      <c r="M879" s="196"/>
      <c r="N879" s="196"/>
      <c r="O879" s="196"/>
      <c r="P879" s="364"/>
    </row>
    <row r="880" spans="1:16">
      <c r="A880" s="41">
        <v>5</v>
      </c>
      <c r="B880" s="54"/>
      <c r="C880" s="54" t="s">
        <v>970</v>
      </c>
      <c r="D880" s="40" t="s">
        <v>971</v>
      </c>
      <c r="E880" s="41">
        <v>7</v>
      </c>
      <c r="F880" s="41" t="s">
        <v>972</v>
      </c>
      <c r="G880" s="41" t="s">
        <v>193</v>
      </c>
      <c r="H880" s="43">
        <v>50</v>
      </c>
      <c r="I880" s="44">
        <f>50+12</f>
        <v>62</v>
      </c>
      <c r="J880" s="43">
        <v>50</v>
      </c>
      <c r="K880" s="43">
        <v>50</v>
      </c>
      <c r="L880" s="179" t="s">
        <v>268</v>
      </c>
      <c r="M880" s="999" t="s">
        <v>1994</v>
      </c>
      <c r="N880" s="999" t="s">
        <v>2344</v>
      </c>
      <c r="O880" s="414">
        <v>10</v>
      </c>
      <c r="P880" s="993"/>
    </row>
    <row r="881" spans="1:16">
      <c r="A881" s="41">
        <v>5</v>
      </c>
      <c r="B881" s="54"/>
      <c r="C881" s="54"/>
      <c r="D881" s="40"/>
      <c r="E881" s="41">
        <v>7</v>
      </c>
      <c r="F881" s="41" t="s">
        <v>972</v>
      </c>
      <c r="G881" s="41" t="s">
        <v>267</v>
      </c>
      <c r="H881" s="43"/>
      <c r="I881" s="44">
        <v>50</v>
      </c>
      <c r="J881" s="43">
        <v>50</v>
      </c>
      <c r="K881" s="43">
        <v>50</v>
      </c>
      <c r="L881" s="179"/>
      <c r="M881" s="999"/>
      <c r="N881" s="999"/>
      <c r="O881" s="414"/>
      <c r="P881" s="993"/>
    </row>
    <row r="882" spans="1:16">
      <c r="A882" s="41">
        <v>5</v>
      </c>
      <c r="B882" s="54"/>
      <c r="C882" s="54"/>
      <c r="D882" s="40"/>
      <c r="E882" s="41">
        <v>7</v>
      </c>
      <c r="F882" s="41" t="s">
        <v>972</v>
      </c>
      <c r="G882" s="197" t="s">
        <v>459</v>
      </c>
      <c r="H882" s="53">
        <f t="shared" ref="H882:K882" si="196">SUM(H880:H881)</f>
        <v>50</v>
      </c>
      <c r="I882" s="53">
        <f t="shared" si="196"/>
        <v>112</v>
      </c>
      <c r="J882" s="53">
        <f t="shared" si="196"/>
        <v>100</v>
      </c>
      <c r="K882" s="53">
        <f t="shared" si="196"/>
        <v>100</v>
      </c>
      <c r="L882" s="179"/>
      <c r="M882" s="75"/>
      <c r="N882" s="764"/>
      <c r="O882" s="178"/>
      <c r="P882" s="993"/>
    </row>
    <row r="883" spans="1:16">
      <c r="A883" s="41">
        <v>5</v>
      </c>
      <c r="B883" s="54"/>
      <c r="C883" s="54" t="s">
        <v>973</v>
      </c>
      <c r="D883" s="40" t="s">
        <v>974</v>
      </c>
      <c r="E883" s="41">
        <v>7</v>
      </c>
      <c r="F883" s="41" t="s">
        <v>975</v>
      </c>
      <c r="G883" s="41" t="s">
        <v>193</v>
      </c>
      <c r="H883" s="43">
        <v>29.9</v>
      </c>
      <c r="I883" s="44">
        <v>10</v>
      </c>
      <c r="J883" s="43"/>
      <c r="K883" s="43"/>
      <c r="L883" s="179" t="s">
        <v>385</v>
      </c>
      <c r="M883" s="999" t="s">
        <v>2329</v>
      </c>
      <c r="N883" s="999" t="s">
        <v>2358</v>
      </c>
      <c r="O883" s="414">
        <v>455</v>
      </c>
      <c r="P883" s="993"/>
    </row>
    <row r="884" spans="1:16">
      <c r="A884" s="41">
        <v>5</v>
      </c>
      <c r="B884" s="54"/>
      <c r="C884" s="54"/>
      <c r="D884" s="40"/>
      <c r="E884" s="41" t="s">
        <v>27</v>
      </c>
      <c r="F884" s="41" t="s">
        <v>975</v>
      </c>
      <c r="G884" s="41" t="s">
        <v>193</v>
      </c>
      <c r="H884" s="43">
        <v>111.3</v>
      </c>
      <c r="I884" s="44">
        <v>156.80000000000001</v>
      </c>
      <c r="J884" s="86">
        <v>163.19999999999999</v>
      </c>
      <c r="K884" s="86">
        <v>170.1</v>
      </c>
      <c r="L884" s="179" t="s">
        <v>385</v>
      </c>
      <c r="M884" s="75"/>
      <c r="N884" s="764"/>
      <c r="O884" s="178"/>
      <c r="P884" s="993"/>
    </row>
    <row r="885" spans="1:16">
      <c r="A885" s="189">
        <v>5</v>
      </c>
      <c r="B885" s="54"/>
      <c r="C885" s="54"/>
      <c r="D885" s="40"/>
      <c r="E885" s="41" t="s">
        <v>29</v>
      </c>
      <c r="F885" s="41" t="s">
        <v>975</v>
      </c>
      <c r="G885" s="41" t="s">
        <v>193</v>
      </c>
      <c r="H885" s="43">
        <v>18</v>
      </c>
      <c r="I885" s="44">
        <v>18</v>
      </c>
      <c r="J885" s="84">
        <v>18</v>
      </c>
      <c r="K885" s="84">
        <v>18</v>
      </c>
      <c r="L885" s="179" t="s">
        <v>385</v>
      </c>
      <c r="M885" s="75"/>
      <c r="N885" s="764"/>
      <c r="O885" s="178"/>
      <c r="P885" s="993"/>
    </row>
    <row r="886" spans="1:16">
      <c r="A886" s="41">
        <v>5</v>
      </c>
      <c r="B886" s="54"/>
      <c r="C886" s="54"/>
      <c r="D886" s="40"/>
      <c r="E886" s="41">
        <v>7</v>
      </c>
      <c r="F886" s="41" t="s">
        <v>975</v>
      </c>
      <c r="G886" s="197" t="s">
        <v>459</v>
      </c>
      <c r="H886" s="53">
        <f>SUM(H883:H885)</f>
        <v>159.19999999999999</v>
      </c>
      <c r="I886" s="53">
        <f t="shared" ref="I886:K886" si="197">SUM(I883:I885)</f>
        <v>184.8</v>
      </c>
      <c r="J886" s="53">
        <f t="shared" si="197"/>
        <v>181.2</v>
      </c>
      <c r="K886" s="53">
        <f t="shared" si="197"/>
        <v>188.1</v>
      </c>
      <c r="L886" s="179" t="s">
        <v>385</v>
      </c>
      <c r="M886" s="75"/>
      <c r="N886" s="764"/>
      <c r="O886" s="178"/>
      <c r="P886" s="993"/>
    </row>
    <row r="887" spans="1:16" ht="26.45" customHeight="1">
      <c r="A887" s="41">
        <v>5</v>
      </c>
      <c r="B887" s="411" t="s">
        <v>976</v>
      </c>
      <c r="C887" s="411" t="s">
        <v>976</v>
      </c>
      <c r="D887" s="412" t="s">
        <v>977</v>
      </c>
      <c r="E887" s="41"/>
      <c r="F887" s="41"/>
      <c r="G887" s="86"/>
      <c r="H887" s="85">
        <f>SUM(H895,H898,H901,H905,H908,H911,H914,H918,H921)</f>
        <v>247</v>
      </c>
      <c r="I887" s="85">
        <f>SUM(I895,I898,I901,I905,I908,I911,I914,I918,I921)</f>
        <v>1564.9</v>
      </c>
      <c r="J887" s="85">
        <f>SUM(J895,J898,J901,J905,J908,J911,J914,J918,J921)</f>
        <v>7880.9999999999991</v>
      </c>
      <c r="K887" s="85">
        <f>SUM(K895,K898,K901,K905,K908,K911,K914,K918,K921)</f>
        <v>8329.5</v>
      </c>
      <c r="L887" s="179"/>
      <c r="M887" s="75"/>
      <c r="N887" s="764"/>
      <c r="O887" s="178"/>
      <c r="P887" s="993"/>
    </row>
    <row r="888" spans="1:16" ht="22.5">
      <c r="A888" s="41">
        <v>5</v>
      </c>
      <c r="B888" s="54"/>
      <c r="C888" s="54" t="s">
        <v>978</v>
      </c>
      <c r="D888" s="40" t="s">
        <v>979</v>
      </c>
      <c r="E888" s="41">
        <v>7</v>
      </c>
      <c r="F888" s="41" t="s">
        <v>980</v>
      </c>
      <c r="G888" s="41" t="s">
        <v>193</v>
      </c>
      <c r="H888" s="43">
        <v>83.7</v>
      </c>
      <c r="I888" s="44">
        <v>90</v>
      </c>
      <c r="J888" s="43">
        <v>90</v>
      </c>
      <c r="K888" s="43">
        <v>90</v>
      </c>
      <c r="L888" s="179" t="s">
        <v>274</v>
      </c>
      <c r="M888" s="927" t="s">
        <v>2514</v>
      </c>
      <c r="N888" s="927" t="s">
        <v>2359</v>
      </c>
      <c r="O888" s="193">
        <v>3</v>
      </c>
      <c r="P888" s="993"/>
    </row>
    <row r="889" spans="1:16" ht="22.5">
      <c r="A889" s="41">
        <v>5</v>
      </c>
      <c r="B889" s="54"/>
      <c r="C889" s="54"/>
      <c r="D889" s="40"/>
      <c r="E889" s="41">
        <v>7</v>
      </c>
      <c r="F889" s="41" t="s">
        <v>980</v>
      </c>
      <c r="G889" s="41" t="s">
        <v>196</v>
      </c>
      <c r="H889" s="43">
        <v>20.3</v>
      </c>
      <c r="I889" s="44">
        <v>26</v>
      </c>
      <c r="J889" s="425">
        <v>26</v>
      </c>
      <c r="K889" s="425">
        <v>26</v>
      </c>
      <c r="L889" s="179"/>
      <c r="M889" s="927" t="s">
        <v>2514</v>
      </c>
      <c r="N889" s="927" t="s">
        <v>2360</v>
      </c>
      <c r="O889" s="193">
        <v>5</v>
      </c>
      <c r="P889" s="993"/>
    </row>
    <row r="890" spans="1:16">
      <c r="A890" s="41">
        <v>5</v>
      </c>
      <c r="B890" s="54"/>
      <c r="C890" s="54"/>
      <c r="D890" s="40"/>
      <c r="E890" s="41">
        <v>7</v>
      </c>
      <c r="F890" s="41" t="s">
        <v>980</v>
      </c>
      <c r="G890" s="41" t="s">
        <v>475</v>
      </c>
      <c r="H890" s="43"/>
      <c r="I890" s="44">
        <v>50.6</v>
      </c>
      <c r="J890" s="425">
        <v>50.6</v>
      </c>
      <c r="K890" s="425">
        <v>50.6</v>
      </c>
      <c r="L890" s="179"/>
      <c r="M890" s="43"/>
      <c r="N890" s="43"/>
      <c r="O890" s="43"/>
      <c r="P890" s="993"/>
    </row>
    <row r="891" spans="1:16">
      <c r="A891" s="41">
        <v>5</v>
      </c>
      <c r="B891" s="54"/>
      <c r="C891" s="54"/>
      <c r="D891" s="40"/>
      <c r="E891" s="41">
        <v>7</v>
      </c>
      <c r="F891" s="41" t="s">
        <v>980</v>
      </c>
      <c r="G891" s="41" t="s">
        <v>195</v>
      </c>
      <c r="H891" s="43"/>
      <c r="I891" s="44"/>
      <c r="J891" s="43"/>
      <c r="K891" s="43"/>
      <c r="L891" s="179"/>
      <c r="M891" s="999"/>
      <c r="N891" s="999"/>
      <c r="O891" s="414"/>
      <c r="P891" s="993"/>
    </row>
    <row r="892" spans="1:16">
      <c r="A892" s="41">
        <v>5</v>
      </c>
      <c r="B892" s="54"/>
      <c r="C892" s="54"/>
      <c r="D892" s="40"/>
      <c r="E892" s="41">
        <v>7</v>
      </c>
      <c r="F892" s="41" t="s">
        <v>980</v>
      </c>
      <c r="G892" s="41" t="s">
        <v>195</v>
      </c>
      <c r="H892" s="43">
        <v>3</v>
      </c>
      <c r="I892" s="44"/>
      <c r="J892" s="43"/>
      <c r="K892" s="43"/>
      <c r="L892" s="354"/>
      <c r="M892" s="75"/>
      <c r="N892" s="764"/>
      <c r="O892" s="178"/>
      <c r="P892" s="993"/>
    </row>
    <row r="893" spans="1:16">
      <c r="A893" s="189">
        <v>5</v>
      </c>
      <c r="B893" s="54"/>
      <c r="C893" s="54"/>
      <c r="D893" s="40"/>
      <c r="E893" s="41">
        <v>7</v>
      </c>
      <c r="F893" s="41" t="s">
        <v>980</v>
      </c>
      <c r="G893" s="59" t="s">
        <v>764</v>
      </c>
      <c r="H893" s="43">
        <v>7.3</v>
      </c>
      <c r="I893" s="44">
        <v>2.5</v>
      </c>
      <c r="J893" s="424"/>
      <c r="K893" s="424"/>
      <c r="L893" s="179"/>
      <c r="M893" s="75"/>
      <c r="N893" s="764"/>
      <c r="O893" s="178"/>
      <c r="P893" s="993"/>
    </row>
    <row r="894" spans="1:16">
      <c r="A894" s="41">
        <v>5</v>
      </c>
      <c r="B894" s="54"/>
      <c r="C894" s="54"/>
      <c r="D894" s="40"/>
      <c r="E894" s="41">
        <v>7</v>
      </c>
      <c r="F894" s="41" t="s">
        <v>980</v>
      </c>
      <c r="G894" s="41" t="s">
        <v>197</v>
      </c>
      <c r="H894" s="43">
        <v>17.8</v>
      </c>
      <c r="I894" s="44"/>
      <c r="J894" s="424"/>
      <c r="K894" s="424"/>
      <c r="L894" s="179"/>
      <c r="M894" s="999"/>
      <c r="N894" s="999"/>
      <c r="O894" s="414"/>
      <c r="P894" s="993"/>
    </row>
    <row r="895" spans="1:16">
      <c r="A895" s="41">
        <v>5</v>
      </c>
      <c r="B895" s="54"/>
      <c r="C895" s="54"/>
      <c r="D895" s="40"/>
      <c r="E895" s="41"/>
      <c r="F895" s="41" t="s">
        <v>980</v>
      </c>
      <c r="G895" s="197" t="s">
        <v>459</v>
      </c>
      <c r="H895" s="53">
        <f t="shared" ref="H895:K895" si="198">SUM(H888:H894)</f>
        <v>132.1</v>
      </c>
      <c r="I895" s="53">
        <f t="shared" si="198"/>
        <v>169.1</v>
      </c>
      <c r="J895" s="53">
        <f t="shared" si="198"/>
        <v>166.6</v>
      </c>
      <c r="K895" s="53">
        <f t="shared" si="198"/>
        <v>166.6</v>
      </c>
      <c r="L895" s="179"/>
      <c r="M895" s="999"/>
      <c r="N895" s="999"/>
      <c r="O895" s="414"/>
      <c r="P895" s="993"/>
    </row>
    <row r="896" spans="1:16">
      <c r="A896" s="41">
        <v>5</v>
      </c>
      <c r="B896" s="54"/>
      <c r="C896" s="54" t="s">
        <v>981</v>
      </c>
      <c r="D896" s="40" t="s">
        <v>982</v>
      </c>
      <c r="E896" s="41">
        <v>7</v>
      </c>
      <c r="F896" s="41" t="s">
        <v>983</v>
      </c>
      <c r="G896" s="196" t="s">
        <v>380</v>
      </c>
      <c r="H896" s="320"/>
      <c r="I896" s="44">
        <v>37.5</v>
      </c>
      <c r="J896" s="194">
        <v>233.7</v>
      </c>
      <c r="K896" s="194">
        <v>233.7</v>
      </c>
      <c r="L896" s="179" t="s">
        <v>268</v>
      </c>
      <c r="M896" s="999" t="s">
        <v>1939</v>
      </c>
      <c r="N896" s="930" t="s">
        <v>2361</v>
      </c>
      <c r="O896" s="193">
        <v>5</v>
      </c>
      <c r="P896" s="993"/>
    </row>
    <row r="897" spans="1:16">
      <c r="A897" s="41">
        <v>5</v>
      </c>
      <c r="B897" s="54"/>
      <c r="C897" s="54"/>
      <c r="D897" s="40"/>
      <c r="E897" s="41">
        <v>7</v>
      </c>
      <c r="F897" s="41" t="s">
        <v>983</v>
      </c>
      <c r="G897" s="196" t="s">
        <v>267</v>
      </c>
      <c r="H897" s="320">
        <v>73.900000000000006</v>
      </c>
      <c r="I897" s="44">
        <v>212.5</v>
      </c>
      <c r="J897" s="194">
        <v>1341.6</v>
      </c>
      <c r="K897" s="194">
        <v>1341.5</v>
      </c>
      <c r="L897" s="179"/>
      <c r="M897" s="999"/>
      <c r="N897" s="999"/>
      <c r="O897" s="414"/>
      <c r="P897" s="993"/>
    </row>
    <row r="898" spans="1:16">
      <c r="A898" s="41">
        <v>5</v>
      </c>
      <c r="B898" s="54"/>
      <c r="C898" s="54"/>
      <c r="D898" s="40"/>
      <c r="E898" s="54"/>
      <c r="F898" s="41"/>
      <c r="G898" s="197" t="s">
        <v>459</v>
      </c>
      <c r="H898" s="53">
        <f t="shared" ref="H898:K898" si="199">SUM(H896:H897)</f>
        <v>73.900000000000006</v>
      </c>
      <c r="I898" s="53">
        <f t="shared" si="199"/>
        <v>250</v>
      </c>
      <c r="J898" s="53">
        <f t="shared" si="199"/>
        <v>1575.3</v>
      </c>
      <c r="K898" s="53">
        <f t="shared" si="199"/>
        <v>1575.2</v>
      </c>
      <c r="L898" s="179"/>
      <c r="M898" s="999"/>
      <c r="N898" s="999"/>
      <c r="O898" s="414"/>
      <c r="P898" s="993"/>
    </row>
    <row r="899" spans="1:16">
      <c r="A899" s="41">
        <v>5</v>
      </c>
      <c r="B899" s="54"/>
      <c r="C899" s="54" t="s">
        <v>984</v>
      </c>
      <c r="D899" s="40" t="s">
        <v>985</v>
      </c>
      <c r="E899" s="41">
        <v>7</v>
      </c>
      <c r="F899" s="41" t="s">
        <v>986</v>
      </c>
      <c r="G899" s="196" t="s">
        <v>380</v>
      </c>
      <c r="H899" s="320"/>
      <c r="I899" s="321">
        <v>28.5</v>
      </c>
      <c r="J899" s="194">
        <v>40</v>
      </c>
      <c r="K899" s="194">
        <v>40</v>
      </c>
      <c r="L899" s="179" t="s">
        <v>268</v>
      </c>
      <c r="M899" s="75"/>
      <c r="N899" s="764"/>
      <c r="O899" s="178"/>
      <c r="P899" s="993"/>
    </row>
    <row r="900" spans="1:16">
      <c r="A900" s="41">
        <v>5</v>
      </c>
      <c r="B900" s="54"/>
      <c r="C900" s="54"/>
      <c r="D900" s="40"/>
      <c r="E900" s="41">
        <v>7</v>
      </c>
      <c r="F900" s="41" t="s">
        <v>986</v>
      </c>
      <c r="G900" s="196" t="s">
        <v>267</v>
      </c>
      <c r="H900" s="320"/>
      <c r="I900" s="321">
        <v>161.5</v>
      </c>
      <c r="J900" s="194">
        <v>226.7</v>
      </c>
      <c r="K900" s="194">
        <v>226.6</v>
      </c>
      <c r="L900" s="179"/>
      <c r="M900" s="999"/>
      <c r="N900" s="999"/>
      <c r="O900" s="414"/>
      <c r="P900" s="993"/>
    </row>
    <row r="901" spans="1:16">
      <c r="A901" s="189">
        <v>5</v>
      </c>
      <c r="B901" s="54"/>
      <c r="C901" s="54"/>
      <c r="D901" s="40"/>
      <c r="E901" s="54"/>
      <c r="F901" s="41"/>
      <c r="G901" s="197" t="s">
        <v>459</v>
      </c>
      <c r="H901" s="53">
        <f t="shared" ref="H901:K901" si="200">SUM(H899:H900)</f>
        <v>0</v>
      </c>
      <c r="I901" s="53">
        <f t="shared" si="200"/>
        <v>190</v>
      </c>
      <c r="J901" s="53">
        <f t="shared" si="200"/>
        <v>266.7</v>
      </c>
      <c r="K901" s="53">
        <f t="shared" si="200"/>
        <v>266.60000000000002</v>
      </c>
      <c r="L901" s="179"/>
      <c r="M901" s="999"/>
      <c r="N901" s="999"/>
      <c r="O901" s="414"/>
      <c r="P901" s="993"/>
    </row>
    <row r="902" spans="1:16" ht="22.15" customHeight="1">
      <c r="A902" s="41">
        <v>5</v>
      </c>
      <c r="B902" s="54"/>
      <c r="C902" s="54" t="s">
        <v>987</v>
      </c>
      <c r="D902" s="40" t="s">
        <v>988</v>
      </c>
      <c r="E902" s="41">
        <v>7</v>
      </c>
      <c r="F902" s="41" t="s">
        <v>989</v>
      </c>
      <c r="G902" s="196" t="s">
        <v>380</v>
      </c>
      <c r="H902" s="320"/>
      <c r="I902" s="321">
        <v>35.299999999999997</v>
      </c>
      <c r="J902" s="194"/>
      <c r="K902" s="194"/>
      <c r="L902" s="179" t="s">
        <v>268</v>
      </c>
      <c r="M902" s="999" t="s">
        <v>1939</v>
      </c>
      <c r="N902" s="999" t="s">
        <v>2362</v>
      </c>
      <c r="O902" s="414">
        <v>100</v>
      </c>
      <c r="P902" s="991" t="s">
        <v>275</v>
      </c>
    </row>
    <row r="903" spans="1:16">
      <c r="A903" s="41">
        <v>5</v>
      </c>
      <c r="B903" s="54"/>
      <c r="C903" s="54"/>
      <c r="D903" s="40"/>
      <c r="E903" s="41">
        <v>7</v>
      </c>
      <c r="F903" s="41" t="s">
        <v>989</v>
      </c>
      <c r="G903" s="196" t="s">
        <v>267</v>
      </c>
      <c r="H903" s="320"/>
      <c r="I903" s="321">
        <v>200</v>
      </c>
      <c r="J903" s="194"/>
      <c r="K903" s="194"/>
      <c r="L903" s="179"/>
      <c r="M903" s="999"/>
      <c r="N903" s="999"/>
      <c r="O903" s="414"/>
      <c r="P903" s="991" t="s">
        <v>275</v>
      </c>
    </row>
    <row r="904" spans="1:16">
      <c r="A904" s="41">
        <v>5</v>
      </c>
      <c r="B904" s="54"/>
      <c r="C904" s="54"/>
      <c r="D904" s="40"/>
      <c r="E904" s="41">
        <v>23</v>
      </c>
      <c r="F904" s="41" t="s">
        <v>989</v>
      </c>
      <c r="G904" s="193" t="s">
        <v>193</v>
      </c>
      <c r="H904" s="320">
        <v>17.5</v>
      </c>
      <c r="I904" s="321"/>
      <c r="J904" s="194"/>
      <c r="K904" s="194"/>
      <c r="L904" s="179"/>
      <c r="M904" s="999"/>
      <c r="N904" s="999"/>
      <c r="O904" s="414"/>
      <c r="P904" s="991" t="s">
        <v>275</v>
      </c>
    </row>
    <row r="905" spans="1:16">
      <c r="A905" s="41">
        <v>5</v>
      </c>
      <c r="B905" s="54"/>
      <c r="C905" s="54"/>
      <c r="D905" s="40"/>
      <c r="E905" s="54"/>
      <c r="F905" s="41"/>
      <c r="G905" s="197" t="s">
        <v>459</v>
      </c>
      <c r="H905" s="53">
        <f t="shared" ref="H905:K905" si="201">SUM(H902:H904)</f>
        <v>17.5</v>
      </c>
      <c r="I905" s="53">
        <f t="shared" si="201"/>
        <v>235.3</v>
      </c>
      <c r="J905" s="53">
        <f t="shared" si="201"/>
        <v>0</v>
      </c>
      <c r="K905" s="53">
        <f t="shared" si="201"/>
        <v>0</v>
      </c>
      <c r="L905" s="179"/>
      <c r="M905" s="75"/>
      <c r="N905" s="764"/>
      <c r="O905" s="178"/>
      <c r="P905" s="993"/>
    </row>
    <row r="906" spans="1:16">
      <c r="A906" s="41">
        <v>5</v>
      </c>
      <c r="B906" s="54"/>
      <c r="C906" s="54" t="s">
        <v>990</v>
      </c>
      <c r="D906" s="76" t="s">
        <v>991</v>
      </c>
      <c r="E906" s="41">
        <v>7</v>
      </c>
      <c r="F906" s="41" t="s">
        <v>992</v>
      </c>
      <c r="G906" s="196" t="s">
        <v>380</v>
      </c>
      <c r="H906" s="320"/>
      <c r="I906" s="321">
        <v>9</v>
      </c>
      <c r="J906" s="194">
        <v>13.1</v>
      </c>
      <c r="K906" s="194">
        <v>13.2</v>
      </c>
      <c r="L906" s="179" t="s">
        <v>268</v>
      </c>
      <c r="M906" s="999" t="s">
        <v>1939</v>
      </c>
      <c r="N906" s="999" t="s">
        <v>2362</v>
      </c>
      <c r="O906" s="414">
        <v>100</v>
      </c>
      <c r="P906" s="993"/>
    </row>
    <row r="907" spans="1:16">
      <c r="A907" s="41">
        <v>5</v>
      </c>
      <c r="B907" s="54"/>
      <c r="C907" s="54"/>
      <c r="D907" s="40"/>
      <c r="E907" s="41">
        <v>7</v>
      </c>
      <c r="F907" s="41" t="s">
        <v>992</v>
      </c>
      <c r="G907" s="196" t="s">
        <v>267</v>
      </c>
      <c r="H907" s="320"/>
      <c r="I907" s="321">
        <v>51</v>
      </c>
      <c r="J907" s="194">
        <v>74.5</v>
      </c>
      <c r="K907" s="194">
        <v>74.5</v>
      </c>
      <c r="L907" s="179"/>
      <c r="M907" s="930"/>
      <c r="N907" s="930"/>
      <c r="O907" s="193"/>
      <c r="P907" s="993"/>
    </row>
    <row r="908" spans="1:16">
      <c r="A908" s="41">
        <v>5</v>
      </c>
      <c r="B908" s="54"/>
      <c r="C908" s="54"/>
      <c r="D908" s="40"/>
      <c r="E908" s="54"/>
      <c r="F908" s="41"/>
      <c r="G908" s="197" t="s">
        <v>459</v>
      </c>
      <c r="H908" s="53">
        <f t="shared" ref="H908:K908" si="202">SUM(H906:H907)</f>
        <v>0</v>
      </c>
      <c r="I908" s="53">
        <f t="shared" si="202"/>
        <v>60</v>
      </c>
      <c r="J908" s="53">
        <f t="shared" si="202"/>
        <v>87.6</v>
      </c>
      <c r="K908" s="53">
        <f t="shared" si="202"/>
        <v>87.7</v>
      </c>
      <c r="L908" s="179"/>
      <c r="M908" s="999"/>
      <c r="N908" s="999"/>
      <c r="O908" s="414"/>
      <c r="P908" s="993"/>
    </row>
    <row r="909" spans="1:16" ht="22.5">
      <c r="A909" s="189">
        <v>5</v>
      </c>
      <c r="B909" s="54"/>
      <c r="C909" s="54" t="s">
        <v>993</v>
      </c>
      <c r="D909" s="40" t="s">
        <v>994</v>
      </c>
      <c r="E909" s="41">
        <v>7</v>
      </c>
      <c r="F909" s="41" t="s">
        <v>995</v>
      </c>
      <c r="G909" s="196" t="s">
        <v>380</v>
      </c>
      <c r="H909" s="320"/>
      <c r="I909" s="321">
        <v>80</v>
      </c>
      <c r="J909" s="320">
        <v>110</v>
      </c>
      <c r="K909" s="320">
        <v>163</v>
      </c>
      <c r="L909" s="179" t="s">
        <v>268</v>
      </c>
      <c r="M909" s="999" t="s">
        <v>1939</v>
      </c>
      <c r="N909" s="999" t="s">
        <v>2363</v>
      </c>
      <c r="O909" s="414">
        <v>1</v>
      </c>
      <c r="P909" s="987"/>
    </row>
    <row r="910" spans="1:16">
      <c r="A910" s="41">
        <v>5</v>
      </c>
      <c r="B910" s="54"/>
      <c r="C910" s="54"/>
      <c r="D910" s="40"/>
      <c r="E910" s="41">
        <v>7</v>
      </c>
      <c r="F910" s="41" t="s">
        <v>995</v>
      </c>
      <c r="G910" s="196" t="s">
        <v>267</v>
      </c>
      <c r="H910" s="320"/>
      <c r="I910" s="321">
        <v>400</v>
      </c>
      <c r="J910" s="320">
        <v>600</v>
      </c>
      <c r="K910" s="320">
        <v>1000</v>
      </c>
      <c r="L910" s="179"/>
      <c r="M910" s="999"/>
      <c r="N910" s="999"/>
      <c r="O910" s="414"/>
      <c r="P910" s="993"/>
    </row>
    <row r="911" spans="1:16">
      <c r="A911" s="41">
        <v>5</v>
      </c>
      <c r="B911" s="54"/>
      <c r="C911" s="54"/>
      <c r="D911" s="40"/>
      <c r="E911" s="54"/>
      <c r="F911" s="41"/>
      <c r="G911" s="197" t="s">
        <v>459</v>
      </c>
      <c r="H911" s="53">
        <f t="shared" ref="H911:K911" si="203">SUM(H909:H910)</f>
        <v>0</v>
      </c>
      <c r="I911" s="53">
        <f t="shared" si="203"/>
        <v>480</v>
      </c>
      <c r="J911" s="53">
        <f t="shared" si="203"/>
        <v>710</v>
      </c>
      <c r="K911" s="53">
        <f t="shared" si="203"/>
        <v>1163</v>
      </c>
      <c r="L911" s="179"/>
      <c r="M911" s="999"/>
      <c r="N911" s="999"/>
      <c r="O911" s="414"/>
      <c r="P911" s="993"/>
    </row>
    <row r="912" spans="1:16">
      <c r="A912" s="41">
        <v>5</v>
      </c>
      <c r="B912" s="54"/>
      <c r="C912" s="54" t="s">
        <v>996</v>
      </c>
      <c r="D912" s="40" t="s">
        <v>997</v>
      </c>
      <c r="E912" s="41">
        <v>7</v>
      </c>
      <c r="F912" s="41" t="s">
        <v>998</v>
      </c>
      <c r="G912" s="196" t="s">
        <v>380</v>
      </c>
      <c r="H912" s="320"/>
      <c r="I912" s="321"/>
      <c r="J912" s="194">
        <v>44.1</v>
      </c>
      <c r="K912" s="194"/>
      <c r="L912" s="179" t="s">
        <v>268</v>
      </c>
      <c r="M912" s="999"/>
      <c r="N912" s="196"/>
      <c r="O912" s="196"/>
      <c r="P912" s="993"/>
    </row>
    <row r="913" spans="1:16">
      <c r="A913" s="41">
        <v>5</v>
      </c>
      <c r="B913" s="54"/>
      <c r="C913" s="54"/>
      <c r="D913" s="40"/>
      <c r="E913" s="41">
        <v>7</v>
      </c>
      <c r="F913" s="41" t="s">
        <v>998</v>
      </c>
      <c r="G913" s="196" t="s">
        <v>267</v>
      </c>
      <c r="H913" s="320"/>
      <c r="I913" s="321"/>
      <c r="J913" s="194">
        <v>250</v>
      </c>
      <c r="K913" s="194"/>
      <c r="L913" s="179"/>
      <c r="M913" s="999"/>
      <c r="N913" s="999"/>
      <c r="O913" s="414"/>
      <c r="P913" s="993"/>
    </row>
    <row r="914" spans="1:16">
      <c r="A914" s="41">
        <v>5</v>
      </c>
      <c r="B914" s="54"/>
      <c r="C914" s="54"/>
      <c r="D914" s="40"/>
      <c r="E914" s="54"/>
      <c r="F914" s="41"/>
      <c r="G914" s="197" t="s">
        <v>459</v>
      </c>
      <c r="H914" s="53">
        <f t="shared" ref="H914:K914" si="204">SUM(H912:H913)</f>
        <v>0</v>
      </c>
      <c r="I914" s="53">
        <f t="shared" si="204"/>
        <v>0</v>
      </c>
      <c r="J914" s="53">
        <f t="shared" si="204"/>
        <v>294.10000000000002</v>
      </c>
      <c r="K914" s="53">
        <f t="shared" si="204"/>
        <v>0</v>
      </c>
      <c r="L914" s="179"/>
      <c r="M914" s="999"/>
      <c r="N914" s="999"/>
      <c r="O914" s="414"/>
      <c r="P914" s="993"/>
    </row>
    <row r="915" spans="1:16" ht="22.5">
      <c r="A915" s="41">
        <v>5</v>
      </c>
      <c r="B915" s="54"/>
      <c r="C915" s="54" t="s">
        <v>999</v>
      </c>
      <c r="D915" s="40" t="s">
        <v>1000</v>
      </c>
      <c r="E915" s="54" t="s">
        <v>35</v>
      </c>
      <c r="F915" s="41" t="s">
        <v>1001</v>
      </c>
      <c r="G915" s="196" t="s">
        <v>193</v>
      </c>
      <c r="H915" s="320">
        <v>18.2</v>
      </c>
      <c r="I915" s="44">
        <f>181.5-181.5</f>
        <v>0</v>
      </c>
      <c r="J915" s="375"/>
      <c r="K915" s="375"/>
      <c r="L915" s="179" t="s">
        <v>268</v>
      </c>
      <c r="M915" s="999"/>
      <c r="N915" s="999"/>
      <c r="O915" s="414"/>
      <c r="P915" s="991" t="s">
        <v>275</v>
      </c>
    </row>
    <row r="916" spans="1:16">
      <c r="A916" s="41">
        <v>5</v>
      </c>
      <c r="B916" s="54"/>
      <c r="C916" s="54"/>
      <c r="D916" s="40"/>
      <c r="E916" s="54" t="s">
        <v>35</v>
      </c>
      <c r="F916" s="41" t="s">
        <v>1001</v>
      </c>
      <c r="G916" s="193" t="s">
        <v>461</v>
      </c>
      <c r="H916" s="320"/>
      <c r="I916" s="44"/>
      <c r="J916" s="194">
        <f>298.2+181.5</f>
        <v>479.7</v>
      </c>
      <c r="K916" s="194">
        <v>121.8</v>
      </c>
      <c r="L916" s="179"/>
      <c r="M916" s="999"/>
      <c r="N916" s="999"/>
      <c r="O916" s="414"/>
      <c r="P916" s="991"/>
    </row>
    <row r="917" spans="1:16">
      <c r="A917" s="189">
        <v>5</v>
      </c>
      <c r="B917" s="54"/>
      <c r="C917" s="54"/>
      <c r="D917" s="40"/>
      <c r="E917" s="54" t="s">
        <v>35</v>
      </c>
      <c r="F917" s="41" t="s">
        <v>1001</v>
      </c>
      <c r="G917" s="196" t="s">
        <v>267</v>
      </c>
      <c r="H917" s="320"/>
      <c r="I917" s="44">
        <f>1028.8-1028.8</f>
        <v>0</v>
      </c>
      <c r="J917" s="194">
        <f>1690+1028.8</f>
        <v>2718.8</v>
      </c>
      <c r="K917" s="194">
        <v>690</v>
      </c>
      <c r="L917" s="179"/>
      <c r="M917" s="999"/>
      <c r="N917" s="999"/>
      <c r="O917" s="414"/>
      <c r="P917" s="991" t="s">
        <v>275</v>
      </c>
    </row>
    <row r="918" spans="1:16">
      <c r="A918" s="41">
        <v>5</v>
      </c>
      <c r="B918" s="54"/>
      <c r="C918" s="54"/>
      <c r="D918" s="40"/>
      <c r="E918" s="54"/>
      <c r="F918" s="41"/>
      <c r="G918" s="197" t="s">
        <v>459</v>
      </c>
      <c r="H918" s="53">
        <f t="shared" ref="H918:K918" si="205">SUM(H915:H917)</f>
        <v>18.2</v>
      </c>
      <c r="I918" s="53">
        <f t="shared" si="205"/>
        <v>0</v>
      </c>
      <c r="J918" s="53">
        <f t="shared" si="205"/>
        <v>3198.5</v>
      </c>
      <c r="K918" s="53">
        <f t="shared" si="205"/>
        <v>811.8</v>
      </c>
      <c r="L918" s="179"/>
      <c r="M918" s="999"/>
      <c r="N918" s="999"/>
      <c r="O918" s="414"/>
      <c r="P918" s="993"/>
    </row>
    <row r="919" spans="1:16" ht="22.5">
      <c r="A919" s="41">
        <v>5</v>
      </c>
      <c r="B919" s="54"/>
      <c r="C919" s="54" t="s">
        <v>1002</v>
      </c>
      <c r="D919" s="427" t="s">
        <v>1003</v>
      </c>
      <c r="E919" s="428" t="s">
        <v>1004</v>
      </c>
      <c r="F919" s="868" t="s">
        <v>1005</v>
      </c>
      <c r="G919" s="869" t="s">
        <v>193</v>
      </c>
      <c r="H919" s="43">
        <v>5.3</v>
      </c>
      <c r="I919" s="44">
        <v>180.5</v>
      </c>
      <c r="J919" s="320">
        <f>1582.2-1100</f>
        <v>482.20000000000005</v>
      </c>
      <c r="K919" s="43">
        <f>4258.6-2200</f>
        <v>2058.6000000000004</v>
      </c>
      <c r="L919" s="179" t="s">
        <v>385</v>
      </c>
      <c r="M919" s="1025" t="s">
        <v>2255</v>
      </c>
      <c r="N919" s="1025" t="s">
        <v>2364</v>
      </c>
      <c r="O919" s="1026">
        <v>1</v>
      </c>
      <c r="P919" s="993"/>
    </row>
    <row r="920" spans="1:16">
      <c r="A920" s="41">
        <v>5</v>
      </c>
      <c r="B920" s="54"/>
      <c r="C920" s="54"/>
      <c r="D920" s="427"/>
      <c r="E920" s="428" t="s">
        <v>1004</v>
      </c>
      <c r="F920" s="868" t="s">
        <v>1005</v>
      </c>
      <c r="G920" s="869" t="s">
        <v>381</v>
      </c>
      <c r="H920" s="43"/>
      <c r="I920" s="44"/>
      <c r="J920" s="320">
        <v>1100</v>
      </c>
      <c r="K920" s="43">
        <v>2200</v>
      </c>
      <c r="L920" s="179"/>
      <c r="M920" s="999"/>
      <c r="N920" s="999"/>
      <c r="O920" s="414"/>
      <c r="P920" s="993"/>
    </row>
    <row r="921" spans="1:16">
      <c r="A921" s="41">
        <v>5</v>
      </c>
      <c r="B921" s="54"/>
      <c r="C921" s="54"/>
      <c r="D921" s="40"/>
      <c r="E921" s="41"/>
      <c r="F921" s="41"/>
      <c r="G921" s="197" t="s">
        <v>459</v>
      </c>
      <c r="H921" s="53">
        <f>SUM(H919,H920)</f>
        <v>5.3</v>
      </c>
      <c r="I921" s="53">
        <f t="shared" ref="I921:K921" si="206">SUM(I919,I920)</f>
        <v>180.5</v>
      </c>
      <c r="J921" s="53">
        <f t="shared" si="206"/>
        <v>1582.2</v>
      </c>
      <c r="K921" s="53">
        <f t="shared" si="206"/>
        <v>4258.6000000000004</v>
      </c>
      <c r="L921" s="179"/>
      <c r="M921" s="999"/>
      <c r="N921" s="999"/>
      <c r="O921" s="414"/>
      <c r="P921" s="993"/>
    </row>
    <row r="922" spans="1:16" ht="22.5">
      <c r="A922" s="41">
        <v>5</v>
      </c>
      <c r="B922" s="416"/>
      <c r="C922" s="416"/>
      <c r="D922" s="200" t="s">
        <v>1006</v>
      </c>
      <c r="E922" s="201"/>
      <c r="F922" s="202"/>
      <c r="G922" s="201"/>
      <c r="H922" s="201"/>
      <c r="I922" s="201"/>
      <c r="J922" s="201"/>
      <c r="K922" s="201"/>
      <c r="L922" s="179"/>
      <c r="M922" s="75"/>
      <c r="N922" s="764"/>
      <c r="O922" s="178"/>
      <c r="P922" s="993"/>
    </row>
    <row r="923" spans="1:16" ht="22.5">
      <c r="A923" s="41">
        <v>5</v>
      </c>
      <c r="B923" s="411" t="s">
        <v>1007</v>
      </c>
      <c r="C923" s="411" t="s">
        <v>1007</v>
      </c>
      <c r="D923" s="412" t="s">
        <v>1008</v>
      </c>
      <c r="E923" s="115">
        <v>7</v>
      </c>
      <c r="F923" s="41" t="s">
        <v>1009</v>
      </c>
      <c r="G923" s="415" t="s">
        <v>195</v>
      </c>
      <c r="H923" s="43">
        <v>77.2</v>
      </c>
      <c r="I923" s="44"/>
      <c r="J923" s="42"/>
      <c r="K923" s="42"/>
      <c r="L923" s="179"/>
      <c r="M923" s="927" t="s">
        <v>2513</v>
      </c>
      <c r="N923" s="999" t="s">
        <v>2365</v>
      </c>
      <c r="O923" s="193">
        <v>5</v>
      </c>
      <c r="P923" s="993"/>
    </row>
    <row r="924" spans="1:16">
      <c r="A924" s="41">
        <v>5</v>
      </c>
      <c r="B924" s="54"/>
      <c r="C924" s="54"/>
      <c r="D924" s="40"/>
      <c r="E924" s="115">
        <v>7</v>
      </c>
      <c r="F924" s="41" t="s">
        <v>1009</v>
      </c>
      <c r="G924" s="41" t="s">
        <v>475</v>
      </c>
      <c r="H924" s="43"/>
      <c r="I924" s="44">
        <v>76.900000000000006</v>
      </c>
      <c r="J924" s="42">
        <v>76.900000000000006</v>
      </c>
      <c r="K924" s="42">
        <v>76.900000000000006</v>
      </c>
      <c r="L924" s="179"/>
      <c r="M924" s="75"/>
      <c r="N924" s="764"/>
      <c r="O924" s="178"/>
      <c r="P924" s="993"/>
    </row>
    <row r="925" spans="1:16">
      <c r="A925" s="41">
        <v>5</v>
      </c>
      <c r="B925" s="54"/>
      <c r="C925" s="54"/>
      <c r="D925" s="40"/>
      <c r="E925" s="115"/>
      <c r="F925" s="41" t="s">
        <v>1009</v>
      </c>
      <c r="G925" s="197" t="s">
        <v>459</v>
      </c>
      <c r="H925" s="53">
        <f>SUM(H923:H924)</f>
        <v>77.2</v>
      </c>
      <c r="I925" s="53">
        <f t="shared" ref="I925:K925" si="207">SUM(I923:I924)</f>
        <v>76.900000000000006</v>
      </c>
      <c r="J925" s="53">
        <f t="shared" si="207"/>
        <v>76.900000000000006</v>
      </c>
      <c r="K925" s="53">
        <f t="shared" si="207"/>
        <v>76.900000000000006</v>
      </c>
      <c r="L925" s="179"/>
      <c r="M925" s="75"/>
      <c r="N925" s="764"/>
      <c r="O925" s="178"/>
      <c r="P925" s="993"/>
    </row>
    <row r="926" spans="1:16" ht="22.5">
      <c r="A926" s="189">
        <v>5</v>
      </c>
      <c r="B926" s="411" t="s">
        <v>1010</v>
      </c>
      <c r="C926" s="411" t="s">
        <v>1010</v>
      </c>
      <c r="D926" s="412" t="s">
        <v>1011</v>
      </c>
      <c r="E926" s="115"/>
      <c r="F926" s="41"/>
      <c r="G926" s="84"/>
      <c r="H926" s="85">
        <f>SUM(H932,H937)</f>
        <v>327.3</v>
      </c>
      <c r="I926" s="85">
        <f>SUM(I932,I937)</f>
        <v>337.1</v>
      </c>
      <c r="J926" s="85">
        <f>SUM(J932,J937)</f>
        <v>351.9</v>
      </c>
      <c r="K926" s="85">
        <f>SUM(K932,K937)</f>
        <v>367.8</v>
      </c>
      <c r="L926" s="179"/>
      <c r="M926" s="999"/>
      <c r="N926" s="999"/>
      <c r="O926" s="414"/>
      <c r="P926" s="993"/>
    </row>
    <row r="927" spans="1:16" ht="22.5">
      <c r="A927" s="41">
        <v>5</v>
      </c>
      <c r="B927" s="54"/>
      <c r="C927" s="54" t="s">
        <v>1012</v>
      </c>
      <c r="D927" s="40" t="s">
        <v>1013</v>
      </c>
      <c r="E927" s="41">
        <v>16</v>
      </c>
      <c r="F927" s="41" t="s">
        <v>1014</v>
      </c>
      <c r="G927" s="41" t="s">
        <v>193</v>
      </c>
      <c r="H927" s="43">
        <v>22.5</v>
      </c>
      <c r="I927" s="44">
        <v>22.5</v>
      </c>
      <c r="J927" s="43">
        <v>22.5</v>
      </c>
      <c r="K927" s="43">
        <v>22.5</v>
      </c>
      <c r="L927" s="179" t="s">
        <v>274</v>
      </c>
      <c r="M927" s="927" t="s">
        <v>2366</v>
      </c>
      <c r="N927" s="934" t="s">
        <v>2367</v>
      </c>
      <c r="O927" s="193">
        <v>15</v>
      </c>
      <c r="P927" s="993"/>
    </row>
    <row r="928" spans="1:16" ht="22.5">
      <c r="A928" s="41">
        <v>5</v>
      </c>
      <c r="B928" s="54"/>
      <c r="C928" s="54"/>
      <c r="D928" s="40"/>
      <c r="E928" s="41">
        <v>16</v>
      </c>
      <c r="F928" s="41" t="s">
        <v>1014</v>
      </c>
      <c r="G928" s="41" t="s">
        <v>195</v>
      </c>
      <c r="H928" s="43"/>
      <c r="I928" s="44"/>
      <c r="J928" s="43"/>
      <c r="K928" s="43"/>
      <c r="L928" s="179"/>
      <c r="M928" s="927" t="s">
        <v>2366</v>
      </c>
      <c r="N928" s="934" t="s">
        <v>2368</v>
      </c>
      <c r="O928" s="193">
        <v>10</v>
      </c>
      <c r="P928" s="993"/>
    </row>
    <row r="929" spans="1:16" ht="22.5">
      <c r="A929" s="41">
        <v>5</v>
      </c>
      <c r="B929" s="54"/>
      <c r="C929" s="54"/>
      <c r="D929" s="40"/>
      <c r="E929" s="54" t="s">
        <v>136</v>
      </c>
      <c r="F929" s="41" t="s">
        <v>1014</v>
      </c>
      <c r="G929" s="41" t="s">
        <v>193</v>
      </c>
      <c r="H929" s="43">
        <f>22.5+20-4.4</f>
        <v>38.1</v>
      </c>
      <c r="I929" s="44">
        <f>22.5-5</f>
        <v>17.5</v>
      </c>
      <c r="J929" s="43">
        <v>22.5</v>
      </c>
      <c r="K929" s="43">
        <v>22.5</v>
      </c>
      <c r="L929" s="179" t="s">
        <v>274</v>
      </c>
      <c r="M929" s="927" t="s">
        <v>2366</v>
      </c>
      <c r="N929" s="934" t="s">
        <v>2369</v>
      </c>
      <c r="O929" s="193">
        <v>10</v>
      </c>
      <c r="P929" s="993"/>
    </row>
    <row r="930" spans="1:16" ht="22.5">
      <c r="A930" s="41">
        <v>5</v>
      </c>
      <c r="B930" s="54"/>
      <c r="C930" s="54"/>
      <c r="D930" s="40"/>
      <c r="E930" s="54" t="s">
        <v>136</v>
      </c>
      <c r="F930" s="41" t="s">
        <v>1014</v>
      </c>
      <c r="G930" s="41" t="s">
        <v>195</v>
      </c>
      <c r="H930" s="43"/>
      <c r="I930" s="44"/>
      <c r="J930" s="43"/>
      <c r="K930" s="43"/>
      <c r="L930" s="179"/>
      <c r="M930" s="927" t="s">
        <v>2366</v>
      </c>
      <c r="N930" s="934" t="s">
        <v>2370</v>
      </c>
      <c r="O930" s="193">
        <v>35</v>
      </c>
      <c r="P930" s="993"/>
    </row>
    <row r="931" spans="1:16" ht="33.75">
      <c r="A931" s="41">
        <v>5</v>
      </c>
      <c r="B931" s="54"/>
      <c r="C931" s="54"/>
      <c r="D931" s="40"/>
      <c r="E931" s="54" t="s">
        <v>2153</v>
      </c>
      <c r="F931" s="41" t="s">
        <v>1014</v>
      </c>
      <c r="G931" s="41" t="s">
        <v>193</v>
      </c>
      <c r="H931" s="43"/>
      <c r="I931" s="44">
        <v>5</v>
      </c>
      <c r="J931" s="43"/>
      <c r="K931" s="43"/>
      <c r="L931" s="179"/>
      <c r="M931" s="927" t="s">
        <v>2366</v>
      </c>
      <c r="N931" s="934" t="s">
        <v>2371</v>
      </c>
      <c r="O931" s="193">
        <v>30</v>
      </c>
      <c r="P931" s="993"/>
    </row>
    <row r="932" spans="1:16">
      <c r="A932" s="41">
        <v>5</v>
      </c>
      <c r="B932" s="54"/>
      <c r="C932" s="54"/>
      <c r="D932" s="40"/>
      <c r="E932" s="54"/>
      <c r="F932" s="41" t="s">
        <v>1014</v>
      </c>
      <c r="G932" s="197" t="s">
        <v>459</v>
      </c>
      <c r="H932" s="53">
        <f>SUM(H927:H931)</f>
        <v>60.6</v>
      </c>
      <c r="I932" s="53">
        <f t="shared" ref="I932:K932" si="208">SUM(I927:I931)</f>
        <v>45</v>
      </c>
      <c r="J932" s="53">
        <f t="shared" si="208"/>
        <v>45</v>
      </c>
      <c r="K932" s="53">
        <f t="shared" si="208"/>
        <v>45</v>
      </c>
      <c r="L932" s="179"/>
      <c r="M932" s="999"/>
      <c r="N932" s="999"/>
      <c r="O932" s="414"/>
      <c r="P932" s="993"/>
    </row>
    <row r="933" spans="1:16" ht="27.6" customHeight="1">
      <c r="A933" s="41">
        <v>5</v>
      </c>
      <c r="B933" s="54"/>
      <c r="C933" s="54" t="s">
        <v>1015</v>
      </c>
      <c r="D933" s="40" t="s">
        <v>1016</v>
      </c>
      <c r="E933" s="93" t="s">
        <v>136</v>
      </c>
      <c r="F933" s="41" t="s">
        <v>1017</v>
      </c>
      <c r="G933" s="41" t="s">
        <v>193</v>
      </c>
      <c r="H933" s="43">
        <v>266.7</v>
      </c>
      <c r="I933" s="44">
        <v>291.10000000000002</v>
      </c>
      <c r="J933" s="42">
        <v>305.89999999999998</v>
      </c>
      <c r="K933" s="42">
        <v>321.8</v>
      </c>
      <c r="L933" s="179" t="s">
        <v>194</v>
      </c>
      <c r="M933" s="999" t="s">
        <v>2372</v>
      </c>
      <c r="N933" s="999"/>
      <c r="O933" s="414"/>
      <c r="P933" s="993"/>
    </row>
    <row r="934" spans="1:16">
      <c r="A934" s="41">
        <v>5</v>
      </c>
      <c r="B934" s="54"/>
      <c r="C934" s="54"/>
      <c r="D934" s="40"/>
      <c r="E934" s="93" t="s">
        <v>136</v>
      </c>
      <c r="F934" s="41" t="s">
        <v>1017</v>
      </c>
      <c r="G934" s="59" t="s">
        <v>195</v>
      </c>
      <c r="H934" s="43"/>
      <c r="I934" s="44"/>
      <c r="J934" s="43"/>
      <c r="K934" s="43"/>
      <c r="L934" s="179"/>
      <c r="M934" s="999"/>
      <c r="N934" s="999"/>
      <c r="O934" s="414"/>
      <c r="P934" s="993"/>
    </row>
    <row r="935" spans="1:16">
      <c r="A935" s="189">
        <v>5</v>
      </c>
      <c r="B935" s="54"/>
      <c r="C935" s="54"/>
      <c r="D935" s="40"/>
      <c r="E935" s="93" t="s">
        <v>136</v>
      </c>
      <c r="F935" s="41" t="s">
        <v>1017</v>
      </c>
      <c r="G935" s="59" t="s">
        <v>461</v>
      </c>
      <c r="H935" s="43"/>
      <c r="I935" s="44"/>
      <c r="J935" s="43"/>
      <c r="K935" s="43"/>
      <c r="L935" s="179"/>
      <c r="M935" s="999"/>
      <c r="N935" s="999"/>
      <c r="O935" s="414"/>
      <c r="P935" s="993"/>
    </row>
    <row r="936" spans="1:16">
      <c r="A936" s="41">
        <v>5</v>
      </c>
      <c r="B936" s="54"/>
      <c r="C936" s="54"/>
      <c r="D936" s="40"/>
      <c r="E936" s="93" t="s">
        <v>136</v>
      </c>
      <c r="F936" s="41" t="s">
        <v>1017</v>
      </c>
      <c r="G936" s="59" t="s">
        <v>196</v>
      </c>
      <c r="H936" s="43"/>
      <c r="I936" s="44">
        <v>1</v>
      </c>
      <c r="J936" s="42">
        <v>1</v>
      </c>
      <c r="K936" s="42">
        <v>1</v>
      </c>
      <c r="L936" s="179"/>
      <c r="M936" s="999"/>
      <c r="N936" s="999"/>
      <c r="O936" s="414"/>
      <c r="P936" s="993"/>
    </row>
    <row r="937" spans="1:16">
      <c r="A937" s="41">
        <v>5</v>
      </c>
      <c r="B937" s="54"/>
      <c r="C937" s="54"/>
      <c r="D937" s="40"/>
      <c r="E937" s="93"/>
      <c r="F937" s="41" t="s">
        <v>1017</v>
      </c>
      <c r="G937" s="197" t="s">
        <v>459</v>
      </c>
      <c r="H937" s="53">
        <f t="shared" ref="H937:K937" si="209">SUM(H933:H936)</f>
        <v>266.7</v>
      </c>
      <c r="I937" s="53">
        <f t="shared" si="209"/>
        <v>292.10000000000002</v>
      </c>
      <c r="J937" s="53">
        <f t="shared" si="209"/>
        <v>306.89999999999998</v>
      </c>
      <c r="K937" s="53">
        <f t="shared" si="209"/>
        <v>322.8</v>
      </c>
      <c r="L937" s="179"/>
      <c r="M937" s="999"/>
      <c r="N937" s="999"/>
      <c r="O937" s="414"/>
      <c r="P937" s="993"/>
    </row>
    <row r="938" spans="1:16" ht="21" customHeight="1">
      <c r="A938" s="41">
        <v>5</v>
      </c>
      <c r="B938" s="411" t="s">
        <v>2154</v>
      </c>
      <c r="C938" s="411" t="s">
        <v>2154</v>
      </c>
      <c r="D938" s="412" t="s">
        <v>2155</v>
      </c>
      <c r="E938" s="93" t="s">
        <v>41</v>
      </c>
      <c r="F938" s="41" t="s">
        <v>2156</v>
      </c>
      <c r="G938" s="41" t="s">
        <v>193</v>
      </c>
      <c r="H938" s="43"/>
      <c r="I938" s="44">
        <v>3</v>
      </c>
      <c r="J938" s="42"/>
      <c r="K938" s="42"/>
      <c r="L938" s="179"/>
      <c r="M938" s="1111" t="s">
        <v>2062</v>
      </c>
      <c r="N938" s="196" t="s">
        <v>2538</v>
      </c>
      <c r="O938" s="196">
        <v>1</v>
      </c>
      <c r="P938" s="364"/>
    </row>
    <row r="939" spans="1:16" ht="22.5">
      <c r="A939" s="41">
        <v>5</v>
      </c>
      <c r="B939" s="54"/>
      <c r="C939" s="54"/>
      <c r="D939" s="40"/>
      <c r="E939" s="93">
        <v>11</v>
      </c>
      <c r="F939" s="41" t="s">
        <v>2156</v>
      </c>
      <c r="G939" s="41" t="s">
        <v>193</v>
      </c>
      <c r="H939" s="43"/>
      <c r="I939" s="44">
        <v>2</v>
      </c>
      <c r="J939" s="43"/>
      <c r="K939" s="43"/>
      <c r="L939" s="179"/>
      <c r="M939" s="1111" t="s">
        <v>2181</v>
      </c>
      <c r="N939" s="126" t="s">
        <v>2511</v>
      </c>
      <c r="O939" s="196">
        <v>6</v>
      </c>
      <c r="P939" s="364"/>
    </row>
    <row r="940" spans="1:16">
      <c r="A940" s="41">
        <v>5</v>
      </c>
      <c r="B940" s="54"/>
      <c r="C940" s="54"/>
      <c r="D940" s="40"/>
      <c r="E940" s="93">
        <v>15</v>
      </c>
      <c r="F940" s="41" t="s">
        <v>2156</v>
      </c>
      <c r="G940" s="41" t="s">
        <v>193</v>
      </c>
      <c r="H940" s="43"/>
      <c r="I940" s="44">
        <v>5</v>
      </c>
      <c r="J940" s="43"/>
      <c r="K940" s="43"/>
      <c r="L940" s="179"/>
      <c r="M940" s="1111" t="s">
        <v>2537</v>
      </c>
      <c r="N940" s="126" t="s">
        <v>2510</v>
      </c>
      <c r="O940" s="196">
        <v>1</v>
      </c>
      <c r="P940" s="364"/>
    </row>
    <row r="941" spans="1:16">
      <c r="A941" s="41">
        <v>5</v>
      </c>
      <c r="B941" s="54"/>
      <c r="C941" s="54"/>
      <c r="D941" s="40"/>
      <c r="E941" s="93">
        <v>23</v>
      </c>
      <c r="F941" s="41" t="s">
        <v>2157</v>
      </c>
      <c r="G941" s="41" t="s">
        <v>193</v>
      </c>
      <c r="H941" s="43"/>
      <c r="I941" s="44">
        <v>1</v>
      </c>
      <c r="J941" s="42"/>
      <c r="K941" s="42"/>
      <c r="L941" s="179"/>
      <c r="M941" s="1111" t="s">
        <v>2380</v>
      </c>
      <c r="N941" s="1111" t="s">
        <v>2506</v>
      </c>
      <c r="O941" s="196">
        <v>1</v>
      </c>
      <c r="P941" s="364"/>
    </row>
    <row r="942" spans="1:16">
      <c r="A942" s="41">
        <v>5</v>
      </c>
      <c r="B942" s="54"/>
      <c r="C942" s="54"/>
      <c r="D942" s="40"/>
      <c r="E942" s="93"/>
      <c r="F942" s="41"/>
      <c r="G942" s="197" t="s">
        <v>459</v>
      </c>
      <c r="H942" s="53">
        <f t="shared" ref="H942:K942" si="210">SUM(H938:H941)</f>
        <v>0</v>
      </c>
      <c r="I942" s="53">
        <f t="shared" si="210"/>
        <v>11</v>
      </c>
      <c r="J942" s="53">
        <f t="shared" si="210"/>
        <v>0</v>
      </c>
      <c r="K942" s="53">
        <f t="shared" si="210"/>
        <v>0</v>
      </c>
      <c r="L942" s="179"/>
      <c r="M942" s="196"/>
      <c r="N942" s="196"/>
      <c r="O942" s="196"/>
      <c r="P942" s="364"/>
    </row>
    <row r="943" spans="1:16" ht="33.75">
      <c r="A943" s="41">
        <v>5</v>
      </c>
      <c r="B943" s="416"/>
      <c r="C943" s="416"/>
      <c r="D943" s="200" t="s">
        <v>1018</v>
      </c>
      <c r="E943" s="201"/>
      <c r="F943" s="202"/>
      <c r="G943" s="201"/>
      <c r="H943" s="201"/>
      <c r="I943" s="201"/>
      <c r="J943" s="201"/>
      <c r="K943" s="201"/>
      <c r="L943" s="179"/>
      <c r="M943" s="196"/>
      <c r="N943" s="196"/>
      <c r="O943" s="196"/>
      <c r="P943" s="364"/>
    </row>
    <row r="944" spans="1:16" ht="48.75">
      <c r="A944" s="41">
        <v>5</v>
      </c>
      <c r="B944" s="190" t="s">
        <v>1019</v>
      </c>
      <c r="C944" s="190" t="s">
        <v>1019</v>
      </c>
      <c r="D944" s="198" t="s">
        <v>1020</v>
      </c>
      <c r="E944" s="93"/>
      <c r="F944" s="41"/>
      <c r="G944" s="41"/>
      <c r="H944" s="85">
        <f>SUM(H947,H949,H951,H954,H957)</f>
        <v>458.7</v>
      </c>
      <c r="I944" s="85">
        <f>SUM(I947,I949,I951,I954,I957)</f>
        <v>583.19999999999993</v>
      </c>
      <c r="J944" s="85">
        <f>SUM(J947,J949,J951,J954,J957)</f>
        <v>529.70000000000005</v>
      </c>
      <c r="K944" s="85">
        <f>SUM(K947,K949,K951,K954,K957)</f>
        <v>434.6</v>
      </c>
      <c r="L944" s="179"/>
      <c r="M944" s="927" t="s">
        <v>2512</v>
      </c>
      <c r="N944" s="992" t="s">
        <v>2373</v>
      </c>
      <c r="O944" s="59" t="s">
        <v>2374</v>
      </c>
      <c r="P944" s="993"/>
    </row>
    <row r="945" spans="1:16" ht="29.25">
      <c r="A945" s="41">
        <v>5</v>
      </c>
      <c r="B945" s="54"/>
      <c r="C945" s="54" t="s">
        <v>1021</v>
      </c>
      <c r="D945" s="40" t="s">
        <v>1022</v>
      </c>
      <c r="E945" s="41">
        <v>8</v>
      </c>
      <c r="F945" s="41" t="s">
        <v>1023</v>
      </c>
      <c r="G945" s="41" t="s">
        <v>193</v>
      </c>
      <c r="H945" s="43">
        <v>176</v>
      </c>
      <c r="I945" s="44">
        <v>190</v>
      </c>
      <c r="J945" s="42">
        <v>190</v>
      </c>
      <c r="K945" s="42">
        <v>190</v>
      </c>
      <c r="L945" s="179" t="s">
        <v>274</v>
      </c>
      <c r="M945" s="927" t="s">
        <v>2512</v>
      </c>
      <c r="N945" s="992" t="s">
        <v>2375</v>
      </c>
      <c r="O945" s="193">
        <v>2</v>
      </c>
      <c r="P945" s="993"/>
    </row>
    <row r="946" spans="1:16" ht="29.25">
      <c r="A946" s="41">
        <v>5</v>
      </c>
      <c r="B946" s="54"/>
      <c r="C946" s="54"/>
      <c r="D946" s="40"/>
      <c r="E946" s="41">
        <v>8</v>
      </c>
      <c r="F946" s="41" t="s">
        <v>1023</v>
      </c>
      <c r="G946" s="41" t="s">
        <v>461</v>
      </c>
      <c r="H946" s="43"/>
      <c r="I946" s="44"/>
      <c r="J946" s="43"/>
      <c r="K946" s="43"/>
      <c r="L946" s="179"/>
      <c r="M946" s="927" t="s">
        <v>2512</v>
      </c>
      <c r="N946" s="992" t="s">
        <v>2376</v>
      </c>
      <c r="O946" s="193">
        <v>9</v>
      </c>
      <c r="P946" s="993"/>
    </row>
    <row r="947" spans="1:16">
      <c r="A947" s="41">
        <v>5</v>
      </c>
      <c r="B947" s="54"/>
      <c r="C947" s="54"/>
      <c r="D947" s="40"/>
      <c r="E947" s="54"/>
      <c r="F947" s="41" t="s">
        <v>1023</v>
      </c>
      <c r="G947" s="197" t="s">
        <v>459</v>
      </c>
      <c r="H947" s="53">
        <f t="shared" ref="H947:K947" si="211">SUM(H945:H945)</f>
        <v>176</v>
      </c>
      <c r="I947" s="53">
        <f t="shared" si="211"/>
        <v>190</v>
      </c>
      <c r="J947" s="53">
        <f t="shared" si="211"/>
        <v>190</v>
      </c>
      <c r="K947" s="53">
        <f t="shared" si="211"/>
        <v>190</v>
      </c>
      <c r="L947" s="179"/>
      <c r="M947" s="459"/>
      <c r="N947" s="989"/>
      <c r="O947" s="456"/>
      <c r="P947" s="993"/>
    </row>
    <row r="948" spans="1:16" ht="22.5">
      <c r="A948" s="189">
        <v>5</v>
      </c>
      <c r="B948" s="54"/>
      <c r="C948" s="54" t="s">
        <v>1024</v>
      </c>
      <c r="D948" s="40" t="s">
        <v>1025</v>
      </c>
      <c r="E948" s="93">
        <v>8</v>
      </c>
      <c r="F948" s="41" t="s">
        <v>1026</v>
      </c>
      <c r="G948" s="59" t="s">
        <v>195</v>
      </c>
      <c r="H948" s="43">
        <v>49.5</v>
      </c>
      <c r="I948" s="44">
        <v>49.6</v>
      </c>
      <c r="J948" s="43">
        <v>49.6</v>
      </c>
      <c r="K948" s="43">
        <v>49.6</v>
      </c>
      <c r="L948" s="179"/>
      <c r="M948" s="927" t="s">
        <v>2512</v>
      </c>
      <c r="N948" s="992" t="s">
        <v>2377</v>
      </c>
      <c r="O948" s="193">
        <v>12</v>
      </c>
      <c r="P948" s="993"/>
    </row>
    <row r="949" spans="1:16">
      <c r="A949" s="41">
        <v>5</v>
      </c>
      <c r="B949" s="54"/>
      <c r="C949" s="54"/>
      <c r="D949" s="40"/>
      <c r="E949" s="93"/>
      <c r="F949" s="426"/>
      <c r="G949" s="197" t="s">
        <v>459</v>
      </c>
      <c r="H949" s="53">
        <f t="shared" ref="H949:K949" si="212">SUM(H948)</f>
        <v>49.5</v>
      </c>
      <c r="I949" s="53">
        <f t="shared" si="212"/>
        <v>49.6</v>
      </c>
      <c r="J949" s="53">
        <f t="shared" si="212"/>
        <v>49.6</v>
      </c>
      <c r="K949" s="53">
        <f t="shared" si="212"/>
        <v>49.6</v>
      </c>
      <c r="L949" s="179"/>
      <c r="M949" s="927"/>
      <c r="N949" s="988"/>
      <c r="O949" s="193"/>
      <c r="P949" s="993"/>
    </row>
    <row r="950" spans="1:16" ht="56.25">
      <c r="A950" s="41">
        <v>5</v>
      </c>
      <c r="B950" s="54"/>
      <c r="C950" s="54" t="s">
        <v>1027</v>
      </c>
      <c r="D950" s="40" t="s">
        <v>1028</v>
      </c>
      <c r="E950" s="41">
        <v>8</v>
      </c>
      <c r="F950" s="41" t="s">
        <v>1029</v>
      </c>
      <c r="G950" s="42" t="s">
        <v>193</v>
      </c>
      <c r="H950" s="43">
        <v>48.2</v>
      </c>
      <c r="I950" s="44">
        <v>94.8</v>
      </c>
      <c r="J950" s="42">
        <f>282.7-282.7</f>
        <v>0</v>
      </c>
      <c r="K950" s="43"/>
      <c r="L950" s="179" t="s">
        <v>274</v>
      </c>
      <c r="M950" s="927" t="s">
        <v>2512</v>
      </c>
      <c r="N950" s="992" t="s">
        <v>2378</v>
      </c>
      <c r="O950" s="59">
        <v>2</v>
      </c>
      <c r="P950" s="993"/>
    </row>
    <row r="951" spans="1:16">
      <c r="A951" s="41">
        <v>5</v>
      </c>
      <c r="B951" s="267"/>
      <c r="C951" s="267"/>
      <c r="D951" s="265"/>
      <c r="E951" s="267"/>
      <c r="F951" s="269" t="s">
        <v>1029</v>
      </c>
      <c r="G951" s="298" t="s">
        <v>459</v>
      </c>
      <c r="H951" s="150">
        <f t="shared" ref="H951:K951" si="213">SUM(H950)</f>
        <v>48.2</v>
      </c>
      <c r="I951" s="150">
        <f t="shared" si="213"/>
        <v>94.8</v>
      </c>
      <c r="J951" s="150">
        <f t="shared" si="213"/>
        <v>0</v>
      </c>
      <c r="K951" s="53">
        <f t="shared" si="213"/>
        <v>0</v>
      </c>
      <c r="L951" s="179"/>
      <c r="M951" s="927"/>
      <c r="N951" s="988"/>
      <c r="O951" s="414"/>
      <c r="P951" s="993"/>
    </row>
    <row r="952" spans="1:16" ht="22.5">
      <c r="A952" s="41">
        <v>5</v>
      </c>
      <c r="B952" s="54"/>
      <c r="C952" s="54" t="s">
        <v>1030</v>
      </c>
      <c r="D952" s="40" t="s">
        <v>1031</v>
      </c>
      <c r="E952" s="93">
        <v>8</v>
      </c>
      <c r="F952" s="41" t="s">
        <v>1032</v>
      </c>
      <c r="G952" s="41" t="s">
        <v>193</v>
      </c>
      <c r="H952" s="43">
        <v>140</v>
      </c>
      <c r="I952" s="44">
        <v>150</v>
      </c>
      <c r="J952" s="43">
        <v>150</v>
      </c>
      <c r="K952" s="43">
        <v>150</v>
      </c>
      <c r="L952" s="354" t="s">
        <v>274</v>
      </c>
      <c r="M952" s="927" t="s">
        <v>2512</v>
      </c>
      <c r="N952" s="992" t="s">
        <v>2377</v>
      </c>
      <c r="O952" s="193">
        <v>14</v>
      </c>
      <c r="P952" s="993"/>
    </row>
    <row r="953" spans="1:16">
      <c r="A953" s="41">
        <v>5</v>
      </c>
      <c r="B953" s="276"/>
      <c r="C953" s="276"/>
      <c r="D953" s="410"/>
      <c r="E953" s="429">
        <v>8</v>
      </c>
      <c r="F953" s="189" t="s">
        <v>1032</v>
      </c>
      <c r="G953" s="183" t="s">
        <v>461</v>
      </c>
      <c r="H953" s="165">
        <v>45</v>
      </c>
      <c r="I953" s="151">
        <v>45</v>
      </c>
      <c r="J953" s="165">
        <v>45</v>
      </c>
      <c r="K953" s="43">
        <v>45</v>
      </c>
      <c r="L953" s="179"/>
      <c r="M953" s="927"/>
      <c r="N953" s="934"/>
      <c r="O953" s="193"/>
      <c r="P953" s="993"/>
    </row>
    <row r="954" spans="1:16">
      <c r="A954" s="41">
        <v>5</v>
      </c>
      <c r="B954" s="54"/>
      <c r="C954" s="54"/>
      <c r="D954" s="40"/>
      <c r="E954" s="93"/>
      <c r="F954" s="41" t="s">
        <v>1032</v>
      </c>
      <c r="G954" s="197" t="s">
        <v>459</v>
      </c>
      <c r="H954" s="53">
        <f t="shared" ref="H954:K954" si="214">SUM(H952:H953)</f>
        <v>185</v>
      </c>
      <c r="I954" s="53">
        <f t="shared" si="214"/>
        <v>195</v>
      </c>
      <c r="J954" s="53">
        <f t="shared" si="214"/>
        <v>195</v>
      </c>
      <c r="K954" s="53">
        <f t="shared" si="214"/>
        <v>195</v>
      </c>
      <c r="L954" s="179"/>
      <c r="M954" s="927"/>
      <c r="N954" s="999"/>
      <c r="O954" s="414"/>
      <c r="P954" s="993"/>
    </row>
    <row r="955" spans="1:16" ht="33.75">
      <c r="A955" s="41">
        <v>5</v>
      </c>
      <c r="B955" s="54"/>
      <c r="C955" s="276" t="s">
        <v>1033</v>
      </c>
      <c r="D955" s="40" t="s">
        <v>1034</v>
      </c>
      <c r="E955" s="93">
        <v>8</v>
      </c>
      <c r="F955" s="41" t="s">
        <v>1035</v>
      </c>
      <c r="G955" s="59" t="s">
        <v>193</v>
      </c>
      <c r="H955" s="43"/>
      <c r="I955" s="44">
        <v>53.8</v>
      </c>
      <c r="J955" s="43">
        <v>20.5</v>
      </c>
      <c r="K955" s="43"/>
      <c r="L955" s="179" t="s">
        <v>268</v>
      </c>
      <c r="M955" s="927" t="s">
        <v>2512</v>
      </c>
      <c r="N955" s="1001" t="s">
        <v>2379</v>
      </c>
      <c r="O955" s="990">
        <v>1</v>
      </c>
      <c r="P955" s="993"/>
    </row>
    <row r="956" spans="1:16">
      <c r="A956" s="189">
        <v>5</v>
      </c>
      <c r="B956" s="54"/>
      <c r="C956" s="54"/>
      <c r="D956" s="40"/>
      <c r="E956" s="93">
        <v>8</v>
      </c>
      <c r="F956" s="41" t="s">
        <v>1035</v>
      </c>
      <c r="G956" s="59" t="s">
        <v>267</v>
      </c>
      <c r="H956" s="43"/>
      <c r="I956" s="44">
        <f>58.2-58.2</f>
        <v>0</v>
      </c>
      <c r="J956" s="43">
        <f>16.4+58.2</f>
        <v>74.599999999999994</v>
      </c>
      <c r="K956" s="42"/>
      <c r="L956" s="179"/>
      <c r="M956" s="927"/>
      <c r="N956" s="999"/>
      <c r="O956" s="414"/>
      <c r="P956" s="993"/>
    </row>
    <row r="957" spans="1:16">
      <c r="A957" s="41">
        <v>5</v>
      </c>
      <c r="B957" s="54"/>
      <c r="C957" s="54"/>
      <c r="D957" s="40"/>
      <c r="E957" s="93">
        <v>8</v>
      </c>
      <c r="F957" s="41" t="s">
        <v>1035</v>
      </c>
      <c r="G957" s="197" t="s">
        <v>459</v>
      </c>
      <c r="H957" s="53">
        <f t="shared" ref="H957:K957" si="215">SUM(H955:H956)</f>
        <v>0</v>
      </c>
      <c r="I957" s="53">
        <f t="shared" si="215"/>
        <v>53.8</v>
      </c>
      <c r="J957" s="53">
        <f t="shared" si="215"/>
        <v>95.1</v>
      </c>
      <c r="K957" s="53">
        <f t="shared" si="215"/>
        <v>0</v>
      </c>
      <c r="L957" s="179"/>
      <c r="M957" s="927"/>
      <c r="N957" s="999"/>
      <c r="O957" s="414"/>
      <c r="P957" s="993"/>
    </row>
    <row r="958" spans="1:16">
      <c r="A958" s="41">
        <v>5</v>
      </c>
      <c r="B958" s="54"/>
      <c r="C958" s="54"/>
      <c r="D958" s="40"/>
      <c r="E958" s="93"/>
      <c r="F958" s="41"/>
      <c r="G958" s="120" t="s">
        <v>459</v>
      </c>
      <c r="H958" s="120">
        <f>SUM(H767,H769,H774,H779,H783,H788,H791,H806,H811,H819,H824,H828,H831,H833,H840,H843,H857,H860,H864,H872,H876,H879,H882,H886,H895,H925,H932,H937,H947,H949,H951,H954,H785,H794,H862,H847,H851,H797,H771,H898,H901,H905,H908,H911,H914,H918,H957,H921,H942)</f>
        <v>53902.499999999985</v>
      </c>
      <c r="I958" s="120">
        <f t="shared" ref="I958:K958" si="216">SUM(I767,I769,I774,I779,I783,I788,I791,I806,I811,I819,I824,I828,I831,I833,I840,I843,I857,I860,I864,I872,I876,I879,I882,I886,I895,I925,I932,I937,I947,I949,I951,I954,I785,I794,I862,I847,I851,I797,I771,I898,I901,I905,I908,I911,I914,I918,I957,I921,I942)</f>
        <v>58304.100000000028</v>
      </c>
      <c r="J958" s="120">
        <f t="shared" si="216"/>
        <v>65078.8</v>
      </c>
      <c r="K958" s="120">
        <f t="shared" si="216"/>
        <v>66034</v>
      </c>
      <c r="L958" s="179"/>
      <c r="M958" s="75"/>
      <c r="N958" s="764"/>
      <c r="O958" s="178"/>
      <c r="P958" s="993"/>
    </row>
    <row r="959" spans="1:16">
      <c r="A959" s="41">
        <v>5</v>
      </c>
      <c r="B959" s="54"/>
      <c r="C959" s="54"/>
      <c r="D959" s="40"/>
      <c r="E959" s="93"/>
      <c r="F959" s="41"/>
      <c r="G959" s="41" t="s">
        <v>193</v>
      </c>
      <c r="H959" s="42">
        <f>SUM(H768,H778,H787,H789,H800,H807,H812,H822,H825,H829,H832,H834,H835,H836,H837,H838,H839,H841,H855,H858,H861,H863,H865,H866,H867,H874,H880,H883,H888,H927,H929,H933,H945,H950,H952,H770,H915,H884,H885,H796,H904,H955,H919,H931,H938,H939,H940,H941)</f>
        <v>10696.300000000001</v>
      </c>
      <c r="I959" s="42">
        <f t="shared" ref="I959:K959" si="217">SUM(I768,I778,I787,I789,I800,I807,I812,I822,I825,I829,I832,I834,I835,I836,I837,I838,I839,I841,I855,I858,I861,I863,I865,I866,I867,I874,I880,I883,I888,I927,I929,I933,I945,I950,I952,I770,I915,I884,I885,I796,I904,I955,I919,I931,I938,I939,I940,I941)</f>
        <v>12161.299999999997</v>
      </c>
      <c r="J959" s="42">
        <f t="shared" si="217"/>
        <v>12793.4</v>
      </c>
      <c r="K959" s="42">
        <f t="shared" si="217"/>
        <v>14665.1</v>
      </c>
      <c r="L959" s="179"/>
      <c r="M959" s="59"/>
      <c r="N959" s="260"/>
      <c r="O959" s="193"/>
      <c r="P959" s="993"/>
    </row>
    <row r="960" spans="1:16">
      <c r="A960" s="41">
        <v>5</v>
      </c>
      <c r="B960" s="54"/>
      <c r="C960" s="54"/>
      <c r="D960" s="40"/>
      <c r="E960" s="93"/>
      <c r="F960" s="41"/>
      <c r="G960" s="41" t="s">
        <v>379</v>
      </c>
      <c r="H960" s="754">
        <f>SUM(H765,H772)</f>
        <v>33271</v>
      </c>
      <c r="I960" s="754">
        <f>SUM(I765,I772)</f>
        <v>34522.200000000004</v>
      </c>
      <c r="J960" s="42">
        <f>SUM(J765,J772)</f>
        <v>34000</v>
      </c>
      <c r="K960" s="42">
        <f>SUM(K765,K772)</f>
        <v>34000</v>
      </c>
      <c r="L960" s="179"/>
      <c r="M960" s="59"/>
      <c r="N960" s="260"/>
      <c r="O960" s="193"/>
      <c r="P960" s="993"/>
    </row>
    <row r="961" spans="1:16">
      <c r="A961" s="41">
        <v>5</v>
      </c>
      <c r="B961" s="54"/>
      <c r="C961" s="54"/>
      <c r="D961" s="40"/>
      <c r="E961" s="93"/>
      <c r="F961" s="41"/>
      <c r="G961" s="909" t="s">
        <v>195</v>
      </c>
      <c r="H961" s="526">
        <f>SUM(H775,H780,H790,H792,H802,H809,H813,H814,H816,H821,H826,H830,H842,H853,H859,,H868,H870,H871,H873,H891,H892,H923,H928,H930,H934,H948,H844,H845,H846,H848,H849,H795,H850)</f>
        <v>5729.9</v>
      </c>
      <c r="I961" s="526">
        <f>SUM(I775,I780,I790,I792,I802,I809,I813,I814,I816,I821,I826,I830,I842,I853,I859,,I868,I870,I871,I873,I891,I892,I923,I928,I930,I934,I948,I844,I845,I846,I848,I849,I795,I850)</f>
        <v>1187.7000000000003</v>
      </c>
      <c r="J961" s="526">
        <f>SUM(J775,J780,J790,J792,J802,J809,J813,J814,J816,J821,J826,J830,J842,J853,J859,,J868,J870,J871,J873,J891,J892,J923,J928,J930,J934,J948,J844,J845,J846,J848,J849,J795,J850)</f>
        <v>1178.9000000000001</v>
      </c>
      <c r="K961" s="526">
        <f>SUM(K775,K780,K790,K792,K802,K809,K813,K814,K816,K821,K826,K830,K842,K853,K859,,K868,K870,K871,K873,K891,K892,K923,K928,K930,K934,K948,K844,K845,K846,K848,K849,K795,K850)</f>
        <v>1214.1000000000001</v>
      </c>
      <c r="L961" s="179"/>
      <c r="M961" s="59"/>
      <c r="N961" s="260"/>
      <c r="O961" s="193"/>
      <c r="P961" s="993"/>
    </row>
    <row r="962" spans="1:16">
      <c r="A962" s="41">
        <v>5</v>
      </c>
      <c r="B962" s="54"/>
      <c r="C962" s="54"/>
      <c r="D962" s="40"/>
      <c r="E962" s="93"/>
      <c r="F962" s="41"/>
      <c r="G962" s="909" t="s">
        <v>475</v>
      </c>
      <c r="H962" s="526">
        <f>SUM(H924,H890,H854,H793,H781,H776,H817)</f>
        <v>0</v>
      </c>
      <c r="I962" s="526">
        <f>SUM(I924,I890,I854,I793,I781,I776,I817)</f>
        <v>4862</v>
      </c>
      <c r="J962" s="735">
        <f>SUM(J924,J890,J854,J793,J781,J776,J817)</f>
        <v>5482</v>
      </c>
      <c r="K962" s="42">
        <f>SUM(K924,K890,K854,K793,K781,K776,K817)</f>
        <v>5739</v>
      </c>
      <c r="L962" s="179"/>
      <c r="M962" s="59"/>
      <c r="N962" s="260"/>
      <c r="O962" s="193"/>
      <c r="P962" s="993"/>
    </row>
    <row r="963" spans="1:16">
      <c r="A963" s="41">
        <v>5</v>
      </c>
      <c r="B963" s="54"/>
      <c r="C963" s="54"/>
      <c r="D963" s="40"/>
      <c r="E963" s="93"/>
      <c r="F963" s="41"/>
      <c r="G963" s="41" t="s">
        <v>267</v>
      </c>
      <c r="H963" s="408">
        <f>SUM(H877,H881,H897,H900,H903,H907,H910,H913,H917,H956)</f>
        <v>78.400000000000006</v>
      </c>
      <c r="I963" s="408">
        <f>SUM(I877,I881,I897,I900,I903,I907,I910,I913,I917,I956)</f>
        <v>1225.3</v>
      </c>
      <c r="J963" s="42">
        <f>SUM(J877,J881,J897,J900,J903,J907,J910,J913,J917,J956)</f>
        <v>5403</v>
      </c>
      <c r="K963" s="42">
        <f>SUM(K877,K881,K897,K900,K903,K907,K910,K913,K917,K956)</f>
        <v>3446.1</v>
      </c>
      <c r="L963" s="179"/>
      <c r="M963" s="59"/>
      <c r="N963" s="260"/>
      <c r="O963" s="193"/>
      <c r="P963" s="993"/>
    </row>
    <row r="964" spans="1:16">
      <c r="A964" s="189">
        <v>5</v>
      </c>
      <c r="B964" s="54"/>
      <c r="C964" s="54"/>
      <c r="D964" s="40"/>
      <c r="E964" s="93"/>
      <c r="F964" s="41"/>
      <c r="G964" s="41" t="s">
        <v>461</v>
      </c>
      <c r="H964" s="42">
        <f>SUM(H801,H808,H818,H823,H935,H946,H953,H916)</f>
        <v>1523.8000000000002</v>
      </c>
      <c r="I964" s="42">
        <f>SUM(I801,I808,I818,I823,I935,I946,I953,I916)</f>
        <v>1550.9</v>
      </c>
      <c r="J964" s="42">
        <f>SUM(J801,J808,J818,J823,J935,J946,J953,J916)</f>
        <v>2089.4</v>
      </c>
      <c r="K964" s="42">
        <f>SUM(K801,K808,K818,K823,K935,K946,K953,K916)</f>
        <v>1756.2</v>
      </c>
      <c r="L964" s="179"/>
      <c r="M964" s="59"/>
      <c r="N964" s="260"/>
      <c r="O964" s="193"/>
      <c r="P964" s="993"/>
    </row>
    <row r="965" spans="1:16">
      <c r="A965" s="41">
        <v>5</v>
      </c>
      <c r="B965" s="54"/>
      <c r="C965" s="54"/>
      <c r="D965" s="40"/>
      <c r="E965" s="93"/>
      <c r="F965" s="41"/>
      <c r="G965" s="41" t="s">
        <v>196</v>
      </c>
      <c r="H965" s="42">
        <f>SUM(H803,H810,H815,H820,H827,H889,H936,)</f>
        <v>2186.1999999999998</v>
      </c>
      <c r="I965" s="42">
        <f>SUM(I803,I810,I815,I820,I827,I889,I936,)</f>
        <v>2335.9</v>
      </c>
      <c r="J965" s="42">
        <f>SUM(J803,J810,J815,J820,J827,J889,J936,)</f>
        <v>2417.4</v>
      </c>
      <c r="K965" s="42">
        <f>SUM(K803,K810,K815,K820,K827,K889,K936,)</f>
        <v>2454.7000000000003</v>
      </c>
      <c r="L965" s="179"/>
      <c r="M965" s="59"/>
      <c r="N965" s="260"/>
      <c r="O965" s="193"/>
      <c r="P965" s="993"/>
    </row>
    <row r="966" spans="1:16">
      <c r="A966" s="41">
        <v>5</v>
      </c>
      <c r="B966" s="54"/>
      <c r="C966" s="54"/>
      <c r="D966" s="40"/>
      <c r="E966" s="93"/>
      <c r="F966" s="41"/>
      <c r="G966" s="41" t="s">
        <v>764</v>
      </c>
      <c r="H966" s="42">
        <f>H893</f>
        <v>7.3</v>
      </c>
      <c r="I966" s="42">
        <f>I893</f>
        <v>2.5</v>
      </c>
      <c r="J966" s="42">
        <f>J893</f>
        <v>0</v>
      </c>
      <c r="K966" s="42">
        <f>K893</f>
        <v>0</v>
      </c>
      <c r="L966" s="179"/>
      <c r="M966" s="59"/>
      <c r="N966" s="260"/>
      <c r="O966" s="193"/>
      <c r="P966" s="993"/>
    </row>
    <row r="967" spans="1:16">
      <c r="A967" s="41">
        <v>5</v>
      </c>
      <c r="B967" s="54"/>
      <c r="C967" s="54"/>
      <c r="D967" s="40"/>
      <c r="E967" s="93"/>
      <c r="F967" s="41"/>
      <c r="G967" s="41" t="s">
        <v>197</v>
      </c>
      <c r="H967" s="42">
        <f>SUM(H777,H782,H784,H804,H875,H894,H869,H856)</f>
        <v>94.899999999999991</v>
      </c>
      <c r="I967" s="42">
        <f t="shared" ref="I967:K967" si="218">SUM(I777,I782,I784,I804,I875,I894,I869,I856)</f>
        <v>1</v>
      </c>
      <c r="J967" s="42">
        <f t="shared" si="218"/>
        <v>0</v>
      </c>
      <c r="K967" s="42">
        <f t="shared" si="218"/>
        <v>0</v>
      </c>
      <c r="L967" s="179"/>
      <c r="M967" s="59"/>
      <c r="N967" s="260"/>
      <c r="O967" s="193"/>
      <c r="P967" s="993"/>
    </row>
    <row r="968" spans="1:16">
      <c r="A968" s="41">
        <v>5</v>
      </c>
      <c r="B968" s="54"/>
      <c r="C968" s="54"/>
      <c r="D968" s="40"/>
      <c r="E968" s="93"/>
      <c r="F968" s="41"/>
      <c r="G968" s="41" t="s">
        <v>876</v>
      </c>
      <c r="H968" s="42">
        <f>H766+H773</f>
        <v>249.79999999999998</v>
      </c>
      <c r="I968" s="42">
        <f>I766+I773</f>
        <v>150</v>
      </c>
      <c r="J968" s="42">
        <f>J766+J773</f>
        <v>108.9</v>
      </c>
      <c r="K968" s="42">
        <f>K766+K773</f>
        <v>108.9</v>
      </c>
      <c r="L968" s="179"/>
      <c r="M968" s="59"/>
      <c r="N968" s="260"/>
      <c r="O968" s="193"/>
      <c r="P968" s="993"/>
    </row>
    <row r="969" spans="1:16">
      <c r="A969" s="41">
        <v>5</v>
      </c>
      <c r="B969" s="54"/>
      <c r="C969" s="54"/>
      <c r="D969" s="40"/>
      <c r="E969" s="93"/>
      <c r="F969" s="41"/>
      <c r="G969" s="41" t="s">
        <v>381</v>
      </c>
      <c r="H969" s="42">
        <f>SUM(H920)</f>
        <v>0</v>
      </c>
      <c r="I969" s="42">
        <f t="shared" ref="I969:K969" si="219">SUM(I920)</f>
        <v>0</v>
      </c>
      <c r="J969" s="42">
        <f t="shared" si="219"/>
        <v>1100</v>
      </c>
      <c r="K969" s="42">
        <f t="shared" si="219"/>
        <v>2200</v>
      </c>
      <c r="L969" s="179"/>
      <c r="M969" s="59"/>
      <c r="N969" s="260"/>
      <c r="O969" s="193"/>
      <c r="P969" s="993"/>
    </row>
    <row r="970" spans="1:16">
      <c r="A970" s="41">
        <v>5</v>
      </c>
      <c r="B970" s="54"/>
      <c r="C970" s="54"/>
      <c r="D970" s="40"/>
      <c r="E970" s="93"/>
      <c r="F970" s="41"/>
      <c r="G970" s="41" t="s">
        <v>380</v>
      </c>
      <c r="H970" s="42">
        <f>H912+H909+H906+H902+H899+H896</f>
        <v>0</v>
      </c>
      <c r="I970" s="42">
        <f>I912+I909+I906+I902+I899+I896</f>
        <v>190.3</v>
      </c>
      <c r="J970" s="42">
        <f>J912+J909+J906+J902+J899+J896</f>
        <v>440.9</v>
      </c>
      <c r="K970" s="42">
        <f>K912+K909+K906+K902+K899+K896</f>
        <v>449.9</v>
      </c>
      <c r="L970" s="179"/>
      <c r="M970" s="59"/>
      <c r="N970" s="260"/>
      <c r="O970" s="193"/>
      <c r="P970" s="993"/>
    </row>
    <row r="971" spans="1:16">
      <c r="A971" s="41">
        <v>5</v>
      </c>
      <c r="B971" s="54"/>
      <c r="C971" s="54"/>
      <c r="D971" s="40"/>
      <c r="E971" s="93"/>
      <c r="F971" s="41"/>
      <c r="G971" s="41" t="s">
        <v>686</v>
      </c>
      <c r="H971" s="42">
        <f>SUM(H805,)</f>
        <v>64.900000000000006</v>
      </c>
      <c r="I971" s="42">
        <f>SUM(I805,)</f>
        <v>64.900000000000006</v>
      </c>
      <c r="J971" s="42">
        <f>SUM(J805,)</f>
        <v>64.900000000000006</v>
      </c>
      <c r="K971" s="42">
        <f>SUM(K805,)</f>
        <v>0</v>
      </c>
      <c r="L971" s="179"/>
      <c r="M971" s="59"/>
      <c r="N971" s="260"/>
      <c r="O971" s="193"/>
      <c r="P971" s="993"/>
    </row>
    <row r="972" spans="1:16">
      <c r="A972" s="189">
        <v>5</v>
      </c>
      <c r="B972" s="54"/>
      <c r="C972" s="54"/>
      <c r="D972" s="40"/>
      <c r="E972" s="93"/>
      <c r="F972" s="41"/>
      <c r="G972" s="59" t="s">
        <v>269</v>
      </c>
      <c r="H972" s="42">
        <f>H878</f>
        <v>0</v>
      </c>
      <c r="I972" s="42">
        <f t="shared" ref="I972:K972" si="220">I878</f>
        <v>50.1</v>
      </c>
      <c r="J972" s="42">
        <f t="shared" si="220"/>
        <v>0</v>
      </c>
      <c r="K972" s="42">
        <f t="shared" si="220"/>
        <v>0</v>
      </c>
      <c r="L972" s="179"/>
      <c r="M972" s="59"/>
      <c r="N972" s="260"/>
      <c r="O972" s="193"/>
      <c r="P972" s="993"/>
    </row>
    <row r="973" spans="1:16">
      <c r="A973" s="189">
        <v>5</v>
      </c>
      <c r="B973" s="54"/>
      <c r="C973" s="54"/>
      <c r="D973" s="40"/>
      <c r="E973" s="93"/>
      <c r="F973" s="41"/>
      <c r="G973" s="120" t="s">
        <v>459</v>
      </c>
      <c r="H973" s="120">
        <f>SUM(H959:H972)</f>
        <v>53902.500000000015</v>
      </c>
      <c r="I973" s="120">
        <f t="shared" ref="I973:K973" si="221">SUM(I959:I972)</f>
        <v>58304.100000000006</v>
      </c>
      <c r="J973" s="120">
        <f t="shared" si="221"/>
        <v>65078.80000000001</v>
      </c>
      <c r="K973" s="120">
        <f t="shared" si="221"/>
        <v>66033.999999999985</v>
      </c>
      <c r="L973" s="179"/>
      <c r="M973" s="196"/>
      <c r="N973" s="196"/>
      <c r="O973" s="196"/>
      <c r="P973" s="364"/>
    </row>
    <row r="974" spans="1:16">
      <c r="A974" s="41">
        <v>5</v>
      </c>
      <c r="B974" s="54"/>
      <c r="C974" s="54"/>
      <c r="D974" s="40"/>
      <c r="E974" s="93"/>
      <c r="F974" s="41"/>
      <c r="G974" s="41"/>
      <c r="H974" s="42">
        <f>H958-H973</f>
        <v>0</v>
      </c>
      <c r="I974" s="42">
        <f>I958-I973</f>
        <v>0</v>
      </c>
      <c r="J974" s="42">
        <f>J958-J973</f>
        <v>0</v>
      </c>
      <c r="K974" s="42">
        <f>K958-K973</f>
        <v>0</v>
      </c>
      <c r="L974" s="179"/>
      <c r="M974" s="196"/>
      <c r="N974" s="196"/>
      <c r="O974" s="196"/>
      <c r="P974" s="997"/>
    </row>
    <row r="975" spans="1:16" ht="22.5">
      <c r="A975" s="527">
        <v>6</v>
      </c>
      <c r="B975" s="528"/>
      <c r="C975" s="528"/>
      <c r="D975" s="529" t="s">
        <v>1039</v>
      </c>
      <c r="E975" s="530"/>
      <c r="F975" s="531"/>
      <c r="G975" s="532"/>
      <c r="H975" s="533"/>
      <c r="I975" s="533"/>
      <c r="J975" s="534"/>
      <c r="K975" s="534"/>
      <c r="L975" s="1063" t="s">
        <v>829</v>
      </c>
      <c r="M975" s="1076" t="s">
        <v>829</v>
      </c>
      <c r="N975" s="1076" t="s">
        <v>829</v>
      </c>
      <c r="O975" s="1077" t="s">
        <v>829</v>
      </c>
      <c r="P975" s="1076" t="s">
        <v>829</v>
      </c>
    </row>
    <row r="976" spans="1:16" ht="22.5">
      <c r="A976" s="527">
        <v>6</v>
      </c>
      <c r="B976" s="82" t="s">
        <v>1040</v>
      </c>
      <c r="C976" s="82" t="s">
        <v>1040</v>
      </c>
      <c r="D976" s="535" t="s">
        <v>1041</v>
      </c>
      <c r="E976" s="536"/>
      <c r="F976" s="536"/>
      <c r="G976" s="536"/>
      <c r="H976" s="536"/>
      <c r="I976" s="536"/>
      <c r="J976" s="537"/>
      <c r="K976" s="537"/>
      <c r="L976" s="1064" t="s">
        <v>829</v>
      </c>
      <c r="M976" s="63" t="s">
        <v>829</v>
      </c>
      <c r="N976" s="63" t="s">
        <v>829</v>
      </c>
      <c r="O976" s="87" t="s">
        <v>829</v>
      </c>
      <c r="P976" s="63" t="s">
        <v>829</v>
      </c>
    </row>
    <row r="977" spans="1:16" ht="33.75">
      <c r="A977" s="527">
        <v>6</v>
      </c>
      <c r="B977" s="539"/>
      <c r="C977" s="870"/>
      <c r="D977" s="540"/>
      <c r="E977" s="541"/>
      <c r="F977" s="871"/>
      <c r="G977" s="542" t="s">
        <v>1042</v>
      </c>
      <c r="H977" s="542">
        <f>SUM(H980,H983,H986,H989,H992,H995,H998,H1001,H1004,H1007,H1010,H1013,H1016)</f>
        <v>19.5</v>
      </c>
      <c r="I977" s="542">
        <f t="shared" ref="I977:K977" si="222">SUM(I980,I983,I986,I989,I992,I995,I998,I1001,I1004,I1007,I1010,I1013,I1016)</f>
        <v>2380.8000000000002</v>
      </c>
      <c r="J977" s="772">
        <f t="shared" si="222"/>
        <v>2400</v>
      </c>
      <c r="K977" s="772">
        <f t="shared" si="222"/>
        <v>2400</v>
      </c>
      <c r="L977" s="1064" t="s">
        <v>829</v>
      </c>
      <c r="M977" s="566" t="s">
        <v>829</v>
      </c>
      <c r="N977" s="895" t="s">
        <v>829</v>
      </c>
      <c r="O977" s="1021" t="s">
        <v>829</v>
      </c>
      <c r="P977" s="566" t="s">
        <v>829</v>
      </c>
    </row>
    <row r="978" spans="1:16" ht="33.75">
      <c r="A978" s="527">
        <v>6</v>
      </c>
      <c r="B978" s="539"/>
      <c r="C978" s="539"/>
      <c r="D978" s="540"/>
      <c r="E978" s="541"/>
      <c r="F978" s="871"/>
      <c r="G978" s="542" t="s">
        <v>1043</v>
      </c>
      <c r="H978" s="542">
        <f t="shared" ref="H978:K978" si="223">SUM(H981,H984,H987,H990,H993,H996,H999,H1002,H1005,H1008,H1011,H1017,H1014)</f>
        <v>2024.2999999999997</v>
      </c>
      <c r="I978" s="542">
        <f t="shared" si="223"/>
        <v>0</v>
      </c>
      <c r="J978" s="772">
        <f t="shared" si="223"/>
        <v>0</v>
      </c>
      <c r="K978" s="772">
        <f t="shared" si="223"/>
        <v>0</v>
      </c>
      <c r="L978" s="1064" t="s">
        <v>829</v>
      </c>
      <c r="M978" s="566" t="s">
        <v>829</v>
      </c>
      <c r="N978" s="566" t="s">
        <v>829</v>
      </c>
      <c r="O978" s="1021" t="s">
        <v>829</v>
      </c>
      <c r="P978" s="566" t="s">
        <v>829</v>
      </c>
    </row>
    <row r="979" spans="1:16">
      <c r="A979" s="527">
        <v>6</v>
      </c>
      <c r="B979" s="539"/>
      <c r="C979" s="539"/>
      <c r="D979" s="540"/>
      <c r="E979" s="541"/>
      <c r="F979" s="871"/>
      <c r="G979" s="543" t="s">
        <v>1044</v>
      </c>
      <c r="H979" s="543">
        <f t="shared" ref="H979:K979" si="224">H977+H978</f>
        <v>2043.7999999999997</v>
      </c>
      <c r="I979" s="543">
        <f t="shared" si="224"/>
        <v>2380.8000000000002</v>
      </c>
      <c r="J979" s="773">
        <f t="shared" si="224"/>
        <v>2400</v>
      </c>
      <c r="K979" s="773">
        <f t="shared" si="224"/>
        <v>2400</v>
      </c>
      <c r="L979" s="1064" t="s">
        <v>829</v>
      </c>
      <c r="M979" s="566" t="s">
        <v>829</v>
      </c>
      <c r="N979" s="566" t="s">
        <v>829</v>
      </c>
      <c r="O979" s="1021" t="s">
        <v>829</v>
      </c>
      <c r="P979" s="566" t="s">
        <v>829</v>
      </c>
    </row>
    <row r="980" spans="1:16" ht="21" customHeight="1">
      <c r="A980" s="527">
        <v>6</v>
      </c>
      <c r="B980" s="539"/>
      <c r="C980" s="539" t="s">
        <v>1045</v>
      </c>
      <c r="D980" s="540" t="s">
        <v>1046</v>
      </c>
      <c r="E980" s="544">
        <v>19</v>
      </c>
      <c r="F980" s="541" t="s">
        <v>1047</v>
      </c>
      <c r="G980" s="424" t="s">
        <v>193</v>
      </c>
      <c r="H980" s="425"/>
      <c r="I980" s="545">
        <v>63.9</v>
      </c>
      <c r="J980" s="774">
        <v>63.9</v>
      </c>
      <c r="K980" s="774">
        <v>63.9</v>
      </c>
      <c r="L980" s="1064" t="s">
        <v>262</v>
      </c>
      <c r="M980" s="1022" t="s">
        <v>1048</v>
      </c>
      <c r="N980" s="1034" t="s">
        <v>1049</v>
      </c>
      <c r="O980" s="681">
        <v>52.1</v>
      </c>
      <c r="P980" s="1078" t="s">
        <v>415</v>
      </c>
    </row>
    <row r="981" spans="1:16" ht="21" customHeight="1">
      <c r="A981" s="527">
        <v>6</v>
      </c>
      <c r="B981" s="539"/>
      <c r="C981" s="539"/>
      <c r="D981" s="540"/>
      <c r="E981" s="544">
        <v>19</v>
      </c>
      <c r="F981" s="541" t="s">
        <v>1047</v>
      </c>
      <c r="G981" s="425" t="s">
        <v>460</v>
      </c>
      <c r="H981" s="425">
        <v>62.5</v>
      </c>
      <c r="I981" s="545"/>
      <c r="J981" s="425"/>
      <c r="K981" s="425"/>
      <c r="L981" s="1064" t="s">
        <v>262</v>
      </c>
      <c r="M981" s="1022" t="s">
        <v>829</v>
      </c>
      <c r="N981" s="1034" t="s">
        <v>829</v>
      </c>
      <c r="O981" s="681" t="s">
        <v>829</v>
      </c>
      <c r="P981" s="1078" t="s">
        <v>415</v>
      </c>
    </row>
    <row r="982" spans="1:16" ht="21" customHeight="1">
      <c r="A982" s="527">
        <v>6</v>
      </c>
      <c r="B982" s="539"/>
      <c r="C982" s="539"/>
      <c r="D982" s="540"/>
      <c r="E982" s="544"/>
      <c r="F982" s="541" t="s">
        <v>1047</v>
      </c>
      <c r="G982" s="834" t="s">
        <v>459</v>
      </c>
      <c r="H982" s="53">
        <f t="shared" ref="H982:K982" si="225">SUM(H980:H981)</f>
        <v>62.5</v>
      </c>
      <c r="I982" s="53">
        <f t="shared" si="225"/>
        <v>63.9</v>
      </c>
      <c r="J982" s="149">
        <f t="shared" si="225"/>
        <v>63.9</v>
      </c>
      <c r="K982" s="149">
        <f t="shared" si="225"/>
        <v>63.9</v>
      </c>
      <c r="L982" s="1064" t="s">
        <v>829</v>
      </c>
      <c r="M982" s="1022" t="s">
        <v>829</v>
      </c>
      <c r="N982" s="1034" t="s">
        <v>829</v>
      </c>
      <c r="O982" s="921" t="s">
        <v>829</v>
      </c>
      <c r="P982" s="1079" t="s">
        <v>829</v>
      </c>
    </row>
    <row r="983" spans="1:16" ht="21" customHeight="1">
      <c r="A983" s="527">
        <v>6</v>
      </c>
      <c r="B983" s="539"/>
      <c r="C983" s="539" t="s">
        <v>1050</v>
      </c>
      <c r="D983" s="540" t="s">
        <v>1051</v>
      </c>
      <c r="E983" s="544">
        <v>20</v>
      </c>
      <c r="F983" s="541" t="s">
        <v>1052</v>
      </c>
      <c r="G983" s="424" t="s">
        <v>193</v>
      </c>
      <c r="H983" s="425"/>
      <c r="I983" s="545">
        <v>136.80000000000001</v>
      </c>
      <c r="J983" s="775">
        <v>136.80000000000001</v>
      </c>
      <c r="K983" s="775">
        <v>136.80000000000001</v>
      </c>
      <c r="L983" s="1064" t="s">
        <v>262</v>
      </c>
      <c r="M983" s="1022" t="s">
        <v>1053</v>
      </c>
      <c r="N983" s="1034" t="s">
        <v>1049</v>
      </c>
      <c r="O983" s="681">
        <v>76.900000000000006</v>
      </c>
      <c r="P983" s="1078" t="s">
        <v>687</v>
      </c>
    </row>
    <row r="984" spans="1:16" ht="21" customHeight="1">
      <c r="A984" s="527">
        <v>6</v>
      </c>
      <c r="B984" s="539"/>
      <c r="C984" s="539"/>
      <c r="D984" s="540"/>
      <c r="E984" s="544">
        <v>20</v>
      </c>
      <c r="F984" s="541" t="s">
        <v>1052</v>
      </c>
      <c r="G984" s="425" t="s">
        <v>460</v>
      </c>
      <c r="H984" s="425">
        <v>135.80000000000001</v>
      </c>
      <c r="I984" s="545"/>
      <c r="J984" s="425"/>
      <c r="K984" s="425"/>
      <c r="L984" s="1064" t="s">
        <v>262</v>
      </c>
      <c r="M984" s="1022" t="s">
        <v>829</v>
      </c>
      <c r="N984" s="1034" t="s">
        <v>829</v>
      </c>
      <c r="O984" s="681" t="s">
        <v>829</v>
      </c>
      <c r="P984" s="1078" t="s">
        <v>687</v>
      </c>
    </row>
    <row r="985" spans="1:16" ht="21" customHeight="1">
      <c r="A985" s="527">
        <v>6</v>
      </c>
      <c r="B985" s="539"/>
      <c r="C985" s="539"/>
      <c r="D985" s="540"/>
      <c r="E985" s="544"/>
      <c r="F985" s="541" t="s">
        <v>1052</v>
      </c>
      <c r="G985" s="834" t="s">
        <v>459</v>
      </c>
      <c r="H985" s="53">
        <f t="shared" ref="H985:K985" si="226">SUM(H983:H984)</f>
        <v>135.80000000000001</v>
      </c>
      <c r="I985" s="53">
        <f t="shared" si="226"/>
        <v>136.80000000000001</v>
      </c>
      <c r="J985" s="149">
        <f t="shared" si="226"/>
        <v>136.80000000000001</v>
      </c>
      <c r="K985" s="149">
        <f t="shared" si="226"/>
        <v>136.80000000000001</v>
      </c>
      <c r="L985" s="1064" t="s">
        <v>829</v>
      </c>
      <c r="M985" s="1022" t="s">
        <v>829</v>
      </c>
      <c r="N985" s="1034" t="s">
        <v>829</v>
      </c>
      <c r="O985" s="921" t="s">
        <v>829</v>
      </c>
      <c r="P985" s="1079" t="s">
        <v>829</v>
      </c>
    </row>
    <row r="986" spans="1:16" ht="21" customHeight="1">
      <c r="A986" s="527">
        <v>6</v>
      </c>
      <c r="B986" s="539"/>
      <c r="C986" s="539" t="s">
        <v>1054</v>
      </c>
      <c r="D986" s="540" t="s">
        <v>1055</v>
      </c>
      <c r="E986" s="544">
        <v>21</v>
      </c>
      <c r="F986" s="541" t="s">
        <v>1056</v>
      </c>
      <c r="G986" s="424" t="s">
        <v>193</v>
      </c>
      <c r="H986" s="425"/>
      <c r="I986" s="545">
        <v>195.9</v>
      </c>
      <c r="J986" s="775">
        <v>195.9</v>
      </c>
      <c r="K986" s="775">
        <v>195.9</v>
      </c>
      <c r="L986" s="1064" t="s">
        <v>262</v>
      </c>
      <c r="M986" s="1022" t="s">
        <v>1057</v>
      </c>
      <c r="N986" s="1034" t="s">
        <v>1049</v>
      </c>
      <c r="O986" s="1035">
        <v>121</v>
      </c>
      <c r="P986" s="1078" t="s">
        <v>389</v>
      </c>
    </row>
    <row r="987" spans="1:16" ht="21" customHeight="1">
      <c r="A987" s="527">
        <v>6</v>
      </c>
      <c r="B987" s="539"/>
      <c r="C987" s="539"/>
      <c r="D987" s="540"/>
      <c r="E987" s="544">
        <v>21</v>
      </c>
      <c r="F987" s="541" t="s">
        <v>1056</v>
      </c>
      <c r="G987" s="425" t="s">
        <v>460</v>
      </c>
      <c r="H987" s="425">
        <v>195.8</v>
      </c>
      <c r="I987" s="545"/>
      <c r="J987" s="425"/>
      <c r="K987" s="425"/>
      <c r="L987" s="1064" t="s">
        <v>262</v>
      </c>
      <c r="M987" s="1022" t="s">
        <v>829</v>
      </c>
      <c r="N987" s="1034" t="s">
        <v>829</v>
      </c>
      <c r="O987" s="681" t="s">
        <v>829</v>
      </c>
      <c r="P987" s="1078" t="s">
        <v>389</v>
      </c>
    </row>
    <row r="988" spans="1:16" ht="21" customHeight="1">
      <c r="A988" s="527">
        <v>6</v>
      </c>
      <c r="B988" s="539"/>
      <c r="C988" s="539"/>
      <c r="D988" s="540"/>
      <c r="E988" s="544"/>
      <c r="F988" s="541" t="s">
        <v>1056</v>
      </c>
      <c r="G988" s="834" t="s">
        <v>459</v>
      </c>
      <c r="H988" s="53">
        <f t="shared" ref="H988:K988" si="227">SUM(H986:H987)</f>
        <v>195.8</v>
      </c>
      <c r="I988" s="53">
        <f t="shared" si="227"/>
        <v>195.9</v>
      </c>
      <c r="J988" s="149">
        <f t="shared" si="227"/>
        <v>195.9</v>
      </c>
      <c r="K988" s="149">
        <f t="shared" si="227"/>
        <v>195.9</v>
      </c>
      <c r="L988" s="1064" t="s">
        <v>829</v>
      </c>
      <c r="M988" s="1022" t="s">
        <v>829</v>
      </c>
      <c r="N988" s="1034" t="s">
        <v>829</v>
      </c>
      <c r="O988" s="921" t="s">
        <v>829</v>
      </c>
      <c r="P988" s="1079" t="s">
        <v>829</v>
      </c>
    </row>
    <row r="989" spans="1:16" ht="21" customHeight="1">
      <c r="A989" s="527">
        <v>6</v>
      </c>
      <c r="B989" s="539"/>
      <c r="C989" s="539" t="s">
        <v>1058</v>
      </c>
      <c r="D989" s="540" t="s">
        <v>1059</v>
      </c>
      <c r="E989" s="544">
        <v>22</v>
      </c>
      <c r="F989" s="541" t="s">
        <v>1060</v>
      </c>
      <c r="G989" s="424" t="s">
        <v>193</v>
      </c>
      <c r="H989" s="425"/>
      <c r="I989" s="545">
        <v>89.4</v>
      </c>
      <c r="J989" s="775">
        <v>89.4</v>
      </c>
      <c r="K989" s="775">
        <v>89.4</v>
      </c>
      <c r="L989" s="1064" t="s">
        <v>262</v>
      </c>
      <c r="M989" s="1022" t="s">
        <v>1061</v>
      </c>
      <c r="N989" s="1034" t="s">
        <v>1049</v>
      </c>
      <c r="O989" s="681">
        <v>79.7</v>
      </c>
      <c r="P989" s="1078" t="s">
        <v>458</v>
      </c>
    </row>
    <row r="990" spans="1:16" ht="21" customHeight="1">
      <c r="A990" s="527">
        <v>6</v>
      </c>
      <c r="B990" s="539"/>
      <c r="C990" s="539"/>
      <c r="D990" s="540"/>
      <c r="E990" s="544">
        <v>22</v>
      </c>
      <c r="F990" s="541" t="s">
        <v>1060</v>
      </c>
      <c r="G990" s="425" t="s">
        <v>460</v>
      </c>
      <c r="H990" s="425">
        <v>87.7</v>
      </c>
      <c r="I990" s="545"/>
      <c r="J990" s="425"/>
      <c r="K990" s="425"/>
      <c r="L990" s="1064" t="s">
        <v>262</v>
      </c>
      <c r="M990" s="1022" t="s">
        <v>829</v>
      </c>
      <c r="N990" s="1034" t="s">
        <v>829</v>
      </c>
      <c r="O990" s="681" t="s">
        <v>829</v>
      </c>
      <c r="P990" s="1078" t="s">
        <v>458</v>
      </c>
    </row>
    <row r="991" spans="1:16" ht="21" customHeight="1">
      <c r="A991" s="527">
        <v>6</v>
      </c>
      <c r="B991" s="539"/>
      <c r="C991" s="539"/>
      <c r="D991" s="540"/>
      <c r="E991" s="544"/>
      <c r="F991" s="541" t="s">
        <v>1060</v>
      </c>
      <c r="G991" s="834" t="s">
        <v>459</v>
      </c>
      <c r="H991" s="53">
        <f t="shared" ref="H991:K991" si="228">SUM(H989:H990)</f>
        <v>87.7</v>
      </c>
      <c r="I991" s="53">
        <f t="shared" si="228"/>
        <v>89.4</v>
      </c>
      <c r="J991" s="149">
        <f t="shared" si="228"/>
        <v>89.4</v>
      </c>
      <c r="K991" s="149">
        <f t="shared" si="228"/>
        <v>89.4</v>
      </c>
      <c r="L991" s="1064" t="s">
        <v>829</v>
      </c>
      <c r="M991" s="1022" t="s">
        <v>829</v>
      </c>
      <c r="N991" s="1034" t="s">
        <v>829</v>
      </c>
      <c r="O991" s="921" t="s">
        <v>829</v>
      </c>
      <c r="P991" s="1079" t="s">
        <v>829</v>
      </c>
    </row>
    <row r="992" spans="1:16" ht="21" customHeight="1">
      <c r="A992" s="527">
        <v>6</v>
      </c>
      <c r="B992" s="539"/>
      <c r="C992" s="539" t="s">
        <v>1062</v>
      </c>
      <c r="D992" s="540" t="s">
        <v>1063</v>
      </c>
      <c r="E992" s="544">
        <v>23</v>
      </c>
      <c r="F992" s="541" t="s">
        <v>1064</v>
      </c>
      <c r="G992" s="424" t="s">
        <v>193</v>
      </c>
      <c r="H992" s="425">
        <v>3.6</v>
      </c>
      <c r="I992" s="545">
        <f>254.3+100</f>
        <v>354.3</v>
      </c>
      <c r="J992" s="775">
        <v>254.3</v>
      </c>
      <c r="K992" s="775">
        <v>254.3</v>
      </c>
      <c r="L992" s="1064" t="s">
        <v>262</v>
      </c>
      <c r="M992" s="1022" t="s">
        <v>2381</v>
      </c>
      <c r="N992" s="1034" t="s">
        <v>1049</v>
      </c>
      <c r="O992" s="681">
        <v>64.900000000000006</v>
      </c>
      <c r="P992" s="1078" t="s">
        <v>275</v>
      </c>
    </row>
    <row r="993" spans="1:16" ht="21" customHeight="1">
      <c r="A993" s="527">
        <v>6</v>
      </c>
      <c r="B993" s="539"/>
      <c r="C993" s="539"/>
      <c r="D993" s="540"/>
      <c r="E993" s="544">
        <v>23</v>
      </c>
      <c r="F993" s="541" t="s">
        <v>1064</v>
      </c>
      <c r="G993" s="425" t="s">
        <v>460</v>
      </c>
      <c r="H993" s="425">
        <v>258.2</v>
      </c>
      <c r="I993" s="545"/>
      <c r="J993" s="425"/>
      <c r="K993" s="425"/>
      <c r="L993" s="1064" t="s">
        <v>262</v>
      </c>
      <c r="M993" s="1022" t="s">
        <v>829</v>
      </c>
      <c r="N993" s="1034" t="s">
        <v>829</v>
      </c>
      <c r="O993" s="681" t="s">
        <v>829</v>
      </c>
      <c r="P993" s="1078" t="s">
        <v>275</v>
      </c>
    </row>
    <row r="994" spans="1:16" ht="21" customHeight="1">
      <c r="A994" s="527">
        <v>6</v>
      </c>
      <c r="B994" s="539"/>
      <c r="C994" s="539"/>
      <c r="D994" s="540"/>
      <c r="E994" s="544"/>
      <c r="F994" s="541" t="s">
        <v>1064</v>
      </c>
      <c r="G994" s="834" t="s">
        <v>459</v>
      </c>
      <c r="H994" s="53">
        <f t="shared" ref="H994:K994" si="229">SUM(H992:H993)</f>
        <v>261.8</v>
      </c>
      <c r="I994" s="53">
        <f t="shared" si="229"/>
        <v>354.3</v>
      </c>
      <c r="J994" s="149">
        <f t="shared" si="229"/>
        <v>254.3</v>
      </c>
      <c r="K994" s="149">
        <f t="shared" si="229"/>
        <v>254.3</v>
      </c>
      <c r="L994" s="1064" t="s">
        <v>829</v>
      </c>
      <c r="M994" s="1022" t="s">
        <v>829</v>
      </c>
      <c r="N994" s="1034" t="s">
        <v>829</v>
      </c>
      <c r="O994" s="921" t="s">
        <v>829</v>
      </c>
      <c r="P994" s="1079" t="s">
        <v>829</v>
      </c>
    </row>
    <row r="995" spans="1:16" ht="21" customHeight="1">
      <c r="A995" s="527">
        <v>6</v>
      </c>
      <c r="B995" s="539"/>
      <c r="C995" s="539" t="s">
        <v>1065</v>
      </c>
      <c r="D995" s="540" t="s">
        <v>1066</v>
      </c>
      <c r="E995" s="544">
        <v>24</v>
      </c>
      <c r="F995" s="541" t="s">
        <v>1067</v>
      </c>
      <c r="G995" s="424" t="s">
        <v>193</v>
      </c>
      <c r="H995" s="425"/>
      <c r="I995" s="545">
        <v>45.1</v>
      </c>
      <c r="J995" s="775">
        <v>45.1</v>
      </c>
      <c r="K995" s="775">
        <v>45.1</v>
      </c>
      <c r="L995" s="1064" t="s">
        <v>262</v>
      </c>
      <c r="M995" s="1022" t="s">
        <v>1068</v>
      </c>
      <c r="N995" s="1034" t="s">
        <v>1049</v>
      </c>
      <c r="O995" s="681">
        <v>41.7</v>
      </c>
      <c r="P995" s="1078" t="s">
        <v>565</v>
      </c>
    </row>
    <row r="996" spans="1:16" ht="21" customHeight="1">
      <c r="A996" s="527">
        <v>6</v>
      </c>
      <c r="B996" s="539"/>
      <c r="C996" s="539"/>
      <c r="D996" s="540"/>
      <c r="E996" s="544">
        <v>24</v>
      </c>
      <c r="F996" s="541" t="s">
        <v>1067</v>
      </c>
      <c r="G996" s="425" t="s">
        <v>460</v>
      </c>
      <c r="H996" s="425">
        <v>45.7</v>
      </c>
      <c r="I996" s="545"/>
      <c r="J996" s="425"/>
      <c r="K996" s="425"/>
      <c r="L996" s="1064" t="s">
        <v>262</v>
      </c>
      <c r="M996" s="1022" t="s">
        <v>829</v>
      </c>
      <c r="N996" s="1034" t="s">
        <v>829</v>
      </c>
      <c r="O996" s="681" t="s">
        <v>829</v>
      </c>
      <c r="P996" s="1078" t="s">
        <v>565</v>
      </c>
    </row>
    <row r="997" spans="1:16" ht="21" customHeight="1">
      <c r="A997" s="527">
        <v>6</v>
      </c>
      <c r="B997" s="539"/>
      <c r="C997" s="539"/>
      <c r="D997" s="540"/>
      <c r="E997" s="544"/>
      <c r="F997" s="541" t="s">
        <v>1067</v>
      </c>
      <c r="G997" s="834" t="s">
        <v>459</v>
      </c>
      <c r="H997" s="53">
        <f t="shared" ref="H997:K997" si="230">SUM(H995:H996)</f>
        <v>45.7</v>
      </c>
      <c r="I997" s="53">
        <f t="shared" si="230"/>
        <v>45.1</v>
      </c>
      <c r="J997" s="149">
        <f t="shared" si="230"/>
        <v>45.1</v>
      </c>
      <c r="K997" s="149">
        <f t="shared" si="230"/>
        <v>45.1</v>
      </c>
      <c r="L997" s="1064" t="s">
        <v>829</v>
      </c>
      <c r="M997" s="1022" t="s">
        <v>829</v>
      </c>
      <c r="N997" s="1034" t="s">
        <v>829</v>
      </c>
      <c r="O997" s="921" t="s">
        <v>829</v>
      </c>
      <c r="P997" s="1079" t="s">
        <v>829</v>
      </c>
    </row>
    <row r="998" spans="1:16" ht="21" customHeight="1">
      <c r="A998" s="527">
        <v>6</v>
      </c>
      <c r="B998" s="539"/>
      <c r="C998" s="539" t="s">
        <v>1069</v>
      </c>
      <c r="D998" s="540" t="s">
        <v>1070</v>
      </c>
      <c r="E998" s="544">
        <v>25</v>
      </c>
      <c r="F998" s="541" t="s">
        <v>1071</v>
      </c>
      <c r="G998" s="424" t="s">
        <v>193</v>
      </c>
      <c r="H998" s="425"/>
      <c r="I998" s="545">
        <v>193.3</v>
      </c>
      <c r="J998" s="775">
        <v>193.3</v>
      </c>
      <c r="K998" s="775">
        <v>193.3</v>
      </c>
      <c r="L998" s="1064" t="s">
        <v>262</v>
      </c>
      <c r="M998" s="1022" t="s">
        <v>1072</v>
      </c>
      <c r="N998" s="1034" t="s">
        <v>1049</v>
      </c>
      <c r="O998" s="681">
        <v>132.19999999999999</v>
      </c>
      <c r="P998" s="1078" t="s">
        <v>429</v>
      </c>
    </row>
    <row r="999" spans="1:16" ht="21" customHeight="1">
      <c r="A999" s="527">
        <v>6</v>
      </c>
      <c r="B999" s="539"/>
      <c r="C999" s="539"/>
      <c r="D999" s="540"/>
      <c r="E999" s="544">
        <v>25</v>
      </c>
      <c r="F999" s="541" t="s">
        <v>1071</v>
      </c>
      <c r="G999" s="425" t="s">
        <v>460</v>
      </c>
      <c r="H999" s="425">
        <v>209.8</v>
      </c>
      <c r="I999" s="545"/>
      <c r="J999" s="776"/>
      <c r="K999" s="776"/>
      <c r="L999" s="1064" t="s">
        <v>262</v>
      </c>
      <c r="M999" s="1022" t="s">
        <v>829</v>
      </c>
      <c r="N999" s="1034" t="s">
        <v>829</v>
      </c>
      <c r="O999" s="681" t="s">
        <v>829</v>
      </c>
      <c r="P999" s="1078" t="s">
        <v>429</v>
      </c>
    </row>
    <row r="1000" spans="1:16" ht="21" customHeight="1">
      <c r="A1000" s="527">
        <v>6</v>
      </c>
      <c r="B1000" s="539"/>
      <c r="C1000" s="539"/>
      <c r="D1000" s="540"/>
      <c r="E1000" s="544"/>
      <c r="F1000" s="541" t="s">
        <v>1071</v>
      </c>
      <c r="G1000" s="834" t="s">
        <v>459</v>
      </c>
      <c r="H1000" s="53">
        <f t="shared" ref="H1000:K1000" si="231">SUM(H998:H999)</f>
        <v>209.8</v>
      </c>
      <c r="I1000" s="53">
        <f t="shared" si="231"/>
        <v>193.3</v>
      </c>
      <c r="J1000" s="149">
        <f t="shared" si="231"/>
        <v>193.3</v>
      </c>
      <c r="K1000" s="149">
        <f t="shared" si="231"/>
        <v>193.3</v>
      </c>
      <c r="L1000" s="1064" t="s">
        <v>829</v>
      </c>
      <c r="M1000" s="1022" t="s">
        <v>829</v>
      </c>
      <c r="N1000" s="1034" t="s">
        <v>829</v>
      </c>
      <c r="O1000" s="921" t="s">
        <v>829</v>
      </c>
      <c r="P1000" s="1079" t="s">
        <v>829</v>
      </c>
    </row>
    <row r="1001" spans="1:16" ht="21" customHeight="1">
      <c r="A1001" s="527">
        <v>6</v>
      </c>
      <c r="B1001" s="539"/>
      <c r="C1001" s="539" t="s">
        <v>1073</v>
      </c>
      <c r="D1001" s="540" t="s">
        <v>1074</v>
      </c>
      <c r="E1001" s="544">
        <v>26</v>
      </c>
      <c r="F1001" s="541" t="s">
        <v>1075</v>
      </c>
      <c r="G1001" s="424" t="s">
        <v>193</v>
      </c>
      <c r="H1001" s="425"/>
      <c r="I1001" s="545">
        <v>270.39999999999998</v>
      </c>
      <c r="J1001" s="775">
        <v>270.39999999999998</v>
      </c>
      <c r="K1001" s="775">
        <v>270.39999999999998</v>
      </c>
      <c r="L1001" s="1064" t="s">
        <v>262</v>
      </c>
      <c r="M1001" s="1022" t="s">
        <v>1076</v>
      </c>
      <c r="N1001" s="1034" t="s">
        <v>1049</v>
      </c>
      <c r="O1001" s="681">
        <v>143.19999999999999</v>
      </c>
      <c r="P1001" s="1078" t="s">
        <v>392</v>
      </c>
    </row>
    <row r="1002" spans="1:16" ht="21" customHeight="1">
      <c r="A1002" s="527">
        <v>6</v>
      </c>
      <c r="B1002" s="539"/>
      <c r="C1002" s="539"/>
      <c r="D1002" s="540"/>
      <c r="E1002" s="544">
        <v>26</v>
      </c>
      <c r="F1002" s="541" t="s">
        <v>1075</v>
      </c>
      <c r="G1002" s="425" t="s">
        <v>460</v>
      </c>
      <c r="H1002" s="425">
        <v>270.2</v>
      </c>
      <c r="I1002" s="545"/>
      <c r="J1002" s="425"/>
      <c r="K1002" s="425"/>
      <c r="L1002" s="1064" t="s">
        <v>262</v>
      </c>
      <c r="M1002" s="1022" t="s">
        <v>829</v>
      </c>
      <c r="N1002" s="1034" t="s">
        <v>829</v>
      </c>
      <c r="O1002" s="681" t="s">
        <v>829</v>
      </c>
      <c r="P1002" s="1078" t="s">
        <v>392</v>
      </c>
    </row>
    <row r="1003" spans="1:16" ht="21" customHeight="1">
      <c r="A1003" s="527">
        <v>6</v>
      </c>
      <c r="B1003" s="539"/>
      <c r="C1003" s="539"/>
      <c r="D1003" s="540"/>
      <c r="E1003" s="544"/>
      <c r="F1003" s="541" t="s">
        <v>1075</v>
      </c>
      <c r="G1003" s="834" t="s">
        <v>459</v>
      </c>
      <c r="H1003" s="53">
        <f t="shared" ref="H1003:K1003" si="232">SUM(H1001:H1002)</f>
        <v>270.2</v>
      </c>
      <c r="I1003" s="53">
        <f t="shared" si="232"/>
        <v>270.39999999999998</v>
      </c>
      <c r="J1003" s="149">
        <f t="shared" si="232"/>
        <v>270.39999999999998</v>
      </c>
      <c r="K1003" s="149">
        <f t="shared" si="232"/>
        <v>270.39999999999998</v>
      </c>
      <c r="L1003" s="1064" t="s">
        <v>829</v>
      </c>
      <c r="M1003" s="1022" t="s">
        <v>829</v>
      </c>
      <c r="N1003" s="1034" t="s">
        <v>829</v>
      </c>
      <c r="O1003" s="921" t="s">
        <v>829</v>
      </c>
      <c r="P1003" s="1079" t="s">
        <v>829</v>
      </c>
    </row>
    <row r="1004" spans="1:16" ht="21" customHeight="1">
      <c r="A1004" s="527">
        <v>6</v>
      </c>
      <c r="B1004" s="539"/>
      <c r="C1004" s="539" t="s">
        <v>1077</v>
      </c>
      <c r="D1004" s="540" t="s">
        <v>1078</v>
      </c>
      <c r="E1004" s="544">
        <v>27</v>
      </c>
      <c r="F1004" s="541" t="s">
        <v>1079</v>
      </c>
      <c r="G1004" s="424" t="s">
        <v>193</v>
      </c>
      <c r="H1004" s="425">
        <v>15.9</v>
      </c>
      <c r="I1004" s="545">
        <v>353.2</v>
      </c>
      <c r="J1004" s="775">
        <v>353.2</v>
      </c>
      <c r="K1004" s="775">
        <v>353.2</v>
      </c>
      <c r="L1004" s="1064" t="s">
        <v>262</v>
      </c>
      <c r="M1004" s="1022" t="s">
        <v>2382</v>
      </c>
      <c r="N1004" s="1034" t="s">
        <v>1049</v>
      </c>
      <c r="O1004" s="681">
        <v>91.2</v>
      </c>
      <c r="P1004" s="1078" t="s">
        <v>386</v>
      </c>
    </row>
    <row r="1005" spans="1:16" ht="21" customHeight="1">
      <c r="A1005" s="527">
        <v>6</v>
      </c>
      <c r="B1005" s="539"/>
      <c r="C1005" s="539"/>
      <c r="D1005" s="540"/>
      <c r="E1005" s="544">
        <v>27</v>
      </c>
      <c r="F1005" s="541" t="s">
        <v>1079</v>
      </c>
      <c r="G1005" s="425" t="s">
        <v>460</v>
      </c>
      <c r="H1005" s="425">
        <v>339.9</v>
      </c>
      <c r="I1005" s="545"/>
      <c r="J1005" s="425"/>
      <c r="K1005" s="425"/>
      <c r="L1005" s="1064" t="s">
        <v>262</v>
      </c>
      <c r="M1005" s="1022" t="s">
        <v>829</v>
      </c>
      <c r="N1005" s="1034" t="s">
        <v>829</v>
      </c>
      <c r="O1005" s="681" t="s">
        <v>829</v>
      </c>
      <c r="P1005" s="1078" t="s">
        <v>386</v>
      </c>
    </row>
    <row r="1006" spans="1:16" ht="21" customHeight="1">
      <c r="A1006" s="527">
        <v>6</v>
      </c>
      <c r="B1006" s="539"/>
      <c r="C1006" s="539"/>
      <c r="D1006" s="540"/>
      <c r="E1006" s="544"/>
      <c r="F1006" s="541" t="s">
        <v>1079</v>
      </c>
      <c r="G1006" s="834" t="s">
        <v>459</v>
      </c>
      <c r="H1006" s="53">
        <f t="shared" ref="H1006:K1006" si="233">SUM(H1004:H1005)</f>
        <v>355.79999999999995</v>
      </c>
      <c r="I1006" s="53">
        <f t="shared" si="233"/>
        <v>353.2</v>
      </c>
      <c r="J1006" s="149">
        <f t="shared" si="233"/>
        <v>353.2</v>
      </c>
      <c r="K1006" s="149">
        <f t="shared" si="233"/>
        <v>353.2</v>
      </c>
      <c r="L1006" s="1064" t="s">
        <v>829</v>
      </c>
      <c r="M1006" s="1022" t="s">
        <v>829</v>
      </c>
      <c r="N1006" s="1034" t="s">
        <v>829</v>
      </c>
      <c r="O1006" s="921" t="s">
        <v>829</v>
      </c>
      <c r="P1006" s="1079" t="s">
        <v>829</v>
      </c>
    </row>
    <row r="1007" spans="1:16" ht="21" customHeight="1">
      <c r="A1007" s="527">
        <v>6</v>
      </c>
      <c r="B1007" s="539"/>
      <c r="C1007" s="539" t="s">
        <v>1080</v>
      </c>
      <c r="D1007" s="540" t="s">
        <v>1081</v>
      </c>
      <c r="E1007" s="544">
        <v>28</v>
      </c>
      <c r="F1007" s="541" t="s">
        <v>1082</v>
      </c>
      <c r="G1007" s="424" t="s">
        <v>193</v>
      </c>
      <c r="H1007" s="425"/>
      <c r="I1007" s="545">
        <v>148.6</v>
      </c>
      <c r="J1007" s="775">
        <v>148.6</v>
      </c>
      <c r="K1007" s="775">
        <v>148.6</v>
      </c>
      <c r="L1007" s="1064" t="s">
        <v>262</v>
      </c>
      <c r="M1007" s="1022" t="s">
        <v>1083</v>
      </c>
      <c r="N1007" s="1034" t="s">
        <v>1049</v>
      </c>
      <c r="O1007" s="681">
        <v>127.6</v>
      </c>
      <c r="P1007" s="1078" t="s">
        <v>399</v>
      </c>
    </row>
    <row r="1008" spans="1:16" ht="21" customHeight="1">
      <c r="A1008" s="527">
        <v>6</v>
      </c>
      <c r="B1008" s="539"/>
      <c r="C1008" s="539"/>
      <c r="D1008" s="540"/>
      <c r="E1008" s="544">
        <v>28</v>
      </c>
      <c r="F1008" s="541" t="s">
        <v>1082</v>
      </c>
      <c r="G1008" s="425" t="s">
        <v>460</v>
      </c>
      <c r="H1008" s="425">
        <v>148.30000000000001</v>
      </c>
      <c r="I1008" s="545"/>
      <c r="J1008" s="425"/>
      <c r="K1008" s="425"/>
      <c r="L1008" s="1064" t="s">
        <v>262</v>
      </c>
      <c r="M1008" s="1022" t="s">
        <v>829</v>
      </c>
      <c r="N1008" s="1034" t="s">
        <v>829</v>
      </c>
      <c r="O1008" s="681" t="s">
        <v>829</v>
      </c>
      <c r="P1008" s="1078" t="s">
        <v>399</v>
      </c>
    </row>
    <row r="1009" spans="1:16" ht="21" customHeight="1">
      <c r="A1009" s="527">
        <v>6</v>
      </c>
      <c r="B1009" s="539"/>
      <c r="C1009" s="539"/>
      <c r="D1009" s="540"/>
      <c r="E1009" s="544"/>
      <c r="F1009" s="541" t="s">
        <v>1082</v>
      </c>
      <c r="G1009" s="834" t="s">
        <v>459</v>
      </c>
      <c r="H1009" s="53">
        <f t="shared" ref="H1009:K1009" si="234">SUM(H1007:H1008)</f>
        <v>148.30000000000001</v>
      </c>
      <c r="I1009" s="53">
        <f t="shared" si="234"/>
        <v>148.6</v>
      </c>
      <c r="J1009" s="149">
        <f t="shared" si="234"/>
        <v>148.6</v>
      </c>
      <c r="K1009" s="149">
        <f t="shared" si="234"/>
        <v>148.6</v>
      </c>
      <c r="L1009" s="1064" t="s">
        <v>829</v>
      </c>
      <c r="M1009" s="1022" t="s">
        <v>829</v>
      </c>
      <c r="N1009" s="1034" t="s">
        <v>829</v>
      </c>
      <c r="O1009" s="921" t="s">
        <v>829</v>
      </c>
      <c r="P1009" s="1079" t="s">
        <v>829</v>
      </c>
    </row>
    <row r="1010" spans="1:16" ht="21" customHeight="1">
      <c r="A1010" s="527">
        <v>6</v>
      </c>
      <c r="B1010" s="539"/>
      <c r="C1010" s="539" t="s">
        <v>1084</v>
      </c>
      <c r="D1010" s="540" t="s">
        <v>1085</v>
      </c>
      <c r="E1010" s="544">
        <v>29</v>
      </c>
      <c r="F1010" s="541" t="s">
        <v>1086</v>
      </c>
      <c r="G1010" s="424" t="s">
        <v>193</v>
      </c>
      <c r="H1010" s="425"/>
      <c r="I1010" s="545">
        <v>199.1</v>
      </c>
      <c r="J1010" s="775">
        <v>199.1</v>
      </c>
      <c r="K1010" s="775">
        <v>199.1</v>
      </c>
      <c r="L1010" s="1064" t="s">
        <v>262</v>
      </c>
      <c r="M1010" s="1022" t="s">
        <v>1087</v>
      </c>
      <c r="N1010" s="1034" t="s">
        <v>1049</v>
      </c>
      <c r="O1010" s="681">
        <v>151.69999999999999</v>
      </c>
      <c r="P1010" s="1078" t="s">
        <v>419</v>
      </c>
    </row>
    <row r="1011" spans="1:16" ht="21" customHeight="1">
      <c r="A1011" s="527">
        <v>6</v>
      </c>
      <c r="B1011" s="539"/>
      <c r="C1011" s="539"/>
      <c r="D1011" s="540"/>
      <c r="E1011" s="544">
        <v>29</v>
      </c>
      <c r="F1011" s="541" t="s">
        <v>1086</v>
      </c>
      <c r="G1011" s="425" t="s">
        <v>460</v>
      </c>
      <c r="H1011" s="425">
        <v>196.1</v>
      </c>
      <c r="I1011" s="545"/>
      <c r="J1011" s="425"/>
      <c r="K1011" s="425"/>
      <c r="L1011" s="1064" t="s">
        <v>262</v>
      </c>
      <c r="M1011" s="1022" t="s">
        <v>829</v>
      </c>
      <c r="N1011" s="1034" t="s">
        <v>829</v>
      </c>
      <c r="O1011" s="681" t="s">
        <v>829</v>
      </c>
      <c r="P1011" s="1078" t="s">
        <v>419</v>
      </c>
    </row>
    <row r="1012" spans="1:16" ht="21" customHeight="1">
      <c r="A1012" s="527">
        <v>6</v>
      </c>
      <c r="B1012" s="539"/>
      <c r="C1012" s="539"/>
      <c r="D1012" s="540"/>
      <c r="E1012" s="544"/>
      <c r="F1012" s="541" t="s">
        <v>1086</v>
      </c>
      <c r="G1012" s="834" t="s">
        <v>459</v>
      </c>
      <c r="H1012" s="53">
        <f t="shared" ref="H1012:K1012" si="235">SUM(H1010:H1011)</f>
        <v>196.1</v>
      </c>
      <c r="I1012" s="53">
        <f t="shared" si="235"/>
        <v>199.1</v>
      </c>
      <c r="J1012" s="149">
        <f t="shared" si="235"/>
        <v>199.1</v>
      </c>
      <c r="K1012" s="149">
        <f t="shared" si="235"/>
        <v>199.1</v>
      </c>
      <c r="L1012" s="1064" t="s">
        <v>829</v>
      </c>
      <c r="M1012" s="1022" t="s">
        <v>829</v>
      </c>
      <c r="N1012" s="1034" t="s">
        <v>829</v>
      </c>
      <c r="O1012" s="921" t="s">
        <v>829</v>
      </c>
      <c r="P1012" s="1079" t="s">
        <v>829</v>
      </c>
    </row>
    <row r="1013" spans="1:16" ht="21" customHeight="1">
      <c r="A1013" s="527">
        <v>6</v>
      </c>
      <c r="B1013" s="539"/>
      <c r="C1013" s="539" t="s">
        <v>1088</v>
      </c>
      <c r="D1013" s="63" t="s">
        <v>1089</v>
      </c>
      <c r="E1013" s="544">
        <v>9</v>
      </c>
      <c r="F1013" s="541" t="s">
        <v>1090</v>
      </c>
      <c r="G1013" s="424" t="s">
        <v>193</v>
      </c>
      <c r="H1013" s="425"/>
      <c r="I1013" s="545">
        <f>500-300+60.8</f>
        <v>260.8</v>
      </c>
      <c r="J1013" s="775">
        <f>200+200</f>
        <v>400</v>
      </c>
      <c r="K1013" s="775">
        <f>200+200</f>
        <v>400</v>
      </c>
      <c r="L1013" s="1064" t="s">
        <v>262</v>
      </c>
      <c r="M1013" s="1022" t="s">
        <v>1091</v>
      </c>
      <c r="N1013" s="1034" t="s">
        <v>1092</v>
      </c>
      <c r="O1013" s="681">
        <v>100</v>
      </c>
      <c r="P1013" s="1078" t="s">
        <v>829</v>
      </c>
    </row>
    <row r="1014" spans="1:16" ht="21" customHeight="1">
      <c r="A1014" s="527">
        <v>6</v>
      </c>
      <c r="B1014" s="539"/>
      <c r="C1014" s="539"/>
      <c r="D1014" s="63"/>
      <c r="E1014" s="544"/>
      <c r="F1014" s="541" t="s">
        <v>1090</v>
      </c>
      <c r="G1014" s="424" t="s">
        <v>460</v>
      </c>
      <c r="H1014" s="425">
        <v>50</v>
      </c>
      <c r="I1014" s="545"/>
      <c r="J1014" s="775"/>
      <c r="K1014" s="775"/>
      <c r="L1014" s="1064" t="s">
        <v>829</v>
      </c>
      <c r="M1014" s="1022" t="s">
        <v>829</v>
      </c>
      <c r="N1014" s="1034" t="s">
        <v>829</v>
      </c>
      <c r="O1014" s="681" t="s">
        <v>829</v>
      </c>
      <c r="P1014" s="1078" t="s">
        <v>829</v>
      </c>
    </row>
    <row r="1015" spans="1:16" ht="21" customHeight="1">
      <c r="A1015" s="527">
        <v>6</v>
      </c>
      <c r="B1015" s="539"/>
      <c r="C1015" s="539"/>
      <c r="D1015" s="540"/>
      <c r="E1015" s="544"/>
      <c r="F1015" s="541" t="s">
        <v>1090</v>
      </c>
      <c r="G1015" s="834" t="s">
        <v>459</v>
      </c>
      <c r="H1015" s="53">
        <f t="shared" ref="H1015:K1015" si="236">SUM(H1013:H1014)</f>
        <v>50</v>
      </c>
      <c r="I1015" s="53">
        <f t="shared" si="236"/>
        <v>260.8</v>
      </c>
      <c r="J1015" s="149">
        <f t="shared" si="236"/>
        <v>400</v>
      </c>
      <c r="K1015" s="149">
        <f t="shared" si="236"/>
        <v>400</v>
      </c>
      <c r="L1015" s="1064" t="s">
        <v>829</v>
      </c>
      <c r="M1015" s="1022" t="s">
        <v>829</v>
      </c>
      <c r="N1015" s="1034" t="s">
        <v>829</v>
      </c>
      <c r="O1015" s="921" t="s">
        <v>829</v>
      </c>
      <c r="P1015" s="1079" t="s">
        <v>829</v>
      </c>
    </row>
    <row r="1016" spans="1:16" ht="21" customHeight="1">
      <c r="A1016" s="527">
        <v>6</v>
      </c>
      <c r="B1016" s="546"/>
      <c r="C1016" s="539" t="s">
        <v>1093</v>
      </c>
      <c r="D1016" s="547" t="s">
        <v>1094</v>
      </c>
      <c r="E1016" s="544" t="s">
        <v>1095</v>
      </c>
      <c r="F1016" s="541" t="s">
        <v>1096</v>
      </c>
      <c r="G1016" s="424" t="s">
        <v>193</v>
      </c>
      <c r="H1016" s="548">
        <f>100-50-50</f>
        <v>0</v>
      </c>
      <c r="I1016" s="549">
        <v>70</v>
      </c>
      <c r="J1016" s="777">
        <v>50</v>
      </c>
      <c r="K1016" s="777">
        <v>50</v>
      </c>
      <c r="L1016" s="1064" t="s">
        <v>274</v>
      </c>
      <c r="M1016" s="1022" t="s">
        <v>2383</v>
      </c>
      <c r="N1016" s="1034" t="s">
        <v>1092</v>
      </c>
      <c r="O1016" s="681">
        <v>100</v>
      </c>
      <c r="P1016" s="1080" t="s">
        <v>829</v>
      </c>
    </row>
    <row r="1017" spans="1:16" ht="21" customHeight="1">
      <c r="A1017" s="527">
        <v>6</v>
      </c>
      <c r="B1017" s="546"/>
      <c r="C1017" s="546"/>
      <c r="D1017" s="540"/>
      <c r="E1017" s="544" t="s">
        <v>1095</v>
      </c>
      <c r="F1017" s="541" t="s">
        <v>1096</v>
      </c>
      <c r="G1017" s="425" t="s">
        <v>460</v>
      </c>
      <c r="H1017" s="425">
        <v>24.3</v>
      </c>
      <c r="I1017" s="545"/>
      <c r="J1017" s="775"/>
      <c r="K1017" s="775"/>
      <c r="L1017" s="1064" t="s">
        <v>274</v>
      </c>
      <c r="M1017" s="680" t="s">
        <v>829</v>
      </c>
      <c r="N1017" s="1034" t="s">
        <v>829</v>
      </c>
      <c r="O1017" s="681" t="s">
        <v>829</v>
      </c>
      <c r="P1017" s="1078" t="s">
        <v>829</v>
      </c>
    </row>
    <row r="1018" spans="1:16" ht="21" customHeight="1">
      <c r="A1018" s="527">
        <v>6</v>
      </c>
      <c r="B1018" s="546"/>
      <c r="C1018" s="546"/>
      <c r="D1018" s="540"/>
      <c r="E1018" s="544"/>
      <c r="F1018" s="541" t="s">
        <v>1096</v>
      </c>
      <c r="G1018" s="834" t="s">
        <v>459</v>
      </c>
      <c r="H1018" s="53">
        <f>SUM(H1016:H1017)</f>
        <v>24.3</v>
      </c>
      <c r="I1018" s="53">
        <f t="shared" ref="I1018:K1018" si="237">SUM(I1016:I1017)</f>
        <v>70</v>
      </c>
      <c r="J1018" s="149">
        <f t="shared" si="237"/>
        <v>50</v>
      </c>
      <c r="K1018" s="149">
        <f t="shared" si="237"/>
        <v>50</v>
      </c>
      <c r="L1018" s="1064" t="s">
        <v>829</v>
      </c>
      <c r="M1018" s="1022" t="s">
        <v>829</v>
      </c>
      <c r="N1018" s="1034" t="s">
        <v>829</v>
      </c>
      <c r="O1018" s="921" t="s">
        <v>829</v>
      </c>
      <c r="P1018" s="1079" t="s">
        <v>829</v>
      </c>
    </row>
    <row r="1019" spans="1:16" ht="21" customHeight="1">
      <c r="A1019" s="527">
        <v>6</v>
      </c>
      <c r="B1019" s="528"/>
      <c r="C1019" s="528"/>
      <c r="D1019" s="529" t="s">
        <v>1097</v>
      </c>
      <c r="E1019" s="550"/>
      <c r="F1019" s="551"/>
      <c r="G1019" s="552"/>
      <c r="H1019" s="553"/>
      <c r="I1019" s="553"/>
      <c r="J1019" s="778"/>
      <c r="K1019" s="778"/>
      <c r="L1019" s="1065" t="s">
        <v>829</v>
      </c>
      <c r="M1019" s="1036" t="s">
        <v>829</v>
      </c>
      <c r="N1019" s="1037" t="s">
        <v>829</v>
      </c>
      <c r="O1019" s="1038" t="s">
        <v>829</v>
      </c>
      <c r="P1019" s="1081" t="s">
        <v>829</v>
      </c>
    </row>
    <row r="1020" spans="1:16" ht="21" customHeight="1">
      <c r="A1020" s="527">
        <v>6</v>
      </c>
      <c r="B1020" s="82" t="s">
        <v>1098</v>
      </c>
      <c r="C1020" s="82" t="s">
        <v>1098</v>
      </c>
      <c r="D1020" s="535" t="s">
        <v>1099</v>
      </c>
      <c r="E1020" s="536"/>
      <c r="F1020" s="536"/>
      <c r="G1020" s="656"/>
      <c r="H1020" s="656"/>
      <c r="I1020" s="656"/>
      <c r="J1020" s="779"/>
      <c r="K1020" s="779"/>
      <c r="L1020" s="1064" t="s">
        <v>829</v>
      </c>
      <c r="M1020" s="1022" t="s">
        <v>829</v>
      </c>
      <c r="N1020" s="1034" t="s">
        <v>829</v>
      </c>
      <c r="O1020" s="921" t="s">
        <v>829</v>
      </c>
      <c r="P1020" s="1079" t="s">
        <v>829</v>
      </c>
    </row>
    <row r="1021" spans="1:16" ht="21" customHeight="1">
      <c r="A1021" s="527">
        <v>6</v>
      </c>
      <c r="B1021" s="539"/>
      <c r="C1021" s="870"/>
      <c r="D1021" s="540"/>
      <c r="E1021" s="541"/>
      <c r="F1021" s="871"/>
      <c r="G1021" s="542" t="s">
        <v>1042</v>
      </c>
      <c r="H1021" s="542">
        <f>SUM(H1033,H1036,H1037,H1038,H1039,H1065,H1078,H1040,H1041,H1043,H1052,H1054,H1055,H1035,H1031,H1032,H1081,H1082,H1051,H1060,H1056,H1057,H1059,H1061,H1062,H1063,H1064)</f>
        <v>3868.2999999999997</v>
      </c>
      <c r="I1021" s="542">
        <f>SUM(I1033,I1036,I1037,I1038,I1039,I1065,I1078,I1040,I1041,I1043,I1052,I1054,I1055,I1035,I1031,I1032,I1081,I1082,I1051,I1060,I1056,I1057,I1059,I1061,I1062,I1063,I1064)</f>
        <v>2571.1000000000004</v>
      </c>
      <c r="J1021" s="542">
        <f>SUM(J1033,J1036,J1037,J1038,J1039,J1065,J1078,J1040,J1041,J1043,J1052,J1054,J1055,J1035,J1031,J1032,J1081,J1082,J1051,J1060,J1056,J1057,J1059,J1061,J1062,J1063,J1064)</f>
        <v>3627.4</v>
      </c>
      <c r="K1021" s="542">
        <f>SUM(K1033,K1036,K1037,K1038,K1039,K1065,K1078,K1040,K1041,K1043,K1052,K1054,K1055,K1035,K1031,K1032,K1081,K1082,K1051,K1060,K1056,K1057,K1059,K1061,K1062,K1063,K1064)</f>
        <v>2295.9</v>
      </c>
      <c r="L1021" s="1064" t="s">
        <v>829</v>
      </c>
      <c r="M1021" s="1022" t="s">
        <v>829</v>
      </c>
      <c r="N1021" s="1039" t="s">
        <v>829</v>
      </c>
      <c r="O1021" s="1040" t="s">
        <v>829</v>
      </c>
      <c r="P1021" s="1082" t="s">
        <v>829</v>
      </c>
    </row>
    <row r="1022" spans="1:16" ht="21" customHeight="1">
      <c r="A1022" s="527">
        <v>6</v>
      </c>
      <c r="B1022" s="539"/>
      <c r="C1022" s="870"/>
      <c r="D1022" s="540"/>
      <c r="E1022" s="541"/>
      <c r="F1022" s="871"/>
      <c r="G1022" s="542" t="s">
        <v>196</v>
      </c>
      <c r="H1022" s="542">
        <f>SUM(H1034,H1042,H1045,H1083,H1080)</f>
        <v>16.899999999999999</v>
      </c>
      <c r="I1022" s="542">
        <f>SUM(I1034,I1042,I1045,I1083,I1080)</f>
        <v>31.2</v>
      </c>
      <c r="J1022" s="542">
        <f>SUM(J1034,J1042,J1045,J1083,J1080)</f>
        <v>610</v>
      </c>
      <c r="K1022" s="542">
        <f>SUM(K1034,K1042,K1045,K1083,K1080)</f>
        <v>610</v>
      </c>
      <c r="L1022" s="1064" t="s">
        <v>829</v>
      </c>
      <c r="M1022" s="1022" t="s">
        <v>829</v>
      </c>
      <c r="N1022" s="1041" t="s">
        <v>829</v>
      </c>
      <c r="O1022" s="1040" t="s">
        <v>829</v>
      </c>
      <c r="P1022" s="1082" t="s">
        <v>829</v>
      </c>
    </row>
    <row r="1023" spans="1:16" ht="21" customHeight="1">
      <c r="A1023" s="527">
        <v>6</v>
      </c>
      <c r="B1023" s="539"/>
      <c r="C1023" s="870"/>
      <c r="D1023" s="540"/>
      <c r="E1023" s="541"/>
      <c r="F1023" s="871"/>
      <c r="G1023" s="542" t="s">
        <v>764</v>
      </c>
      <c r="H1023" s="542"/>
      <c r="I1023" s="542"/>
      <c r="J1023" s="772"/>
      <c r="K1023" s="772"/>
      <c r="L1023" s="1064" t="s">
        <v>829</v>
      </c>
      <c r="M1023" s="1022" t="s">
        <v>829</v>
      </c>
      <c r="N1023" s="1034" t="s">
        <v>829</v>
      </c>
      <c r="O1023" s="1040" t="s">
        <v>829</v>
      </c>
      <c r="P1023" s="1082" t="s">
        <v>829</v>
      </c>
    </row>
    <row r="1024" spans="1:16" ht="21" customHeight="1">
      <c r="A1024" s="527">
        <v>6</v>
      </c>
      <c r="B1024" s="539"/>
      <c r="C1024" s="870"/>
      <c r="D1024" s="540"/>
      <c r="E1024" s="541"/>
      <c r="F1024" s="871"/>
      <c r="G1024" s="542" t="s">
        <v>195</v>
      </c>
      <c r="H1024" s="542">
        <f>SUM(H1048,H1049,H1050)</f>
        <v>2230.5</v>
      </c>
      <c r="I1024" s="542">
        <f t="shared" ref="I1024:K1024" si="238">SUM(I1048,I1049,I1050)</f>
        <v>1189</v>
      </c>
      <c r="J1024" s="772">
        <f t="shared" si="238"/>
        <v>0</v>
      </c>
      <c r="K1024" s="772">
        <f t="shared" si="238"/>
        <v>0</v>
      </c>
      <c r="L1024" s="1064" t="s">
        <v>829</v>
      </c>
      <c r="M1024" s="1022" t="s">
        <v>829</v>
      </c>
      <c r="N1024" s="1034" t="s">
        <v>829</v>
      </c>
      <c r="O1024" s="1040" t="s">
        <v>829</v>
      </c>
      <c r="P1024" s="1082" t="s">
        <v>829</v>
      </c>
    </row>
    <row r="1025" spans="1:16" ht="21" customHeight="1">
      <c r="A1025" s="527">
        <v>6</v>
      </c>
      <c r="B1025" s="539"/>
      <c r="C1025" s="870"/>
      <c r="D1025" s="540"/>
      <c r="E1025" s="541"/>
      <c r="F1025" s="871"/>
      <c r="G1025" s="542" t="s">
        <v>1100</v>
      </c>
      <c r="H1025" s="542">
        <f>SUM(H1053)</f>
        <v>40.200000000000003</v>
      </c>
      <c r="I1025" s="542">
        <f>SUM(I1053)</f>
        <v>0</v>
      </c>
      <c r="J1025" s="772">
        <f>SUM(J1053)</f>
        <v>0</v>
      </c>
      <c r="K1025" s="772">
        <f>SUM(K1053)</f>
        <v>0</v>
      </c>
      <c r="L1025" s="1064" t="s">
        <v>829</v>
      </c>
      <c r="M1025" s="1022" t="s">
        <v>829</v>
      </c>
      <c r="N1025" s="1034" t="s">
        <v>829</v>
      </c>
      <c r="O1025" s="1040" t="s">
        <v>829</v>
      </c>
      <c r="P1025" s="1082" t="s">
        <v>829</v>
      </c>
    </row>
    <row r="1026" spans="1:16" ht="21" customHeight="1">
      <c r="A1026" s="527">
        <v>6</v>
      </c>
      <c r="B1026" s="539"/>
      <c r="C1026" s="870"/>
      <c r="D1026" s="540"/>
      <c r="E1026" s="541"/>
      <c r="F1026" s="871"/>
      <c r="G1026" s="542" t="s">
        <v>381</v>
      </c>
      <c r="H1026" s="542">
        <f>SUM(H1044,H1066,)</f>
        <v>0</v>
      </c>
      <c r="I1026" s="542">
        <f t="shared" ref="I1026:K1026" si="239">SUM(I1044,I1066,)</f>
        <v>1200</v>
      </c>
      <c r="J1026" s="542">
        <f t="shared" si="239"/>
        <v>0</v>
      </c>
      <c r="K1026" s="542">
        <f t="shared" si="239"/>
        <v>0</v>
      </c>
      <c r="L1026" s="1064"/>
      <c r="M1026" s="1022"/>
      <c r="N1026" s="1034"/>
      <c r="O1026" s="1040"/>
      <c r="P1026" s="1082"/>
    </row>
    <row r="1027" spans="1:16" ht="21" customHeight="1">
      <c r="A1027" s="527">
        <v>6</v>
      </c>
      <c r="B1027" s="539"/>
      <c r="C1027" s="870"/>
      <c r="D1027" s="540"/>
      <c r="E1027" s="541"/>
      <c r="F1027" s="871"/>
      <c r="G1027" s="542" t="s">
        <v>267</v>
      </c>
      <c r="H1027" s="542">
        <f>SUM(H1047)</f>
        <v>0</v>
      </c>
      <c r="I1027" s="542">
        <f>SUM(I1047)</f>
        <v>645.70000000000005</v>
      </c>
      <c r="J1027" s="772">
        <f>SUM(J1047)</f>
        <v>0</v>
      </c>
      <c r="K1027" s="772">
        <f>SUM(K1047)</f>
        <v>0</v>
      </c>
      <c r="L1027" s="1064" t="s">
        <v>829</v>
      </c>
      <c r="M1027" s="1022" t="s">
        <v>829</v>
      </c>
      <c r="N1027" s="1034" t="s">
        <v>829</v>
      </c>
      <c r="O1027" s="1042" t="s">
        <v>829</v>
      </c>
      <c r="P1027" s="1083" t="s">
        <v>829</v>
      </c>
    </row>
    <row r="1028" spans="1:16" ht="21" customHeight="1">
      <c r="A1028" s="527">
        <v>6</v>
      </c>
      <c r="B1028" s="539"/>
      <c r="C1028" s="870"/>
      <c r="D1028" s="540"/>
      <c r="E1028" s="541"/>
      <c r="F1028" s="871"/>
      <c r="G1028" s="542" t="s">
        <v>380</v>
      </c>
      <c r="H1028" s="542">
        <f t="shared" ref="H1028:K1028" si="240">H1046</f>
        <v>0</v>
      </c>
      <c r="I1028" s="542">
        <f t="shared" si="240"/>
        <v>97.199999999999989</v>
      </c>
      <c r="J1028" s="772">
        <f t="shared" si="240"/>
        <v>0</v>
      </c>
      <c r="K1028" s="772">
        <f t="shared" si="240"/>
        <v>0</v>
      </c>
      <c r="L1028" s="1066" t="s">
        <v>829</v>
      </c>
      <c r="M1028" s="1022" t="s">
        <v>829</v>
      </c>
      <c r="N1028" s="1034" t="s">
        <v>829</v>
      </c>
      <c r="O1028" s="1042" t="s">
        <v>829</v>
      </c>
      <c r="P1028" s="1083" t="s">
        <v>829</v>
      </c>
    </row>
    <row r="1029" spans="1:16" ht="21" customHeight="1">
      <c r="A1029" s="527">
        <v>6</v>
      </c>
      <c r="B1029" s="539"/>
      <c r="C1029" s="539"/>
      <c r="D1029" s="540"/>
      <c r="E1029" s="541"/>
      <c r="F1029" s="871"/>
      <c r="G1029" s="542" t="s">
        <v>461</v>
      </c>
      <c r="H1029" s="542">
        <f>SUM(H1067,H1058)</f>
        <v>0</v>
      </c>
      <c r="I1029" s="542">
        <f>SUM(I1067,I1058)</f>
        <v>525.79999999999995</v>
      </c>
      <c r="J1029" s="542">
        <f>SUM(J1067,J1058)</f>
        <v>453</v>
      </c>
      <c r="K1029" s="772">
        <f>SUM(K1067,K1058)</f>
        <v>300</v>
      </c>
      <c r="L1029" s="1067"/>
      <c r="M1029" s="75"/>
      <c r="N1029" s="764"/>
      <c r="O1029" s="178"/>
      <c r="P1029" s="1080"/>
    </row>
    <row r="1030" spans="1:16" ht="21" customHeight="1">
      <c r="A1030" s="527">
        <v>6</v>
      </c>
      <c r="B1030" s="539"/>
      <c r="C1030" s="539"/>
      <c r="D1030" s="554"/>
      <c r="E1030" s="541"/>
      <c r="F1030" s="871"/>
      <c r="G1030" s="542" t="s">
        <v>198</v>
      </c>
      <c r="H1030" s="542">
        <f t="shared" ref="H1030:K1030" si="241">SUM(H1021:H1029)</f>
        <v>6155.9</v>
      </c>
      <c r="I1030" s="542">
        <f t="shared" si="241"/>
        <v>6260</v>
      </c>
      <c r="J1030" s="772">
        <f t="shared" si="241"/>
        <v>4690.3999999999996</v>
      </c>
      <c r="K1030" s="772">
        <f t="shared" si="241"/>
        <v>3205.9</v>
      </c>
      <c r="L1030" s="1067"/>
      <c r="M1030" s="75"/>
      <c r="N1030" s="764"/>
      <c r="O1030" s="178"/>
      <c r="P1030" s="1080"/>
    </row>
    <row r="1031" spans="1:16" ht="21" customHeight="1">
      <c r="A1031" s="527">
        <v>6</v>
      </c>
      <c r="B1031" s="555"/>
      <c r="C1031" s="539" t="s">
        <v>1101</v>
      </c>
      <c r="D1031" s="581" t="s">
        <v>1102</v>
      </c>
      <c r="E1031" s="527">
        <v>9</v>
      </c>
      <c r="F1031" s="556" t="s">
        <v>1103</v>
      </c>
      <c r="G1031" s="557" t="s">
        <v>193</v>
      </c>
      <c r="H1031" s="425">
        <v>189.1</v>
      </c>
      <c r="I1031" s="558"/>
      <c r="J1031" s="780"/>
      <c r="K1031" s="780"/>
      <c r="L1031" s="1064" t="s">
        <v>268</v>
      </c>
      <c r="M1031" s="1022"/>
      <c r="N1031" s="1034"/>
      <c r="O1031" s="681"/>
      <c r="P1031" s="1078" t="s">
        <v>389</v>
      </c>
    </row>
    <row r="1032" spans="1:16" ht="21" customHeight="1">
      <c r="A1032" s="527">
        <v>6</v>
      </c>
      <c r="B1032" s="539"/>
      <c r="C1032" s="539" t="s">
        <v>1106</v>
      </c>
      <c r="D1032" s="554" t="s">
        <v>1107</v>
      </c>
      <c r="E1032" s="527">
        <v>9</v>
      </c>
      <c r="F1032" s="559" t="s">
        <v>1108</v>
      </c>
      <c r="G1032" s="557" t="s">
        <v>193</v>
      </c>
      <c r="H1032" s="109">
        <v>159.80000000000001</v>
      </c>
      <c r="I1032" s="564">
        <v>16</v>
      </c>
      <c r="J1032" s="780"/>
      <c r="K1032" s="780"/>
      <c r="L1032" s="1064" t="s">
        <v>398</v>
      </c>
      <c r="M1032" s="1022" t="s">
        <v>1104</v>
      </c>
      <c r="N1032" s="1034" t="s">
        <v>2384</v>
      </c>
      <c r="O1032" s="681">
        <v>1</v>
      </c>
      <c r="P1032" s="1078" t="s">
        <v>386</v>
      </c>
    </row>
    <row r="1033" spans="1:16" ht="21" customHeight="1">
      <c r="A1033" s="527">
        <v>6</v>
      </c>
      <c r="B1033" s="561"/>
      <c r="C1033" s="539" t="s">
        <v>1109</v>
      </c>
      <c r="D1033" s="1132" t="s">
        <v>1110</v>
      </c>
      <c r="E1033" s="527">
        <v>9</v>
      </c>
      <c r="F1033" s="562" t="s">
        <v>1111</v>
      </c>
      <c r="G1033" s="557" t="s">
        <v>193</v>
      </c>
      <c r="H1033" s="106">
        <v>508.4</v>
      </c>
      <c r="I1033" s="564">
        <v>83</v>
      </c>
      <c r="J1033" s="781"/>
      <c r="K1033" s="781"/>
      <c r="L1033" s="1064" t="s">
        <v>268</v>
      </c>
      <c r="M1033" s="1022" t="s">
        <v>1112</v>
      </c>
      <c r="N1033" s="1034" t="s">
        <v>2385</v>
      </c>
      <c r="O1033" s="921">
        <v>100</v>
      </c>
      <c r="P1033" s="1078" t="s">
        <v>386</v>
      </c>
    </row>
    <row r="1034" spans="1:16" ht="21" customHeight="1">
      <c r="A1034" s="527">
        <v>6</v>
      </c>
      <c r="B1034" s="561"/>
      <c r="C1034" s="539" t="s">
        <v>1109</v>
      </c>
      <c r="D1034" s="1134"/>
      <c r="E1034" s="544">
        <v>9</v>
      </c>
      <c r="F1034" s="565" t="s">
        <v>1111</v>
      </c>
      <c r="G1034" s="557" t="s">
        <v>196</v>
      </c>
      <c r="H1034" s="106"/>
      <c r="I1034" s="564"/>
      <c r="J1034" s="782"/>
      <c r="K1034" s="782"/>
      <c r="L1034" s="1068" t="s">
        <v>268</v>
      </c>
      <c r="M1034" s="1022" t="s">
        <v>829</v>
      </c>
      <c r="N1034" s="1037" t="s">
        <v>829</v>
      </c>
      <c r="O1034" s="1038" t="s">
        <v>829</v>
      </c>
      <c r="P1034" s="1080" t="s">
        <v>386</v>
      </c>
    </row>
    <row r="1035" spans="1:16" ht="21" customHeight="1">
      <c r="A1035" s="527">
        <v>6</v>
      </c>
      <c r="B1035" s="561"/>
      <c r="C1035" s="561" t="s">
        <v>1113</v>
      </c>
      <c r="D1035" s="104" t="s">
        <v>1114</v>
      </c>
      <c r="E1035" s="567">
        <v>9</v>
      </c>
      <c r="F1035" s="562" t="s">
        <v>1115</v>
      </c>
      <c r="G1035" s="109" t="s">
        <v>193</v>
      </c>
      <c r="H1035" s="43">
        <f>45-45</f>
        <v>0</v>
      </c>
      <c r="I1035" s="564">
        <f>300+45-345</f>
        <v>0</v>
      </c>
      <c r="J1035" s="783">
        <f>440</f>
        <v>440</v>
      </c>
      <c r="K1035" s="783"/>
      <c r="L1035" s="1068" t="s">
        <v>398</v>
      </c>
      <c r="M1035" s="1043" t="s">
        <v>1116</v>
      </c>
      <c r="N1035" s="1041" t="s">
        <v>2386</v>
      </c>
      <c r="O1035" s="1044" t="s">
        <v>2387</v>
      </c>
      <c r="P1035" s="1084" t="s">
        <v>275</v>
      </c>
    </row>
    <row r="1036" spans="1:16" ht="21" customHeight="1">
      <c r="A1036" s="527">
        <v>6</v>
      </c>
      <c r="B1036" s="539"/>
      <c r="C1036" s="539" t="s">
        <v>1117</v>
      </c>
      <c r="D1036" s="51" t="s">
        <v>1118</v>
      </c>
      <c r="E1036" s="544">
        <v>9</v>
      </c>
      <c r="F1036" s="562" t="s">
        <v>1119</v>
      </c>
      <c r="G1036" s="557" t="s">
        <v>193</v>
      </c>
      <c r="H1036" s="43">
        <v>466.4</v>
      </c>
      <c r="I1036" s="564">
        <v>118</v>
      </c>
      <c r="J1036" s="264">
        <v>0</v>
      </c>
      <c r="K1036" s="264"/>
      <c r="L1036" s="1068" t="s">
        <v>268</v>
      </c>
      <c r="M1036" s="1022" t="s">
        <v>1120</v>
      </c>
      <c r="N1036" s="1034" t="s">
        <v>2388</v>
      </c>
      <c r="O1036" s="1045">
        <v>100</v>
      </c>
      <c r="P1036" s="1079" t="s">
        <v>275</v>
      </c>
    </row>
    <row r="1037" spans="1:16" ht="21" customHeight="1">
      <c r="A1037" s="527">
        <v>6</v>
      </c>
      <c r="B1037" s="568"/>
      <c r="C1037" s="568" t="s">
        <v>1122</v>
      </c>
      <c r="D1037" s="763" t="s">
        <v>1123</v>
      </c>
      <c r="E1037" s="569">
        <v>9</v>
      </c>
      <c r="F1037" s="570" t="s">
        <v>1124</v>
      </c>
      <c r="G1037" s="571" t="s">
        <v>193</v>
      </c>
      <c r="H1037" s="572">
        <v>7.9</v>
      </c>
      <c r="I1037" s="564">
        <f>120-120</f>
        <v>0</v>
      </c>
      <c r="J1037" s="781">
        <v>100</v>
      </c>
      <c r="K1037" s="781"/>
      <c r="L1037" s="1068" t="s">
        <v>398</v>
      </c>
      <c r="M1037" s="1022"/>
      <c r="N1037" s="1034"/>
      <c r="O1037" s="1044"/>
      <c r="P1037" s="1079" t="s">
        <v>275</v>
      </c>
    </row>
    <row r="1038" spans="1:16" ht="21" customHeight="1">
      <c r="A1038" s="527">
        <v>6</v>
      </c>
      <c r="B1038" s="575"/>
      <c r="C1038" s="575" t="s">
        <v>1125</v>
      </c>
      <c r="D1038" s="912" t="s">
        <v>1126</v>
      </c>
      <c r="E1038" s="576">
        <v>9</v>
      </c>
      <c r="F1038" s="577" t="s">
        <v>1127</v>
      </c>
      <c r="G1038" s="578" t="s">
        <v>193</v>
      </c>
      <c r="H1038" s="579"/>
      <c r="I1038" s="580">
        <v>50</v>
      </c>
      <c r="J1038" s="782"/>
      <c r="K1038" s="782"/>
      <c r="L1038" s="1068" t="s">
        <v>268</v>
      </c>
      <c r="M1038" s="1022" t="s">
        <v>1120</v>
      </c>
      <c r="N1038" s="1034" t="s">
        <v>1128</v>
      </c>
      <c r="O1038" s="1045">
        <v>1</v>
      </c>
      <c r="P1038" s="1079" t="s">
        <v>275</v>
      </c>
    </row>
    <row r="1039" spans="1:16" ht="21" customHeight="1">
      <c r="A1039" s="527">
        <v>6</v>
      </c>
      <c r="B1039" s="575"/>
      <c r="C1039" s="575" t="s">
        <v>1129</v>
      </c>
      <c r="D1039" s="581" t="s">
        <v>1130</v>
      </c>
      <c r="E1039" s="576">
        <v>9</v>
      </c>
      <c r="F1039" s="582" t="s">
        <v>1131</v>
      </c>
      <c r="G1039" s="583" t="s">
        <v>193</v>
      </c>
      <c r="H1039" s="584"/>
      <c r="I1039" s="580">
        <f>300</f>
        <v>300</v>
      </c>
      <c r="J1039" s="784">
        <v>800</v>
      </c>
      <c r="K1039" s="784">
        <v>1200</v>
      </c>
      <c r="L1039" s="1064" t="s">
        <v>398</v>
      </c>
      <c r="M1039" s="1022" t="s">
        <v>1112</v>
      </c>
      <c r="N1039" s="1034" t="s">
        <v>1144</v>
      </c>
      <c r="O1039" s="1045">
        <v>10</v>
      </c>
      <c r="P1039" s="1079" t="s">
        <v>275</v>
      </c>
    </row>
    <row r="1040" spans="1:16" ht="21" customHeight="1">
      <c r="A1040" s="527">
        <v>6</v>
      </c>
      <c r="B1040" s="539"/>
      <c r="C1040" s="568" t="s">
        <v>1133</v>
      </c>
      <c r="D1040" s="872" t="s">
        <v>1134</v>
      </c>
      <c r="E1040" s="569">
        <v>9</v>
      </c>
      <c r="F1040" s="585" t="s">
        <v>1135</v>
      </c>
      <c r="G1040" s="835" t="s">
        <v>193</v>
      </c>
      <c r="H1040" s="572"/>
      <c r="I1040" s="573">
        <v>50</v>
      </c>
      <c r="J1040" s="781">
        <v>200</v>
      </c>
      <c r="K1040" s="781">
        <v>200</v>
      </c>
      <c r="L1040" s="1064" t="s">
        <v>398</v>
      </c>
      <c r="M1040" s="1022" t="s">
        <v>1112</v>
      </c>
      <c r="N1040" s="1034" t="s">
        <v>1132</v>
      </c>
      <c r="O1040" s="1045">
        <v>1</v>
      </c>
      <c r="P1040" s="1079" t="s">
        <v>429</v>
      </c>
    </row>
    <row r="1041" spans="1:16" ht="21" customHeight="1">
      <c r="A1041" s="527">
        <v>6</v>
      </c>
      <c r="B1041" s="586"/>
      <c r="C1041" s="575" t="s">
        <v>1136</v>
      </c>
      <c r="D1041" s="1135" t="s">
        <v>1137</v>
      </c>
      <c r="E1041" s="576">
        <v>9</v>
      </c>
      <c r="F1041" s="587" t="s">
        <v>1138</v>
      </c>
      <c r="G1041" s="836" t="s">
        <v>193</v>
      </c>
      <c r="H1041" s="113">
        <v>497.2</v>
      </c>
      <c r="I1041" s="588">
        <f>50-50</f>
        <v>0</v>
      </c>
      <c r="J1041" s="782"/>
      <c r="K1041" s="782"/>
      <c r="L1041" s="1064" t="s">
        <v>385</v>
      </c>
      <c r="M1041" s="1022"/>
      <c r="N1041" s="1034"/>
      <c r="O1041" s="1045"/>
      <c r="P1041" s="1079" t="s">
        <v>386</v>
      </c>
    </row>
    <row r="1042" spans="1:16" ht="21" customHeight="1">
      <c r="A1042" s="527">
        <v>6</v>
      </c>
      <c r="B1042" s="586"/>
      <c r="C1042" s="575" t="s">
        <v>1136</v>
      </c>
      <c r="D1042" s="1136"/>
      <c r="E1042" s="576" t="s">
        <v>59</v>
      </c>
      <c r="F1042" s="589" t="s">
        <v>1138</v>
      </c>
      <c r="G1042" s="578" t="s">
        <v>196</v>
      </c>
      <c r="H1042" s="579"/>
      <c r="I1042" s="580"/>
      <c r="J1042" s="782"/>
      <c r="K1042" s="782"/>
      <c r="L1042" s="1068" t="s">
        <v>385</v>
      </c>
      <c r="M1042" s="1022"/>
      <c r="N1042" s="1034"/>
      <c r="O1042" s="1045"/>
      <c r="P1042" s="1080" t="s">
        <v>386</v>
      </c>
    </row>
    <row r="1043" spans="1:16" ht="21" customHeight="1">
      <c r="A1043" s="527">
        <v>6</v>
      </c>
      <c r="B1043" s="539"/>
      <c r="C1043" s="575" t="s">
        <v>1141</v>
      </c>
      <c r="D1043" s="1137" t="s">
        <v>1142</v>
      </c>
      <c r="E1043" s="590">
        <v>9</v>
      </c>
      <c r="F1043" s="589" t="s">
        <v>1143</v>
      </c>
      <c r="G1043" s="591" t="s">
        <v>193</v>
      </c>
      <c r="H1043" s="592">
        <v>23</v>
      </c>
      <c r="I1043" s="580">
        <f>1045-900</f>
        <v>145</v>
      </c>
      <c r="J1043" s="785"/>
      <c r="K1043" s="785"/>
      <c r="L1043" s="1069" t="s">
        <v>385</v>
      </c>
      <c r="M1043" s="1022" t="s">
        <v>1140</v>
      </c>
      <c r="N1043" s="1034" t="s">
        <v>1144</v>
      </c>
      <c r="O1043" s="1045">
        <v>100</v>
      </c>
      <c r="P1043" s="1079" t="s">
        <v>386</v>
      </c>
    </row>
    <row r="1044" spans="1:16" ht="21" customHeight="1">
      <c r="A1044" s="527">
        <v>6</v>
      </c>
      <c r="B1044" s="568"/>
      <c r="C1044" s="575" t="s">
        <v>1141</v>
      </c>
      <c r="D1044" s="1137"/>
      <c r="E1044" s="590">
        <v>9</v>
      </c>
      <c r="F1044" s="589" t="s">
        <v>1143</v>
      </c>
      <c r="G1044" s="424" t="s">
        <v>381</v>
      </c>
      <c r="H1044" s="592"/>
      <c r="I1044" s="580">
        <v>900</v>
      </c>
      <c r="J1044" s="785"/>
      <c r="K1044" s="785"/>
      <c r="L1044" s="1070"/>
      <c r="M1044" s="1022" t="s">
        <v>1140</v>
      </c>
      <c r="N1044" s="1034"/>
      <c r="O1044" s="1045"/>
      <c r="P1044" s="1079"/>
    </row>
    <row r="1045" spans="1:16" ht="21" customHeight="1">
      <c r="A1045" s="527">
        <v>6</v>
      </c>
      <c r="B1045" s="568"/>
      <c r="C1045" s="575" t="s">
        <v>1141</v>
      </c>
      <c r="D1045" s="1138"/>
      <c r="E1045" s="576">
        <v>9</v>
      </c>
      <c r="F1045" s="589" t="s">
        <v>1143</v>
      </c>
      <c r="G1045" s="583" t="s">
        <v>196</v>
      </c>
      <c r="H1045" s="113"/>
      <c r="I1045" s="588"/>
      <c r="J1045" s="786"/>
      <c r="K1045" s="786"/>
      <c r="L1045" s="1070" t="s">
        <v>385</v>
      </c>
      <c r="M1045" s="1022" t="s">
        <v>1140</v>
      </c>
      <c r="N1045" s="1034"/>
      <c r="O1045" s="1045"/>
      <c r="P1045" s="1079" t="s">
        <v>386</v>
      </c>
    </row>
    <row r="1046" spans="1:16" ht="21" customHeight="1">
      <c r="A1046" s="527">
        <v>6</v>
      </c>
      <c r="B1046" s="568"/>
      <c r="C1046" s="575" t="s">
        <v>1141</v>
      </c>
      <c r="D1046" s="1138"/>
      <c r="E1046" s="576">
        <v>9</v>
      </c>
      <c r="F1046" s="589" t="s">
        <v>1143</v>
      </c>
      <c r="G1046" s="583" t="s">
        <v>380</v>
      </c>
      <c r="H1046" s="113"/>
      <c r="I1046" s="588">
        <v>97.199999999999989</v>
      </c>
      <c r="J1046" s="786"/>
      <c r="K1046" s="786"/>
      <c r="L1046" s="1068" t="s">
        <v>385</v>
      </c>
      <c r="M1046" s="680" t="s">
        <v>1140</v>
      </c>
      <c r="N1046" s="1034" t="s">
        <v>829</v>
      </c>
      <c r="O1046" s="921" t="s">
        <v>829</v>
      </c>
      <c r="P1046" s="1079" t="s">
        <v>386</v>
      </c>
    </row>
    <row r="1047" spans="1:16" ht="21" customHeight="1">
      <c r="A1047" s="527">
        <v>6</v>
      </c>
      <c r="B1047" s="539"/>
      <c r="C1047" s="575" t="s">
        <v>1141</v>
      </c>
      <c r="D1047" s="1138"/>
      <c r="E1047" s="593">
        <v>9</v>
      </c>
      <c r="F1047" s="589" t="s">
        <v>1143</v>
      </c>
      <c r="G1047" s="594" t="s">
        <v>267</v>
      </c>
      <c r="H1047" s="113"/>
      <c r="I1047" s="588">
        <v>645.70000000000005</v>
      </c>
      <c r="J1047" s="786"/>
      <c r="K1047" s="786"/>
      <c r="L1047" s="1068" t="s">
        <v>385</v>
      </c>
      <c r="M1047" s="680" t="s">
        <v>1140</v>
      </c>
      <c r="N1047" s="1034" t="s">
        <v>829</v>
      </c>
      <c r="O1047" s="921" t="s">
        <v>829</v>
      </c>
      <c r="P1047" s="1079" t="s">
        <v>386</v>
      </c>
    </row>
    <row r="1048" spans="1:16" ht="21" customHeight="1">
      <c r="A1048" s="527">
        <v>6</v>
      </c>
      <c r="B1048" s="595"/>
      <c r="C1048" s="596" t="s">
        <v>1145</v>
      </c>
      <c r="D1048" s="597" t="s">
        <v>1146</v>
      </c>
      <c r="E1048" s="576">
        <v>9</v>
      </c>
      <c r="F1048" s="598" t="s">
        <v>1147</v>
      </c>
      <c r="G1048" s="578" t="s">
        <v>195</v>
      </c>
      <c r="H1048" s="579">
        <v>1467.9</v>
      </c>
      <c r="I1048" s="564">
        <f>1200-100-1100</f>
        <v>0</v>
      </c>
      <c r="J1048" s="782"/>
      <c r="K1048" s="782"/>
      <c r="L1048" s="1068" t="s">
        <v>268</v>
      </c>
      <c r="M1048" s="1022"/>
      <c r="N1048" s="1034"/>
      <c r="O1048" s="681"/>
      <c r="P1048" s="1079" t="s">
        <v>392</v>
      </c>
    </row>
    <row r="1049" spans="1:16" ht="21" customHeight="1">
      <c r="A1049" s="527">
        <v>6</v>
      </c>
      <c r="B1049" s="599"/>
      <c r="C1049" s="575" t="s">
        <v>1149</v>
      </c>
      <c r="D1049" s="600" t="s">
        <v>2158</v>
      </c>
      <c r="E1049" s="601">
        <v>9</v>
      </c>
      <c r="F1049" s="602" t="s">
        <v>1150</v>
      </c>
      <c r="G1049" s="603" t="s">
        <v>195</v>
      </c>
      <c r="H1049" s="604">
        <v>18.2</v>
      </c>
      <c r="I1049" s="564">
        <f>1159+30</f>
        <v>1189</v>
      </c>
      <c r="J1049" s="787">
        <f>1000-1000</f>
        <v>0</v>
      </c>
      <c r="K1049" s="787"/>
      <c r="L1049" s="1068" t="s">
        <v>268</v>
      </c>
      <c r="M1049" s="1022" t="s">
        <v>1104</v>
      </c>
      <c r="N1049" s="1034" t="s">
        <v>1139</v>
      </c>
      <c r="O1049" s="921">
        <v>1</v>
      </c>
      <c r="P1049" s="1079" t="s">
        <v>392</v>
      </c>
    </row>
    <row r="1050" spans="1:16" ht="21" customHeight="1">
      <c r="A1050" s="527">
        <v>6</v>
      </c>
      <c r="B1050" s="599"/>
      <c r="C1050" s="575" t="s">
        <v>1151</v>
      </c>
      <c r="D1050" s="1150" t="s">
        <v>1152</v>
      </c>
      <c r="E1050" s="527">
        <v>9</v>
      </c>
      <c r="F1050" s="602" t="s">
        <v>1153</v>
      </c>
      <c r="G1050" s="557" t="s">
        <v>195</v>
      </c>
      <c r="H1050" s="109">
        <v>744.4</v>
      </c>
      <c r="I1050" s="560"/>
      <c r="J1050" s="788"/>
      <c r="K1050" s="788"/>
      <c r="L1050" s="1068" t="s">
        <v>268</v>
      </c>
      <c r="M1050" s="1022"/>
      <c r="N1050" s="1034"/>
      <c r="O1050" s="921"/>
      <c r="P1050" s="1079" t="s">
        <v>386</v>
      </c>
    </row>
    <row r="1051" spans="1:16" ht="21" customHeight="1">
      <c r="A1051" s="527">
        <v>6</v>
      </c>
      <c r="B1051" s="599"/>
      <c r="C1051" s="575" t="s">
        <v>1151</v>
      </c>
      <c r="D1051" s="1151"/>
      <c r="E1051" s="527">
        <v>9</v>
      </c>
      <c r="F1051" s="602" t="s">
        <v>1153</v>
      </c>
      <c r="G1051" s="109" t="s">
        <v>193</v>
      </c>
      <c r="H1051" s="109"/>
      <c r="I1051" s="564">
        <f>315-315</f>
        <v>0</v>
      </c>
      <c r="J1051" s="557"/>
      <c r="K1051" s="557"/>
      <c r="L1051" s="1068" t="s">
        <v>268</v>
      </c>
      <c r="M1051" s="1022"/>
      <c r="N1051" s="1034"/>
      <c r="O1051" s="921"/>
      <c r="P1051" s="1079" t="s">
        <v>829</v>
      </c>
    </row>
    <row r="1052" spans="1:16" ht="21" customHeight="1">
      <c r="A1052" s="527">
        <v>6</v>
      </c>
      <c r="B1052" s="539"/>
      <c r="C1052" s="575" t="s">
        <v>1155</v>
      </c>
      <c r="D1052" s="1148" t="s">
        <v>1156</v>
      </c>
      <c r="E1052" s="544">
        <v>9</v>
      </c>
      <c r="F1052" s="541" t="s">
        <v>1157</v>
      </c>
      <c r="G1052" s="109" t="s">
        <v>193</v>
      </c>
      <c r="H1052" s="109">
        <v>718.2</v>
      </c>
      <c r="I1052" s="560">
        <v>100</v>
      </c>
      <c r="J1052" s="789"/>
      <c r="K1052" s="789"/>
      <c r="L1052" s="1064" t="s">
        <v>385</v>
      </c>
      <c r="M1052" s="1022" t="s">
        <v>1104</v>
      </c>
      <c r="N1052" s="1034" t="s">
        <v>2389</v>
      </c>
      <c r="O1052" s="921">
        <v>100</v>
      </c>
      <c r="P1052" s="1080" t="s">
        <v>392</v>
      </c>
    </row>
    <row r="1053" spans="1:16" ht="21" customHeight="1">
      <c r="A1053" s="527">
        <v>6</v>
      </c>
      <c r="B1053" s="539"/>
      <c r="C1053" s="575" t="s">
        <v>1155</v>
      </c>
      <c r="D1053" s="1133"/>
      <c r="E1053" s="544">
        <v>9</v>
      </c>
      <c r="F1053" s="541" t="s">
        <v>1157</v>
      </c>
      <c r="G1053" s="557" t="s">
        <v>1158</v>
      </c>
      <c r="H1053" s="557">
        <v>40.200000000000003</v>
      </c>
      <c r="I1053" s="560"/>
      <c r="J1053" s="789"/>
      <c r="K1053" s="789"/>
      <c r="L1053" s="1064" t="s">
        <v>385</v>
      </c>
      <c r="M1053" s="1022" t="s">
        <v>829</v>
      </c>
      <c r="N1053" s="1034" t="s">
        <v>829</v>
      </c>
      <c r="O1053" s="921" t="s">
        <v>829</v>
      </c>
      <c r="P1053" s="1080" t="s">
        <v>392</v>
      </c>
    </row>
    <row r="1054" spans="1:16" ht="21" customHeight="1">
      <c r="A1054" s="527">
        <v>6</v>
      </c>
      <c r="B1054" s="539"/>
      <c r="C1054" s="605" t="s">
        <v>1159</v>
      </c>
      <c r="D1054" s="51" t="s">
        <v>1160</v>
      </c>
      <c r="E1054" s="544">
        <v>26</v>
      </c>
      <c r="F1054" s="541" t="s">
        <v>1161</v>
      </c>
      <c r="G1054" s="109" t="s">
        <v>193</v>
      </c>
      <c r="H1054" s="109">
        <v>10</v>
      </c>
      <c r="I1054" s="564">
        <v>81.7</v>
      </c>
      <c r="J1054" s="789">
        <v>10</v>
      </c>
      <c r="K1054" s="789"/>
      <c r="L1054" s="1064" t="s">
        <v>398</v>
      </c>
      <c r="M1054" s="1022" t="s">
        <v>1162</v>
      </c>
      <c r="N1054" s="1034" t="s">
        <v>1163</v>
      </c>
      <c r="O1054" s="921">
        <v>100</v>
      </c>
      <c r="P1054" s="1080" t="s">
        <v>392</v>
      </c>
    </row>
    <row r="1055" spans="1:16" ht="21" customHeight="1">
      <c r="A1055" s="527">
        <v>6</v>
      </c>
      <c r="B1055" s="539"/>
      <c r="C1055" s="606" t="s">
        <v>1164</v>
      </c>
      <c r="D1055" s="607" t="s">
        <v>1165</v>
      </c>
      <c r="E1055" s="544">
        <v>29</v>
      </c>
      <c r="F1055" s="541" t="s">
        <v>1166</v>
      </c>
      <c r="G1055" s="109" t="s">
        <v>193</v>
      </c>
      <c r="H1055" s="109">
        <v>199.9</v>
      </c>
      <c r="I1055" s="560"/>
      <c r="J1055" s="789"/>
      <c r="K1055" s="789"/>
      <c r="L1055" s="1064" t="s">
        <v>268</v>
      </c>
      <c r="M1055" s="1022"/>
      <c r="N1055" s="1034"/>
      <c r="O1055" s="921"/>
      <c r="P1055" s="1080" t="s">
        <v>419</v>
      </c>
    </row>
    <row r="1056" spans="1:16" ht="21" customHeight="1">
      <c r="A1056" s="527">
        <v>6</v>
      </c>
      <c r="B1056" s="599"/>
      <c r="C1056" s="575" t="s">
        <v>1167</v>
      </c>
      <c r="D1056" s="919" t="s">
        <v>1168</v>
      </c>
      <c r="E1056" s="544">
        <v>9</v>
      </c>
      <c r="F1056" s="608" t="s">
        <v>1169</v>
      </c>
      <c r="G1056" s="109" t="s">
        <v>193</v>
      </c>
      <c r="H1056" s="109"/>
      <c r="I1056" s="560">
        <v>0</v>
      </c>
      <c r="J1056" s="557">
        <v>180</v>
      </c>
      <c r="K1056" s="789"/>
      <c r="L1056" s="1064" t="s">
        <v>398</v>
      </c>
      <c r="M1056" s="680"/>
      <c r="N1056" s="1046"/>
      <c r="O1056" s="687"/>
      <c r="P1056" s="1080" t="s">
        <v>386</v>
      </c>
    </row>
    <row r="1057" spans="1:16" ht="21" customHeight="1">
      <c r="A1057" s="527">
        <v>6</v>
      </c>
      <c r="B1057" s="599"/>
      <c r="C1057" s="575" t="s">
        <v>1170</v>
      </c>
      <c r="D1057" s="1152" t="s">
        <v>1171</v>
      </c>
      <c r="E1057" s="544">
        <v>9</v>
      </c>
      <c r="F1057" s="608" t="s">
        <v>1172</v>
      </c>
      <c r="G1057" s="109" t="s">
        <v>193</v>
      </c>
      <c r="H1057" s="109"/>
      <c r="I1057" s="560"/>
      <c r="J1057" s="789">
        <v>400</v>
      </c>
      <c r="K1057" s="789">
        <v>160</v>
      </c>
      <c r="L1057" s="1064" t="s">
        <v>398</v>
      </c>
      <c r="M1057" s="1047" t="s">
        <v>1104</v>
      </c>
      <c r="N1057" s="1046" t="s">
        <v>2390</v>
      </c>
      <c r="O1057" s="687">
        <v>1</v>
      </c>
      <c r="P1057" s="1080" t="s">
        <v>386</v>
      </c>
    </row>
    <row r="1058" spans="1:16" ht="21" customHeight="1">
      <c r="A1058" s="527">
        <v>6</v>
      </c>
      <c r="B1058" s="599"/>
      <c r="C1058" s="609" t="s">
        <v>1170</v>
      </c>
      <c r="D1058" s="1153"/>
      <c r="E1058" s="544">
        <v>9</v>
      </c>
      <c r="F1058" s="608" t="s">
        <v>1172</v>
      </c>
      <c r="G1058" s="109" t="s">
        <v>461</v>
      </c>
      <c r="H1058" s="109"/>
      <c r="I1058" s="560"/>
      <c r="J1058" s="789"/>
      <c r="K1058" s="789">
        <v>300</v>
      </c>
      <c r="L1058" s="1064" t="s">
        <v>829</v>
      </c>
      <c r="M1058" s="1047" t="s">
        <v>829</v>
      </c>
      <c r="N1058" s="1046" t="s">
        <v>829</v>
      </c>
      <c r="O1058" s="687" t="s">
        <v>829</v>
      </c>
      <c r="P1058" s="1080" t="s">
        <v>829</v>
      </c>
    </row>
    <row r="1059" spans="1:16" ht="21" customHeight="1">
      <c r="A1059" s="527">
        <v>6</v>
      </c>
      <c r="B1059" s="599"/>
      <c r="C1059" s="575" t="s">
        <v>1173</v>
      </c>
      <c r="D1059" s="538" t="s">
        <v>1174</v>
      </c>
      <c r="E1059" s="544">
        <v>9</v>
      </c>
      <c r="F1059" s="608" t="s">
        <v>1175</v>
      </c>
      <c r="G1059" s="109" t="s">
        <v>193</v>
      </c>
      <c r="H1059" s="109"/>
      <c r="I1059" s="560"/>
      <c r="J1059" s="789">
        <v>160</v>
      </c>
      <c r="K1059" s="789"/>
      <c r="L1059" s="1064" t="s">
        <v>398</v>
      </c>
      <c r="M1059" s="1047"/>
      <c r="N1059" s="1046"/>
      <c r="O1059" s="687"/>
      <c r="P1059" s="1080" t="s">
        <v>687</v>
      </c>
    </row>
    <row r="1060" spans="1:16" ht="21" customHeight="1">
      <c r="A1060" s="527">
        <v>6</v>
      </c>
      <c r="B1060" s="599"/>
      <c r="C1060" s="575" t="s">
        <v>1176</v>
      </c>
      <c r="D1060" s="538" t="s">
        <v>1177</v>
      </c>
      <c r="E1060" s="544">
        <v>9</v>
      </c>
      <c r="F1060" s="608" t="s">
        <v>1178</v>
      </c>
      <c r="G1060" s="109" t="s">
        <v>193</v>
      </c>
      <c r="H1060" s="109"/>
      <c r="I1060" s="564">
        <f>70-70</f>
        <v>0</v>
      </c>
      <c r="J1060" s="789">
        <v>70</v>
      </c>
      <c r="K1060" s="789"/>
      <c r="L1060" s="1064" t="s">
        <v>398</v>
      </c>
      <c r="M1060" s="680"/>
      <c r="N1060" s="1046"/>
      <c r="O1060" s="687"/>
      <c r="P1060" s="1080" t="s">
        <v>275</v>
      </c>
    </row>
    <row r="1061" spans="1:16" ht="21" customHeight="1">
      <c r="A1061" s="527">
        <v>6</v>
      </c>
      <c r="B1061" s="599"/>
      <c r="C1061" s="609" t="s">
        <v>1180</v>
      </c>
      <c r="D1061" s="538" t="s">
        <v>1181</v>
      </c>
      <c r="E1061" s="544">
        <v>9</v>
      </c>
      <c r="F1061" s="608" t="s">
        <v>1182</v>
      </c>
      <c r="G1061" s="109" t="s">
        <v>193</v>
      </c>
      <c r="H1061" s="109"/>
      <c r="I1061" s="564">
        <f>300-150</f>
        <v>150</v>
      </c>
      <c r="J1061" s="789">
        <v>150</v>
      </c>
      <c r="K1061" s="789"/>
      <c r="L1061" s="1064" t="s">
        <v>398</v>
      </c>
      <c r="M1061" s="1047" t="s">
        <v>1179</v>
      </c>
      <c r="N1061" s="1046" t="s">
        <v>1105</v>
      </c>
      <c r="O1061" s="687">
        <v>100</v>
      </c>
      <c r="P1061" s="1080" t="s">
        <v>429</v>
      </c>
    </row>
    <row r="1062" spans="1:16" ht="21" customHeight="1">
      <c r="A1062" s="527">
        <v>6</v>
      </c>
      <c r="B1062" s="599"/>
      <c r="C1062" s="575" t="s">
        <v>1183</v>
      </c>
      <c r="D1062" s="538" t="s">
        <v>1184</v>
      </c>
      <c r="E1062" s="544">
        <v>9</v>
      </c>
      <c r="F1062" s="608" t="s">
        <v>1185</v>
      </c>
      <c r="G1062" s="109" t="s">
        <v>193</v>
      </c>
      <c r="H1062" s="109"/>
      <c r="I1062" s="564">
        <v>65</v>
      </c>
      <c r="J1062" s="789"/>
      <c r="K1062" s="789"/>
      <c r="L1062" s="1064" t="s">
        <v>398</v>
      </c>
      <c r="M1062" s="1047" t="s">
        <v>1429</v>
      </c>
      <c r="N1062" s="1046" t="s">
        <v>1139</v>
      </c>
      <c r="O1062" s="687">
        <v>1</v>
      </c>
      <c r="P1062" s="1080" t="s">
        <v>429</v>
      </c>
    </row>
    <row r="1063" spans="1:16" ht="21" customHeight="1">
      <c r="A1063" s="527">
        <v>6</v>
      </c>
      <c r="B1063" s="599"/>
      <c r="C1063" s="609" t="s">
        <v>1186</v>
      </c>
      <c r="D1063" s="538" t="s">
        <v>1187</v>
      </c>
      <c r="E1063" s="544">
        <v>9</v>
      </c>
      <c r="F1063" s="608" t="s">
        <v>1188</v>
      </c>
      <c r="G1063" s="109" t="s">
        <v>193</v>
      </c>
      <c r="H1063" s="109"/>
      <c r="I1063" s="560">
        <v>40</v>
      </c>
      <c r="J1063" s="789"/>
      <c r="K1063" s="789"/>
      <c r="L1063" s="1064" t="s">
        <v>398</v>
      </c>
      <c r="M1063" s="1047" t="s">
        <v>1120</v>
      </c>
      <c r="N1063" s="1046" t="s">
        <v>1139</v>
      </c>
      <c r="O1063" s="687">
        <v>1</v>
      </c>
      <c r="P1063" s="1080" t="s">
        <v>429</v>
      </c>
    </row>
    <row r="1064" spans="1:16" ht="21" customHeight="1">
      <c r="A1064" s="527">
        <v>6</v>
      </c>
      <c r="B1064" s="599"/>
      <c r="C1064" s="575" t="s">
        <v>1189</v>
      </c>
      <c r="D1064" s="538" t="s">
        <v>1190</v>
      </c>
      <c r="E1064" s="544">
        <v>9</v>
      </c>
      <c r="F1064" s="608" t="s">
        <v>1191</v>
      </c>
      <c r="G1064" s="109" t="s">
        <v>193</v>
      </c>
      <c r="H1064" s="109"/>
      <c r="I1064" s="560">
        <v>30</v>
      </c>
      <c r="J1064" s="789"/>
      <c r="K1064" s="789"/>
      <c r="L1064" s="1064" t="s">
        <v>398</v>
      </c>
      <c r="M1064" s="1047" t="s">
        <v>1091</v>
      </c>
      <c r="N1064" s="1046" t="s">
        <v>1105</v>
      </c>
      <c r="O1064" s="687">
        <v>100</v>
      </c>
      <c r="P1064" s="1080" t="s">
        <v>415</v>
      </c>
    </row>
    <row r="1065" spans="1:16" ht="21" customHeight="1">
      <c r="A1065" s="527">
        <v>6</v>
      </c>
      <c r="B1065" s="539"/>
      <c r="C1065" s="610" t="s">
        <v>1192</v>
      </c>
      <c r="D1065" s="1154" t="s">
        <v>1193</v>
      </c>
      <c r="E1065" s="527">
        <v>9</v>
      </c>
      <c r="F1065" s="424" t="s">
        <v>1194</v>
      </c>
      <c r="G1065" s="563" t="s">
        <v>193</v>
      </c>
      <c r="H1065" s="545">
        <f>SUM(H1069,H1070,H1072,H1073,H1074,H1075,H1076)</f>
        <v>0</v>
      </c>
      <c r="I1065" s="560">
        <f t="shared" ref="I1065:K1065" si="242">SUM(I1069,I1070,I1072,I1073,I1074,I1075,I1076)</f>
        <v>225.8</v>
      </c>
      <c r="J1065" s="545">
        <f t="shared" si="242"/>
        <v>453</v>
      </c>
      <c r="K1065" s="545">
        <f t="shared" si="242"/>
        <v>0</v>
      </c>
      <c r="L1065" s="1064" t="s">
        <v>274</v>
      </c>
      <c r="M1065" s="1022" t="s">
        <v>1179</v>
      </c>
      <c r="N1065" s="1034" t="s">
        <v>829</v>
      </c>
      <c r="O1065" s="681" t="s">
        <v>829</v>
      </c>
      <c r="P1065" s="1078" t="s">
        <v>829</v>
      </c>
    </row>
    <row r="1066" spans="1:16" ht="21" customHeight="1">
      <c r="A1066" s="527">
        <v>6</v>
      </c>
      <c r="B1066" s="539"/>
      <c r="C1066" s="610"/>
      <c r="D1066" s="1155"/>
      <c r="E1066" s="527">
        <v>9</v>
      </c>
      <c r="F1066" s="424" t="s">
        <v>1194</v>
      </c>
      <c r="G1066" s="424" t="s">
        <v>381</v>
      </c>
      <c r="H1066" s="545">
        <f>SUM(H1071,H1077)</f>
        <v>0</v>
      </c>
      <c r="I1066" s="560">
        <f t="shared" ref="I1066:K1066" si="243">SUM(I1071,I1077)</f>
        <v>300</v>
      </c>
      <c r="J1066" s="545">
        <f t="shared" si="243"/>
        <v>0</v>
      </c>
      <c r="K1066" s="545">
        <f t="shared" si="243"/>
        <v>0</v>
      </c>
      <c r="L1066" s="1064"/>
      <c r="M1066" s="1022"/>
      <c r="N1066" s="1034"/>
      <c r="O1066" s="681"/>
      <c r="P1066" s="1078"/>
    </row>
    <row r="1067" spans="1:16" ht="21" customHeight="1">
      <c r="A1067" s="527">
        <v>6</v>
      </c>
      <c r="B1067" s="539"/>
      <c r="C1067" s="539"/>
      <c r="D1067" s="1156"/>
      <c r="E1067" s="527">
        <v>9</v>
      </c>
      <c r="F1067" s="424" t="s">
        <v>1194</v>
      </c>
      <c r="G1067" s="563" t="s">
        <v>461</v>
      </c>
      <c r="H1067" s="545">
        <f>H1065+H1066</f>
        <v>0</v>
      </c>
      <c r="I1067" s="545">
        <f t="shared" ref="I1067:K1067" si="244">I1065+I1066</f>
        <v>525.79999999999995</v>
      </c>
      <c r="J1067" s="545">
        <f t="shared" si="244"/>
        <v>453</v>
      </c>
      <c r="K1067" s="545">
        <f t="shared" si="244"/>
        <v>0</v>
      </c>
      <c r="L1067" s="1064" t="s">
        <v>829</v>
      </c>
      <c r="M1067" s="1022" t="s">
        <v>829</v>
      </c>
      <c r="N1067" s="1034" t="s">
        <v>829</v>
      </c>
      <c r="O1067" s="681" t="s">
        <v>829</v>
      </c>
      <c r="P1067" s="1078" t="s">
        <v>829</v>
      </c>
    </row>
    <row r="1068" spans="1:16" ht="21" customHeight="1">
      <c r="A1068" s="527">
        <v>6</v>
      </c>
      <c r="B1068" s="539"/>
      <c r="C1068" s="539"/>
      <c r="D1068" s="68"/>
      <c r="E1068" s="544"/>
      <c r="F1068" s="424" t="s">
        <v>1194</v>
      </c>
      <c r="G1068" s="834" t="s">
        <v>459</v>
      </c>
      <c r="H1068" s="53">
        <f t="shared" ref="H1068:K1068" si="245">SUM(H1065:H1067)</f>
        <v>0</v>
      </c>
      <c r="I1068" s="53">
        <f t="shared" si="245"/>
        <v>1051.5999999999999</v>
      </c>
      <c r="J1068" s="53">
        <f t="shared" si="245"/>
        <v>906</v>
      </c>
      <c r="K1068" s="53">
        <f t="shared" si="245"/>
        <v>0</v>
      </c>
      <c r="L1068" s="1064" t="s">
        <v>829</v>
      </c>
      <c r="M1068" s="1022" t="s">
        <v>829</v>
      </c>
      <c r="N1068" s="1034" t="s">
        <v>829</v>
      </c>
      <c r="O1068" s="921" t="s">
        <v>829</v>
      </c>
      <c r="P1068" s="1079" t="s">
        <v>829</v>
      </c>
    </row>
    <row r="1069" spans="1:16" ht="21" customHeight="1">
      <c r="A1069" s="527">
        <v>6</v>
      </c>
      <c r="B1069" s="539"/>
      <c r="C1069" s="539"/>
      <c r="D1069" s="611" t="s">
        <v>1195</v>
      </c>
      <c r="E1069" s="527">
        <v>9</v>
      </c>
      <c r="F1069" s="424" t="s">
        <v>1194</v>
      </c>
      <c r="G1069" s="837" t="s">
        <v>193</v>
      </c>
      <c r="H1069" s="43"/>
      <c r="I1069" s="44"/>
      <c r="J1069" s="264">
        <v>65</v>
      </c>
      <c r="K1069" s="264"/>
      <c r="L1069" s="1064" t="s">
        <v>398</v>
      </c>
      <c r="M1069" s="1022" t="s">
        <v>1179</v>
      </c>
      <c r="N1069" s="1034" t="s">
        <v>829</v>
      </c>
      <c r="O1069" s="921" t="s">
        <v>829</v>
      </c>
      <c r="P1069" s="1079" t="s">
        <v>389</v>
      </c>
    </row>
    <row r="1070" spans="1:16" ht="21" customHeight="1">
      <c r="A1070" s="527">
        <v>6</v>
      </c>
      <c r="B1070" s="539"/>
      <c r="C1070" s="539"/>
      <c r="D1070" s="611" t="s">
        <v>1196</v>
      </c>
      <c r="E1070" s="527">
        <v>9</v>
      </c>
      <c r="F1070" s="424" t="s">
        <v>1194</v>
      </c>
      <c r="G1070" s="837" t="s">
        <v>193</v>
      </c>
      <c r="H1070" s="43"/>
      <c r="I1070" s="44">
        <f>170-100</f>
        <v>70</v>
      </c>
      <c r="J1070" s="264"/>
      <c r="K1070" s="264"/>
      <c r="L1070" s="1064" t="s">
        <v>398</v>
      </c>
      <c r="M1070" s="1022" t="s">
        <v>1179</v>
      </c>
      <c r="N1070" s="1046" t="s">
        <v>1105</v>
      </c>
      <c r="O1070" s="687">
        <v>90</v>
      </c>
      <c r="P1070" s="1079" t="s">
        <v>687</v>
      </c>
    </row>
    <row r="1071" spans="1:16" ht="21" customHeight="1">
      <c r="A1071" s="527">
        <v>6</v>
      </c>
      <c r="B1071" s="568"/>
      <c r="C1071" s="539"/>
      <c r="D1071" s="612"/>
      <c r="E1071" s="527">
        <v>9</v>
      </c>
      <c r="F1071" s="424" t="s">
        <v>1194</v>
      </c>
      <c r="G1071" s="424" t="s">
        <v>381</v>
      </c>
      <c r="H1071" s="112"/>
      <c r="I1071" s="897">
        <f>100</f>
        <v>100</v>
      </c>
      <c r="J1071" s="781"/>
      <c r="K1071" s="781"/>
      <c r="L1071" s="1064"/>
      <c r="M1071" s="1022" t="s">
        <v>1179</v>
      </c>
      <c r="N1071" s="1034"/>
      <c r="O1071" s="921"/>
      <c r="P1071" s="1079"/>
    </row>
    <row r="1072" spans="1:16" ht="21" customHeight="1">
      <c r="A1072" s="527">
        <v>6</v>
      </c>
      <c r="B1072" s="568"/>
      <c r="C1072" s="539"/>
      <c r="D1072" s="612" t="s">
        <v>1197</v>
      </c>
      <c r="E1072" s="569">
        <v>9</v>
      </c>
      <c r="F1072" s="613" t="s">
        <v>1194</v>
      </c>
      <c r="G1072" s="835" t="s">
        <v>193</v>
      </c>
      <c r="H1072" s="614"/>
      <c r="I1072" s="615">
        <v>25.8</v>
      </c>
      <c r="J1072" s="781"/>
      <c r="K1072" s="781"/>
      <c r="L1072" s="1064" t="s">
        <v>398</v>
      </c>
      <c r="M1072" s="1022" t="s">
        <v>1179</v>
      </c>
      <c r="N1072" s="1046" t="s">
        <v>1105</v>
      </c>
      <c r="O1072" s="921">
        <v>100</v>
      </c>
      <c r="P1072" s="1079" t="s">
        <v>429</v>
      </c>
    </row>
    <row r="1073" spans="1:16" ht="21" customHeight="1">
      <c r="A1073" s="527">
        <v>6</v>
      </c>
      <c r="B1073" s="575"/>
      <c r="C1073" s="539"/>
      <c r="D1073" s="616" t="s">
        <v>1198</v>
      </c>
      <c r="E1073" s="617">
        <v>9</v>
      </c>
      <c r="F1073" s="618" t="s">
        <v>1194</v>
      </c>
      <c r="G1073" s="838" t="s">
        <v>193</v>
      </c>
      <c r="H1073" s="619"/>
      <c r="I1073" s="620"/>
      <c r="J1073" s="782">
        <v>28</v>
      </c>
      <c r="K1073" s="782"/>
      <c r="L1073" s="1064" t="s">
        <v>398</v>
      </c>
      <c r="M1073" s="1022" t="s">
        <v>1179</v>
      </c>
      <c r="N1073" s="1034" t="s">
        <v>829</v>
      </c>
      <c r="O1073" s="921" t="s">
        <v>829</v>
      </c>
      <c r="P1073" s="1079" t="s">
        <v>275</v>
      </c>
    </row>
    <row r="1074" spans="1:16" ht="21" customHeight="1">
      <c r="A1074" s="527">
        <v>6</v>
      </c>
      <c r="B1074" s="609"/>
      <c r="C1074" s="568"/>
      <c r="D1074" s="611" t="s">
        <v>1199</v>
      </c>
      <c r="E1074" s="527">
        <v>9</v>
      </c>
      <c r="F1074" s="424" t="s">
        <v>1194</v>
      </c>
      <c r="G1074" s="837" t="s">
        <v>193</v>
      </c>
      <c r="H1074" s="43"/>
      <c r="I1074" s="44"/>
      <c r="J1074" s="790">
        <v>360</v>
      </c>
      <c r="K1074" s="790"/>
      <c r="L1074" s="1066" t="s">
        <v>268</v>
      </c>
      <c r="M1074" s="1022" t="s">
        <v>1179</v>
      </c>
      <c r="N1074" s="1034" t="s">
        <v>829</v>
      </c>
      <c r="O1074" s="921" t="s">
        <v>829</v>
      </c>
      <c r="P1074" s="1079" t="s">
        <v>392</v>
      </c>
    </row>
    <row r="1075" spans="1:16" ht="21" customHeight="1">
      <c r="A1075" s="527">
        <v>6</v>
      </c>
      <c r="B1075" s="539"/>
      <c r="C1075" s="539"/>
      <c r="D1075" s="611" t="s">
        <v>1200</v>
      </c>
      <c r="E1075" s="527">
        <v>9</v>
      </c>
      <c r="F1075" s="424" t="s">
        <v>1194</v>
      </c>
      <c r="G1075" s="837" t="s">
        <v>193</v>
      </c>
      <c r="H1075" s="43"/>
      <c r="I1075" s="44">
        <v>30</v>
      </c>
      <c r="J1075" s="42"/>
      <c r="K1075" s="42"/>
      <c r="L1075" s="135" t="s">
        <v>268</v>
      </c>
      <c r="M1075" s="1022" t="s">
        <v>1179</v>
      </c>
      <c r="N1075" s="1046" t="s">
        <v>1105</v>
      </c>
      <c r="O1075" s="921">
        <v>90</v>
      </c>
      <c r="P1075" s="1079" t="s">
        <v>429</v>
      </c>
    </row>
    <row r="1076" spans="1:16" ht="21" customHeight="1">
      <c r="A1076" s="527">
        <v>6</v>
      </c>
      <c r="B1076" s="539"/>
      <c r="C1076" s="539"/>
      <c r="D1076" s="611" t="s">
        <v>1201</v>
      </c>
      <c r="E1076" s="527">
        <v>9</v>
      </c>
      <c r="F1076" s="424" t="s">
        <v>1194</v>
      </c>
      <c r="G1076" s="837" t="s">
        <v>193</v>
      </c>
      <c r="H1076" s="43"/>
      <c r="I1076" s="44">
        <f>300-230+30</f>
        <v>100</v>
      </c>
      <c r="J1076" s="42"/>
      <c r="K1076" s="42"/>
      <c r="L1076" s="1064" t="s">
        <v>398</v>
      </c>
      <c r="M1076" s="1022" t="s">
        <v>1179</v>
      </c>
      <c r="N1076" s="1046" t="s">
        <v>1105</v>
      </c>
      <c r="O1076" s="921">
        <v>80</v>
      </c>
      <c r="P1076" s="1079" t="s">
        <v>386</v>
      </c>
    </row>
    <row r="1077" spans="1:16" ht="21" customHeight="1">
      <c r="A1077" s="527">
        <v>6</v>
      </c>
      <c r="B1077" s="610"/>
      <c r="C1077" s="595"/>
      <c r="D1077" s="612"/>
      <c r="E1077" s="527">
        <v>9</v>
      </c>
      <c r="F1077" s="424" t="s">
        <v>1194</v>
      </c>
      <c r="G1077" s="424" t="s">
        <v>381</v>
      </c>
      <c r="H1077" s="43"/>
      <c r="I1077" s="44">
        <f>230-30</f>
        <v>200</v>
      </c>
      <c r="J1077" s="783"/>
      <c r="K1077" s="783"/>
      <c r="L1077" s="1064"/>
      <c r="M1077" s="1022" t="s">
        <v>1179</v>
      </c>
      <c r="N1077" s="1034"/>
      <c r="O1077" s="921"/>
      <c r="P1077" s="1079"/>
    </row>
    <row r="1078" spans="1:16" ht="21" customHeight="1">
      <c r="A1078" s="527">
        <v>6</v>
      </c>
      <c r="B1078" s="610"/>
      <c r="C1078" s="595" t="s">
        <v>1202</v>
      </c>
      <c r="D1078" s="1157" t="s">
        <v>1203</v>
      </c>
      <c r="E1078" s="527">
        <v>9</v>
      </c>
      <c r="F1078" s="424" t="s">
        <v>1204</v>
      </c>
      <c r="G1078" s="837" t="s">
        <v>193</v>
      </c>
      <c r="H1078" s="43">
        <v>1086.8</v>
      </c>
      <c r="I1078" s="44">
        <f>1200-100</f>
        <v>1100</v>
      </c>
      <c r="J1078" s="783">
        <f>1200-600+64.4</f>
        <v>664.4</v>
      </c>
      <c r="K1078" s="783">
        <f>1200-600+135.9</f>
        <v>735.9</v>
      </c>
      <c r="L1078" s="1064" t="s">
        <v>398</v>
      </c>
      <c r="M1078" s="1022" t="s">
        <v>1091</v>
      </c>
      <c r="N1078" s="1041" t="s">
        <v>2391</v>
      </c>
      <c r="O1078" s="1044" t="s">
        <v>2392</v>
      </c>
      <c r="P1078" s="1084" t="s">
        <v>829</v>
      </c>
    </row>
    <row r="1079" spans="1:16" ht="21" customHeight="1">
      <c r="A1079" s="527">
        <v>6</v>
      </c>
      <c r="B1079" s="610"/>
      <c r="C1079" s="595"/>
      <c r="D1079" s="1155"/>
      <c r="E1079" s="527">
        <v>9</v>
      </c>
      <c r="F1079" s="424" t="s">
        <v>1204</v>
      </c>
      <c r="G1079" s="685" t="s">
        <v>460</v>
      </c>
      <c r="H1079" s="43"/>
      <c r="I1079" s="44"/>
      <c r="J1079" s="791"/>
      <c r="K1079" s="791"/>
      <c r="L1079" s="1066" t="s">
        <v>829</v>
      </c>
      <c r="M1079" s="1022" t="s">
        <v>829</v>
      </c>
      <c r="N1079" s="1041" t="s">
        <v>829</v>
      </c>
      <c r="O1079" s="1044" t="s">
        <v>829</v>
      </c>
      <c r="P1079" s="1084" t="s">
        <v>829</v>
      </c>
    </row>
    <row r="1080" spans="1:16" ht="21" customHeight="1">
      <c r="A1080" s="527">
        <v>6</v>
      </c>
      <c r="B1080" s="610"/>
      <c r="C1080" s="595"/>
      <c r="D1080" s="1156"/>
      <c r="E1080" s="527">
        <v>9</v>
      </c>
      <c r="F1080" s="424" t="s">
        <v>1204</v>
      </c>
      <c r="G1080" s="645" t="s">
        <v>196</v>
      </c>
      <c r="H1080" s="43"/>
      <c r="I1080" s="564"/>
      <c r="J1080" s="783">
        <v>610</v>
      </c>
      <c r="K1080" s="783">
        <v>610</v>
      </c>
      <c r="L1080" s="1067"/>
      <c r="M1080" s="75"/>
      <c r="N1080" s="764"/>
      <c r="O1080" s="178"/>
      <c r="P1080" s="1080"/>
    </row>
    <row r="1081" spans="1:16" ht="21" customHeight="1">
      <c r="A1081" s="527">
        <v>6</v>
      </c>
      <c r="B1081" s="539"/>
      <c r="C1081" s="599" t="s">
        <v>1205</v>
      </c>
      <c r="D1081" s="621" t="s">
        <v>1206</v>
      </c>
      <c r="E1081" s="527">
        <v>9</v>
      </c>
      <c r="F1081" s="424" t="s">
        <v>1207</v>
      </c>
      <c r="G1081" s="685" t="s">
        <v>193</v>
      </c>
      <c r="H1081" s="43">
        <v>1.6</v>
      </c>
      <c r="I1081" s="564">
        <v>14.3</v>
      </c>
      <c r="J1081" s="111"/>
      <c r="K1081" s="111"/>
      <c r="L1081" s="1064" t="s">
        <v>268</v>
      </c>
      <c r="M1081" s="1022" t="s">
        <v>829</v>
      </c>
      <c r="N1081" s="1034" t="s">
        <v>1208</v>
      </c>
      <c r="O1081" s="921" t="s">
        <v>829</v>
      </c>
      <c r="P1081" s="1084" t="s">
        <v>275</v>
      </c>
    </row>
    <row r="1082" spans="1:16" ht="21" customHeight="1">
      <c r="A1082" s="527">
        <v>6</v>
      </c>
      <c r="B1082" s="539"/>
      <c r="C1082" s="599" t="s">
        <v>1209</v>
      </c>
      <c r="D1082" s="621" t="s">
        <v>1210</v>
      </c>
      <c r="E1082" s="527">
        <v>9</v>
      </c>
      <c r="F1082" s="424" t="s">
        <v>1211</v>
      </c>
      <c r="G1082" s="685" t="s">
        <v>193</v>
      </c>
      <c r="H1082" s="43"/>
      <c r="I1082" s="564">
        <v>2.2999999999999998</v>
      </c>
      <c r="J1082" s="111"/>
      <c r="K1082" s="111"/>
      <c r="L1082" s="1064" t="s">
        <v>268</v>
      </c>
      <c r="M1082" s="1022" t="s">
        <v>829</v>
      </c>
      <c r="N1082" s="1034" t="s">
        <v>1208</v>
      </c>
      <c r="O1082" s="921" t="s">
        <v>829</v>
      </c>
      <c r="P1082" s="1084" t="s">
        <v>386</v>
      </c>
    </row>
    <row r="1083" spans="1:16" ht="21" customHeight="1">
      <c r="A1083" s="527">
        <v>6</v>
      </c>
      <c r="B1083" s="539"/>
      <c r="C1083" s="599" t="s">
        <v>1212</v>
      </c>
      <c r="D1083" s="622" t="s">
        <v>1213</v>
      </c>
      <c r="E1083" s="601">
        <v>9</v>
      </c>
      <c r="F1083" s="623" t="s">
        <v>1214</v>
      </c>
      <c r="G1083" s="645" t="s">
        <v>196</v>
      </c>
      <c r="H1083" s="624">
        <v>16.899999999999999</v>
      </c>
      <c r="I1083" s="564">
        <v>31.2</v>
      </c>
      <c r="J1083" s="792">
        <f>600-600</f>
        <v>0</v>
      </c>
      <c r="K1083" s="792">
        <f>600-600</f>
        <v>0</v>
      </c>
      <c r="L1083" s="1064" t="s">
        <v>829</v>
      </c>
      <c r="M1083" s="1022" t="s">
        <v>829</v>
      </c>
      <c r="N1083" s="1034" t="s">
        <v>1215</v>
      </c>
      <c r="O1083" s="921" t="s">
        <v>829</v>
      </c>
      <c r="P1083" s="1084" t="s">
        <v>829</v>
      </c>
    </row>
    <row r="1084" spans="1:16" ht="21" customHeight="1">
      <c r="A1084" s="527">
        <v>6</v>
      </c>
      <c r="B1084" s="82" t="s">
        <v>1216</v>
      </c>
      <c r="C1084" s="82" t="s">
        <v>1216</v>
      </c>
      <c r="D1084" s="535" t="s">
        <v>1217</v>
      </c>
      <c r="E1084" s="536"/>
      <c r="F1084" s="536"/>
      <c r="G1084" s="656"/>
      <c r="H1084" s="656"/>
      <c r="I1084" s="656"/>
      <c r="J1084" s="656"/>
      <c r="K1084" s="656"/>
      <c r="L1084" s="1064" t="s">
        <v>829</v>
      </c>
      <c r="M1084" s="1022" t="s">
        <v>829</v>
      </c>
      <c r="N1084" s="1048" t="s">
        <v>829</v>
      </c>
      <c r="O1084" s="1049" t="s">
        <v>829</v>
      </c>
      <c r="P1084" s="1085" t="s">
        <v>829</v>
      </c>
    </row>
    <row r="1085" spans="1:16" ht="21" customHeight="1">
      <c r="A1085" s="527">
        <v>6</v>
      </c>
      <c r="B1085" s="625"/>
      <c r="C1085" s="625"/>
      <c r="D1085" s="626"/>
      <c r="E1085" s="627"/>
      <c r="F1085" s="628"/>
      <c r="G1085" s="629" t="s">
        <v>1218</v>
      </c>
      <c r="H1085" s="630">
        <f>H1097+H1104+H1106+H1108+H1110+H1112+H1114+H1116+H1118+H1121+H1123+H1126+H1129+H1131+H1135+H1137+H1144+H1139+H1100+H1147+H1149</f>
        <v>3852.7999999999997</v>
      </c>
      <c r="I1085" s="630">
        <f t="shared" ref="I1085:K1085" si="246">I1097+I1104+I1106+I1108+I1110+I1112+I1114+I1116+I1118+I1121+I1123+I1126+I1129+I1131+I1135+I1137+I1144+I1139+I1100+I1147+I1149</f>
        <v>3798</v>
      </c>
      <c r="J1085" s="630">
        <f t="shared" si="246"/>
        <v>3798</v>
      </c>
      <c r="K1085" s="630">
        <f t="shared" si="246"/>
        <v>3798</v>
      </c>
      <c r="L1085" s="1064" t="s">
        <v>829</v>
      </c>
      <c r="M1085" s="1022" t="s">
        <v>829</v>
      </c>
      <c r="N1085" s="1048" t="s">
        <v>829</v>
      </c>
      <c r="O1085" s="1050" t="s">
        <v>829</v>
      </c>
      <c r="P1085" s="1085" t="s">
        <v>829</v>
      </c>
    </row>
    <row r="1086" spans="1:16" ht="21" customHeight="1">
      <c r="A1086" s="527">
        <v>6</v>
      </c>
      <c r="B1086" s="561"/>
      <c r="C1086" s="561"/>
      <c r="D1086" s="631"/>
      <c r="E1086" s="632"/>
      <c r="F1086" s="425"/>
      <c r="G1086" s="633" t="s">
        <v>460</v>
      </c>
      <c r="H1086" s="634">
        <f t="shared" ref="H1086:K1086" si="247">H1132+H1142</f>
        <v>77.7</v>
      </c>
      <c r="I1086" s="634">
        <f t="shared" si="247"/>
        <v>0</v>
      </c>
      <c r="J1086" s="634">
        <f t="shared" si="247"/>
        <v>0</v>
      </c>
      <c r="K1086" s="634">
        <f t="shared" si="247"/>
        <v>0</v>
      </c>
      <c r="L1086" s="1068" t="s">
        <v>829</v>
      </c>
      <c r="M1086" s="1022" t="s">
        <v>829</v>
      </c>
      <c r="N1086" s="1048" t="s">
        <v>829</v>
      </c>
      <c r="O1086" s="1050" t="s">
        <v>829</v>
      </c>
      <c r="P1086" s="1085" t="s">
        <v>829</v>
      </c>
    </row>
    <row r="1087" spans="1:16" ht="21" customHeight="1">
      <c r="A1087" s="527">
        <v>6</v>
      </c>
      <c r="B1087" s="561"/>
      <c r="C1087" s="561"/>
      <c r="D1087" s="631"/>
      <c r="E1087" s="632"/>
      <c r="F1087" s="425"/>
      <c r="G1087" s="633" t="s">
        <v>196</v>
      </c>
      <c r="H1087" s="634">
        <f t="shared" ref="H1087:K1087" si="248">H1133+H1140</f>
        <v>516.29999999999995</v>
      </c>
      <c r="I1087" s="634">
        <f t="shared" si="248"/>
        <v>395</v>
      </c>
      <c r="J1087" s="793">
        <f t="shared" si="248"/>
        <v>0</v>
      </c>
      <c r="K1087" s="793">
        <f t="shared" si="248"/>
        <v>0</v>
      </c>
      <c r="L1087" s="1068" t="s">
        <v>829</v>
      </c>
      <c r="M1087" s="1022" t="s">
        <v>829</v>
      </c>
      <c r="N1087" s="1048" t="s">
        <v>829</v>
      </c>
      <c r="O1087" s="1050" t="s">
        <v>829</v>
      </c>
      <c r="P1087" s="1085" t="s">
        <v>829</v>
      </c>
    </row>
    <row r="1088" spans="1:16" ht="21" customHeight="1">
      <c r="A1088" s="527">
        <v>6</v>
      </c>
      <c r="B1088" s="561"/>
      <c r="C1088" s="561"/>
      <c r="D1088" s="631"/>
      <c r="E1088" s="632"/>
      <c r="F1088" s="425"/>
      <c r="G1088" s="633" t="s">
        <v>267</v>
      </c>
      <c r="H1088" s="634">
        <f t="shared" ref="H1088:K1088" si="249">SUM(H1098,H1101)</f>
        <v>0</v>
      </c>
      <c r="I1088" s="634">
        <f t="shared" si="249"/>
        <v>751.4</v>
      </c>
      <c r="J1088" s="793">
        <f t="shared" si="249"/>
        <v>768.4</v>
      </c>
      <c r="K1088" s="793">
        <f t="shared" si="249"/>
        <v>0</v>
      </c>
      <c r="L1088" s="1068" t="s">
        <v>829</v>
      </c>
      <c r="M1088" s="1022" t="s">
        <v>829</v>
      </c>
      <c r="N1088" s="1048" t="s">
        <v>829</v>
      </c>
      <c r="O1088" s="1050" t="s">
        <v>829</v>
      </c>
      <c r="P1088" s="1085" t="s">
        <v>829</v>
      </c>
    </row>
    <row r="1089" spans="1:16" ht="21" customHeight="1">
      <c r="A1089" s="527">
        <v>6</v>
      </c>
      <c r="B1089" s="561"/>
      <c r="C1089" s="561"/>
      <c r="D1089" s="631"/>
      <c r="E1089" s="632"/>
      <c r="F1089" s="425"/>
      <c r="G1089" s="633" t="s">
        <v>380</v>
      </c>
      <c r="H1089" s="634">
        <f t="shared" ref="H1089:K1089" si="250">H1102</f>
        <v>0</v>
      </c>
      <c r="I1089" s="634">
        <f t="shared" si="250"/>
        <v>0</v>
      </c>
      <c r="J1089" s="793">
        <f t="shared" si="250"/>
        <v>149.1</v>
      </c>
      <c r="K1089" s="793">
        <f t="shared" si="250"/>
        <v>0</v>
      </c>
      <c r="L1089" s="1068" t="s">
        <v>829</v>
      </c>
      <c r="M1089" s="1022" t="s">
        <v>829</v>
      </c>
      <c r="N1089" s="1048" t="s">
        <v>829</v>
      </c>
      <c r="O1089" s="1050" t="s">
        <v>829</v>
      </c>
      <c r="P1089" s="1085" t="s">
        <v>829</v>
      </c>
    </row>
    <row r="1090" spans="1:16" ht="21" customHeight="1">
      <c r="A1090" s="527">
        <v>6</v>
      </c>
      <c r="B1090" s="561"/>
      <c r="C1090" s="561"/>
      <c r="D1090" s="631"/>
      <c r="E1090" s="632"/>
      <c r="F1090" s="425"/>
      <c r="G1090" s="633" t="s">
        <v>764</v>
      </c>
      <c r="H1090" s="634">
        <f t="shared" ref="H1090:K1090" si="251">SUM(H1125,H1141)</f>
        <v>81.599999999999994</v>
      </c>
      <c r="I1090" s="634">
        <f t="shared" si="251"/>
        <v>104.8</v>
      </c>
      <c r="J1090" s="793">
        <f t="shared" si="251"/>
        <v>0</v>
      </c>
      <c r="K1090" s="793">
        <f t="shared" si="251"/>
        <v>0</v>
      </c>
      <c r="L1090" s="1068" t="s">
        <v>829</v>
      </c>
      <c r="M1090" s="1022" t="s">
        <v>829</v>
      </c>
      <c r="N1090" s="1048" t="s">
        <v>829</v>
      </c>
      <c r="O1090" s="1051" t="s">
        <v>829</v>
      </c>
      <c r="P1090" s="1086" t="s">
        <v>829</v>
      </c>
    </row>
    <row r="1091" spans="1:16" ht="21" customHeight="1">
      <c r="A1091" s="527">
        <v>6</v>
      </c>
      <c r="B1091" s="561"/>
      <c r="C1091" s="561"/>
      <c r="D1091" s="631"/>
      <c r="E1091" s="632"/>
      <c r="F1091" s="425"/>
      <c r="G1091" s="633" t="s">
        <v>195</v>
      </c>
      <c r="H1091" s="634">
        <f>H1127</f>
        <v>0</v>
      </c>
      <c r="I1091" s="634">
        <f t="shared" ref="I1091:K1091" si="252">I1127</f>
        <v>0</v>
      </c>
      <c r="J1091" s="634">
        <f t="shared" si="252"/>
        <v>1200</v>
      </c>
      <c r="K1091" s="634">
        <f t="shared" si="252"/>
        <v>300</v>
      </c>
      <c r="L1091" s="1068" t="s">
        <v>829</v>
      </c>
      <c r="M1091" s="1022" t="s">
        <v>829</v>
      </c>
      <c r="N1091" s="1048" t="s">
        <v>829</v>
      </c>
      <c r="O1091" s="1051" t="s">
        <v>829</v>
      </c>
      <c r="P1091" s="1086" t="s">
        <v>829</v>
      </c>
    </row>
    <row r="1092" spans="1:16" ht="21" customHeight="1">
      <c r="A1092" s="527">
        <v>6</v>
      </c>
      <c r="B1092" s="561"/>
      <c r="C1092" s="561"/>
      <c r="D1092" s="631"/>
      <c r="E1092" s="632"/>
      <c r="F1092" s="425"/>
      <c r="G1092" s="633" t="s">
        <v>193</v>
      </c>
      <c r="H1092" s="542">
        <f>H1094+H1095+H1096+H1099+H1103+H1105+H1107+H1109+H1111+H1113+H1115+H1117+H1119+H1120+H1122+H1124+H1128+H1130+H1134+H1136+H1138+H1143+H1145+H1151+H1146+H1148+H1150</f>
        <v>560</v>
      </c>
      <c r="I1092" s="542">
        <f t="shared" ref="I1092:K1092" si="253">I1094+I1095+I1096+I1099+I1103+I1105+I1107+I1109+I1111+I1113+I1115+I1117+I1119+I1120+I1122+I1124+I1128+I1130+I1134+I1136+I1138+I1143+I1145+I1151+I1146+I1148+I1150</f>
        <v>916</v>
      </c>
      <c r="J1092" s="542">
        <f>J1094+J1095+J1096+J1099+J1103+J1105+J1107+J1109+J1111+J1113+J1115+J1117+J1119+J1120+J1122+J1124+J1128+J1130+J1134+J1136+J1138+J1143+J1145+J1151+J1146+J1148+J1150</f>
        <v>2023.3</v>
      </c>
      <c r="K1092" s="542">
        <f t="shared" si="253"/>
        <v>1465</v>
      </c>
      <c r="L1092" s="1068" t="s">
        <v>829</v>
      </c>
      <c r="M1092" s="1022" t="s">
        <v>829</v>
      </c>
      <c r="N1092" s="1034" t="s">
        <v>829</v>
      </c>
      <c r="O1092" s="681" t="s">
        <v>829</v>
      </c>
      <c r="P1092" s="1078" t="s">
        <v>829</v>
      </c>
    </row>
    <row r="1093" spans="1:16" ht="21" customHeight="1">
      <c r="A1093" s="527">
        <v>6</v>
      </c>
      <c r="B1093" s="561"/>
      <c r="C1093" s="561"/>
      <c r="D1093" s="631"/>
      <c r="E1093" s="632"/>
      <c r="F1093" s="425"/>
      <c r="G1093" s="834" t="s">
        <v>459</v>
      </c>
      <c r="H1093" s="53">
        <f t="shared" ref="H1093:K1093" si="254">SUM(H1084:H1092)</f>
        <v>5088.3999999999996</v>
      </c>
      <c r="I1093" s="53">
        <f t="shared" si="254"/>
        <v>5965.2</v>
      </c>
      <c r="J1093" s="149">
        <f t="shared" si="254"/>
        <v>7938.8</v>
      </c>
      <c r="K1093" s="149">
        <f t="shared" si="254"/>
        <v>5563</v>
      </c>
      <c r="L1093" s="1064" t="s">
        <v>829</v>
      </c>
      <c r="M1093" s="1022" t="s">
        <v>829</v>
      </c>
      <c r="N1093" s="1034" t="s">
        <v>829</v>
      </c>
      <c r="O1093" s="921" t="s">
        <v>829</v>
      </c>
      <c r="P1093" s="1079" t="s">
        <v>829</v>
      </c>
    </row>
    <row r="1094" spans="1:16" ht="21" customHeight="1">
      <c r="A1094" s="527">
        <v>6</v>
      </c>
      <c r="B1094" s="561"/>
      <c r="C1094" s="635" t="s">
        <v>1219</v>
      </c>
      <c r="D1094" s="63" t="s">
        <v>1220</v>
      </c>
      <c r="E1094" s="527">
        <v>9</v>
      </c>
      <c r="F1094" s="75" t="s">
        <v>1221</v>
      </c>
      <c r="G1094" s="557" t="s">
        <v>193</v>
      </c>
      <c r="H1094" s="109">
        <v>132.30000000000001</v>
      </c>
      <c r="I1094" s="560"/>
      <c r="J1094" s="264"/>
      <c r="K1094" s="264"/>
      <c r="L1094" s="1064" t="s">
        <v>398</v>
      </c>
      <c r="M1094" s="1022"/>
      <c r="N1094" s="1034"/>
      <c r="O1094" s="921"/>
      <c r="P1094" s="1079" t="s">
        <v>386</v>
      </c>
    </row>
    <row r="1095" spans="1:16" ht="21" customHeight="1">
      <c r="A1095" s="527">
        <v>6</v>
      </c>
      <c r="B1095" s="636"/>
      <c r="C1095" s="635" t="s">
        <v>1222</v>
      </c>
      <c r="D1095" s="29" t="s">
        <v>1223</v>
      </c>
      <c r="E1095" s="527">
        <v>9</v>
      </c>
      <c r="F1095" s="565" t="s">
        <v>1224</v>
      </c>
      <c r="G1095" s="557" t="s">
        <v>193</v>
      </c>
      <c r="H1095" s="109">
        <v>11</v>
      </c>
      <c r="I1095" s="560"/>
      <c r="J1095" s="264"/>
      <c r="K1095" s="264"/>
      <c r="L1095" s="1064" t="s">
        <v>268</v>
      </c>
      <c r="M1095" s="1022"/>
      <c r="N1095" s="1034"/>
      <c r="O1095" s="921"/>
      <c r="P1095" s="1079" t="s">
        <v>386</v>
      </c>
    </row>
    <row r="1096" spans="1:16" ht="21" customHeight="1">
      <c r="A1096" s="527">
        <v>6</v>
      </c>
      <c r="B1096" s="636"/>
      <c r="C1096" s="637" t="s">
        <v>1225</v>
      </c>
      <c r="D1096" s="1132" t="s">
        <v>1226</v>
      </c>
      <c r="E1096" s="527">
        <v>9</v>
      </c>
      <c r="F1096" s="565" t="s">
        <v>1227</v>
      </c>
      <c r="G1096" s="557" t="s">
        <v>193</v>
      </c>
      <c r="H1096" s="109"/>
      <c r="I1096" s="564">
        <v>110</v>
      </c>
      <c r="J1096" s="264">
        <v>10</v>
      </c>
      <c r="K1096" s="264"/>
      <c r="L1096" s="1064" t="s">
        <v>385</v>
      </c>
      <c r="M1096" s="1022" t="s">
        <v>1104</v>
      </c>
      <c r="N1096" s="1034" t="s">
        <v>1154</v>
      </c>
      <c r="O1096" s="921">
        <v>80</v>
      </c>
      <c r="P1096" s="1079" t="s">
        <v>386</v>
      </c>
    </row>
    <row r="1097" spans="1:16" ht="21" customHeight="1">
      <c r="A1097" s="527">
        <v>6</v>
      </c>
      <c r="B1097" s="636"/>
      <c r="C1097" s="638"/>
      <c r="D1097" s="1133"/>
      <c r="E1097" s="527">
        <v>9</v>
      </c>
      <c r="F1097" s="565" t="s">
        <v>1227</v>
      </c>
      <c r="G1097" s="557" t="s">
        <v>1218</v>
      </c>
      <c r="H1097" s="109">
        <v>100</v>
      </c>
      <c r="I1097" s="564">
        <v>989.7</v>
      </c>
      <c r="J1097" s="264">
        <v>42.7</v>
      </c>
      <c r="K1097" s="264"/>
      <c r="L1097" s="1064" t="s">
        <v>385</v>
      </c>
      <c r="M1097" s="1022" t="s">
        <v>1104</v>
      </c>
      <c r="N1097" s="1034"/>
      <c r="O1097" s="921"/>
      <c r="P1097" s="1079" t="s">
        <v>386</v>
      </c>
    </row>
    <row r="1098" spans="1:16" ht="21" customHeight="1">
      <c r="A1098" s="527">
        <v>6</v>
      </c>
      <c r="B1098" s="636"/>
      <c r="C1098" s="638"/>
      <c r="D1098" s="1134"/>
      <c r="E1098" s="527">
        <v>9</v>
      </c>
      <c r="F1098" s="565" t="s">
        <v>1227</v>
      </c>
      <c r="G1098" s="109" t="s">
        <v>267</v>
      </c>
      <c r="H1098" s="109"/>
      <c r="I1098" s="560">
        <f>ROUND((736.3-H1098+15.1), 1)</f>
        <v>751.4</v>
      </c>
      <c r="J1098" s="264"/>
      <c r="K1098" s="264"/>
      <c r="L1098" s="1064" t="s">
        <v>385</v>
      </c>
      <c r="M1098" s="1022" t="s">
        <v>1104</v>
      </c>
      <c r="N1098" s="1034" t="s">
        <v>829</v>
      </c>
      <c r="O1098" s="921" t="s">
        <v>829</v>
      </c>
      <c r="P1098" s="1079" t="s">
        <v>386</v>
      </c>
    </row>
    <row r="1099" spans="1:16" ht="21" customHeight="1">
      <c r="A1099" s="527">
        <v>6</v>
      </c>
      <c r="B1099" s="636"/>
      <c r="C1099" s="637" t="s">
        <v>1229</v>
      </c>
      <c r="D1099" s="1132" t="s">
        <v>1230</v>
      </c>
      <c r="E1099" s="527">
        <v>9</v>
      </c>
      <c r="F1099" s="565" t="s">
        <v>1231</v>
      </c>
      <c r="G1099" s="109" t="s">
        <v>193</v>
      </c>
      <c r="H1099" s="109"/>
      <c r="I1099" s="560">
        <f>ROUND((2800-(2800/3))/2-900, 1)</f>
        <v>33.299999999999997</v>
      </c>
      <c r="J1099" s="258">
        <f>ROUND((2800-(2800/3))/2, 1)</f>
        <v>933.3</v>
      </c>
      <c r="K1099" s="258"/>
      <c r="L1099" s="1064" t="s">
        <v>385</v>
      </c>
      <c r="M1099" s="1022" t="s">
        <v>1104</v>
      </c>
      <c r="N1099" s="1034" t="s">
        <v>1228</v>
      </c>
      <c r="O1099" s="921">
        <v>1</v>
      </c>
      <c r="P1099" s="1079" t="s">
        <v>386</v>
      </c>
    </row>
    <row r="1100" spans="1:16" ht="21" customHeight="1">
      <c r="A1100" s="527">
        <v>6</v>
      </c>
      <c r="B1100" s="636"/>
      <c r="C1100" s="637"/>
      <c r="D1100" s="1133"/>
      <c r="E1100" s="527">
        <v>9</v>
      </c>
      <c r="F1100" s="565" t="s">
        <v>1231</v>
      </c>
      <c r="G1100" s="109" t="s">
        <v>1218</v>
      </c>
      <c r="H1100" s="109"/>
      <c r="I1100" s="564">
        <v>113</v>
      </c>
      <c r="J1100" s="258">
        <v>875.3</v>
      </c>
      <c r="K1100" s="258"/>
      <c r="L1100" s="1064" t="s">
        <v>385</v>
      </c>
      <c r="M1100" s="1022" t="s">
        <v>1104</v>
      </c>
      <c r="N1100" s="1034" t="s">
        <v>1232</v>
      </c>
      <c r="O1100" s="921">
        <v>1</v>
      </c>
      <c r="P1100" s="1079" t="s">
        <v>386</v>
      </c>
    </row>
    <row r="1101" spans="1:16" ht="21" customHeight="1">
      <c r="A1101" s="527">
        <v>6</v>
      </c>
      <c r="B1101" s="636"/>
      <c r="C1101" s="638"/>
      <c r="D1101" s="1133"/>
      <c r="E1101" s="527">
        <v>9</v>
      </c>
      <c r="F1101" s="565" t="s">
        <v>1231</v>
      </c>
      <c r="G1101" s="109" t="s">
        <v>267</v>
      </c>
      <c r="H1101" s="109"/>
      <c r="I1101" s="564"/>
      <c r="J1101" s="258">
        <v>768.4</v>
      </c>
      <c r="K1101" s="258"/>
      <c r="L1101" s="1064" t="s">
        <v>385</v>
      </c>
      <c r="M1101" s="1022" t="s">
        <v>1104</v>
      </c>
      <c r="N1101" s="1034" t="s">
        <v>1121</v>
      </c>
      <c r="O1101" s="921">
        <v>50</v>
      </c>
      <c r="P1101" s="1079" t="s">
        <v>386</v>
      </c>
    </row>
    <row r="1102" spans="1:16" ht="21" customHeight="1">
      <c r="A1102" s="527">
        <v>6</v>
      </c>
      <c r="B1102" s="636"/>
      <c r="C1102" s="638"/>
      <c r="D1102" s="1134"/>
      <c r="E1102" s="527">
        <v>9</v>
      </c>
      <c r="F1102" s="565" t="s">
        <v>1231</v>
      </c>
      <c r="G1102" s="109" t="s">
        <v>380</v>
      </c>
      <c r="H1102" s="109"/>
      <c r="I1102" s="564"/>
      <c r="J1102" s="264">
        <v>149.1</v>
      </c>
      <c r="K1102" s="264"/>
      <c r="L1102" s="1064" t="s">
        <v>385</v>
      </c>
      <c r="M1102" s="1022" t="s">
        <v>1104</v>
      </c>
      <c r="N1102" s="1034" t="s">
        <v>829</v>
      </c>
      <c r="O1102" s="921" t="s">
        <v>829</v>
      </c>
      <c r="P1102" s="1079" t="s">
        <v>386</v>
      </c>
    </row>
    <row r="1103" spans="1:16" ht="21" customHeight="1">
      <c r="A1103" s="527">
        <v>6</v>
      </c>
      <c r="B1103" s="636"/>
      <c r="C1103" s="637" t="s">
        <v>1233</v>
      </c>
      <c r="D1103" s="1132" t="s">
        <v>1234</v>
      </c>
      <c r="E1103" s="527">
        <v>9</v>
      </c>
      <c r="F1103" s="565" t="s">
        <v>1235</v>
      </c>
      <c r="G1103" s="557" t="s">
        <v>193</v>
      </c>
      <c r="H1103" s="109"/>
      <c r="I1103" s="564">
        <v>30</v>
      </c>
      <c r="J1103" s="264">
        <v>80</v>
      </c>
      <c r="K1103" s="264">
        <v>325</v>
      </c>
      <c r="L1103" s="1064" t="s">
        <v>398</v>
      </c>
      <c r="M1103" s="1022" t="s">
        <v>1140</v>
      </c>
      <c r="N1103" s="1034" t="s">
        <v>1236</v>
      </c>
      <c r="O1103" s="921">
        <v>50</v>
      </c>
      <c r="P1103" s="1079" t="s">
        <v>386</v>
      </c>
    </row>
    <row r="1104" spans="1:16" ht="21" customHeight="1">
      <c r="A1104" s="527">
        <v>6</v>
      </c>
      <c r="B1104" s="636"/>
      <c r="C1104" s="638"/>
      <c r="D1104" s="1134"/>
      <c r="E1104" s="527">
        <v>9</v>
      </c>
      <c r="F1104" s="565" t="s">
        <v>1235</v>
      </c>
      <c r="G1104" s="557" t="s">
        <v>1218</v>
      </c>
      <c r="H1104" s="109"/>
      <c r="I1104" s="560"/>
      <c r="J1104" s="264">
        <f>300-300</f>
        <v>0</v>
      </c>
      <c r="K1104" s="264">
        <f>50-50</f>
        <v>0</v>
      </c>
      <c r="L1104" s="1064" t="s">
        <v>398</v>
      </c>
      <c r="M1104" s="1022" t="s">
        <v>1140</v>
      </c>
      <c r="N1104" s="1034" t="s">
        <v>829</v>
      </c>
      <c r="O1104" s="921" t="s">
        <v>829</v>
      </c>
      <c r="P1104" s="1079" t="s">
        <v>386</v>
      </c>
    </row>
    <row r="1105" spans="1:16" ht="21" customHeight="1">
      <c r="A1105" s="527">
        <v>6</v>
      </c>
      <c r="B1105" s="636"/>
      <c r="C1105" s="637" t="s">
        <v>1237</v>
      </c>
      <c r="D1105" s="1132" t="s">
        <v>1238</v>
      </c>
      <c r="E1105" s="527">
        <v>9</v>
      </c>
      <c r="F1105" s="565" t="s">
        <v>1239</v>
      </c>
      <c r="G1105" s="557" t="s">
        <v>193</v>
      </c>
      <c r="H1105" s="109"/>
      <c r="I1105" s="564">
        <v>30</v>
      </c>
      <c r="J1105" s="264">
        <f>220-100</f>
        <v>120</v>
      </c>
      <c r="K1105" s="264">
        <v>160</v>
      </c>
      <c r="L1105" s="1064" t="s">
        <v>398</v>
      </c>
      <c r="M1105" s="1022" t="s">
        <v>1104</v>
      </c>
      <c r="N1105" s="1034" t="s">
        <v>1236</v>
      </c>
      <c r="O1105" s="921">
        <v>50</v>
      </c>
      <c r="P1105" s="1079" t="s">
        <v>392</v>
      </c>
    </row>
    <row r="1106" spans="1:16" ht="21" customHeight="1">
      <c r="A1106" s="527">
        <v>6</v>
      </c>
      <c r="B1106" s="636"/>
      <c r="C1106" s="638"/>
      <c r="D1106" s="1134"/>
      <c r="E1106" s="527">
        <v>9</v>
      </c>
      <c r="F1106" s="565" t="s">
        <v>1239</v>
      </c>
      <c r="G1106" s="557" t="s">
        <v>1218</v>
      </c>
      <c r="H1106" s="109"/>
      <c r="I1106" s="560"/>
      <c r="J1106" s="264">
        <v>100</v>
      </c>
      <c r="K1106" s="264"/>
      <c r="L1106" s="1064" t="s">
        <v>398</v>
      </c>
      <c r="M1106" s="1022" t="s">
        <v>1104</v>
      </c>
      <c r="N1106" s="1034" t="s">
        <v>829</v>
      </c>
      <c r="O1106" s="921" t="s">
        <v>829</v>
      </c>
      <c r="P1106" s="1079" t="s">
        <v>392</v>
      </c>
    </row>
    <row r="1107" spans="1:16" ht="21" customHeight="1">
      <c r="A1107" s="527">
        <v>6</v>
      </c>
      <c r="B1107" s="636"/>
      <c r="C1107" s="637" t="s">
        <v>1240</v>
      </c>
      <c r="D1107" s="1132" t="s">
        <v>1241</v>
      </c>
      <c r="E1107" s="527">
        <v>9</v>
      </c>
      <c r="F1107" s="565" t="s">
        <v>1242</v>
      </c>
      <c r="G1107" s="557" t="s">
        <v>193</v>
      </c>
      <c r="H1107" s="109"/>
      <c r="I1107" s="564">
        <v>30</v>
      </c>
      <c r="J1107" s="264">
        <f>320-100</f>
        <v>220</v>
      </c>
      <c r="K1107" s="264"/>
      <c r="L1107" s="1064" t="s">
        <v>398</v>
      </c>
      <c r="M1107" s="1022" t="s">
        <v>1140</v>
      </c>
      <c r="N1107" s="1034" t="s">
        <v>1236</v>
      </c>
      <c r="O1107" s="921">
        <v>50</v>
      </c>
      <c r="P1107" s="1079" t="s">
        <v>419</v>
      </c>
    </row>
    <row r="1108" spans="1:16" ht="21" customHeight="1">
      <c r="A1108" s="527">
        <v>6</v>
      </c>
      <c r="B1108" s="636"/>
      <c r="C1108" s="638"/>
      <c r="D1108" s="1134"/>
      <c r="E1108" s="527">
        <v>9</v>
      </c>
      <c r="F1108" s="565" t="s">
        <v>1242</v>
      </c>
      <c r="G1108" s="557" t="s">
        <v>1218</v>
      </c>
      <c r="H1108" s="109"/>
      <c r="I1108" s="560"/>
      <c r="J1108" s="264">
        <v>100</v>
      </c>
      <c r="K1108" s="264"/>
      <c r="L1108" s="1064" t="s">
        <v>398</v>
      </c>
      <c r="M1108" s="1022" t="s">
        <v>1140</v>
      </c>
      <c r="N1108" s="1034" t="s">
        <v>829</v>
      </c>
      <c r="O1108" s="921" t="s">
        <v>829</v>
      </c>
      <c r="P1108" s="1079" t="s">
        <v>419</v>
      </c>
    </row>
    <row r="1109" spans="1:16" ht="21" customHeight="1">
      <c r="A1109" s="527">
        <v>6</v>
      </c>
      <c r="B1109" s="636"/>
      <c r="C1109" s="637" t="s">
        <v>1243</v>
      </c>
      <c r="D1109" s="1132" t="s">
        <v>1244</v>
      </c>
      <c r="E1109" s="527">
        <v>9</v>
      </c>
      <c r="F1109" s="565" t="s">
        <v>1245</v>
      </c>
      <c r="G1109" s="557" t="s">
        <v>193</v>
      </c>
      <c r="H1109" s="109">
        <v>5.4</v>
      </c>
      <c r="I1109" s="564">
        <v>30</v>
      </c>
      <c r="J1109" s="264">
        <v>20</v>
      </c>
      <c r="K1109" s="264">
        <v>10</v>
      </c>
      <c r="L1109" s="1064" t="s">
        <v>398</v>
      </c>
      <c r="M1109" s="1022" t="s">
        <v>1140</v>
      </c>
      <c r="N1109" s="1034" t="s">
        <v>1236</v>
      </c>
      <c r="O1109" s="921">
        <v>50</v>
      </c>
      <c r="P1109" s="1079" t="s">
        <v>419</v>
      </c>
    </row>
    <row r="1110" spans="1:16" ht="21" customHeight="1">
      <c r="A1110" s="527">
        <v>6</v>
      </c>
      <c r="B1110" s="636"/>
      <c r="C1110" s="638"/>
      <c r="D1110" s="1134"/>
      <c r="E1110" s="527">
        <v>9</v>
      </c>
      <c r="F1110" s="565" t="s">
        <v>1245</v>
      </c>
      <c r="G1110" s="557" t="s">
        <v>1218</v>
      </c>
      <c r="H1110" s="109"/>
      <c r="I1110" s="560"/>
      <c r="J1110" s="264">
        <f>600-100</f>
        <v>500</v>
      </c>
      <c r="K1110" s="264">
        <v>50</v>
      </c>
      <c r="L1110" s="1064" t="s">
        <v>398</v>
      </c>
      <c r="M1110" s="1022" t="s">
        <v>1140</v>
      </c>
      <c r="N1110" s="1034" t="s">
        <v>829</v>
      </c>
      <c r="O1110" s="921" t="s">
        <v>829</v>
      </c>
      <c r="P1110" s="1079" t="s">
        <v>419</v>
      </c>
    </row>
    <row r="1111" spans="1:16" ht="21" customHeight="1">
      <c r="A1111" s="527">
        <v>6</v>
      </c>
      <c r="B1111" s="636"/>
      <c r="C1111" s="637" t="s">
        <v>1246</v>
      </c>
      <c r="D1111" s="1132" t="s">
        <v>1247</v>
      </c>
      <c r="E1111" s="527">
        <v>9</v>
      </c>
      <c r="F1111" s="565" t="s">
        <v>1248</v>
      </c>
      <c r="G1111" s="557" t="s">
        <v>193</v>
      </c>
      <c r="H1111" s="109">
        <v>18.2</v>
      </c>
      <c r="I1111" s="564">
        <v>15</v>
      </c>
      <c r="J1111" s="264">
        <v>80</v>
      </c>
      <c r="K1111" s="264"/>
      <c r="L1111" s="1064" t="s">
        <v>398</v>
      </c>
      <c r="M1111" s="1022" t="s">
        <v>1140</v>
      </c>
      <c r="N1111" s="1034" t="s">
        <v>1236</v>
      </c>
      <c r="O1111" s="921">
        <v>50</v>
      </c>
      <c r="P1111" s="1079" t="s">
        <v>386</v>
      </c>
    </row>
    <row r="1112" spans="1:16" ht="21" customHeight="1">
      <c r="A1112" s="527">
        <v>6</v>
      </c>
      <c r="B1112" s="636"/>
      <c r="C1112" s="638"/>
      <c r="D1112" s="1134"/>
      <c r="E1112" s="527">
        <v>9</v>
      </c>
      <c r="F1112" s="565" t="s">
        <v>1248</v>
      </c>
      <c r="G1112" s="557" t="s">
        <v>1218</v>
      </c>
      <c r="H1112" s="109"/>
      <c r="I1112" s="560"/>
      <c r="J1112" s="264">
        <f>300-100</f>
        <v>200</v>
      </c>
      <c r="K1112" s="264"/>
      <c r="L1112" s="1064" t="s">
        <v>398</v>
      </c>
      <c r="M1112" s="1022" t="s">
        <v>1140</v>
      </c>
      <c r="N1112" s="1034" t="s">
        <v>829</v>
      </c>
      <c r="O1112" s="921" t="s">
        <v>829</v>
      </c>
      <c r="P1112" s="1079" t="s">
        <v>386</v>
      </c>
    </row>
    <row r="1113" spans="1:16" ht="21" customHeight="1">
      <c r="A1113" s="527">
        <v>6</v>
      </c>
      <c r="B1113" s="636"/>
      <c r="C1113" s="637" t="s">
        <v>1249</v>
      </c>
      <c r="D1113" s="1132" t="s">
        <v>1250</v>
      </c>
      <c r="E1113" s="527">
        <v>9</v>
      </c>
      <c r="F1113" s="565" t="s">
        <v>1251</v>
      </c>
      <c r="G1113" s="557" t="s">
        <v>193</v>
      </c>
      <c r="H1113" s="109"/>
      <c r="I1113" s="560">
        <v>80</v>
      </c>
      <c r="J1113" s="264">
        <v>50</v>
      </c>
      <c r="K1113" s="264">
        <v>320</v>
      </c>
      <c r="L1113" s="1064" t="s">
        <v>398</v>
      </c>
      <c r="M1113" s="1022" t="s">
        <v>1104</v>
      </c>
      <c r="N1113" s="1034" t="s">
        <v>1236</v>
      </c>
      <c r="O1113" s="921">
        <v>30</v>
      </c>
      <c r="P1113" s="1079" t="s">
        <v>389</v>
      </c>
    </row>
    <row r="1114" spans="1:16" ht="21" customHeight="1">
      <c r="A1114" s="527">
        <v>6</v>
      </c>
      <c r="B1114" s="636"/>
      <c r="C1114" s="638"/>
      <c r="D1114" s="1134"/>
      <c r="E1114" s="527">
        <v>9</v>
      </c>
      <c r="F1114" s="565" t="s">
        <v>1251</v>
      </c>
      <c r="G1114" s="557" t="s">
        <v>1218</v>
      </c>
      <c r="H1114" s="109"/>
      <c r="I1114" s="560"/>
      <c r="J1114" s="264"/>
      <c r="K1114" s="264">
        <v>300</v>
      </c>
      <c r="L1114" s="1064" t="s">
        <v>398</v>
      </c>
      <c r="M1114" s="1022" t="s">
        <v>829</v>
      </c>
      <c r="N1114" s="1034" t="s">
        <v>829</v>
      </c>
      <c r="O1114" s="921" t="s">
        <v>829</v>
      </c>
      <c r="P1114" s="1079" t="s">
        <v>389</v>
      </c>
    </row>
    <row r="1115" spans="1:16" ht="21" customHeight="1">
      <c r="A1115" s="527">
        <v>6</v>
      </c>
      <c r="B1115" s="636"/>
      <c r="C1115" s="637" t="s">
        <v>1252</v>
      </c>
      <c r="D1115" s="1132" t="s">
        <v>1253</v>
      </c>
      <c r="E1115" s="527">
        <v>9</v>
      </c>
      <c r="F1115" s="565" t="s">
        <v>1254</v>
      </c>
      <c r="G1115" s="557" t="s">
        <v>193</v>
      </c>
      <c r="H1115" s="109"/>
      <c r="I1115" s="560">
        <v>20</v>
      </c>
      <c r="J1115" s="264">
        <v>15</v>
      </c>
      <c r="K1115" s="264"/>
      <c r="L1115" s="1064" t="s">
        <v>398</v>
      </c>
      <c r="M1115" s="1022" t="s">
        <v>1091</v>
      </c>
      <c r="N1115" s="1034" t="s">
        <v>1236</v>
      </c>
      <c r="O1115" s="921">
        <v>20</v>
      </c>
      <c r="P1115" s="1079" t="s">
        <v>429</v>
      </c>
    </row>
    <row r="1116" spans="1:16" ht="21" customHeight="1">
      <c r="A1116" s="527">
        <v>6</v>
      </c>
      <c r="B1116" s="636"/>
      <c r="C1116" s="638"/>
      <c r="D1116" s="1134"/>
      <c r="E1116" s="527">
        <v>9</v>
      </c>
      <c r="F1116" s="565" t="s">
        <v>1254</v>
      </c>
      <c r="G1116" s="557" t="s">
        <v>1218</v>
      </c>
      <c r="H1116" s="109"/>
      <c r="I1116" s="560"/>
      <c r="J1116" s="264"/>
      <c r="K1116" s="264">
        <v>300</v>
      </c>
      <c r="L1116" s="1064" t="s">
        <v>398</v>
      </c>
      <c r="M1116" s="1022" t="s">
        <v>829</v>
      </c>
      <c r="N1116" s="1034" t="s">
        <v>829</v>
      </c>
      <c r="O1116" s="921" t="s">
        <v>829</v>
      </c>
      <c r="P1116" s="1079" t="s">
        <v>429</v>
      </c>
    </row>
    <row r="1117" spans="1:16" ht="21" customHeight="1">
      <c r="A1117" s="527">
        <v>6</v>
      </c>
      <c r="B1117" s="636"/>
      <c r="C1117" s="637" t="s">
        <v>1255</v>
      </c>
      <c r="D1117" s="1132" t="s">
        <v>1256</v>
      </c>
      <c r="E1117" s="527">
        <v>9</v>
      </c>
      <c r="F1117" s="565" t="s">
        <v>1257</v>
      </c>
      <c r="G1117" s="557" t="s">
        <v>193</v>
      </c>
      <c r="H1117" s="109"/>
      <c r="I1117" s="560">
        <v>80</v>
      </c>
      <c r="J1117" s="264">
        <v>55</v>
      </c>
      <c r="K1117" s="264">
        <v>160</v>
      </c>
      <c r="L1117" s="1064" t="s">
        <v>398</v>
      </c>
      <c r="M1117" s="1022" t="s">
        <v>1104</v>
      </c>
      <c r="N1117" s="1034" t="s">
        <v>1236</v>
      </c>
      <c r="O1117" s="921">
        <v>30</v>
      </c>
      <c r="P1117" s="1079" t="s">
        <v>392</v>
      </c>
    </row>
    <row r="1118" spans="1:16" ht="21" customHeight="1">
      <c r="A1118" s="527">
        <v>6</v>
      </c>
      <c r="B1118" s="636"/>
      <c r="C1118" s="638"/>
      <c r="D1118" s="1134"/>
      <c r="E1118" s="527">
        <v>9</v>
      </c>
      <c r="F1118" s="565" t="s">
        <v>1257</v>
      </c>
      <c r="G1118" s="557" t="s">
        <v>1218</v>
      </c>
      <c r="H1118" s="109"/>
      <c r="I1118" s="560"/>
      <c r="J1118" s="264"/>
      <c r="K1118" s="264">
        <v>1250</v>
      </c>
      <c r="L1118" s="1064" t="s">
        <v>398</v>
      </c>
      <c r="M1118" s="1022" t="s">
        <v>829</v>
      </c>
      <c r="N1118" s="1034" t="s">
        <v>829</v>
      </c>
      <c r="O1118" s="921" t="s">
        <v>829</v>
      </c>
      <c r="P1118" s="1079" t="s">
        <v>392</v>
      </c>
    </row>
    <row r="1119" spans="1:16" ht="21" customHeight="1">
      <c r="A1119" s="527">
        <v>6</v>
      </c>
      <c r="B1119" s="539"/>
      <c r="C1119" s="637" t="s">
        <v>1258</v>
      </c>
      <c r="D1119" s="639" t="s">
        <v>1259</v>
      </c>
      <c r="E1119" s="527">
        <v>9</v>
      </c>
      <c r="F1119" s="565" t="s">
        <v>1260</v>
      </c>
      <c r="G1119" s="557" t="s">
        <v>193</v>
      </c>
      <c r="H1119" s="109">
        <v>32.6</v>
      </c>
      <c r="I1119" s="560">
        <v>50</v>
      </c>
      <c r="J1119" s="264">
        <v>80</v>
      </c>
      <c r="K1119" s="264">
        <v>120</v>
      </c>
      <c r="L1119" s="1068" t="s">
        <v>398</v>
      </c>
      <c r="M1119" s="680" t="s">
        <v>1120</v>
      </c>
      <c r="N1119" s="1034" t="s">
        <v>2393</v>
      </c>
      <c r="O1119" s="921">
        <v>1</v>
      </c>
      <c r="P1119" s="1079" t="s">
        <v>275</v>
      </c>
    </row>
    <row r="1120" spans="1:16" ht="21" customHeight="1">
      <c r="A1120" s="527">
        <v>6</v>
      </c>
      <c r="B1120" s="539"/>
      <c r="C1120" s="637" t="s">
        <v>1261</v>
      </c>
      <c r="D1120" s="1148" t="s">
        <v>1262</v>
      </c>
      <c r="E1120" s="527">
        <v>9</v>
      </c>
      <c r="F1120" s="562" t="s">
        <v>1263</v>
      </c>
      <c r="G1120" s="557" t="s">
        <v>193</v>
      </c>
      <c r="H1120" s="109"/>
      <c r="I1120" s="560">
        <f>6+4</f>
        <v>10</v>
      </c>
      <c r="J1120" s="789"/>
      <c r="K1120" s="789"/>
      <c r="L1120" s="1068" t="s">
        <v>268</v>
      </c>
      <c r="M1120" s="680" t="s">
        <v>1140</v>
      </c>
      <c r="N1120" s="1034" t="s">
        <v>1121</v>
      </c>
      <c r="O1120" s="921">
        <v>100</v>
      </c>
      <c r="P1120" s="1080" t="s">
        <v>389</v>
      </c>
    </row>
    <row r="1121" spans="1:16" ht="21" customHeight="1">
      <c r="A1121" s="527">
        <v>6</v>
      </c>
      <c r="B1121" s="539"/>
      <c r="C1121" s="539"/>
      <c r="D1121" s="1134"/>
      <c r="E1121" s="527">
        <v>9</v>
      </c>
      <c r="F1121" s="562" t="s">
        <v>1263</v>
      </c>
      <c r="G1121" s="557" t="s">
        <v>1218</v>
      </c>
      <c r="H1121" s="109">
        <v>233.5</v>
      </c>
      <c r="I1121" s="564">
        <v>38.6</v>
      </c>
      <c r="J1121" s="789"/>
      <c r="K1121" s="789"/>
      <c r="L1121" s="1068" t="s">
        <v>268</v>
      </c>
      <c r="M1121" s="680" t="s">
        <v>1140</v>
      </c>
      <c r="N1121" s="1034" t="s">
        <v>829</v>
      </c>
      <c r="O1121" s="921" t="s">
        <v>829</v>
      </c>
      <c r="P1121" s="1080" t="s">
        <v>389</v>
      </c>
    </row>
    <row r="1122" spans="1:16" ht="21" customHeight="1">
      <c r="A1122" s="527">
        <v>6</v>
      </c>
      <c r="B1122" s="640"/>
      <c r="C1122" s="637" t="s">
        <v>1264</v>
      </c>
      <c r="D1122" s="1148" t="s">
        <v>1265</v>
      </c>
      <c r="E1122" s="641">
        <v>9</v>
      </c>
      <c r="F1122" s="642" t="s">
        <v>1266</v>
      </c>
      <c r="G1122" s="643" t="s">
        <v>193</v>
      </c>
      <c r="H1122" s="106">
        <v>3.4</v>
      </c>
      <c r="I1122" s="564"/>
      <c r="J1122" s="794">
        <v>240</v>
      </c>
      <c r="K1122" s="794">
        <v>240</v>
      </c>
      <c r="L1122" s="1071" t="s">
        <v>268</v>
      </c>
      <c r="M1122" s="1022" t="s">
        <v>1104</v>
      </c>
      <c r="N1122" s="1034"/>
      <c r="O1122" s="921"/>
      <c r="P1122" s="1079" t="s">
        <v>389</v>
      </c>
    </row>
    <row r="1123" spans="1:16" ht="21" customHeight="1">
      <c r="A1123" s="527">
        <v>6</v>
      </c>
      <c r="B1123" s="539"/>
      <c r="C1123" s="539"/>
      <c r="D1123" s="1149"/>
      <c r="E1123" s="527">
        <v>9</v>
      </c>
      <c r="F1123" s="562" t="s">
        <v>1266</v>
      </c>
      <c r="G1123" s="557" t="s">
        <v>1218</v>
      </c>
      <c r="H1123" s="109"/>
      <c r="I1123" s="560"/>
      <c r="J1123" s="789"/>
      <c r="K1123" s="789"/>
      <c r="L1123" s="1068" t="s">
        <v>268</v>
      </c>
      <c r="M1123" s="1022" t="s">
        <v>1104</v>
      </c>
      <c r="N1123" s="1034" t="s">
        <v>829</v>
      </c>
      <c r="O1123" s="921" t="s">
        <v>829</v>
      </c>
      <c r="P1123" s="1080" t="s">
        <v>389</v>
      </c>
    </row>
    <row r="1124" spans="1:16" ht="21" customHeight="1">
      <c r="A1124" s="527">
        <v>6</v>
      </c>
      <c r="B1124" s="539"/>
      <c r="C1124" s="637" t="s">
        <v>1267</v>
      </c>
      <c r="D1124" s="1132" t="s">
        <v>1268</v>
      </c>
      <c r="E1124" s="527">
        <v>9</v>
      </c>
      <c r="F1124" s="562" t="s">
        <v>1269</v>
      </c>
      <c r="G1124" s="557" t="s">
        <v>193</v>
      </c>
      <c r="H1124" s="109">
        <v>36.4</v>
      </c>
      <c r="I1124" s="564">
        <v>35</v>
      </c>
      <c r="J1124" s="789">
        <v>50</v>
      </c>
      <c r="K1124" s="789">
        <v>50</v>
      </c>
      <c r="L1124" s="1064" t="s">
        <v>268</v>
      </c>
      <c r="M1124" s="1022" t="s">
        <v>1120</v>
      </c>
      <c r="N1124" s="1034" t="s">
        <v>2388</v>
      </c>
      <c r="O1124" s="921">
        <v>100</v>
      </c>
      <c r="P1124" s="1080" t="s">
        <v>687</v>
      </c>
    </row>
    <row r="1125" spans="1:16" ht="21" customHeight="1">
      <c r="A1125" s="527">
        <v>6</v>
      </c>
      <c r="B1125" s="539"/>
      <c r="C1125" s="539"/>
      <c r="D1125" s="1133"/>
      <c r="E1125" s="527">
        <v>9</v>
      </c>
      <c r="F1125" s="562" t="s">
        <v>1269</v>
      </c>
      <c r="G1125" s="557" t="s">
        <v>764</v>
      </c>
      <c r="H1125" s="109"/>
      <c r="I1125" s="560"/>
      <c r="J1125" s="789"/>
      <c r="K1125" s="789"/>
      <c r="L1125" s="1064" t="s">
        <v>268</v>
      </c>
      <c r="M1125" s="1022" t="s">
        <v>1120</v>
      </c>
      <c r="N1125" s="1034" t="s">
        <v>829</v>
      </c>
      <c r="O1125" s="921" t="s">
        <v>829</v>
      </c>
      <c r="P1125" s="1080" t="s">
        <v>687</v>
      </c>
    </row>
    <row r="1126" spans="1:16" ht="21" customHeight="1">
      <c r="A1126" s="527">
        <v>6</v>
      </c>
      <c r="B1126" s="539"/>
      <c r="C1126" s="539"/>
      <c r="D1126" s="1133"/>
      <c r="E1126" s="527">
        <v>9</v>
      </c>
      <c r="F1126" s="562" t="s">
        <v>1269</v>
      </c>
      <c r="G1126" s="557" t="s">
        <v>1218</v>
      </c>
      <c r="H1126" s="109">
        <v>1130.5999999999999</v>
      </c>
      <c r="I1126" s="564">
        <v>134.69999999999999</v>
      </c>
      <c r="J1126" s="789">
        <v>1100</v>
      </c>
      <c r="K1126" s="789">
        <v>1598</v>
      </c>
      <c r="L1126" s="1064" t="s">
        <v>268</v>
      </c>
      <c r="M1126" s="1022" t="s">
        <v>1120</v>
      </c>
      <c r="N1126" s="1034" t="s">
        <v>829</v>
      </c>
      <c r="O1126" s="921" t="s">
        <v>829</v>
      </c>
      <c r="P1126" s="1080" t="s">
        <v>687</v>
      </c>
    </row>
    <row r="1127" spans="1:16" ht="21" customHeight="1">
      <c r="A1127" s="527">
        <v>6</v>
      </c>
      <c r="B1127" s="539"/>
      <c r="C1127" s="644"/>
      <c r="D1127" s="1134"/>
      <c r="E1127" s="527">
        <v>9</v>
      </c>
      <c r="F1127" s="562" t="s">
        <v>1269</v>
      </c>
      <c r="G1127" s="557" t="s">
        <v>195</v>
      </c>
      <c r="H1127" s="109"/>
      <c r="I1127" s="560"/>
      <c r="J1127" s="789">
        <v>1200</v>
      </c>
      <c r="K1127" s="789">
        <v>300</v>
      </c>
      <c r="L1127" s="1064" t="s">
        <v>398</v>
      </c>
      <c r="M1127" s="1022" t="s">
        <v>1120</v>
      </c>
      <c r="N1127" s="1034" t="s">
        <v>1270</v>
      </c>
      <c r="O1127" s="921" t="s">
        <v>829</v>
      </c>
      <c r="P1127" s="1080" t="s">
        <v>829</v>
      </c>
    </row>
    <row r="1128" spans="1:16" ht="21" customHeight="1">
      <c r="A1128" s="527">
        <v>6</v>
      </c>
      <c r="B1128" s="539"/>
      <c r="C1128" s="637" t="s">
        <v>1271</v>
      </c>
      <c r="D1128" s="1132" t="s">
        <v>1272</v>
      </c>
      <c r="E1128" s="527">
        <v>9</v>
      </c>
      <c r="F1128" s="562" t="s">
        <v>1273</v>
      </c>
      <c r="G1128" s="557" t="s">
        <v>193</v>
      </c>
      <c r="H1128" s="109">
        <v>19.2</v>
      </c>
      <c r="I1128" s="564">
        <v>30</v>
      </c>
      <c r="J1128" s="795"/>
      <c r="K1128" s="795"/>
      <c r="L1128" s="1068" t="s">
        <v>268</v>
      </c>
      <c r="M1128" s="1022" t="s">
        <v>1140</v>
      </c>
      <c r="N1128" s="1034" t="s">
        <v>1154</v>
      </c>
      <c r="O1128" s="921">
        <v>100</v>
      </c>
      <c r="P1128" s="1080" t="s">
        <v>275</v>
      </c>
    </row>
    <row r="1129" spans="1:16" ht="21" customHeight="1">
      <c r="A1129" s="527">
        <v>6</v>
      </c>
      <c r="B1129" s="539"/>
      <c r="C1129" s="539"/>
      <c r="D1129" s="1134"/>
      <c r="E1129" s="527">
        <v>9</v>
      </c>
      <c r="F1129" s="562" t="s">
        <v>1273</v>
      </c>
      <c r="G1129" s="557" t="s">
        <v>1218</v>
      </c>
      <c r="H1129" s="109">
        <v>1307.0999999999999</v>
      </c>
      <c r="I1129" s="564">
        <v>802</v>
      </c>
      <c r="J1129" s="795"/>
      <c r="K1129" s="795"/>
      <c r="L1129" s="1068" t="s">
        <v>268</v>
      </c>
      <c r="M1129" s="1022" t="s">
        <v>1140</v>
      </c>
      <c r="N1129" s="1034" t="s">
        <v>829</v>
      </c>
      <c r="O1129" s="921" t="s">
        <v>829</v>
      </c>
      <c r="P1129" s="1080" t="s">
        <v>275</v>
      </c>
    </row>
    <row r="1130" spans="1:16" ht="21" customHeight="1">
      <c r="A1130" s="527">
        <v>6</v>
      </c>
      <c r="B1130" s="539"/>
      <c r="C1130" s="637" t="s">
        <v>1274</v>
      </c>
      <c r="D1130" s="1132" t="s">
        <v>1275</v>
      </c>
      <c r="E1130" s="527">
        <v>9</v>
      </c>
      <c r="F1130" s="562" t="s">
        <v>1276</v>
      </c>
      <c r="G1130" s="557" t="s">
        <v>193</v>
      </c>
      <c r="H1130" s="109">
        <v>61.9</v>
      </c>
      <c r="I1130" s="564">
        <v>120</v>
      </c>
      <c r="J1130" s="789"/>
      <c r="K1130" s="789"/>
      <c r="L1130" s="1068" t="s">
        <v>268</v>
      </c>
      <c r="M1130" s="1022" t="s">
        <v>1140</v>
      </c>
      <c r="N1130" s="1034" t="s">
        <v>1154</v>
      </c>
      <c r="O1130" s="921">
        <v>100</v>
      </c>
      <c r="P1130" s="1080" t="s">
        <v>386</v>
      </c>
    </row>
    <row r="1131" spans="1:16" ht="21" customHeight="1">
      <c r="A1131" s="527">
        <v>6</v>
      </c>
      <c r="B1131" s="539"/>
      <c r="C1131" s="539"/>
      <c r="D1131" s="1133"/>
      <c r="E1131" s="527">
        <v>9</v>
      </c>
      <c r="F1131" s="562" t="s">
        <v>1276</v>
      </c>
      <c r="G1131" s="557" t="s">
        <v>1218</v>
      </c>
      <c r="H1131" s="109">
        <v>759.6</v>
      </c>
      <c r="I1131" s="564">
        <v>120</v>
      </c>
      <c r="J1131" s="789"/>
      <c r="K1131" s="789"/>
      <c r="L1131" s="1068" t="s">
        <v>268</v>
      </c>
      <c r="M1131" s="1022" t="s">
        <v>1140</v>
      </c>
      <c r="N1131" s="1034" t="s">
        <v>829</v>
      </c>
      <c r="O1131" s="921" t="s">
        <v>829</v>
      </c>
      <c r="P1131" s="1080" t="s">
        <v>386</v>
      </c>
    </row>
    <row r="1132" spans="1:16" ht="21" customHeight="1">
      <c r="A1132" s="527">
        <v>6</v>
      </c>
      <c r="B1132" s="539"/>
      <c r="C1132" s="539"/>
      <c r="D1132" s="1133"/>
      <c r="E1132" s="527">
        <v>9</v>
      </c>
      <c r="F1132" s="562" t="s">
        <v>1276</v>
      </c>
      <c r="G1132" s="557" t="s">
        <v>460</v>
      </c>
      <c r="H1132" s="109">
        <f>100-25</f>
        <v>75</v>
      </c>
      <c r="I1132" s="564"/>
      <c r="J1132" s="789"/>
      <c r="K1132" s="789"/>
      <c r="L1132" s="1068" t="s">
        <v>829</v>
      </c>
      <c r="M1132" s="1022" t="s">
        <v>1140</v>
      </c>
      <c r="N1132" s="1034" t="s">
        <v>829</v>
      </c>
      <c r="O1132" s="921" t="s">
        <v>829</v>
      </c>
      <c r="P1132" s="1080" t="s">
        <v>386</v>
      </c>
    </row>
    <row r="1133" spans="1:16" ht="21" customHeight="1">
      <c r="A1133" s="527">
        <v>6</v>
      </c>
      <c r="B1133" s="539"/>
      <c r="C1133" s="539"/>
      <c r="D1133" s="1134"/>
      <c r="E1133" s="527">
        <v>9</v>
      </c>
      <c r="F1133" s="565" t="s">
        <v>1276</v>
      </c>
      <c r="G1133" s="645" t="s">
        <v>196</v>
      </c>
      <c r="H1133" s="109">
        <f>1063-580-100-100-283</f>
        <v>0</v>
      </c>
      <c r="I1133" s="564">
        <v>285</v>
      </c>
      <c r="J1133" s="264"/>
      <c r="K1133" s="264"/>
      <c r="L1133" s="1068" t="s">
        <v>268</v>
      </c>
      <c r="M1133" s="1022" t="s">
        <v>1140</v>
      </c>
      <c r="N1133" s="1041" t="s">
        <v>829</v>
      </c>
      <c r="O1133" s="687" t="s">
        <v>829</v>
      </c>
      <c r="P1133" s="1080" t="s">
        <v>386</v>
      </c>
    </row>
    <row r="1134" spans="1:16" ht="21" customHeight="1">
      <c r="A1134" s="527">
        <v>6</v>
      </c>
      <c r="B1134" s="539"/>
      <c r="C1134" s="637" t="s">
        <v>1277</v>
      </c>
      <c r="D1134" s="1132" t="s">
        <v>1278</v>
      </c>
      <c r="E1134" s="527">
        <v>9</v>
      </c>
      <c r="F1134" s="562" t="s">
        <v>1279</v>
      </c>
      <c r="G1134" s="557" t="s">
        <v>193</v>
      </c>
      <c r="H1134" s="109">
        <v>1.7</v>
      </c>
      <c r="I1134" s="560"/>
      <c r="J1134" s="795"/>
      <c r="K1134" s="795"/>
      <c r="L1134" s="1068" t="s">
        <v>268</v>
      </c>
      <c r="M1134" s="1022"/>
      <c r="N1134" s="1041"/>
      <c r="O1134" s="921" t="s">
        <v>829</v>
      </c>
      <c r="P1134" s="1080" t="s">
        <v>389</v>
      </c>
    </row>
    <row r="1135" spans="1:16" ht="21" customHeight="1">
      <c r="A1135" s="527">
        <v>6</v>
      </c>
      <c r="B1135" s="539"/>
      <c r="C1135" s="539"/>
      <c r="D1135" s="1134"/>
      <c r="E1135" s="527">
        <v>9</v>
      </c>
      <c r="F1135" s="562" t="s">
        <v>1279</v>
      </c>
      <c r="G1135" s="557" t="s">
        <v>1218</v>
      </c>
      <c r="H1135" s="109">
        <v>66.5</v>
      </c>
      <c r="I1135" s="560"/>
      <c r="J1135" s="795"/>
      <c r="K1135" s="795"/>
      <c r="L1135" s="1068" t="s">
        <v>268</v>
      </c>
      <c r="M1135" s="1022"/>
      <c r="N1135" s="1034"/>
      <c r="O1135" s="921" t="s">
        <v>829</v>
      </c>
      <c r="P1135" s="1080" t="s">
        <v>389</v>
      </c>
    </row>
    <row r="1136" spans="1:16" ht="21" customHeight="1">
      <c r="A1136" s="527">
        <v>6</v>
      </c>
      <c r="B1136" s="539"/>
      <c r="C1136" s="637" t="s">
        <v>1280</v>
      </c>
      <c r="D1136" s="1132" t="s">
        <v>1281</v>
      </c>
      <c r="E1136" s="527">
        <v>9</v>
      </c>
      <c r="F1136" s="562" t="s">
        <v>1282</v>
      </c>
      <c r="G1136" s="557" t="s">
        <v>193</v>
      </c>
      <c r="H1136" s="109">
        <v>1</v>
      </c>
      <c r="I1136" s="564">
        <v>12</v>
      </c>
      <c r="J1136" s="789">
        <v>10</v>
      </c>
      <c r="K1136" s="789"/>
      <c r="L1136" s="1068" t="s">
        <v>268</v>
      </c>
      <c r="M1136" s="1022" t="s">
        <v>1120</v>
      </c>
      <c r="N1136" s="1034" t="s">
        <v>829</v>
      </c>
      <c r="O1136" s="921" t="s">
        <v>829</v>
      </c>
      <c r="P1136" s="1080" t="s">
        <v>429</v>
      </c>
    </row>
    <row r="1137" spans="1:16" ht="21" customHeight="1">
      <c r="A1137" s="527">
        <v>6</v>
      </c>
      <c r="B1137" s="539"/>
      <c r="C1137" s="539"/>
      <c r="D1137" s="1134"/>
      <c r="E1137" s="527">
        <v>9</v>
      </c>
      <c r="F1137" s="562" t="s">
        <v>1282</v>
      </c>
      <c r="G1137" s="557" t="s">
        <v>1218</v>
      </c>
      <c r="H1137" s="109"/>
      <c r="I1137" s="564">
        <v>1100</v>
      </c>
      <c r="J1137" s="789">
        <v>790</v>
      </c>
      <c r="K1137" s="789"/>
      <c r="L1137" s="1068" t="s">
        <v>268</v>
      </c>
      <c r="M1137" s="1022" t="s">
        <v>1120</v>
      </c>
      <c r="N1137" s="1034" t="s">
        <v>1121</v>
      </c>
      <c r="O1137" s="921">
        <v>50</v>
      </c>
      <c r="P1137" s="1080" t="s">
        <v>429</v>
      </c>
    </row>
    <row r="1138" spans="1:16" ht="21" customHeight="1">
      <c r="A1138" s="527">
        <v>6</v>
      </c>
      <c r="B1138" s="640"/>
      <c r="C1138" s="637" t="s">
        <v>1283</v>
      </c>
      <c r="D1138" s="1132" t="s">
        <v>1284</v>
      </c>
      <c r="E1138" s="641">
        <v>9</v>
      </c>
      <c r="F1138" s="642" t="s">
        <v>1285</v>
      </c>
      <c r="G1138" s="643" t="s">
        <v>193</v>
      </c>
      <c r="H1138" s="106">
        <v>171.8</v>
      </c>
      <c r="I1138" s="564">
        <f>500-300-104.8</f>
        <v>95.2</v>
      </c>
      <c r="J1138" s="794"/>
      <c r="K1138" s="794"/>
      <c r="L1138" s="1072" t="s">
        <v>268</v>
      </c>
      <c r="M1138" s="1022" t="s">
        <v>1140</v>
      </c>
      <c r="N1138" s="1034" t="s">
        <v>1154</v>
      </c>
      <c r="O1138" s="921">
        <v>100</v>
      </c>
      <c r="P1138" s="1079" t="s">
        <v>392</v>
      </c>
    </row>
    <row r="1139" spans="1:16" ht="21" customHeight="1">
      <c r="A1139" s="527">
        <v>6</v>
      </c>
      <c r="B1139" s="640"/>
      <c r="C1139" s="640"/>
      <c r="D1139" s="1133"/>
      <c r="E1139" s="641">
        <v>9</v>
      </c>
      <c r="F1139" s="642" t="s">
        <v>1285</v>
      </c>
      <c r="G1139" s="643" t="s">
        <v>1218</v>
      </c>
      <c r="H1139" s="106">
        <v>255.5</v>
      </c>
      <c r="I1139" s="564"/>
      <c r="J1139" s="794"/>
      <c r="K1139" s="794"/>
      <c r="L1139" s="1072" t="s">
        <v>268</v>
      </c>
      <c r="M1139" s="1022" t="s">
        <v>1140</v>
      </c>
      <c r="N1139" s="1034" t="s">
        <v>829</v>
      </c>
      <c r="O1139" s="921" t="s">
        <v>829</v>
      </c>
      <c r="P1139" s="1079" t="s">
        <v>392</v>
      </c>
    </row>
    <row r="1140" spans="1:16" ht="21" customHeight="1">
      <c r="A1140" s="527">
        <v>6</v>
      </c>
      <c r="B1140" s="539"/>
      <c r="C1140" s="539"/>
      <c r="D1140" s="1133"/>
      <c r="E1140" s="527">
        <v>9</v>
      </c>
      <c r="F1140" s="565" t="s">
        <v>1285</v>
      </c>
      <c r="G1140" s="645" t="s">
        <v>196</v>
      </c>
      <c r="H1140" s="109">
        <v>516.29999999999995</v>
      </c>
      <c r="I1140" s="560">
        <f>206.4+300+3.6-400</f>
        <v>110</v>
      </c>
      <c r="J1140" s="264"/>
      <c r="K1140" s="264"/>
      <c r="L1140" s="1068" t="s">
        <v>268</v>
      </c>
      <c r="M1140" s="1022" t="s">
        <v>1140</v>
      </c>
      <c r="N1140" s="1034" t="s">
        <v>829</v>
      </c>
      <c r="O1140" s="687" t="s">
        <v>829</v>
      </c>
      <c r="P1140" s="1080" t="s">
        <v>392</v>
      </c>
    </row>
    <row r="1141" spans="1:16" ht="21" customHeight="1">
      <c r="A1141" s="527">
        <v>6</v>
      </c>
      <c r="B1141" s="539"/>
      <c r="C1141" s="539"/>
      <c r="D1141" s="1133"/>
      <c r="E1141" s="527">
        <v>9</v>
      </c>
      <c r="F1141" s="565" t="s">
        <v>1285</v>
      </c>
      <c r="G1141" s="557" t="s">
        <v>764</v>
      </c>
      <c r="H1141" s="109">
        <f>81.6</f>
        <v>81.599999999999994</v>
      </c>
      <c r="I1141" s="560">
        <v>104.8</v>
      </c>
      <c r="J1141" s="264"/>
      <c r="K1141" s="264"/>
      <c r="L1141" s="1068" t="s">
        <v>268</v>
      </c>
      <c r="M1141" s="1022" t="s">
        <v>1140</v>
      </c>
      <c r="N1141" s="1034" t="s">
        <v>829</v>
      </c>
      <c r="O1141" s="687" t="s">
        <v>829</v>
      </c>
      <c r="P1141" s="1080" t="s">
        <v>392</v>
      </c>
    </row>
    <row r="1142" spans="1:16" ht="21" customHeight="1">
      <c r="A1142" s="527">
        <v>6</v>
      </c>
      <c r="B1142" s="539"/>
      <c r="C1142" s="644"/>
      <c r="D1142" s="1134"/>
      <c r="E1142" s="527">
        <v>9</v>
      </c>
      <c r="F1142" s="565" t="s">
        <v>1285</v>
      </c>
      <c r="G1142" s="109" t="s">
        <v>460</v>
      </c>
      <c r="H1142" s="109">
        <v>2.7</v>
      </c>
      <c r="I1142" s="560"/>
      <c r="J1142" s="264"/>
      <c r="K1142" s="264"/>
      <c r="L1142" s="1068" t="s">
        <v>268</v>
      </c>
      <c r="M1142" s="1022" t="s">
        <v>1140</v>
      </c>
      <c r="N1142" s="1034" t="s">
        <v>829</v>
      </c>
      <c r="O1142" s="687" t="s">
        <v>829</v>
      </c>
      <c r="P1142" s="1080" t="s">
        <v>392</v>
      </c>
    </row>
    <row r="1143" spans="1:16" ht="21" customHeight="1">
      <c r="A1143" s="527">
        <v>6</v>
      </c>
      <c r="B1143" s="539"/>
      <c r="C1143" s="637" t="s">
        <v>1286</v>
      </c>
      <c r="D1143" s="1148" t="s">
        <v>1287</v>
      </c>
      <c r="E1143" s="527" t="s">
        <v>59</v>
      </c>
      <c r="F1143" s="562" t="s">
        <v>1288</v>
      </c>
      <c r="G1143" s="557" t="s">
        <v>193</v>
      </c>
      <c r="H1143" s="109">
        <v>8.5</v>
      </c>
      <c r="I1143" s="564">
        <f>24+21.5</f>
        <v>45.5</v>
      </c>
      <c r="J1143" s="789"/>
      <c r="K1143" s="789"/>
      <c r="L1143" s="1068" t="s">
        <v>268</v>
      </c>
      <c r="M1143" s="680" t="s">
        <v>1289</v>
      </c>
      <c r="N1143" s="1034" t="s">
        <v>1290</v>
      </c>
      <c r="O1143" s="921">
        <v>1</v>
      </c>
      <c r="P1143" s="1080" t="s">
        <v>386</v>
      </c>
    </row>
    <row r="1144" spans="1:16" ht="21" customHeight="1">
      <c r="A1144" s="527">
        <v>6</v>
      </c>
      <c r="B1144" s="539"/>
      <c r="C1144" s="539"/>
      <c r="D1144" s="1134"/>
      <c r="E1144" s="527" t="s">
        <v>59</v>
      </c>
      <c r="F1144" s="562" t="s">
        <v>1288</v>
      </c>
      <c r="G1144" s="557" t="s">
        <v>1218</v>
      </c>
      <c r="H1144" s="109"/>
      <c r="I1144" s="564">
        <v>500</v>
      </c>
      <c r="J1144" s="789">
        <v>90</v>
      </c>
      <c r="K1144" s="789"/>
      <c r="L1144" s="1068" t="s">
        <v>398</v>
      </c>
      <c r="M1144" s="680" t="s">
        <v>1289</v>
      </c>
      <c r="N1144" s="1034" t="s">
        <v>1121</v>
      </c>
      <c r="O1144" s="921">
        <v>50</v>
      </c>
      <c r="P1144" s="1080" t="s">
        <v>386</v>
      </c>
    </row>
    <row r="1145" spans="1:16" ht="21" customHeight="1">
      <c r="A1145" s="527">
        <v>6</v>
      </c>
      <c r="B1145" s="539"/>
      <c r="C1145" s="637" t="s">
        <v>1291</v>
      </c>
      <c r="D1145" s="760" t="s">
        <v>1292</v>
      </c>
      <c r="E1145" s="527">
        <v>9</v>
      </c>
      <c r="F1145" s="562" t="s">
        <v>1293</v>
      </c>
      <c r="G1145" s="557" t="s">
        <v>193</v>
      </c>
      <c r="H1145" s="109">
        <v>25</v>
      </c>
      <c r="I1145" s="564"/>
      <c r="J1145" s="789"/>
      <c r="K1145" s="789"/>
      <c r="L1145" s="1068" t="s">
        <v>268</v>
      </c>
      <c r="M1145" s="1022"/>
      <c r="N1145" s="1034"/>
      <c r="O1145" s="921"/>
      <c r="P1145" s="1079" t="s">
        <v>392</v>
      </c>
    </row>
    <row r="1146" spans="1:16" ht="21" customHeight="1">
      <c r="A1146" s="527">
        <v>6</v>
      </c>
      <c r="B1146" s="539"/>
      <c r="C1146" s="873" t="s">
        <v>1294</v>
      </c>
      <c r="D1146" s="1144" t="s">
        <v>1295</v>
      </c>
      <c r="E1146" s="527">
        <v>9</v>
      </c>
      <c r="F1146" s="562" t="s">
        <v>1296</v>
      </c>
      <c r="G1146" s="557" t="s">
        <v>193</v>
      </c>
      <c r="H1146" s="109"/>
      <c r="I1146" s="564">
        <v>20</v>
      </c>
      <c r="J1146" s="789"/>
      <c r="K1146" s="789"/>
      <c r="L1146" s="1068" t="s">
        <v>829</v>
      </c>
      <c r="M1146" s="1022" t="s">
        <v>1140</v>
      </c>
      <c r="N1146" s="1034" t="s">
        <v>1121</v>
      </c>
      <c r="O1146" s="921">
        <v>30</v>
      </c>
      <c r="P1146" s="1079" t="s">
        <v>429</v>
      </c>
    </row>
    <row r="1147" spans="1:16" ht="21" customHeight="1">
      <c r="A1147" s="527">
        <v>6</v>
      </c>
      <c r="B1147" s="539"/>
      <c r="C1147" s="761"/>
      <c r="D1147" s="1145"/>
      <c r="E1147" s="527">
        <v>9</v>
      </c>
      <c r="F1147" s="562" t="s">
        <v>1296</v>
      </c>
      <c r="G1147" s="557" t="s">
        <v>1218</v>
      </c>
      <c r="H1147" s="109"/>
      <c r="I1147" s="564"/>
      <c r="J1147" s="789"/>
      <c r="K1147" s="789"/>
      <c r="L1147" s="1068" t="s">
        <v>829</v>
      </c>
      <c r="M1147" s="1022" t="s">
        <v>829</v>
      </c>
      <c r="N1147" s="1034" t="s">
        <v>829</v>
      </c>
      <c r="O1147" s="921" t="s">
        <v>829</v>
      </c>
      <c r="P1147" s="1079" t="s">
        <v>429</v>
      </c>
    </row>
    <row r="1148" spans="1:16" ht="21" customHeight="1">
      <c r="A1148" s="527">
        <v>6</v>
      </c>
      <c r="B1148" s="539"/>
      <c r="C1148" s="873" t="s">
        <v>1297</v>
      </c>
      <c r="D1148" s="1144" t="s">
        <v>1298</v>
      </c>
      <c r="E1148" s="527">
        <v>9</v>
      </c>
      <c r="F1148" s="562" t="s">
        <v>1299</v>
      </c>
      <c r="G1148" s="557" t="s">
        <v>193</v>
      </c>
      <c r="H1148" s="109"/>
      <c r="I1148" s="564"/>
      <c r="J1148" s="789">
        <v>20</v>
      </c>
      <c r="K1148" s="789"/>
      <c r="L1148" s="1068" t="s">
        <v>829</v>
      </c>
      <c r="M1148" s="1022" t="s">
        <v>829</v>
      </c>
      <c r="N1148" s="1034" t="s">
        <v>829</v>
      </c>
      <c r="O1148" s="921" t="s">
        <v>829</v>
      </c>
      <c r="P1148" s="1079" t="s">
        <v>429</v>
      </c>
    </row>
    <row r="1149" spans="1:16" ht="21" customHeight="1">
      <c r="A1149" s="527">
        <v>6</v>
      </c>
      <c r="B1149" s="539"/>
      <c r="C1149" s="761"/>
      <c r="D1149" s="1145"/>
      <c r="E1149" s="527">
        <v>9</v>
      </c>
      <c r="F1149" s="562" t="s">
        <v>1299</v>
      </c>
      <c r="G1149" s="557" t="s">
        <v>1218</v>
      </c>
      <c r="H1149" s="109"/>
      <c r="I1149" s="564"/>
      <c r="J1149" s="789"/>
      <c r="K1149" s="789">
        <v>300</v>
      </c>
      <c r="L1149" s="1068" t="s">
        <v>829</v>
      </c>
      <c r="M1149" s="1022" t="s">
        <v>829</v>
      </c>
      <c r="N1149" s="1034" t="s">
        <v>829</v>
      </c>
      <c r="O1149" s="921" t="s">
        <v>829</v>
      </c>
      <c r="P1149" s="1079" t="s">
        <v>429</v>
      </c>
    </row>
    <row r="1150" spans="1:16" ht="21" customHeight="1">
      <c r="A1150" s="527">
        <v>6</v>
      </c>
      <c r="B1150" s="539"/>
      <c r="C1150" s="873" t="s">
        <v>1300</v>
      </c>
      <c r="D1150" s="916" t="s">
        <v>1301</v>
      </c>
      <c r="E1150" s="527">
        <v>9</v>
      </c>
      <c r="F1150" s="562" t="s">
        <v>1302</v>
      </c>
      <c r="G1150" s="557" t="s">
        <v>193</v>
      </c>
      <c r="H1150" s="109"/>
      <c r="I1150" s="564"/>
      <c r="J1150" s="789"/>
      <c r="K1150" s="789">
        <v>40</v>
      </c>
      <c r="L1150" s="1068" t="s">
        <v>829</v>
      </c>
      <c r="M1150" s="1022" t="s">
        <v>829</v>
      </c>
      <c r="N1150" s="1034" t="s">
        <v>829</v>
      </c>
      <c r="O1150" s="921" t="s">
        <v>829</v>
      </c>
      <c r="P1150" s="1079" t="s">
        <v>458</v>
      </c>
    </row>
    <row r="1151" spans="1:16" ht="21" customHeight="1">
      <c r="A1151" s="527">
        <v>6</v>
      </c>
      <c r="B1151" s="539"/>
      <c r="C1151" s="637" t="s">
        <v>1303</v>
      </c>
      <c r="D1151" s="566" t="s">
        <v>1304</v>
      </c>
      <c r="E1151" s="527">
        <v>9</v>
      </c>
      <c r="F1151" s="562" t="s">
        <v>1305</v>
      </c>
      <c r="G1151" s="557" t="s">
        <v>193</v>
      </c>
      <c r="H1151" s="109">
        <v>31.6</v>
      </c>
      <c r="I1151" s="560">
        <v>40</v>
      </c>
      <c r="J1151" s="789">
        <v>40</v>
      </c>
      <c r="K1151" s="789">
        <v>40</v>
      </c>
      <c r="L1151" s="1068" t="s">
        <v>274</v>
      </c>
      <c r="M1151" s="1022" t="s">
        <v>1091</v>
      </c>
      <c r="N1151" s="1034" t="s">
        <v>1092</v>
      </c>
      <c r="O1151" s="681">
        <v>100</v>
      </c>
      <c r="P1151" s="1080" t="s">
        <v>829</v>
      </c>
    </row>
    <row r="1152" spans="1:16" ht="21" customHeight="1">
      <c r="A1152" s="527">
        <v>6</v>
      </c>
      <c r="B1152" s="82" t="s">
        <v>1306</v>
      </c>
      <c r="C1152" s="82" t="s">
        <v>1306</v>
      </c>
      <c r="D1152" s="646" t="s">
        <v>1307</v>
      </c>
      <c r="E1152" s="536"/>
      <c r="F1152" s="536"/>
      <c r="G1152" s="656"/>
      <c r="H1152" s="656"/>
      <c r="I1152" s="656"/>
      <c r="J1152" s="779"/>
      <c r="K1152" s="779"/>
      <c r="L1152" s="1064" t="s">
        <v>829</v>
      </c>
      <c r="M1152" s="1022" t="s">
        <v>829</v>
      </c>
      <c r="N1152" s="1034" t="s">
        <v>829</v>
      </c>
      <c r="O1152" s="921" t="s">
        <v>829</v>
      </c>
      <c r="P1152" s="1079" t="s">
        <v>829</v>
      </c>
    </row>
    <row r="1153" spans="1:16" ht="21" customHeight="1">
      <c r="A1153" s="527">
        <v>6</v>
      </c>
      <c r="B1153" s="647"/>
      <c r="C1153" s="647"/>
      <c r="D1153" s="648"/>
      <c r="E1153" s="632"/>
      <c r="F1153" s="425"/>
      <c r="G1153" s="542" t="s">
        <v>193</v>
      </c>
      <c r="H1153" s="542">
        <f>SUM(H1157,H1161,H1155,H1154,H1158,H1159)</f>
        <v>65.199999999999989</v>
      </c>
      <c r="I1153" s="542">
        <f t="shared" ref="I1153:K1153" si="255">SUM(I1157,I1161,I1155,I1154,I1158,I1159)</f>
        <v>90</v>
      </c>
      <c r="J1153" s="542">
        <f t="shared" si="255"/>
        <v>110</v>
      </c>
      <c r="K1153" s="542">
        <f t="shared" si="255"/>
        <v>220</v>
      </c>
      <c r="L1153" s="1064" t="s">
        <v>829</v>
      </c>
      <c r="M1153" s="1022" t="s">
        <v>829</v>
      </c>
      <c r="N1153" s="1034" t="s">
        <v>829</v>
      </c>
      <c r="O1153" s="921" t="s">
        <v>829</v>
      </c>
      <c r="P1153" s="1079" t="s">
        <v>829</v>
      </c>
    </row>
    <row r="1154" spans="1:16" ht="21" customHeight="1">
      <c r="A1154" s="527">
        <v>6</v>
      </c>
      <c r="B1154" s="539"/>
      <c r="C1154" s="539" t="s">
        <v>1308</v>
      </c>
      <c r="D1154" s="540" t="s">
        <v>1309</v>
      </c>
      <c r="E1154" s="544">
        <v>9</v>
      </c>
      <c r="F1154" s="649" t="s">
        <v>1310</v>
      </c>
      <c r="G1154" s="563" t="s">
        <v>193</v>
      </c>
      <c r="H1154" s="425">
        <v>1.8</v>
      </c>
      <c r="I1154" s="545">
        <v>10</v>
      </c>
      <c r="J1154" s="874">
        <v>10</v>
      </c>
      <c r="K1154" s="874">
        <v>10</v>
      </c>
      <c r="L1154" s="1064" t="s">
        <v>262</v>
      </c>
      <c r="M1154" s="1022" t="s">
        <v>1091</v>
      </c>
      <c r="N1154" s="1034" t="s">
        <v>1311</v>
      </c>
      <c r="O1154" s="921">
        <v>100</v>
      </c>
      <c r="P1154" s="1079" t="s">
        <v>829</v>
      </c>
    </row>
    <row r="1155" spans="1:16" ht="21" customHeight="1">
      <c r="A1155" s="527">
        <v>6</v>
      </c>
      <c r="B1155" s="539"/>
      <c r="C1155" s="539"/>
      <c r="D1155" s="540"/>
      <c r="E1155" s="544">
        <v>9</v>
      </c>
      <c r="F1155" s="649" t="s">
        <v>1310</v>
      </c>
      <c r="G1155" s="563" t="s">
        <v>193</v>
      </c>
      <c r="H1155" s="425"/>
      <c r="I1155" s="558"/>
      <c r="J1155" s="874"/>
      <c r="K1155" s="874"/>
      <c r="L1155" s="1064" t="s">
        <v>398</v>
      </c>
      <c r="M1155" s="1022" t="s">
        <v>1179</v>
      </c>
      <c r="N1155" s="1034" t="s">
        <v>1312</v>
      </c>
      <c r="O1155" s="921">
        <v>1</v>
      </c>
      <c r="P1155" s="1079" t="s">
        <v>829</v>
      </c>
    </row>
    <row r="1156" spans="1:16" ht="21" customHeight="1">
      <c r="A1156" s="527">
        <v>6</v>
      </c>
      <c r="B1156" s="539"/>
      <c r="C1156" s="539"/>
      <c r="D1156" s="540"/>
      <c r="E1156" s="544"/>
      <c r="F1156" s="649" t="s">
        <v>1310</v>
      </c>
      <c r="G1156" s="834" t="s">
        <v>459</v>
      </c>
      <c r="H1156" s="53">
        <f t="shared" ref="H1156:K1156" si="256">SUM(H1154:H1155)</f>
        <v>1.8</v>
      </c>
      <c r="I1156" s="53">
        <f t="shared" si="256"/>
        <v>10</v>
      </c>
      <c r="J1156" s="149">
        <f t="shared" si="256"/>
        <v>10</v>
      </c>
      <c r="K1156" s="149">
        <f t="shared" si="256"/>
        <v>10</v>
      </c>
      <c r="L1156" s="1064" t="s">
        <v>829</v>
      </c>
      <c r="M1156" s="1022" t="s">
        <v>829</v>
      </c>
      <c r="N1156" s="1034" t="s">
        <v>829</v>
      </c>
      <c r="O1156" s="921" t="s">
        <v>829</v>
      </c>
      <c r="P1156" s="1079" t="s">
        <v>829</v>
      </c>
    </row>
    <row r="1157" spans="1:16" ht="21" customHeight="1">
      <c r="A1157" s="527">
        <v>6</v>
      </c>
      <c r="B1157" s="539"/>
      <c r="C1157" s="539" t="s">
        <v>1313</v>
      </c>
      <c r="D1157" s="540" t="s">
        <v>1314</v>
      </c>
      <c r="E1157" s="544">
        <v>9</v>
      </c>
      <c r="F1157" s="541" t="s">
        <v>1315</v>
      </c>
      <c r="G1157" s="424" t="s">
        <v>193</v>
      </c>
      <c r="H1157" s="43"/>
      <c r="I1157" s="44"/>
      <c r="J1157" s="264"/>
      <c r="K1157" s="264"/>
      <c r="L1157" s="1064" t="s">
        <v>829</v>
      </c>
      <c r="M1157" s="1022"/>
      <c r="N1157" s="1034"/>
      <c r="O1157" s="921"/>
      <c r="P1157" s="1079" t="s">
        <v>275</v>
      </c>
    </row>
    <row r="1158" spans="1:16" ht="21" customHeight="1">
      <c r="A1158" s="527">
        <v>6</v>
      </c>
      <c r="B1158" s="539"/>
      <c r="C1158" s="539"/>
      <c r="D1158" s="650" t="s">
        <v>1316</v>
      </c>
      <c r="E1158" s="544">
        <v>23</v>
      </c>
      <c r="F1158" s="541" t="s">
        <v>1315</v>
      </c>
      <c r="G1158" s="837" t="s">
        <v>193</v>
      </c>
      <c r="H1158" s="425">
        <v>15</v>
      </c>
      <c r="I1158" s="545">
        <v>15</v>
      </c>
      <c r="J1158" s="264">
        <v>15</v>
      </c>
      <c r="K1158" s="264">
        <v>15</v>
      </c>
      <c r="L1158" s="1064" t="s">
        <v>262</v>
      </c>
      <c r="M1158" s="680" t="s">
        <v>2394</v>
      </c>
      <c r="N1158" s="1034" t="s">
        <v>2395</v>
      </c>
      <c r="O1158" s="921">
        <v>3</v>
      </c>
      <c r="P1158" s="1079" t="s">
        <v>275</v>
      </c>
    </row>
    <row r="1159" spans="1:16" ht="21" customHeight="1">
      <c r="A1159" s="527">
        <v>6</v>
      </c>
      <c r="B1159" s="539"/>
      <c r="C1159" s="539"/>
      <c r="D1159" s="650" t="s">
        <v>1317</v>
      </c>
      <c r="E1159" s="544">
        <v>9</v>
      </c>
      <c r="F1159" s="541" t="s">
        <v>1315</v>
      </c>
      <c r="G1159" s="837" t="s">
        <v>193</v>
      </c>
      <c r="H1159" s="425"/>
      <c r="I1159" s="545"/>
      <c r="J1159" s="264">
        <v>20</v>
      </c>
      <c r="K1159" s="264">
        <v>130</v>
      </c>
      <c r="L1159" s="1064" t="s">
        <v>398</v>
      </c>
      <c r="M1159" s="1022"/>
      <c r="N1159" s="1034"/>
      <c r="O1159" s="921"/>
      <c r="P1159" s="1079" t="s">
        <v>275</v>
      </c>
    </row>
    <row r="1160" spans="1:16" ht="21" customHeight="1">
      <c r="A1160" s="527">
        <v>6</v>
      </c>
      <c r="B1160" s="539"/>
      <c r="C1160" s="539"/>
      <c r="D1160" s="650"/>
      <c r="E1160" s="544"/>
      <c r="F1160" s="541"/>
      <c r="G1160" s="834" t="s">
        <v>459</v>
      </c>
      <c r="H1160" s="53">
        <f t="shared" ref="H1160:K1160" si="257">SUM(H1158:H1159)</f>
        <v>15</v>
      </c>
      <c r="I1160" s="53">
        <f t="shared" si="257"/>
        <v>15</v>
      </c>
      <c r="J1160" s="149">
        <f t="shared" si="257"/>
        <v>35</v>
      </c>
      <c r="K1160" s="149">
        <f t="shared" si="257"/>
        <v>145</v>
      </c>
      <c r="L1160" s="1064" t="s">
        <v>829</v>
      </c>
      <c r="M1160" s="1022" t="s">
        <v>829</v>
      </c>
      <c r="N1160" s="1034" t="s">
        <v>829</v>
      </c>
      <c r="O1160" s="921" t="s">
        <v>829</v>
      </c>
      <c r="P1160" s="1079" t="s">
        <v>829</v>
      </c>
    </row>
    <row r="1161" spans="1:16" ht="21" customHeight="1">
      <c r="A1161" s="527">
        <v>6</v>
      </c>
      <c r="B1161" s="539"/>
      <c r="C1161" s="539" t="s">
        <v>1318</v>
      </c>
      <c r="D1161" s="540" t="s">
        <v>1319</v>
      </c>
      <c r="E1161" s="544">
        <v>13</v>
      </c>
      <c r="F1161" s="541" t="s">
        <v>1320</v>
      </c>
      <c r="G1161" s="424" t="s">
        <v>193</v>
      </c>
      <c r="H1161" s="425">
        <v>48.4</v>
      </c>
      <c r="I1161" s="545">
        <v>65</v>
      </c>
      <c r="J1161" s="874">
        <v>65</v>
      </c>
      <c r="K1161" s="874">
        <v>65</v>
      </c>
      <c r="L1161" s="1064" t="s">
        <v>262</v>
      </c>
      <c r="M1161" s="1022" t="s">
        <v>1321</v>
      </c>
      <c r="N1161" s="1034" t="s">
        <v>1322</v>
      </c>
      <c r="O1161" s="921">
        <v>100</v>
      </c>
      <c r="P1161" s="1079" t="s">
        <v>829</v>
      </c>
    </row>
    <row r="1162" spans="1:16" ht="21" customHeight="1">
      <c r="A1162" s="527">
        <v>6</v>
      </c>
      <c r="B1162" s="539"/>
      <c r="C1162" s="539"/>
      <c r="D1162" s="540"/>
      <c r="E1162" s="544"/>
      <c r="F1162" s="541" t="s">
        <v>1320</v>
      </c>
      <c r="G1162" s="834" t="s">
        <v>459</v>
      </c>
      <c r="H1162" s="53">
        <f t="shared" ref="H1162:K1162" si="258">SUM(H1161)</f>
        <v>48.4</v>
      </c>
      <c r="I1162" s="53">
        <f t="shared" si="258"/>
        <v>65</v>
      </c>
      <c r="J1162" s="149">
        <f t="shared" si="258"/>
        <v>65</v>
      </c>
      <c r="K1162" s="149">
        <f t="shared" si="258"/>
        <v>65</v>
      </c>
      <c r="L1162" s="1064" t="s">
        <v>829</v>
      </c>
      <c r="M1162" s="1022" t="s">
        <v>829</v>
      </c>
      <c r="N1162" s="1034" t="s">
        <v>829</v>
      </c>
      <c r="O1162" s="921" t="s">
        <v>829</v>
      </c>
      <c r="P1162" s="1079" t="s">
        <v>829</v>
      </c>
    </row>
    <row r="1163" spans="1:16" ht="21" customHeight="1">
      <c r="A1163" s="527">
        <v>6</v>
      </c>
      <c r="B1163" s="528"/>
      <c r="C1163" s="528"/>
      <c r="D1163" s="529" t="s">
        <v>1323</v>
      </c>
      <c r="E1163" s="550"/>
      <c r="F1163" s="551"/>
      <c r="G1163" s="552"/>
      <c r="H1163" s="651"/>
      <c r="I1163" s="553"/>
      <c r="J1163" s="778"/>
      <c r="K1163" s="778"/>
      <c r="L1163" s="1065" t="s">
        <v>829</v>
      </c>
      <c r="M1163" s="1036" t="s">
        <v>829</v>
      </c>
      <c r="N1163" s="1037" t="s">
        <v>829</v>
      </c>
      <c r="O1163" s="1038" t="s">
        <v>829</v>
      </c>
      <c r="P1163" s="1081" t="s">
        <v>829</v>
      </c>
    </row>
    <row r="1164" spans="1:16" ht="21" customHeight="1">
      <c r="A1164" s="527">
        <v>6</v>
      </c>
      <c r="B1164" s="82" t="s">
        <v>1324</v>
      </c>
      <c r="C1164" s="82" t="s">
        <v>1324</v>
      </c>
      <c r="D1164" s="535" t="s">
        <v>1325</v>
      </c>
      <c r="E1164" s="536"/>
      <c r="F1164" s="536"/>
      <c r="G1164" s="796"/>
      <c r="H1164" s="796"/>
      <c r="I1164" s="656"/>
      <c r="J1164" s="779"/>
      <c r="K1164" s="779"/>
      <c r="L1164" s="1068" t="s">
        <v>829</v>
      </c>
      <c r="M1164" s="1022" t="s">
        <v>829</v>
      </c>
      <c r="N1164" s="1034" t="s">
        <v>829</v>
      </c>
      <c r="O1164" s="681" t="s">
        <v>829</v>
      </c>
      <c r="P1164" s="1078" t="s">
        <v>829</v>
      </c>
    </row>
    <row r="1165" spans="1:16" ht="21" customHeight="1">
      <c r="A1165" s="527">
        <v>6</v>
      </c>
      <c r="B1165" s="647"/>
      <c r="C1165" s="647"/>
      <c r="D1165" s="648"/>
      <c r="E1165" s="567"/>
      <c r="F1165" s="608"/>
      <c r="G1165" s="652" t="s">
        <v>193</v>
      </c>
      <c r="H1165" s="654">
        <f>SUM(H1168,H1169,H1171,H1172,H1173)</f>
        <v>33.200000000000003</v>
      </c>
      <c r="I1165" s="654">
        <f t="shared" ref="I1165:K1165" si="259">SUM(I1168,I1169,I1171,I1172,I1173)</f>
        <v>275.40000000000009</v>
      </c>
      <c r="J1165" s="654">
        <f t="shared" si="259"/>
        <v>54.5</v>
      </c>
      <c r="K1165" s="654">
        <f t="shared" si="259"/>
        <v>50</v>
      </c>
      <c r="L1165" s="1068" t="s">
        <v>829</v>
      </c>
      <c r="M1165" s="1022" t="s">
        <v>829</v>
      </c>
      <c r="N1165" s="1034" t="s">
        <v>829</v>
      </c>
      <c r="O1165" s="681" t="s">
        <v>829</v>
      </c>
      <c r="P1165" s="1078" t="s">
        <v>829</v>
      </c>
    </row>
    <row r="1166" spans="1:16" ht="21" customHeight="1">
      <c r="A1166" s="527">
        <v>6</v>
      </c>
      <c r="B1166" s="647"/>
      <c r="C1166" s="647"/>
      <c r="D1166" s="648"/>
      <c r="E1166" s="567"/>
      <c r="F1166" s="608"/>
      <c r="G1166" s="652" t="s">
        <v>381</v>
      </c>
      <c r="H1166" s="654">
        <f>H1170</f>
        <v>0</v>
      </c>
      <c r="I1166" s="654">
        <f t="shared" ref="I1166:K1166" si="260">I1170</f>
        <v>1200</v>
      </c>
      <c r="J1166" s="654">
        <f t="shared" si="260"/>
        <v>0</v>
      </c>
      <c r="K1166" s="654">
        <f t="shared" si="260"/>
        <v>0</v>
      </c>
      <c r="L1166" s="1068"/>
      <c r="M1166" s="1022"/>
      <c r="N1166" s="1034"/>
      <c r="O1166" s="681"/>
      <c r="P1166" s="1078"/>
    </row>
    <row r="1167" spans="1:16" ht="21" customHeight="1">
      <c r="A1167" s="527">
        <v>6</v>
      </c>
      <c r="B1167" s="647"/>
      <c r="C1167" s="647"/>
      <c r="D1167" s="648"/>
      <c r="E1167" s="567"/>
      <c r="F1167" s="608"/>
      <c r="G1167" s="834" t="s">
        <v>459</v>
      </c>
      <c r="H1167" s="53">
        <f>SUM(H1165,H1166)</f>
        <v>33.200000000000003</v>
      </c>
      <c r="I1167" s="53">
        <f t="shared" ref="I1167:K1167" si="261">SUM(I1165,I1166)</f>
        <v>1475.4</v>
      </c>
      <c r="J1167" s="53">
        <f t="shared" si="261"/>
        <v>54.5</v>
      </c>
      <c r="K1167" s="53">
        <f t="shared" si="261"/>
        <v>50</v>
      </c>
      <c r="L1167" s="1068"/>
      <c r="M1167" s="1022"/>
      <c r="N1167" s="1034"/>
      <c r="O1167" s="681"/>
      <c r="P1167" s="1078"/>
    </row>
    <row r="1168" spans="1:16" ht="21" customHeight="1">
      <c r="A1168" s="527">
        <v>6</v>
      </c>
      <c r="B1168" s="555"/>
      <c r="C1168" s="539" t="s">
        <v>1326</v>
      </c>
      <c r="D1168" s="655" t="s">
        <v>1327</v>
      </c>
      <c r="E1168" s="544">
        <v>9</v>
      </c>
      <c r="F1168" s="541" t="s">
        <v>1328</v>
      </c>
      <c r="G1168" s="424" t="s">
        <v>193</v>
      </c>
      <c r="H1168" s="109">
        <v>33.200000000000003</v>
      </c>
      <c r="I1168" s="110"/>
      <c r="J1168" s="264"/>
      <c r="K1168" s="264"/>
      <c r="L1168" s="1064" t="s">
        <v>268</v>
      </c>
      <c r="M1168" s="680"/>
      <c r="N1168" s="1041"/>
      <c r="O1168" s="921" t="s">
        <v>829</v>
      </c>
      <c r="P1168" s="1079" t="s">
        <v>399</v>
      </c>
    </row>
    <row r="1169" spans="1:16" ht="21" customHeight="1">
      <c r="A1169" s="527">
        <v>6</v>
      </c>
      <c r="B1169" s="539"/>
      <c r="C1169" s="539" t="s">
        <v>1329</v>
      </c>
      <c r="D1169" s="1132" t="s">
        <v>1330</v>
      </c>
      <c r="E1169" s="544">
        <v>9</v>
      </c>
      <c r="F1169" s="541" t="s">
        <v>1328</v>
      </c>
      <c r="G1169" s="424" t="s">
        <v>193</v>
      </c>
      <c r="H1169" s="109"/>
      <c r="I1169" s="110">
        <f>1425.4-1000-100-100</f>
        <v>225.40000000000009</v>
      </c>
      <c r="J1169" s="264"/>
      <c r="K1169" s="264"/>
      <c r="L1169" s="1064" t="s">
        <v>268</v>
      </c>
      <c r="M1169" s="680" t="s">
        <v>1091</v>
      </c>
      <c r="N1169" s="1046" t="s">
        <v>1154</v>
      </c>
      <c r="O1169" s="687">
        <v>100</v>
      </c>
      <c r="P1169" s="1080" t="s">
        <v>386</v>
      </c>
    </row>
    <row r="1170" spans="1:16" ht="21" customHeight="1">
      <c r="A1170" s="527">
        <v>6</v>
      </c>
      <c r="B1170" s="539"/>
      <c r="C1170" s="539"/>
      <c r="D1170" s="1134"/>
      <c r="E1170" s="544">
        <v>9</v>
      </c>
      <c r="F1170" s="541" t="s">
        <v>1328</v>
      </c>
      <c r="G1170" s="424" t="s">
        <v>381</v>
      </c>
      <c r="H1170" s="109"/>
      <c r="I1170" s="110">
        <v>1200</v>
      </c>
      <c r="J1170" s="264"/>
      <c r="K1170" s="264"/>
      <c r="L1170" s="1064"/>
      <c r="M1170" s="680" t="s">
        <v>1091</v>
      </c>
      <c r="N1170" s="1046"/>
      <c r="O1170" s="687"/>
      <c r="P1170" s="1080"/>
    </row>
    <row r="1171" spans="1:16" ht="21" customHeight="1">
      <c r="A1171" s="527">
        <v>6</v>
      </c>
      <c r="B1171" s="539"/>
      <c r="C1171" s="539" t="s">
        <v>1331</v>
      </c>
      <c r="D1171" s="51" t="s">
        <v>1332</v>
      </c>
      <c r="E1171" s="544">
        <v>9</v>
      </c>
      <c r="F1171" s="541" t="s">
        <v>1328</v>
      </c>
      <c r="G1171" s="424" t="s">
        <v>193</v>
      </c>
      <c r="H1171" s="109"/>
      <c r="I1171" s="110"/>
      <c r="J1171" s="264">
        <v>4.5</v>
      </c>
      <c r="K1171" s="264"/>
      <c r="L1171" s="1064" t="s">
        <v>398</v>
      </c>
      <c r="M1171" s="1047"/>
      <c r="N1171" s="1046"/>
      <c r="O1171" s="687"/>
      <c r="P1171" s="1080" t="s">
        <v>429</v>
      </c>
    </row>
    <row r="1172" spans="1:16" ht="21" customHeight="1">
      <c r="A1172" s="527">
        <v>6</v>
      </c>
      <c r="B1172" s="539"/>
      <c r="C1172" s="539" t="s">
        <v>1333</v>
      </c>
      <c r="D1172" s="1132" t="s">
        <v>1334</v>
      </c>
      <c r="E1172" s="544">
        <v>9</v>
      </c>
      <c r="F1172" s="541" t="s">
        <v>1335</v>
      </c>
      <c r="G1172" s="424" t="s">
        <v>193</v>
      </c>
      <c r="H1172" s="109"/>
      <c r="I1172" s="564">
        <v>35</v>
      </c>
      <c r="J1172" s="264">
        <v>50</v>
      </c>
      <c r="K1172" s="264">
        <v>50</v>
      </c>
      <c r="L1172" s="1064" t="s">
        <v>829</v>
      </c>
      <c r="M1172" s="680" t="s">
        <v>1091</v>
      </c>
      <c r="N1172" s="1034" t="s">
        <v>1430</v>
      </c>
      <c r="O1172" s="687">
        <v>1</v>
      </c>
      <c r="P1172" s="1080" t="s">
        <v>829</v>
      </c>
    </row>
    <row r="1173" spans="1:16" ht="21" customHeight="1">
      <c r="A1173" s="527">
        <v>6</v>
      </c>
      <c r="B1173" s="539"/>
      <c r="C1173" s="539"/>
      <c r="D1173" s="1134"/>
      <c r="E1173" s="544">
        <v>27</v>
      </c>
      <c r="F1173" s="541" t="s">
        <v>2151</v>
      </c>
      <c r="G1173" s="424" t="s">
        <v>193</v>
      </c>
      <c r="H1173" s="109"/>
      <c r="I1173" s="564">
        <v>15</v>
      </c>
      <c r="J1173" s="264"/>
      <c r="K1173" s="264"/>
      <c r="L1173" s="1064" t="s">
        <v>829</v>
      </c>
      <c r="M1173" s="680" t="s">
        <v>2396</v>
      </c>
      <c r="N1173" s="680" t="s">
        <v>2397</v>
      </c>
      <c r="O1173" s="105" t="s">
        <v>2398</v>
      </c>
      <c r="P1173" s="1080" t="s">
        <v>829</v>
      </c>
    </row>
    <row r="1174" spans="1:16" ht="21" customHeight="1">
      <c r="A1174" s="527">
        <v>6</v>
      </c>
      <c r="B1174" s="82" t="s">
        <v>1336</v>
      </c>
      <c r="C1174" s="82" t="s">
        <v>1336</v>
      </c>
      <c r="D1174" s="535" t="s">
        <v>1337</v>
      </c>
      <c r="E1174" s="536">
        <v>9</v>
      </c>
      <c r="F1174" s="536" t="s">
        <v>1338</v>
      </c>
      <c r="G1174" s="656" t="s">
        <v>193</v>
      </c>
      <c r="H1174" s="656">
        <f>H1179+H1180</f>
        <v>89.1</v>
      </c>
      <c r="I1174" s="656">
        <f t="shared" ref="I1174:K1174" si="262">I1179+I1180</f>
        <v>95</v>
      </c>
      <c r="J1174" s="656">
        <f t="shared" si="262"/>
        <v>0</v>
      </c>
      <c r="K1174" s="656">
        <f t="shared" si="262"/>
        <v>0</v>
      </c>
      <c r="L1174" s="1068" t="s">
        <v>268</v>
      </c>
      <c r="M1174" s="1022" t="s">
        <v>829</v>
      </c>
      <c r="N1174" s="1048" t="s">
        <v>829</v>
      </c>
      <c r="O1174" s="921" t="s">
        <v>829</v>
      </c>
      <c r="P1174" s="1079" t="s">
        <v>829</v>
      </c>
    </row>
    <row r="1175" spans="1:16" ht="21" customHeight="1">
      <c r="A1175" s="527">
        <v>6</v>
      </c>
      <c r="B1175" s="647"/>
      <c r="C1175" s="647"/>
      <c r="D1175" s="648"/>
      <c r="E1175" s="567"/>
      <c r="F1175" s="608"/>
      <c r="G1175" s="653" t="s">
        <v>196</v>
      </c>
      <c r="H1175" s="654">
        <f t="shared" ref="H1175:K1175" si="263">H1178</f>
        <v>3.6</v>
      </c>
      <c r="I1175" s="654">
        <f t="shared" si="263"/>
        <v>7.2</v>
      </c>
      <c r="J1175" s="797">
        <f t="shared" si="263"/>
        <v>7.2</v>
      </c>
      <c r="K1175" s="797">
        <f t="shared" si="263"/>
        <v>7.2</v>
      </c>
      <c r="L1175" s="1068" t="s">
        <v>829</v>
      </c>
      <c r="M1175" s="1022" t="s">
        <v>829</v>
      </c>
      <c r="N1175" s="1034" t="s">
        <v>829</v>
      </c>
      <c r="O1175" s="921" t="s">
        <v>829</v>
      </c>
      <c r="P1175" s="1079" t="s">
        <v>829</v>
      </c>
    </row>
    <row r="1176" spans="1:16" ht="21" customHeight="1">
      <c r="A1176" s="527">
        <v>6</v>
      </c>
      <c r="B1176" s="647"/>
      <c r="C1176" s="647"/>
      <c r="D1176" s="648"/>
      <c r="E1176" s="567"/>
      <c r="F1176" s="608"/>
      <c r="G1176" s="653" t="s">
        <v>461</v>
      </c>
      <c r="H1176" s="798">
        <f>11.4</f>
        <v>11.4</v>
      </c>
      <c r="I1176" s="654"/>
      <c r="J1176" s="797"/>
      <c r="K1176" s="797"/>
      <c r="L1176" s="1068" t="s">
        <v>829</v>
      </c>
      <c r="M1176" s="1022" t="s">
        <v>829</v>
      </c>
      <c r="N1176" s="1034" t="s">
        <v>829</v>
      </c>
      <c r="O1176" s="921" t="s">
        <v>829</v>
      </c>
      <c r="P1176" s="1079" t="s">
        <v>829</v>
      </c>
    </row>
    <row r="1177" spans="1:16" ht="21" customHeight="1">
      <c r="A1177" s="527">
        <v>6</v>
      </c>
      <c r="B1177" s="647"/>
      <c r="C1177" s="647"/>
      <c r="D1177" s="648"/>
      <c r="E1177" s="567"/>
      <c r="F1177" s="608"/>
      <c r="G1177" s="834" t="s">
        <v>459</v>
      </c>
      <c r="H1177" s="53">
        <f t="shared" ref="H1177:K1177" si="264">SUM(H1175,H1174,H1176)</f>
        <v>104.1</v>
      </c>
      <c r="I1177" s="53">
        <f>SUM(I1175,I1174,I1176)</f>
        <v>102.2</v>
      </c>
      <c r="J1177" s="53">
        <f t="shared" si="264"/>
        <v>7.2</v>
      </c>
      <c r="K1177" s="53">
        <f t="shared" si="264"/>
        <v>7.2</v>
      </c>
      <c r="L1177" s="1068" t="s">
        <v>829</v>
      </c>
      <c r="M1177" s="1022" t="s">
        <v>829</v>
      </c>
      <c r="N1177" s="1034" t="s">
        <v>829</v>
      </c>
      <c r="O1177" s="921" t="s">
        <v>829</v>
      </c>
      <c r="P1177" s="1079" t="s">
        <v>829</v>
      </c>
    </row>
    <row r="1178" spans="1:16" ht="21" customHeight="1">
      <c r="A1178" s="527">
        <v>6</v>
      </c>
      <c r="B1178" s="539"/>
      <c r="C1178" s="539" t="s">
        <v>1339</v>
      </c>
      <c r="D1178" s="657" t="s">
        <v>1340</v>
      </c>
      <c r="E1178" s="544">
        <v>9</v>
      </c>
      <c r="F1178" s="541" t="s">
        <v>1338</v>
      </c>
      <c r="G1178" s="645" t="s">
        <v>196</v>
      </c>
      <c r="H1178" s="43">
        <v>3.6</v>
      </c>
      <c r="I1178" s="44">
        <v>7.2</v>
      </c>
      <c r="J1178" s="799">
        <v>7.2</v>
      </c>
      <c r="K1178" s="799">
        <v>7.2</v>
      </c>
      <c r="L1178" s="1064" t="s">
        <v>829</v>
      </c>
      <c r="M1178" s="1022" t="s">
        <v>1341</v>
      </c>
      <c r="N1178" s="1034" t="s">
        <v>1342</v>
      </c>
      <c r="O1178" s="921">
        <v>2</v>
      </c>
      <c r="P1178" s="1079" t="s">
        <v>829</v>
      </c>
    </row>
    <row r="1179" spans="1:16" ht="21" customHeight="1">
      <c r="A1179" s="527">
        <v>6</v>
      </c>
      <c r="B1179" s="539"/>
      <c r="C1179" s="539" t="s">
        <v>1343</v>
      </c>
      <c r="D1179" s="51" t="s">
        <v>1344</v>
      </c>
      <c r="E1179" s="544">
        <v>9</v>
      </c>
      <c r="F1179" s="541" t="s">
        <v>1338</v>
      </c>
      <c r="G1179" s="837" t="s">
        <v>193</v>
      </c>
      <c r="H1179" s="109">
        <v>89.1</v>
      </c>
      <c r="I1179" s="110"/>
      <c r="J1179" s="264"/>
      <c r="K1179" s="264"/>
      <c r="L1179" s="1064" t="s">
        <v>268</v>
      </c>
      <c r="M1179" s="1022"/>
      <c r="N1179" s="1034"/>
      <c r="O1179" s="921"/>
      <c r="P1179" s="1079" t="s">
        <v>1346</v>
      </c>
    </row>
    <row r="1180" spans="1:16" ht="21" customHeight="1">
      <c r="A1180" s="527">
        <v>6</v>
      </c>
      <c r="B1180" s="539"/>
      <c r="C1180" s="539" t="s">
        <v>1347</v>
      </c>
      <c r="D1180" s="51" t="s">
        <v>1348</v>
      </c>
      <c r="E1180" s="544">
        <v>9</v>
      </c>
      <c r="F1180" s="541" t="s">
        <v>1338</v>
      </c>
      <c r="G1180" s="837" t="s">
        <v>193</v>
      </c>
      <c r="H1180" s="109"/>
      <c r="I1180" s="110">
        <v>95</v>
      </c>
      <c r="J1180" s="264"/>
      <c r="K1180" s="264"/>
      <c r="L1180" s="1064" t="s">
        <v>398</v>
      </c>
      <c r="M1180" s="680" t="s">
        <v>1341</v>
      </c>
      <c r="N1180" s="1046" t="s">
        <v>1345</v>
      </c>
      <c r="O1180" s="687">
        <v>1</v>
      </c>
      <c r="P1180" s="1080" t="s">
        <v>429</v>
      </c>
    </row>
    <row r="1181" spans="1:16" ht="21" customHeight="1">
      <c r="A1181" s="527">
        <v>6</v>
      </c>
      <c r="B1181" s="528"/>
      <c r="C1181" s="528"/>
      <c r="D1181" s="529" t="s">
        <v>1349</v>
      </c>
      <c r="E1181" s="550"/>
      <c r="F1181" s="551"/>
      <c r="G1181" s="552"/>
      <c r="H1181" s="651"/>
      <c r="I1181" s="553"/>
      <c r="J1181" s="778"/>
      <c r="K1181" s="778"/>
      <c r="L1181" s="1065" t="s">
        <v>829</v>
      </c>
      <c r="M1181" s="1036" t="s">
        <v>829</v>
      </c>
      <c r="N1181" s="1037" t="s">
        <v>829</v>
      </c>
      <c r="O1181" s="1038" t="s">
        <v>829</v>
      </c>
      <c r="P1181" s="1081" t="s">
        <v>829</v>
      </c>
    </row>
    <row r="1182" spans="1:16" ht="21" customHeight="1">
      <c r="A1182" s="527">
        <v>6</v>
      </c>
      <c r="B1182" s="82" t="s">
        <v>1350</v>
      </c>
      <c r="C1182" s="82" t="s">
        <v>1350</v>
      </c>
      <c r="D1182" s="535" t="s">
        <v>1351</v>
      </c>
      <c r="E1182" s="536"/>
      <c r="F1182" s="536"/>
      <c r="G1182" s="656"/>
      <c r="H1182" s="656"/>
      <c r="I1182" s="656"/>
      <c r="J1182" s="779"/>
      <c r="K1182" s="779"/>
      <c r="L1182" s="1064" t="s">
        <v>829</v>
      </c>
      <c r="M1182" s="1022" t="s">
        <v>829</v>
      </c>
      <c r="N1182" s="1034" t="s">
        <v>829</v>
      </c>
      <c r="O1182" s="921" t="s">
        <v>829</v>
      </c>
      <c r="P1182" s="1079" t="s">
        <v>829</v>
      </c>
    </row>
    <row r="1183" spans="1:16" ht="21" customHeight="1">
      <c r="A1183" s="527">
        <v>6</v>
      </c>
      <c r="B1183" s="647"/>
      <c r="C1183" s="647"/>
      <c r="D1183" s="648"/>
      <c r="E1183" s="567"/>
      <c r="F1183" s="608"/>
      <c r="G1183" s="652" t="s">
        <v>193</v>
      </c>
      <c r="H1183" s="654">
        <f>SUM(H1186,H1185,H1187)</f>
        <v>242.7</v>
      </c>
      <c r="I1183" s="654">
        <f t="shared" ref="I1183:K1183" si="265">SUM(I1186,I1185,I1187)</f>
        <v>1550</v>
      </c>
      <c r="J1183" s="654">
        <f t="shared" si="265"/>
        <v>1650</v>
      </c>
      <c r="K1183" s="654">
        <f t="shared" si="265"/>
        <v>1650</v>
      </c>
      <c r="L1183" s="1064" t="s">
        <v>829</v>
      </c>
      <c r="M1183" s="1022" t="s">
        <v>829</v>
      </c>
      <c r="N1183" s="1034" t="s">
        <v>829</v>
      </c>
      <c r="O1183" s="921" t="s">
        <v>829</v>
      </c>
      <c r="P1183" s="1079" t="s">
        <v>829</v>
      </c>
    </row>
    <row r="1184" spans="1:16" ht="21" customHeight="1">
      <c r="A1184" s="527">
        <v>6</v>
      </c>
      <c r="B1184" s="647"/>
      <c r="C1184" s="647"/>
      <c r="D1184" s="648"/>
      <c r="E1184" s="567"/>
      <c r="F1184" s="608"/>
      <c r="G1184" s="834" t="s">
        <v>459</v>
      </c>
      <c r="H1184" s="53">
        <f>H1183</f>
        <v>242.7</v>
      </c>
      <c r="I1184" s="53">
        <f>I1183</f>
        <v>1550</v>
      </c>
      <c r="J1184" s="53">
        <f>J1183</f>
        <v>1650</v>
      </c>
      <c r="K1184" s="53">
        <f>K1183</f>
        <v>1650</v>
      </c>
      <c r="L1184" s="1064" t="s">
        <v>829</v>
      </c>
      <c r="M1184" s="1022" t="s">
        <v>829</v>
      </c>
      <c r="N1184" s="1034" t="s">
        <v>829</v>
      </c>
      <c r="O1184" s="921" t="s">
        <v>829</v>
      </c>
      <c r="P1184" s="1079" t="s">
        <v>829</v>
      </c>
    </row>
    <row r="1185" spans="1:16" ht="21" customHeight="1">
      <c r="A1185" s="527">
        <v>6</v>
      </c>
      <c r="B1185" s="546"/>
      <c r="C1185" s="546" t="s">
        <v>1352</v>
      </c>
      <c r="D1185" s="540" t="s">
        <v>1353</v>
      </c>
      <c r="E1185" s="658">
        <v>9</v>
      </c>
      <c r="F1185" s="424" t="s">
        <v>1354</v>
      </c>
      <c r="G1185" s="425" t="s">
        <v>193</v>
      </c>
      <c r="H1185" s="43">
        <v>49.3</v>
      </c>
      <c r="I1185" s="44">
        <v>150</v>
      </c>
      <c r="J1185" s="775">
        <v>150</v>
      </c>
      <c r="K1185" s="775">
        <v>150</v>
      </c>
      <c r="L1185" s="1064" t="s">
        <v>262</v>
      </c>
      <c r="M1185" s="1022" t="s">
        <v>1341</v>
      </c>
      <c r="N1185" s="1034" t="s">
        <v>1355</v>
      </c>
      <c r="O1185" s="681">
        <v>100</v>
      </c>
      <c r="P1185" s="1078" t="s">
        <v>829</v>
      </c>
    </row>
    <row r="1186" spans="1:16" ht="21" customHeight="1">
      <c r="A1186" s="527">
        <v>6</v>
      </c>
      <c r="B1186" s="546"/>
      <c r="C1186" s="546" t="s">
        <v>1356</v>
      </c>
      <c r="D1186" s="540" t="s">
        <v>1357</v>
      </c>
      <c r="E1186" s="658">
        <v>9</v>
      </c>
      <c r="F1186" s="424" t="s">
        <v>1358</v>
      </c>
      <c r="G1186" s="425" t="s">
        <v>193</v>
      </c>
      <c r="H1186" s="43">
        <v>193.4</v>
      </c>
      <c r="I1186" s="44">
        <v>200</v>
      </c>
      <c r="J1186" s="875">
        <v>200</v>
      </c>
      <c r="K1186" s="875">
        <v>200</v>
      </c>
      <c r="L1186" s="1064" t="s">
        <v>268</v>
      </c>
      <c r="M1186" s="1022" t="s">
        <v>1341</v>
      </c>
      <c r="N1186" s="1034" t="s">
        <v>1359</v>
      </c>
      <c r="O1186" s="681">
        <v>100</v>
      </c>
      <c r="P1186" s="1087" t="s">
        <v>829</v>
      </c>
    </row>
    <row r="1187" spans="1:16" ht="21" customHeight="1">
      <c r="A1187" s="527">
        <v>6</v>
      </c>
      <c r="B1187" s="546"/>
      <c r="C1187" s="546" t="s">
        <v>1360</v>
      </c>
      <c r="D1187" s="554" t="s">
        <v>1361</v>
      </c>
      <c r="E1187" s="658">
        <v>6</v>
      </c>
      <c r="F1187" s="424" t="s">
        <v>1362</v>
      </c>
      <c r="G1187" s="425" t="s">
        <v>193</v>
      </c>
      <c r="H1187" s="43"/>
      <c r="I1187" s="44">
        <f>1200-700+700</f>
        <v>1200</v>
      </c>
      <c r="J1187" s="874">
        <f>1300+350-350</f>
        <v>1300</v>
      </c>
      <c r="K1187" s="874">
        <v>1300</v>
      </c>
      <c r="L1187" s="1064" t="s">
        <v>268</v>
      </c>
      <c r="M1187" s="1022" t="s">
        <v>2174</v>
      </c>
      <c r="N1187" s="1046" t="s">
        <v>1363</v>
      </c>
      <c r="O1187" s="687">
        <v>100</v>
      </c>
      <c r="P1187" s="1087" t="s">
        <v>829</v>
      </c>
    </row>
    <row r="1188" spans="1:16" ht="21" customHeight="1">
      <c r="A1188" s="527">
        <v>6</v>
      </c>
      <c r="B1188" s="82" t="s">
        <v>1364</v>
      </c>
      <c r="C1188" s="82" t="s">
        <v>1364</v>
      </c>
      <c r="D1188" s="535" t="s">
        <v>1365</v>
      </c>
      <c r="E1188" s="536"/>
      <c r="F1188" s="536"/>
      <c r="G1188" s="656"/>
      <c r="H1188" s="656"/>
      <c r="I1188" s="656"/>
      <c r="J1188" s="779"/>
      <c r="K1188" s="779"/>
      <c r="L1188" s="1064" t="s">
        <v>829</v>
      </c>
      <c r="M1188" s="1022" t="s">
        <v>829</v>
      </c>
      <c r="N1188" s="1034" t="s">
        <v>829</v>
      </c>
      <c r="O1188" s="921" t="s">
        <v>829</v>
      </c>
      <c r="P1188" s="1079" t="s">
        <v>829</v>
      </c>
    </row>
    <row r="1189" spans="1:16" ht="21" customHeight="1">
      <c r="A1189" s="527">
        <v>6</v>
      </c>
      <c r="B1189" s="647"/>
      <c r="C1189" s="647"/>
      <c r="D1189" s="648"/>
      <c r="E1189" s="659"/>
      <c r="F1189" s="659"/>
      <c r="G1189" s="652" t="s">
        <v>193</v>
      </c>
      <c r="H1189" s="654">
        <f>SUM(H1190,H1191,H1192,H1193,H1194,H1195,H1196,H1197,H1198,H1199,H1200)</f>
        <v>373.79999999999995</v>
      </c>
      <c r="I1189" s="654">
        <f>SUM(I1190,I1191,I1192,I1193,I1194,I1195,I1196,I1197,I1198,I1199,I1200)</f>
        <v>465</v>
      </c>
      <c r="J1189" s="797">
        <f>SUM(J1190,J1191,J1192,J1193,J1194,J1195,J1196,J1197,J1198,J1199,J1200)</f>
        <v>558.1</v>
      </c>
      <c r="K1189" s="797">
        <f>SUM(K1190,K1191,K1192,K1193,K1194,K1195,K1196,K1197,K1198,K1199,K1200)</f>
        <v>669.60000000000014</v>
      </c>
      <c r="L1189" s="1064" t="s">
        <v>829</v>
      </c>
      <c r="M1189" s="1022" t="s">
        <v>829</v>
      </c>
      <c r="N1189" s="1048" t="s">
        <v>829</v>
      </c>
      <c r="O1189" s="921" t="s">
        <v>829</v>
      </c>
      <c r="P1189" s="1079" t="s">
        <v>829</v>
      </c>
    </row>
    <row r="1190" spans="1:16" ht="21" customHeight="1">
      <c r="A1190" s="527">
        <v>6</v>
      </c>
      <c r="B1190" s="546"/>
      <c r="C1190" s="546" t="s">
        <v>1366</v>
      </c>
      <c r="D1190" s="540" t="s">
        <v>1367</v>
      </c>
      <c r="E1190" s="660">
        <v>19</v>
      </c>
      <c r="F1190" s="661" t="s">
        <v>1368</v>
      </c>
      <c r="G1190" s="563" t="s">
        <v>193</v>
      </c>
      <c r="H1190" s="43">
        <f>11.7-1.7-4</f>
        <v>6</v>
      </c>
      <c r="I1190" s="44">
        <v>7.1999999999999993</v>
      </c>
      <c r="J1190" s="424">
        <v>8.6</v>
      </c>
      <c r="K1190" s="424">
        <v>10.4</v>
      </c>
      <c r="L1190" s="1064" t="s">
        <v>262</v>
      </c>
      <c r="M1190" s="1022" t="s">
        <v>1369</v>
      </c>
      <c r="N1190" s="1034" t="s">
        <v>1370</v>
      </c>
      <c r="O1190" s="681">
        <v>263</v>
      </c>
      <c r="P1190" s="1078" t="s">
        <v>415</v>
      </c>
    </row>
    <row r="1191" spans="1:16" ht="21" customHeight="1">
      <c r="A1191" s="527">
        <v>6</v>
      </c>
      <c r="B1191" s="546"/>
      <c r="C1191" s="546" t="s">
        <v>1371</v>
      </c>
      <c r="D1191" s="540" t="s">
        <v>1372</v>
      </c>
      <c r="E1191" s="660">
        <v>20</v>
      </c>
      <c r="F1191" s="661" t="s">
        <v>1373</v>
      </c>
      <c r="G1191" s="563" t="s">
        <v>193</v>
      </c>
      <c r="H1191" s="43">
        <f>27.1-3.9-8</f>
        <v>15.200000000000003</v>
      </c>
      <c r="I1191" s="44">
        <v>18.2</v>
      </c>
      <c r="J1191" s="424">
        <v>21.9</v>
      </c>
      <c r="K1191" s="424">
        <v>26.3</v>
      </c>
      <c r="L1191" s="1064" t="s">
        <v>262</v>
      </c>
      <c r="M1191" s="1022" t="s">
        <v>1053</v>
      </c>
      <c r="N1191" s="1034" t="s">
        <v>1370</v>
      </c>
      <c r="O1191" s="681">
        <v>499</v>
      </c>
      <c r="P1191" s="1078" t="s">
        <v>687</v>
      </c>
    </row>
    <row r="1192" spans="1:16" ht="21" customHeight="1">
      <c r="A1192" s="527">
        <v>6</v>
      </c>
      <c r="B1192" s="546"/>
      <c r="C1192" s="546" t="s">
        <v>1374</v>
      </c>
      <c r="D1192" s="540" t="s">
        <v>1375</v>
      </c>
      <c r="E1192" s="660">
        <v>21</v>
      </c>
      <c r="F1192" s="661" t="s">
        <v>1376</v>
      </c>
      <c r="G1192" s="563" t="s">
        <v>193</v>
      </c>
      <c r="H1192" s="43">
        <v>18.7</v>
      </c>
      <c r="I1192" s="44">
        <v>25.9</v>
      </c>
      <c r="J1192" s="424">
        <v>31.1</v>
      </c>
      <c r="K1192" s="424">
        <v>37.299999999999997</v>
      </c>
      <c r="L1192" s="1064" t="s">
        <v>262</v>
      </c>
      <c r="M1192" s="1022" t="s">
        <v>1377</v>
      </c>
      <c r="N1192" s="1034" t="s">
        <v>1370</v>
      </c>
      <c r="O1192" s="681">
        <v>465</v>
      </c>
      <c r="P1192" s="1078" t="s">
        <v>389</v>
      </c>
    </row>
    <row r="1193" spans="1:16" ht="21" customHeight="1">
      <c r="A1193" s="527">
        <v>6</v>
      </c>
      <c r="B1193" s="546"/>
      <c r="C1193" s="546" t="s">
        <v>1378</v>
      </c>
      <c r="D1193" s="540" t="s">
        <v>1379</v>
      </c>
      <c r="E1193" s="660">
        <v>22</v>
      </c>
      <c r="F1193" s="661" t="s">
        <v>1380</v>
      </c>
      <c r="G1193" s="563" t="s">
        <v>193</v>
      </c>
      <c r="H1193" s="43">
        <v>13.1</v>
      </c>
      <c r="I1193" s="44">
        <v>17.600000000000001</v>
      </c>
      <c r="J1193" s="424">
        <v>21.2</v>
      </c>
      <c r="K1193" s="424">
        <v>25.4</v>
      </c>
      <c r="L1193" s="1064" t="s">
        <v>262</v>
      </c>
      <c r="M1193" s="1022" t="s">
        <v>1381</v>
      </c>
      <c r="N1193" s="1034" t="s">
        <v>1370</v>
      </c>
      <c r="O1193" s="681">
        <v>232</v>
      </c>
      <c r="P1193" s="1078" t="s">
        <v>458</v>
      </c>
    </row>
    <row r="1194" spans="1:16" ht="21" customHeight="1">
      <c r="A1194" s="527">
        <v>6</v>
      </c>
      <c r="B1194" s="546"/>
      <c r="C1194" s="546" t="s">
        <v>1382</v>
      </c>
      <c r="D1194" s="540" t="s">
        <v>1383</v>
      </c>
      <c r="E1194" s="660">
        <v>23</v>
      </c>
      <c r="F1194" s="661" t="s">
        <v>1384</v>
      </c>
      <c r="G1194" s="563" t="s">
        <v>193</v>
      </c>
      <c r="H1194" s="43">
        <v>133.19999999999999</v>
      </c>
      <c r="I1194" s="44">
        <v>164</v>
      </c>
      <c r="J1194" s="424">
        <v>196.8</v>
      </c>
      <c r="K1194" s="424">
        <v>236.2</v>
      </c>
      <c r="L1194" s="1064" t="s">
        <v>262</v>
      </c>
      <c r="M1194" s="680" t="s">
        <v>2394</v>
      </c>
      <c r="N1194" s="1034" t="s">
        <v>1370</v>
      </c>
      <c r="O1194" s="1052">
        <v>1213</v>
      </c>
      <c r="P1194" s="1078" t="s">
        <v>275</v>
      </c>
    </row>
    <row r="1195" spans="1:16" ht="21" customHeight="1">
      <c r="A1195" s="527">
        <v>6</v>
      </c>
      <c r="B1195" s="546"/>
      <c r="C1195" s="546" t="s">
        <v>1385</v>
      </c>
      <c r="D1195" s="540" t="s">
        <v>1386</v>
      </c>
      <c r="E1195" s="660">
        <v>24</v>
      </c>
      <c r="F1195" s="661" t="s">
        <v>1387</v>
      </c>
      <c r="G1195" s="563" t="s">
        <v>193</v>
      </c>
      <c r="H1195" s="43">
        <f>15.5-2.3-6+5</f>
        <v>12.2</v>
      </c>
      <c r="I1195" s="44">
        <v>14.6</v>
      </c>
      <c r="J1195" s="424">
        <v>17.600000000000001</v>
      </c>
      <c r="K1195" s="424">
        <v>21.1</v>
      </c>
      <c r="L1195" s="1064" t="s">
        <v>262</v>
      </c>
      <c r="M1195" s="1022" t="s">
        <v>1388</v>
      </c>
      <c r="N1195" s="1034" t="s">
        <v>1370</v>
      </c>
      <c r="O1195" s="681">
        <v>190</v>
      </c>
      <c r="P1195" s="1078" t="s">
        <v>565</v>
      </c>
    </row>
    <row r="1196" spans="1:16" ht="21" customHeight="1">
      <c r="A1196" s="527">
        <v>6</v>
      </c>
      <c r="B1196" s="546"/>
      <c r="C1196" s="546" t="s">
        <v>1389</v>
      </c>
      <c r="D1196" s="540" t="s">
        <v>1390</v>
      </c>
      <c r="E1196" s="660">
        <v>25</v>
      </c>
      <c r="F1196" s="661" t="s">
        <v>1391</v>
      </c>
      <c r="G1196" s="563" t="s">
        <v>193</v>
      </c>
      <c r="H1196" s="43">
        <f>56.2-8.2-16</f>
        <v>32</v>
      </c>
      <c r="I1196" s="44">
        <v>38.4</v>
      </c>
      <c r="J1196" s="424">
        <v>46.1</v>
      </c>
      <c r="K1196" s="424">
        <v>55.3</v>
      </c>
      <c r="L1196" s="1064" t="s">
        <v>262</v>
      </c>
      <c r="M1196" s="1022" t="s">
        <v>1392</v>
      </c>
      <c r="N1196" s="1034" t="s">
        <v>1370</v>
      </c>
      <c r="O1196" s="681">
        <v>379</v>
      </c>
      <c r="P1196" s="1078" t="s">
        <v>429</v>
      </c>
    </row>
    <row r="1197" spans="1:16" ht="21" customHeight="1">
      <c r="A1197" s="527">
        <v>6</v>
      </c>
      <c r="B1197" s="546"/>
      <c r="C1197" s="546" t="s">
        <v>1393</v>
      </c>
      <c r="D1197" s="540" t="s">
        <v>1394</v>
      </c>
      <c r="E1197" s="660">
        <v>26</v>
      </c>
      <c r="F1197" s="661" t="s">
        <v>1395</v>
      </c>
      <c r="G1197" s="563" t="s">
        <v>193</v>
      </c>
      <c r="H1197" s="43">
        <f>64.7-9.4-13+10</f>
        <v>52.300000000000004</v>
      </c>
      <c r="I1197" s="44">
        <v>62.8</v>
      </c>
      <c r="J1197" s="424">
        <v>75.3</v>
      </c>
      <c r="K1197" s="424">
        <v>90.4</v>
      </c>
      <c r="L1197" s="1064" t="s">
        <v>262</v>
      </c>
      <c r="M1197" s="1022" t="s">
        <v>1396</v>
      </c>
      <c r="N1197" s="1034" t="s">
        <v>1370</v>
      </c>
      <c r="O1197" s="681">
        <v>768</v>
      </c>
      <c r="P1197" s="1078" t="s">
        <v>392</v>
      </c>
    </row>
    <row r="1198" spans="1:16" ht="21" customHeight="1">
      <c r="A1198" s="527">
        <v>6</v>
      </c>
      <c r="B1198" s="546"/>
      <c r="C1198" s="546" t="s">
        <v>1397</v>
      </c>
      <c r="D1198" s="540" t="s">
        <v>1398</v>
      </c>
      <c r="E1198" s="660">
        <v>27</v>
      </c>
      <c r="F1198" s="661" t="s">
        <v>1399</v>
      </c>
      <c r="G1198" s="563" t="s">
        <v>193</v>
      </c>
      <c r="H1198" s="43">
        <v>40.700000000000003</v>
      </c>
      <c r="I1198" s="44">
        <v>49.3</v>
      </c>
      <c r="J1198" s="424">
        <v>59.2</v>
      </c>
      <c r="K1198" s="424">
        <v>71</v>
      </c>
      <c r="L1198" s="1064" t="s">
        <v>262</v>
      </c>
      <c r="M1198" s="1022" t="s">
        <v>2399</v>
      </c>
      <c r="N1198" s="1034" t="s">
        <v>1370</v>
      </c>
      <c r="O1198" s="681">
        <v>758</v>
      </c>
      <c r="P1198" s="1078" t="s">
        <v>386</v>
      </c>
    </row>
    <row r="1199" spans="1:16" ht="21" customHeight="1">
      <c r="A1199" s="527">
        <v>6</v>
      </c>
      <c r="B1199" s="546"/>
      <c r="C1199" s="546" t="s">
        <v>1400</v>
      </c>
      <c r="D1199" s="540" t="s">
        <v>1401</v>
      </c>
      <c r="E1199" s="660">
        <v>28</v>
      </c>
      <c r="F1199" s="661" t="s">
        <v>1402</v>
      </c>
      <c r="G1199" s="563" t="s">
        <v>193</v>
      </c>
      <c r="H1199" s="43">
        <v>23.5</v>
      </c>
      <c r="I1199" s="44">
        <v>31.5</v>
      </c>
      <c r="J1199" s="425">
        <v>37.799999999999997</v>
      </c>
      <c r="K1199" s="425">
        <v>45.2</v>
      </c>
      <c r="L1199" s="1064" t="s">
        <v>262</v>
      </c>
      <c r="M1199" s="1022" t="s">
        <v>1403</v>
      </c>
      <c r="N1199" s="1034" t="s">
        <v>1370</v>
      </c>
      <c r="O1199" s="681">
        <v>366</v>
      </c>
      <c r="P1199" s="1078" t="s">
        <v>399</v>
      </c>
    </row>
    <row r="1200" spans="1:16" ht="21" customHeight="1">
      <c r="A1200" s="527">
        <v>6</v>
      </c>
      <c r="B1200" s="546"/>
      <c r="C1200" s="546" t="s">
        <v>1404</v>
      </c>
      <c r="D1200" s="540" t="s">
        <v>1405</v>
      </c>
      <c r="E1200" s="660">
        <v>29</v>
      </c>
      <c r="F1200" s="661" t="s">
        <v>1406</v>
      </c>
      <c r="G1200" s="563" t="s">
        <v>193</v>
      </c>
      <c r="H1200" s="43">
        <v>26.9</v>
      </c>
      <c r="I1200" s="44">
        <v>35.5</v>
      </c>
      <c r="J1200" s="424">
        <v>42.5</v>
      </c>
      <c r="K1200" s="424">
        <v>51</v>
      </c>
      <c r="L1200" s="1064" t="s">
        <v>262</v>
      </c>
      <c r="M1200" s="1022" t="s">
        <v>1407</v>
      </c>
      <c r="N1200" s="1034" t="s">
        <v>1370</v>
      </c>
      <c r="O1200" s="681">
        <v>852</v>
      </c>
      <c r="P1200" s="1078" t="s">
        <v>419</v>
      </c>
    </row>
    <row r="1201" spans="1:16" ht="21" customHeight="1">
      <c r="A1201" s="527">
        <v>6</v>
      </c>
      <c r="B1201" s="528"/>
      <c r="C1201" s="528"/>
      <c r="D1201" s="529" t="s">
        <v>1408</v>
      </c>
      <c r="E1201" s="550"/>
      <c r="F1201" s="551"/>
      <c r="G1201" s="552"/>
      <c r="H1201" s="651"/>
      <c r="I1201" s="553"/>
      <c r="J1201" s="778"/>
      <c r="K1201" s="778"/>
      <c r="L1201" s="1065" t="s">
        <v>829</v>
      </c>
      <c r="M1201" s="1036" t="s">
        <v>829</v>
      </c>
      <c r="N1201" s="1037" t="s">
        <v>829</v>
      </c>
      <c r="O1201" s="1038" t="s">
        <v>829</v>
      </c>
      <c r="P1201" s="1081" t="s">
        <v>829</v>
      </c>
    </row>
    <row r="1202" spans="1:16" ht="21" customHeight="1">
      <c r="A1202" s="527">
        <v>6</v>
      </c>
      <c r="B1202" s="82" t="s">
        <v>1409</v>
      </c>
      <c r="C1202" s="82" t="s">
        <v>1409</v>
      </c>
      <c r="D1202" s="535" t="s">
        <v>1410</v>
      </c>
      <c r="E1202" s="536"/>
      <c r="F1202" s="536"/>
      <c r="G1202" s="656"/>
      <c r="H1202" s="656"/>
      <c r="I1202" s="656"/>
      <c r="J1202" s="779"/>
      <c r="K1202" s="779"/>
      <c r="L1202" s="1064" t="s">
        <v>829</v>
      </c>
      <c r="M1202" s="1022" t="s">
        <v>829</v>
      </c>
      <c r="N1202" s="1034" t="s">
        <v>829</v>
      </c>
      <c r="O1202" s="921" t="s">
        <v>829</v>
      </c>
      <c r="P1202" s="1079" t="s">
        <v>829</v>
      </c>
    </row>
    <row r="1203" spans="1:16" ht="21" customHeight="1">
      <c r="A1203" s="527">
        <v>6</v>
      </c>
      <c r="B1203" s="647"/>
      <c r="C1203" s="647"/>
      <c r="D1203" s="648"/>
      <c r="E1203" s="567"/>
      <c r="F1203" s="608"/>
      <c r="G1203" s="652" t="s">
        <v>193</v>
      </c>
      <c r="H1203" s="654">
        <f t="shared" ref="H1203:K1203" si="266">H1204</f>
        <v>120</v>
      </c>
      <c r="I1203" s="654">
        <f t="shared" si="266"/>
        <v>120</v>
      </c>
      <c r="J1203" s="797">
        <f t="shared" si="266"/>
        <v>120</v>
      </c>
      <c r="K1203" s="797">
        <f t="shared" si="266"/>
        <v>120</v>
      </c>
      <c r="L1203" s="1064" t="s">
        <v>829</v>
      </c>
      <c r="M1203" s="1022" t="s">
        <v>829</v>
      </c>
      <c r="N1203" s="1034" t="s">
        <v>829</v>
      </c>
      <c r="O1203" s="921" t="s">
        <v>829</v>
      </c>
      <c r="P1203" s="1079" t="s">
        <v>829</v>
      </c>
    </row>
    <row r="1204" spans="1:16" ht="21" customHeight="1">
      <c r="A1204" s="527">
        <v>6</v>
      </c>
      <c r="B1204" s="546"/>
      <c r="C1204" s="546" t="s">
        <v>1411</v>
      </c>
      <c r="D1204" s="540" t="s">
        <v>1412</v>
      </c>
      <c r="E1204" s="662">
        <v>18</v>
      </c>
      <c r="F1204" s="563" t="s">
        <v>1413</v>
      </c>
      <c r="G1204" s="663" t="s">
        <v>193</v>
      </c>
      <c r="H1204" s="84">
        <v>120</v>
      </c>
      <c r="I1204" s="85">
        <v>120</v>
      </c>
      <c r="J1204" s="780">
        <v>120</v>
      </c>
      <c r="K1204" s="780">
        <v>120</v>
      </c>
      <c r="L1204" s="1064" t="s">
        <v>274</v>
      </c>
      <c r="M1204" s="1022" t="s">
        <v>1414</v>
      </c>
      <c r="N1204" s="1046" t="s">
        <v>1415</v>
      </c>
      <c r="O1204" s="681">
        <v>25</v>
      </c>
      <c r="P1204" s="1078" t="s">
        <v>829</v>
      </c>
    </row>
    <row r="1205" spans="1:16" ht="21" customHeight="1">
      <c r="A1205" s="527">
        <v>6</v>
      </c>
      <c r="B1205" s="82" t="s">
        <v>1416</v>
      </c>
      <c r="C1205" s="82" t="s">
        <v>1416</v>
      </c>
      <c r="D1205" s="535" t="s">
        <v>1417</v>
      </c>
      <c r="E1205" s="536"/>
      <c r="F1205" s="536"/>
      <c r="G1205" s="656"/>
      <c r="H1205" s="656"/>
      <c r="I1205" s="656"/>
      <c r="J1205" s="779"/>
      <c r="K1205" s="779"/>
      <c r="L1205" s="1064" t="s">
        <v>829</v>
      </c>
      <c r="M1205" s="1022" t="s">
        <v>829</v>
      </c>
      <c r="N1205" s="1034" t="s">
        <v>829</v>
      </c>
      <c r="O1205" s="921" t="s">
        <v>829</v>
      </c>
      <c r="P1205" s="1079" t="s">
        <v>829</v>
      </c>
    </row>
    <row r="1206" spans="1:16" ht="21" customHeight="1">
      <c r="A1206" s="527">
        <v>6</v>
      </c>
      <c r="B1206" s="664"/>
      <c r="C1206" s="664"/>
      <c r="D1206" s="657"/>
      <c r="E1206" s="662"/>
      <c r="F1206" s="663"/>
      <c r="G1206" s="652" t="s">
        <v>283</v>
      </c>
      <c r="H1206" s="654">
        <f t="shared" ref="H1206:K1206" si="267">H1209</f>
        <v>0</v>
      </c>
      <c r="I1206" s="654">
        <f t="shared" si="267"/>
        <v>1493.4</v>
      </c>
      <c r="J1206" s="800">
        <f t="shared" si="267"/>
        <v>0</v>
      </c>
      <c r="K1206" s="800">
        <f t="shared" si="267"/>
        <v>0</v>
      </c>
      <c r="L1206" s="1064" t="s">
        <v>829</v>
      </c>
      <c r="M1206" s="1022" t="s">
        <v>829</v>
      </c>
      <c r="N1206" s="1034" t="s">
        <v>829</v>
      </c>
      <c r="O1206" s="921" t="s">
        <v>829</v>
      </c>
      <c r="P1206" s="1079" t="s">
        <v>829</v>
      </c>
    </row>
    <row r="1207" spans="1:16" ht="21" customHeight="1">
      <c r="A1207" s="527">
        <v>6</v>
      </c>
      <c r="B1207" s="664"/>
      <c r="C1207" s="664"/>
      <c r="D1207" s="657"/>
      <c r="E1207" s="662"/>
      <c r="F1207" s="663"/>
      <c r="G1207" s="652" t="s">
        <v>193</v>
      </c>
      <c r="H1207" s="654">
        <f t="shared" ref="H1207:K1207" si="268">H1208+H1210+H1211+H1212</f>
        <v>2014.1</v>
      </c>
      <c r="I1207" s="654">
        <f t="shared" si="268"/>
        <v>732.09999999999991</v>
      </c>
      <c r="J1207" s="654">
        <f t="shared" si="268"/>
        <v>2200</v>
      </c>
      <c r="K1207" s="654">
        <f t="shared" si="268"/>
        <v>2200</v>
      </c>
      <c r="L1207" s="1064" t="s">
        <v>829</v>
      </c>
      <c r="M1207" s="1022" t="s">
        <v>829</v>
      </c>
      <c r="N1207" s="1034" t="s">
        <v>829</v>
      </c>
      <c r="O1207" s="921" t="s">
        <v>829</v>
      </c>
      <c r="P1207" s="1079" t="s">
        <v>829</v>
      </c>
    </row>
    <row r="1208" spans="1:16" ht="21" customHeight="1">
      <c r="A1208" s="527">
        <v>6</v>
      </c>
      <c r="B1208" s="546"/>
      <c r="C1208" s="546" t="s">
        <v>1418</v>
      </c>
      <c r="D1208" s="665" t="s">
        <v>1419</v>
      </c>
      <c r="E1208" s="660">
        <v>9</v>
      </c>
      <c r="F1208" s="661" t="s">
        <v>1420</v>
      </c>
      <c r="G1208" s="663" t="s">
        <v>193</v>
      </c>
      <c r="H1208" s="43">
        <v>1965.6</v>
      </c>
      <c r="I1208" s="545">
        <f>2500-500-1493.4</f>
        <v>506.59999999999991</v>
      </c>
      <c r="J1208" s="801">
        <f>2600-600</f>
        <v>2000</v>
      </c>
      <c r="K1208" s="801">
        <f>2700-700</f>
        <v>2000</v>
      </c>
      <c r="L1208" s="1064" t="s">
        <v>262</v>
      </c>
      <c r="M1208" s="1022" t="s">
        <v>1421</v>
      </c>
      <c r="N1208" s="1034" t="s">
        <v>1422</v>
      </c>
      <c r="O1208" s="681">
        <v>100</v>
      </c>
      <c r="P1208" s="1078" t="s">
        <v>829</v>
      </c>
    </row>
    <row r="1209" spans="1:16" ht="21" customHeight="1">
      <c r="A1209" s="527">
        <v>6</v>
      </c>
      <c r="B1209" s="546"/>
      <c r="C1209" s="546"/>
      <c r="D1209" s="665"/>
      <c r="E1209" s="660">
        <v>9</v>
      </c>
      <c r="F1209" s="661" t="s">
        <v>1420</v>
      </c>
      <c r="G1209" s="563" t="s">
        <v>283</v>
      </c>
      <c r="H1209" s="425"/>
      <c r="I1209" s="545">
        <v>1493.4</v>
      </c>
      <c r="J1209" s="801"/>
      <c r="K1209" s="801"/>
      <c r="L1209" s="1064" t="s">
        <v>262</v>
      </c>
      <c r="M1209" s="566" t="s">
        <v>829</v>
      </c>
      <c r="N1209" s="1053" t="s">
        <v>829</v>
      </c>
      <c r="O1209" s="1021" t="s">
        <v>829</v>
      </c>
      <c r="P1209" s="1078" t="s">
        <v>829</v>
      </c>
    </row>
    <row r="1210" spans="1:16" ht="21" customHeight="1">
      <c r="A1210" s="527">
        <v>6</v>
      </c>
      <c r="B1210" s="546"/>
      <c r="C1210" s="546" t="s">
        <v>1423</v>
      </c>
      <c r="D1210" s="665" t="s">
        <v>1424</v>
      </c>
      <c r="E1210" s="660">
        <v>9</v>
      </c>
      <c r="F1210" s="661" t="s">
        <v>1425</v>
      </c>
      <c r="G1210" s="663" t="s">
        <v>193</v>
      </c>
      <c r="H1210" s="43"/>
      <c r="I1210" s="545">
        <f>6-6</f>
        <v>0</v>
      </c>
      <c r="J1210" s="801">
        <v>0</v>
      </c>
      <c r="K1210" s="801">
        <v>0</v>
      </c>
      <c r="L1210" s="1064" t="s">
        <v>262</v>
      </c>
      <c r="M1210" s="566"/>
      <c r="N1210" s="1053"/>
      <c r="O1210" s="1021"/>
      <c r="P1210" s="1078" t="s">
        <v>829</v>
      </c>
    </row>
    <row r="1211" spans="1:16">
      <c r="A1211" s="527">
        <v>6</v>
      </c>
      <c r="B1211" s="546"/>
      <c r="C1211" s="546" t="s">
        <v>1426</v>
      </c>
      <c r="D1211" s="665" t="s">
        <v>1427</v>
      </c>
      <c r="E1211" s="660">
        <v>9</v>
      </c>
      <c r="F1211" s="661" t="s">
        <v>1428</v>
      </c>
      <c r="G1211" s="663" t="s">
        <v>193</v>
      </c>
      <c r="H1211" s="43">
        <v>48.5</v>
      </c>
      <c r="I1211" s="545">
        <f>200+21.3</f>
        <v>221.3</v>
      </c>
      <c r="J1211" s="801">
        <v>200</v>
      </c>
      <c r="K1211" s="801">
        <v>200</v>
      </c>
      <c r="L1211" s="1064" t="s">
        <v>274</v>
      </c>
      <c r="M1211" s="566" t="s">
        <v>1179</v>
      </c>
      <c r="N1211" s="1053" t="s">
        <v>2400</v>
      </c>
      <c r="O1211" s="1054">
        <v>5</v>
      </c>
      <c r="P1211" s="1088" t="s">
        <v>829</v>
      </c>
    </row>
    <row r="1212" spans="1:16" ht="22.5">
      <c r="A1212" s="527">
        <v>6</v>
      </c>
      <c r="B1212" s="546"/>
      <c r="C1212" s="546" t="s">
        <v>1431</v>
      </c>
      <c r="D1212" s="665" t="s">
        <v>1432</v>
      </c>
      <c r="E1212" s="660">
        <v>9</v>
      </c>
      <c r="F1212" s="659" t="s">
        <v>1433</v>
      </c>
      <c r="G1212" s="663" t="s">
        <v>193</v>
      </c>
      <c r="H1212" s="43"/>
      <c r="I1212" s="44">
        <f>4.2</f>
        <v>4.2</v>
      </c>
      <c r="J1212" s="801"/>
      <c r="K1212" s="801"/>
      <c r="L1212" s="1064" t="s">
        <v>829</v>
      </c>
      <c r="M1212" s="566" t="s">
        <v>829</v>
      </c>
      <c r="N1212" s="1053" t="s">
        <v>829</v>
      </c>
      <c r="O1212" s="1021" t="s">
        <v>829</v>
      </c>
      <c r="P1212" s="1078" t="s">
        <v>829</v>
      </c>
    </row>
    <row r="1213" spans="1:16" ht="22.5">
      <c r="A1213" s="527">
        <v>6</v>
      </c>
      <c r="B1213" s="82" t="s">
        <v>1434</v>
      </c>
      <c r="C1213" s="82" t="s">
        <v>1434</v>
      </c>
      <c r="D1213" s="535" t="s">
        <v>1435</v>
      </c>
      <c r="E1213" s="536"/>
      <c r="F1213" s="536"/>
      <c r="G1213" s="656"/>
      <c r="H1213" s="656"/>
      <c r="I1213" s="656"/>
      <c r="J1213" s="779"/>
      <c r="K1213" s="779"/>
      <c r="L1213" s="1064" t="s">
        <v>829</v>
      </c>
      <c r="M1213" s="566"/>
      <c r="N1213" s="1053" t="s">
        <v>829</v>
      </c>
      <c r="O1213" s="706" t="s">
        <v>829</v>
      </c>
      <c r="P1213" s="1079" t="s">
        <v>829</v>
      </c>
    </row>
    <row r="1214" spans="1:16">
      <c r="A1214" s="527">
        <v>6</v>
      </c>
      <c r="B1214" s="546"/>
      <c r="C1214" s="546" t="s">
        <v>1436</v>
      </c>
      <c r="D1214" s="540" t="s">
        <v>1437</v>
      </c>
      <c r="E1214" s="660" t="s">
        <v>78</v>
      </c>
      <c r="F1214" s="661" t="s">
        <v>1438</v>
      </c>
      <c r="G1214" s="563" t="s">
        <v>193</v>
      </c>
      <c r="H1214" s="684">
        <v>0</v>
      </c>
      <c r="I1214" s="732">
        <v>0</v>
      </c>
      <c r="J1214" s="801">
        <v>0</v>
      </c>
      <c r="K1214" s="801">
        <v>0</v>
      </c>
      <c r="L1214" s="1064" t="s">
        <v>268</v>
      </c>
      <c r="M1214" s="566" t="s">
        <v>829</v>
      </c>
      <c r="N1214" s="1053" t="s">
        <v>829</v>
      </c>
      <c r="O1214" s="706" t="s">
        <v>829</v>
      </c>
      <c r="P1214" s="1078" t="s">
        <v>829</v>
      </c>
    </row>
    <row r="1215" spans="1:16">
      <c r="A1215" s="527">
        <v>6</v>
      </c>
      <c r="B1215" s="546"/>
      <c r="C1215" s="546"/>
      <c r="D1215" s="540"/>
      <c r="E1215" s="666" t="s">
        <v>35</v>
      </c>
      <c r="F1215" s="661" t="s">
        <v>1438</v>
      </c>
      <c r="G1215" s="563" t="s">
        <v>1439</v>
      </c>
      <c r="H1215" s="43">
        <f>0.4</f>
        <v>0.4</v>
      </c>
      <c r="I1215" s="89"/>
      <c r="J1215" s="801"/>
      <c r="K1215" s="801"/>
      <c r="L1215" s="1064" t="s">
        <v>268</v>
      </c>
      <c r="M1215" s="566" t="s">
        <v>829</v>
      </c>
      <c r="N1215" s="1053" t="s">
        <v>829</v>
      </c>
      <c r="O1215" s="1021" t="s">
        <v>829</v>
      </c>
      <c r="P1215" s="1078" t="s">
        <v>829</v>
      </c>
    </row>
    <row r="1216" spans="1:16">
      <c r="A1216" s="527">
        <v>6</v>
      </c>
      <c r="B1216" s="546"/>
      <c r="C1216" s="546"/>
      <c r="D1216" s="540"/>
      <c r="E1216" s="666" t="s">
        <v>76</v>
      </c>
      <c r="F1216" s="661" t="s">
        <v>1438</v>
      </c>
      <c r="G1216" s="563" t="s">
        <v>1439</v>
      </c>
      <c r="H1216" s="43">
        <v>0.4</v>
      </c>
      <c r="I1216" s="89"/>
      <c r="J1216" s="801"/>
      <c r="K1216" s="801"/>
      <c r="L1216" s="1064" t="s">
        <v>268</v>
      </c>
      <c r="M1216" s="566" t="s">
        <v>829</v>
      </c>
      <c r="N1216" s="1053" t="s">
        <v>829</v>
      </c>
      <c r="O1216" s="1021" t="s">
        <v>829</v>
      </c>
      <c r="P1216" s="1078" t="s">
        <v>829</v>
      </c>
    </row>
    <row r="1217" spans="1:16">
      <c r="A1217" s="527">
        <v>6</v>
      </c>
      <c r="B1217" s="546"/>
      <c r="C1217" s="546"/>
      <c r="D1217" s="540"/>
      <c r="E1217" s="660"/>
      <c r="F1217" s="661" t="s">
        <v>1438</v>
      </c>
      <c r="G1217" s="837" t="s">
        <v>459</v>
      </c>
      <c r="H1217" s="43">
        <f>SUM(H1214:H1216)</f>
        <v>0.8</v>
      </c>
      <c r="I1217" s="89">
        <f>SUM(I1214:I1216)</f>
        <v>0</v>
      </c>
      <c r="J1217" s="43">
        <f>SUM(J1214:J1216)</f>
        <v>0</v>
      </c>
      <c r="K1217" s="43">
        <f>SUM(K1214:K1216)</f>
        <v>0</v>
      </c>
      <c r="L1217" s="1064" t="s">
        <v>268</v>
      </c>
      <c r="M1217" s="566" t="s">
        <v>829</v>
      </c>
      <c r="N1217" s="1053" t="s">
        <v>829</v>
      </c>
      <c r="O1217" s="706" t="s">
        <v>829</v>
      </c>
      <c r="P1217" s="1079" t="s">
        <v>829</v>
      </c>
    </row>
    <row r="1218" spans="1:16">
      <c r="A1218" s="527">
        <v>6</v>
      </c>
      <c r="B1218" s="82" t="s">
        <v>1440</v>
      </c>
      <c r="C1218" s="82" t="s">
        <v>1440</v>
      </c>
      <c r="D1218" s="535" t="s">
        <v>1441</v>
      </c>
      <c r="E1218" s="536"/>
      <c r="F1218" s="536"/>
      <c r="G1218" s="656"/>
      <c r="H1218" s="656"/>
      <c r="I1218" s="656"/>
      <c r="J1218" s="656"/>
      <c r="K1218" s="656"/>
      <c r="L1218" s="1064" t="s">
        <v>829</v>
      </c>
      <c r="M1218" s="566" t="s">
        <v>829</v>
      </c>
      <c r="N1218" s="1053" t="s">
        <v>829</v>
      </c>
      <c r="O1218" s="706" t="s">
        <v>829</v>
      </c>
      <c r="P1218" s="1079" t="s">
        <v>829</v>
      </c>
    </row>
    <row r="1219" spans="1:16">
      <c r="A1219" s="527">
        <v>6</v>
      </c>
      <c r="B1219" s="667"/>
      <c r="C1219" s="667"/>
      <c r="D1219" s="668"/>
      <c r="E1219" s="669"/>
      <c r="F1219" s="670"/>
      <c r="G1219" s="839" t="s">
        <v>193</v>
      </c>
      <c r="H1219" s="671">
        <f>SUM(H1223,H1226,H1229,H1231,H1224,H1235)</f>
        <v>478</v>
      </c>
      <c r="I1219" s="671">
        <f t="shared" ref="I1219:K1219" si="269">SUM(I1223,I1226,I1229,I1231,I1224,I1235)</f>
        <v>678</v>
      </c>
      <c r="J1219" s="671">
        <f t="shared" si="269"/>
        <v>340</v>
      </c>
      <c r="K1219" s="671">
        <f t="shared" si="269"/>
        <v>245</v>
      </c>
      <c r="L1219" s="1064" t="s">
        <v>829</v>
      </c>
      <c r="M1219" s="566" t="s">
        <v>829</v>
      </c>
      <c r="N1219" s="1053" t="s">
        <v>829</v>
      </c>
      <c r="O1219" s="706" t="s">
        <v>829</v>
      </c>
      <c r="P1219" s="1079" t="s">
        <v>829</v>
      </c>
    </row>
    <row r="1220" spans="1:16">
      <c r="A1220" s="527">
        <v>6</v>
      </c>
      <c r="B1220" s="667"/>
      <c r="C1220" s="667"/>
      <c r="D1220" s="668"/>
      <c r="E1220" s="669"/>
      <c r="F1220" s="670"/>
      <c r="G1220" s="840" t="s">
        <v>267</v>
      </c>
      <c r="H1220" s="671">
        <f t="shared" ref="H1220:K1220" si="270">SUM(H1227)</f>
        <v>0</v>
      </c>
      <c r="I1220" s="671">
        <f t="shared" si="270"/>
        <v>959.8</v>
      </c>
      <c r="J1220" s="671">
        <f t="shared" si="270"/>
        <v>0</v>
      </c>
      <c r="K1220" s="671">
        <f t="shared" si="270"/>
        <v>0</v>
      </c>
      <c r="L1220" s="1064" t="s">
        <v>829</v>
      </c>
      <c r="M1220" s="566" t="s">
        <v>829</v>
      </c>
      <c r="N1220" s="1053" t="s">
        <v>829</v>
      </c>
      <c r="O1220" s="706" t="s">
        <v>829</v>
      </c>
      <c r="P1220" s="1079" t="s">
        <v>829</v>
      </c>
    </row>
    <row r="1221" spans="1:16">
      <c r="A1221" s="527">
        <v>6</v>
      </c>
      <c r="B1221" s="667"/>
      <c r="C1221" s="667"/>
      <c r="D1221" s="668"/>
      <c r="E1221" s="669"/>
      <c r="F1221" s="670"/>
      <c r="G1221" s="840" t="s">
        <v>461</v>
      </c>
      <c r="H1221" s="671">
        <f t="shared" ref="H1221:K1221" si="271">SUM(H1233)</f>
        <v>90</v>
      </c>
      <c r="I1221" s="671">
        <f t="shared" si="271"/>
        <v>0</v>
      </c>
      <c r="J1221" s="671">
        <f t="shared" si="271"/>
        <v>0</v>
      </c>
      <c r="K1221" s="671">
        <f t="shared" si="271"/>
        <v>0</v>
      </c>
      <c r="L1221" s="1064" t="s">
        <v>829</v>
      </c>
      <c r="M1221" s="566" t="s">
        <v>829</v>
      </c>
      <c r="N1221" s="1053" t="s">
        <v>829</v>
      </c>
      <c r="O1221" s="706" t="s">
        <v>829</v>
      </c>
      <c r="P1221" s="1079" t="s">
        <v>829</v>
      </c>
    </row>
    <row r="1222" spans="1:16">
      <c r="A1222" s="527">
        <v>6</v>
      </c>
      <c r="B1222" s="667"/>
      <c r="C1222" s="667"/>
      <c r="D1222" s="668"/>
      <c r="E1222" s="669"/>
      <c r="F1222" s="670"/>
      <c r="G1222" s="672" t="s">
        <v>459</v>
      </c>
      <c r="H1222" s="656">
        <f>SUM(H1225,H1228,H1230,H1232,H1234,H1236)</f>
        <v>568</v>
      </c>
      <c r="I1222" s="656">
        <f t="shared" ref="I1222:K1222" si="272">SUM(I1225,I1228,I1230,I1232,I1234,I1236)</f>
        <v>1637.8</v>
      </c>
      <c r="J1222" s="656">
        <f t="shared" si="272"/>
        <v>340</v>
      </c>
      <c r="K1222" s="656">
        <f t="shared" si="272"/>
        <v>245</v>
      </c>
      <c r="L1222" s="1064" t="s">
        <v>829</v>
      </c>
      <c r="M1222" s="566" t="s">
        <v>829</v>
      </c>
      <c r="N1222" s="1053" t="s">
        <v>829</v>
      </c>
      <c r="O1222" s="706" t="s">
        <v>829</v>
      </c>
      <c r="P1222" s="1079" t="s">
        <v>829</v>
      </c>
    </row>
    <row r="1223" spans="1:16" ht="33.75">
      <c r="A1223" s="527">
        <v>6</v>
      </c>
      <c r="B1223" s="546"/>
      <c r="C1223" s="546" t="s">
        <v>1442</v>
      </c>
      <c r="D1223" s="673" t="s">
        <v>1443</v>
      </c>
      <c r="E1223" s="527">
        <v>9</v>
      </c>
      <c r="F1223" s="559" t="s">
        <v>1444</v>
      </c>
      <c r="G1223" s="557" t="s">
        <v>193</v>
      </c>
      <c r="H1223" s="109"/>
      <c r="I1223" s="560">
        <f>100-50+38</f>
        <v>88</v>
      </c>
      <c r="J1223" s="801">
        <f>150-50</f>
        <v>100</v>
      </c>
      <c r="K1223" s="801">
        <f>150-50</f>
        <v>100</v>
      </c>
      <c r="L1223" s="1064" t="s">
        <v>398</v>
      </c>
      <c r="M1223" s="63" t="s">
        <v>1445</v>
      </c>
      <c r="N1223" s="730" t="s">
        <v>1446</v>
      </c>
      <c r="O1223" s="1021">
        <v>100</v>
      </c>
      <c r="P1223" s="1078" t="s">
        <v>1346</v>
      </c>
    </row>
    <row r="1224" spans="1:16" ht="22.5">
      <c r="A1224" s="527">
        <v>6</v>
      </c>
      <c r="B1224" s="546"/>
      <c r="C1224" s="546"/>
      <c r="D1224" s="673"/>
      <c r="E1224" s="527">
        <v>23</v>
      </c>
      <c r="F1224" s="559" t="s">
        <v>1447</v>
      </c>
      <c r="G1224" s="109" t="s">
        <v>193</v>
      </c>
      <c r="H1224" s="109"/>
      <c r="I1224" s="560"/>
      <c r="J1224" s="780"/>
      <c r="K1224" s="780"/>
      <c r="L1224" s="1064" t="s">
        <v>398</v>
      </c>
      <c r="M1224" s="63" t="s">
        <v>147</v>
      </c>
      <c r="N1224" s="730" t="s">
        <v>1448</v>
      </c>
      <c r="O1224" s="1021">
        <v>1</v>
      </c>
      <c r="P1224" s="1078" t="s">
        <v>1346</v>
      </c>
    </row>
    <row r="1225" spans="1:16">
      <c r="A1225" s="527">
        <v>6</v>
      </c>
      <c r="B1225" s="546"/>
      <c r="C1225" s="546"/>
      <c r="D1225" s="540"/>
      <c r="E1225" s="544"/>
      <c r="F1225" s="608"/>
      <c r="G1225" s="834" t="s">
        <v>459</v>
      </c>
      <c r="H1225" s="53">
        <f t="shared" ref="H1225:K1225" si="273">SUM(H1223,H1224)</f>
        <v>0</v>
      </c>
      <c r="I1225" s="53">
        <f t="shared" si="273"/>
        <v>88</v>
      </c>
      <c r="J1225" s="53">
        <f t="shared" si="273"/>
        <v>100</v>
      </c>
      <c r="K1225" s="53">
        <f t="shared" si="273"/>
        <v>100</v>
      </c>
      <c r="L1225" s="1064" t="s">
        <v>829</v>
      </c>
      <c r="M1225" s="63" t="s">
        <v>829</v>
      </c>
      <c r="N1225" s="730" t="s">
        <v>829</v>
      </c>
      <c r="O1225" s="706" t="s">
        <v>829</v>
      </c>
      <c r="P1225" s="1079" t="s">
        <v>829</v>
      </c>
    </row>
    <row r="1226" spans="1:16" ht="45">
      <c r="A1226" s="527">
        <v>6</v>
      </c>
      <c r="B1226" s="546"/>
      <c r="C1226" s="539" t="s">
        <v>1449</v>
      </c>
      <c r="D1226" s="1146" t="s">
        <v>1450</v>
      </c>
      <c r="E1226" s="527" t="s">
        <v>1451</v>
      </c>
      <c r="F1226" s="425" t="s">
        <v>1452</v>
      </c>
      <c r="G1226" s="424" t="s">
        <v>193</v>
      </c>
      <c r="H1226" s="425">
        <v>468.5</v>
      </c>
      <c r="I1226" s="545">
        <f>310+70</f>
        <v>380</v>
      </c>
      <c r="J1226" s="775"/>
      <c r="K1226" s="775"/>
      <c r="L1226" s="1064" t="s">
        <v>398</v>
      </c>
      <c r="M1226" s="63" t="s">
        <v>2401</v>
      </c>
      <c r="N1226" s="730" t="s">
        <v>1453</v>
      </c>
      <c r="O1226" s="706">
        <v>1.4550000000000001</v>
      </c>
      <c r="P1226" s="1078" t="s">
        <v>1346</v>
      </c>
    </row>
    <row r="1227" spans="1:16" ht="33.75">
      <c r="A1227" s="527">
        <v>6</v>
      </c>
      <c r="B1227" s="546"/>
      <c r="C1227" s="539" t="s">
        <v>1449</v>
      </c>
      <c r="D1227" s="1147"/>
      <c r="E1227" s="527" t="s">
        <v>1451</v>
      </c>
      <c r="F1227" s="425" t="s">
        <v>1452</v>
      </c>
      <c r="G1227" s="425" t="s">
        <v>267</v>
      </c>
      <c r="H1227" s="425"/>
      <c r="I1227" s="545">
        <v>959.8</v>
      </c>
      <c r="J1227" s="775"/>
      <c r="K1227" s="775"/>
      <c r="L1227" s="1064" t="s">
        <v>398</v>
      </c>
      <c r="M1227" s="63" t="s">
        <v>2401</v>
      </c>
      <c r="N1227" s="730" t="s">
        <v>2402</v>
      </c>
      <c r="O1227" s="706">
        <v>0.6</v>
      </c>
      <c r="P1227" s="1078" t="s">
        <v>1346</v>
      </c>
    </row>
    <row r="1228" spans="1:16">
      <c r="A1228" s="527">
        <v>6</v>
      </c>
      <c r="B1228" s="546"/>
      <c r="C1228" s="539"/>
      <c r="D1228" s="540"/>
      <c r="E1228" s="544"/>
      <c r="F1228" s="608"/>
      <c r="G1228" s="834" t="s">
        <v>459</v>
      </c>
      <c r="H1228" s="53">
        <f t="shared" ref="H1228:K1228" si="274">SUM(H1226:H1227)</f>
        <v>468.5</v>
      </c>
      <c r="I1228" s="53">
        <f t="shared" si="274"/>
        <v>1339.8</v>
      </c>
      <c r="J1228" s="149">
        <f t="shared" si="274"/>
        <v>0</v>
      </c>
      <c r="K1228" s="149">
        <f t="shared" si="274"/>
        <v>0</v>
      </c>
      <c r="L1228" s="1064" t="s">
        <v>829</v>
      </c>
      <c r="M1228" s="63"/>
      <c r="N1228" s="730"/>
      <c r="O1228" s="706"/>
      <c r="P1228" s="1079" t="s">
        <v>829</v>
      </c>
    </row>
    <row r="1229" spans="1:16" ht="22.5">
      <c r="A1229" s="527">
        <v>6</v>
      </c>
      <c r="B1229" s="539"/>
      <c r="C1229" s="539" t="s">
        <v>1454</v>
      </c>
      <c r="D1229" s="540" t="s">
        <v>1455</v>
      </c>
      <c r="E1229" s="527">
        <v>9</v>
      </c>
      <c r="F1229" s="425" t="s">
        <v>1456</v>
      </c>
      <c r="G1229" s="425" t="s">
        <v>193</v>
      </c>
      <c r="H1229" s="425"/>
      <c r="I1229" s="545">
        <v>60</v>
      </c>
      <c r="J1229" s="801">
        <f>120-20</f>
        <v>100</v>
      </c>
      <c r="K1229" s="801"/>
      <c r="L1229" s="1064" t="s">
        <v>274</v>
      </c>
      <c r="M1229" s="63" t="s">
        <v>1091</v>
      </c>
      <c r="N1229" s="730" t="s">
        <v>2403</v>
      </c>
      <c r="O1229" s="706">
        <v>1</v>
      </c>
      <c r="P1229" s="1079" t="s">
        <v>829</v>
      </c>
    </row>
    <row r="1230" spans="1:16">
      <c r="A1230" s="527">
        <v>6</v>
      </c>
      <c r="B1230" s="539"/>
      <c r="C1230" s="539"/>
      <c r="D1230" s="540"/>
      <c r="E1230" s="544"/>
      <c r="F1230" s="425"/>
      <c r="G1230" s="834" t="s">
        <v>459</v>
      </c>
      <c r="H1230" s="53">
        <f t="shared" ref="H1230:K1230" si="275">SUM(H1229)</f>
        <v>0</v>
      </c>
      <c r="I1230" s="53">
        <f t="shared" si="275"/>
        <v>60</v>
      </c>
      <c r="J1230" s="53">
        <f t="shared" si="275"/>
        <v>100</v>
      </c>
      <c r="K1230" s="53">
        <f t="shared" si="275"/>
        <v>0</v>
      </c>
      <c r="L1230" s="1064" t="s">
        <v>829</v>
      </c>
      <c r="M1230" s="63" t="s">
        <v>829</v>
      </c>
      <c r="N1230" s="730" t="s">
        <v>829</v>
      </c>
      <c r="O1230" s="706" t="s">
        <v>829</v>
      </c>
      <c r="P1230" s="1079" t="s">
        <v>829</v>
      </c>
    </row>
    <row r="1231" spans="1:16" ht="67.5">
      <c r="A1231" s="527">
        <v>6</v>
      </c>
      <c r="B1231" s="539"/>
      <c r="C1231" s="539" t="s">
        <v>1457</v>
      </c>
      <c r="D1231" s="540" t="s">
        <v>1458</v>
      </c>
      <c r="E1231" s="527">
        <v>9</v>
      </c>
      <c r="F1231" s="425" t="s">
        <v>1459</v>
      </c>
      <c r="G1231" s="425" t="s">
        <v>193</v>
      </c>
      <c r="H1231" s="425">
        <v>9.5</v>
      </c>
      <c r="I1231" s="564">
        <f>200-100</f>
        <v>100</v>
      </c>
      <c r="J1231" s="801">
        <f>170-30</f>
        <v>140</v>
      </c>
      <c r="K1231" s="801">
        <v>145</v>
      </c>
      <c r="L1231" s="1064" t="s">
        <v>274</v>
      </c>
      <c r="M1231" s="63" t="s">
        <v>1104</v>
      </c>
      <c r="N1231" s="730" t="s">
        <v>1460</v>
      </c>
      <c r="O1231" s="706">
        <v>1</v>
      </c>
      <c r="P1231" s="1079" t="s">
        <v>829</v>
      </c>
    </row>
    <row r="1232" spans="1:16">
      <c r="A1232" s="527">
        <v>6</v>
      </c>
      <c r="B1232" s="539"/>
      <c r="C1232" s="539"/>
      <c r="D1232" s="540"/>
      <c r="E1232" s="544"/>
      <c r="F1232" s="608"/>
      <c r="G1232" s="834" t="s">
        <v>459</v>
      </c>
      <c r="H1232" s="53">
        <f t="shared" ref="H1232:K1234" si="276">SUM(H1231)</f>
        <v>9.5</v>
      </c>
      <c r="I1232" s="53">
        <f t="shared" si="276"/>
        <v>100</v>
      </c>
      <c r="J1232" s="53">
        <f t="shared" si="276"/>
        <v>140</v>
      </c>
      <c r="K1232" s="53">
        <f t="shared" si="276"/>
        <v>145</v>
      </c>
      <c r="L1232" s="1064" t="s">
        <v>829</v>
      </c>
      <c r="M1232" s="63" t="s">
        <v>829</v>
      </c>
      <c r="N1232" s="730" t="s">
        <v>829</v>
      </c>
      <c r="O1232" s="706" t="s">
        <v>829</v>
      </c>
      <c r="P1232" s="1079" t="s">
        <v>829</v>
      </c>
    </row>
    <row r="1233" spans="1:16" ht="45">
      <c r="A1233" s="527">
        <v>6</v>
      </c>
      <c r="B1233" s="539"/>
      <c r="C1233" s="539" t="s">
        <v>1461</v>
      </c>
      <c r="D1233" s="540" t="s">
        <v>1462</v>
      </c>
      <c r="E1233" s="544">
        <v>9</v>
      </c>
      <c r="F1233" s="608" t="s">
        <v>1463</v>
      </c>
      <c r="G1233" s="424" t="s">
        <v>461</v>
      </c>
      <c r="H1233" s="425">
        <v>90</v>
      </c>
      <c r="I1233" s="545"/>
      <c r="J1233" s="775"/>
      <c r="K1233" s="775"/>
      <c r="L1233" s="1064" t="s">
        <v>268</v>
      </c>
      <c r="M1233" s="566"/>
      <c r="N1233" s="1053"/>
      <c r="O1233" s="706"/>
      <c r="P1233" s="1079" t="s">
        <v>429</v>
      </c>
    </row>
    <row r="1234" spans="1:16">
      <c r="A1234" s="527">
        <v>6</v>
      </c>
      <c r="B1234" s="539"/>
      <c r="C1234" s="539"/>
      <c r="D1234" s="540"/>
      <c r="E1234" s="544"/>
      <c r="F1234" s="608"/>
      <c r="G1234" s="834" t="s">
        <v>459</v>
      </c>
      <c r="H1234" s="150">
        <f>SUM(H1233)</f>
        <v>90</v>
      </c>
      <c r="I1234" s="150">
        <f t="shared" si="276"/>
        <v>0</v>
      </c>
      <c r="J1234" s="150">
        <f t="shared" si="276"/>
        <v>0</v>
      </c>
      <c r="K1234" s="150">
        <f t="shared" si="276"/>
        <v>0</v>
      </c>
      <c r="L1234" s="1064" t="s">
        <v>829</v>
      </c>
      <c r="M1234" s="566" t="s">
        <v>829</v>
      </c>
      <c r="N1234" s="1053" t="s">
        <v>829</v>
      </c>
      <c r="O1234" s="706" t="s">
        <v>829</v>
      </c>
      <c r="P1234" s="1079" t="s">
        <v>829</v>
      </c>
    </row>
    <row r="1235" spans="1:16" ht="33.75">
      <c r="A1235" s="527">
        <v>6</v>
      </c>
      <c r="B1235" s="539"/>
      <c r="C1235" s="539" t="s">
        <v>1464</v>
      </c>
      <c r="D1235" s="574" t="s">
        <v>1465</v>
      </c>
      <c r="E1235" s="544">
        <v>9</v>
      </c>
      <c r="F1235" s="608" t="s">
        <v>1466</v>
      </c>
      <c r="G1235" s="835" t="s">
        <v>193</v>
      </c>
      <c r="H1235" s="425"/>
      <c r="I1235" s="564">
        <v>50</v>
      </c>
      <c r="J1235" s="775"/>
      <c r="K1235" s="775"/>
      <c r="L1235" s="1064" t="s">
        <v>829</v>
      </c>
      <c r="M1235" s="566" t="s">
        <v>1091</v>
      </c>
      <c r="N1235" s="1053" t="s">
        <v>1486</v>
      </c>
      <c r="O1235" s="706">
        <v>1</v>
      </c>
      <c r="P1235" s="1079" t="s">
        <v>1477</v>
      </c>
    </row>
    <row r="1236" spans="1:16">
      <c r="A1236" s="527">
        <v>6</v>
      </c>
      <c r="B1236" s="539"/>
      <c r="C1236" s="539"/>
      <c r="D1236" s="540"/>
      <c r="E1236" s="544"/>
      <c r="F1236" s="608"/>
      <c r="G1236" s="841" t="s">
        <v>459</v>
      </c>
      <c r="H1236" s="150">
        <f>SUM(H1235)</f>
        <v>0</v>
      </c>
      <c r="I1236" s="150">
        <f t="shared" ref="I1236:K1236" si="277">SUM(I1235)</f>
        <v>50</v>
      </c>
      <c r="J1236" s="150">
        <f t="shared" si="277"/>
        <v>0</v>
      </c>
      <c r="K1236" s="150">
        <f t="shared" si="277"/>
        <v>0</v>
      </c>
      <c r="L1236" s="1064" t="s">
        <v>829</v>
      </c>
      <c r="M1236" s="566" t="s">
        <v>829</v>
      </c>
      <c r="N1236" s="1053" t="s">
        <v>829</v>
      </c>
      <c r="O1236" s="706" t="s">
        <v>829</v>
      </c>
      <c r="P1236" s="1079" t="s">
        <v>829</v>
      </c>
    </row>
    <row r="1237" spans="1:16" ht="33.75">
      <c r="A1237" s="527">
        <v>6</v>
      </c>
      <c r="B1237" s="528"/>
      <c r="C1237" s="528"/>
      <c r="D1237" s="674" t="s">
        <v>1467</v>
      </c>
      <c r="E1237" s="550"/>
      <c r="F1237" s="551"/>
      <c r="G1237" s="675"/>
      <c r="H1237" s="677"/>
      <c r="I1237" s="676"/>
      <c r="J1237" s="802"/>
      <c r="K1237" s="802"/>
      <c r="L1237" s="1065" t="s">
        <v>829</v>
      </c>
      <c r="M1237" s="1055" t="s">
        <v>829</v>
      </c>
      <c r="N1237" s="1056" t="s">
        <v>829</v>
      </c>
      <c r="O1237" s="1057" t="s">
        <v>829</v>
      </c>
      <c r="P1237" s="1081" t="s">
        <v>829</v>
      </c>
    </row>
    <row r="1238" spans="1:16" ht="22.5">
      <c r="A1238" s="527">
        <v>6</v>
      </c>
      <c r="B1238" s="82" t="s">
        <v>1468</v>
      </c>
      <c r="C1238" s="82" t="s">
        <v>1468</v>
      </c>
      <c r="D1238" s="535" t="s">
        <v>1469</v>
      </c>
      <c r="E1238" s="536"/>
      <c r="F1238" s="536"/>
      <c r="G1238" s="656"/>
      <c r="H1238" s="656"/>
      <c r="I1238" s="656"/>
      <c r="J1238" s="779"/>
      <c r="K1238" s="779"/>
      <c r="L1238" s="1073" t="s">
        <v>829</v>
      </c>
      <c r="M1238" s="566" t="s">
        <v>829</v>
      </c>
      <c r="N1238" s="1053" t="s">
        <v>829</v>
      </c>
      <c r="O1238" s="1021" t="s">
        <v>829</v>
      </c>
      <c r="P1238" s="1089" t="s">
        <v>829</v>
      </c>
    </row>
    <row r="1239" spans="1:16">
      <c r="A1239" s="527">
        <v>6</v>
      </c>
      <c r="B1239" s="679"/>
      <c r="C1239" s="679"/>
      <c r="D1239" s="680"/>
      <c r="E1239" s="105"/>
      <c r="F1239" s="681"/>
      <c r="G1239" s="842" t="s">
        <v>193</v>
      </c>
      <c r="H1239" s="672">
        <f>H1256+H1258+H1259+H1261+H1262+H1263+H1264+H1250+H1266+H1254+H1267</f>
        <v>38.6</v>
      </c>
      <c r="I1239" s="672">
        <f t="shared" ref="I1239:K1239" si="278">I1256+I1258+I1259+I1261+I1262+I1263+I1264+I1250+I1266+I1254+I1267</f>
        <v>1614.4</v>
      </c>
      <c r="J1239" s="672">
        <f t="shared" si="278"/>
        <v>605</v>
      </c>
      <c r="K1239" s="672">
        <f t="shared" si="278"/>
        <v>1408</v>
      </c>
      <c r="L1239" s="1073" t="s">
        <v>829</v>
      </c>
      <c r="M1239" s="566" t="s">
        <v>829</v>
      </c>
      <c r="N1239" s="1058" t="s">
        <v>829</v>
      </c>
      <c r="O1239" s="1021" t="s">
        <v>829</v>
      </c>
      <c r="P1239" s="1089" t="s">
        <v>829</v>
      </c>
    </row>
    <row r="1240" spans="1:16">
      <c r="A1240" s="527">
        <v>6</v>
      </c>
      <c r="B1240" s="682"/>
      <c r="C1240" s="682"/>
      <c r="D1240" s="680"/>
      <c r="E1240" s="105"/>
      <c r="F1240" s="681"/>
      <c r="G1240" s="843" t="s">
        <v>1470</v>
      </c>
      <c r="H1240" s="672">
        <f>H1245</f>
        <v>0</v>
      </c>
      <c r="I1240" s="672">
        <f t="shared" ref="I1240:K1240" si="279">I1245</f>
        <v>0</v>
      </c>
      <c r="J1240" s="803">
        <f t="shared" si="279"/>
        <v>0</v>
      </c>
      <c r="K1240" s="803">
        <f t="shared" si="279"/>
        <v>0</v>
      </c>
      <c r="L1240" s="1073" t="s">
        <v>829</v>
      </c>
      <c r="M1240" s="566" t="s">
        <v>829</v>
      </c>
      <c r="N1240" s="1053" t="s">
        <v>829</v>
      </c>
      <c r="O1240" s="1021" t="s">
        <v>829</v>
      </c>
      <c r="P1240" s="1089" t="s">
        <v>829</v>
      </c>
    </row>
    <row r="1241" spans="1:16">
      <c r="A1241" s="527">
        <v>6</v>
      </c>
      <c r="B1241" s="682"/>
      <c r="C1241" s="682"/>
      <c r="D1241" s="680"/>
      <c r="E1241" s="105"/>
      <c r="F1241" s="681"/>
      <c r="G1241" s="843" t="s">
        <v>764</v>
      </c>
      <c r="H1241" s="672">
        <f t="shared" ref="H1241:K1242" si="280">H1248</f>
        <v>0</v>
      </c>
      <c r="I1241" s="672">
        <f t="shared" si="280"/>
        <v>0</v>
      </c>
      <c r="J1241" s="803">
        <f t="shared" si="280"/>
        <v>0</v>
      </c>
      <c r="K1241" s="803">
        <f t="shared" si="280"/>
        <v>0</v>
      </c>
      <c r="L1241" s="1073" t="s">
        <v>829</v>
      </c>
      <c r="M1241" s="566" t="s">
        <v>829</v>
      </c>
      <c r="N1241" s="1053" t="s">
        <v>829</v>
      </c>
      <c r="O1241" s="1021" t="s">
        <v>829</v>
      </c>
      <c r="P1241" s="1089" t="s">
        <v>829</v>
      </c>
    </row>
    <row r="1242" spans="1:16">
      <c r="A1242" s="527">
        <v>6</v>
      </c>
      <c r="B1242" s="682"/>
      <c r="C1242" s="682"/>
      <c r="D1242" s="680"/>
      <c r="E1242" s="105"/>
      <c r="F1242" s="681"/>
      <c r="G1242" s="843" t="s">
        <v>196</v>
      </c>
      <c r="H1242" s="672">
        <f t="shared" si="280"/>
        <v>0</v>
      </c>
      <c r="I1242" s="672">
        <f t="shared" si="280"/>
        <v>100</v>
      </c>
      <c r="J1242" s="672">
        <f t="shared" si="280"/>
        <v>0</v>
      </c>
      <c r="K1242" s="672">
        <f t="shared" si="280"/>
        <v>0</v>
      </c>
      <c r="L1242" s="1073" t="s">
        <v>829</v>
      </c>
      <c r="M1242" s="566" t="s">
        <v>829</v>
      </c>
      <c r="N1242" s="1053" t="s">
        <v>829</v>
      </c>
      <c r="O1242" s="1021" t="s">
        <v>829</v>
      </c>
      <c r="P1242" s="1089" t="s">
        <v>829</v>
      </c>
    </row>
    <row r="1243" spans="1:16">
      <c r="A1243" s="527">
        <v>6</v>
      </c>
      <c r="B1243" s="682"/>
      <c r="C1243" s="682"/>
      <c r="D1243" s="680"/>
      <c r="E1243" s="105"/>
      <c r="F1243" s="681"/>
      <c r="G1243" s="842" t="s">
        <v>461</v>
      </c>
      <c r="H1243" s="672">
        <f>H1246+H1247+H1255+H1257+H1260+H1265+H1251</f>
        <v>104</v>
      </c>
      <c r="I1243" s="672">
        <f t="shared" ref="I1243:K1243" si="281">I1246+I1247+I1255+I1257+I1260+I1265+I1251</f>
        <v>1549</v>
      </c>
      <c r="J1243" s="672">
        <f t="shared" si="281"/>
        <v>1660.1</v>
      </c>
      <c r="K1243" s="672">
        <f t="shared" si="281"/>
        <v>0</v>
      </c>
      <c r="L1243" s="1073" t="s">
        <v>829</v>
      </c>
      <c r="M1243" s="566" t="s">
        <v>829</v>
      </c>
      <c r="N1243" s="1053" t="s">
        <v>829</v>
      </c>
      <c r="O1243" s="1021" t="s">
        <v>829</v>
      </c>
      <c r="P1243" s="1089" t="s">
        <v>829</v>
      </c>
    </row>
    <row r="1244" spans="1:16">
      <c r="A1244" s="527">
        <v>6</v>
      </c>
      <c r="B1244" s="682"/>
      <c r="C1244" s="682"/>
      <c r="D1244" s="680"/>
      <c r="E1244" s="105"/>
      <c r="F1244" s="681"/>
      <c r="G1244" s="672" t="s">
        <v>459</v>
      </c>
      <c r="H1244" s="672">
        <f>SUM(H1239:H1243)</f>
        <v>142.6</v>
      </c>
      <c r="I1244" s="672">
        <f t="shared" ref="I1244:K1244" si="282">SUM(I1239:I1243)</f>
        <v>3263.4</v>
      </c>
      <c r="J1244" s="803">
        <f t="shared" si="282"/>
        <v>2265.1</v>
      </c>
      <c r="K1244" s="803">
        <f t="shared" si="282"/>
        <v>1408</v>
      </c>
      <c r="L1244" s="1073" t="s">
        <v>829</v>
      </c>
      <c r="M1244" s="566" t="s">
        <v>829</v>
      </c>
      <c r="N1244" s="1053" t="s">
        <v>829</v>
      </c>
      <c r="O1244" s="1021" t="s">
        <v>829</v>
      </c>
      <c r="P1244" s="1089" t="s">
        <v>829</v>
      </c>
    </row>
    <row r="1245" spans="1:16">
      <c r="A1245" s="527">
        <v>6</v>
      </c>
      <c r="B1245" s="683"/>
      <c r="C1245" s="683" t="s">
        <v>1471</v>
      </c>
      <c r="D1245" s="1132" t="s">
        <v>1472</v>
      </c>
      <c r="E1245" s="87" t="s">
        <v>62</v>
      </c>
      <c r="F1245" s="105" t="s">
        <v>1473</v>
      </c>
      <c r="G1245" s="844" t="s">
        <v>1470</v>
      </c>
      <c r="H1245" s="685">
        <v>0</v>
      </c>
      <c r="I1245" s="686">
        <v>0</v>
      </c>
      <c r="J1245" s="804">
        <v>0</v>
      </c>
      <c r="K1245" s="804">
        <v>0</v>
      </c>
      <c r="L1245" s="1064" t="s">
        <v>829</v>
      </c>
      <c r="M1245" s="63" t="s">
        <v>1474</v>
      </c>
      <c r="N1245" s="730" t="s">
        <v>1105</v>
      </c>
      <c r="O1245" s="176">
        <v>70</v>
      </c>
      <c r="P1245" s="1080" t="s">
        <v>386</v>
      </c>
    </row>
    <row r="1246" spans="1:16">
      <c r="A1246" s="527">
        <v>6</v>
      </c>
      <c r="B1246" s="683"/>
      <c r="C1246" s="683" t="s">
        <v>1471</v>
      </c>
      <c r="D1246" s="1134"/>
      <c r="E1246" s="87" t="s">
        <v>62</v>
      </c>
      <c r="F1246" s="105" t="s">
        <v>1473</v>
      </c>
      <c r="G1246" s="844" t="s">
        <v>461</v>
      </c>
      <c r="H1246" s="685">
        <v>0</v>
      </c>
      <c r="I1246" s="686">
        <v>350</v>
      </c>
      <c r="J1246" s="804">
        <v>620</v>
      </c>
      <c r="K1246" s="804"/>
      <c r="L1246" s="1064" t="s">
        <v>829</v>
      </c>
      <c r="M1246" s="63" t="s">
        <v>829</v>
      </c>
      <c r="N1246" s="730" t="s">
        <v>829</v>
      </c>
      <c r="O1246" s="176" t="s">
        <v>829</v>
      </c>
      <c r="P1246" s="1080" t="s">
        <v>386</v>
      </c>
    </row>
    <row r="1247" spans="1:16">
      <c r="A1247" s="527">
        <v>6</v>
      </c>
      <c r="B1247" s="683"/>
      <c r="C1247" s="683" t="s">
        <v>1475</v>
      </c>
      <c r="D1247" s="1132" t="s">
        <v>1476</v>
      </c>
      <c r="E1247" s="176" t="s">
        <v>62</v>
      </c>
      <c r="F1247" s="105" t="s">
        <v>1473</v>
      </c>
      <c r="G1247" s="845" t="s">
        <v>461</v>
      </c>
      <c r="H1247" s="685">
        <v>0</v>
      </c>
      <c r="I1247" s="686">
        <v>648</v>
      </c>
      <c r="J1247" s="804">
        <v>0</v>
      </c>
      <c r="K1247" s="804">
        <v>0</v>
      </c>
      <c r="L1247" s="1064" t="s">
        <v>829</v>
      </c>
      <c r="M1247" s="1059" t="s">
        <v>1474</v>
      </c>
      <c r="N1247" s="730" t="s">
        <v>1105</v>
      </c>
      <c r="O1247" s="176">
        <v>70</v>
      </c>
      <c r="P1247" s="1080" t="s">
        <v>1477</v>
      </c>
    </row>
    <row r="1248" spans="1:16">
      <c r="A1248" s="527">
        <v>6</v>
      </c>
      <c r="B1248" s="683"/>
      <c r="C1248" s="683" t="s">
        <v>1475</v>
      </c>
      <c r="D1248" s="1133"/>
      <c r="E1248" s="687">
        <v>9</v>
      </c>
      <c r="F1248" s="105" t="s">
        <v>1473</v>
      </c>
      <c r="G1248" s="845" t="s">
        <v>764</v>
      </c>
      <c r="H1248" s="685">
        <f>174.105-174.105+137.1-55.5-81.6</f>
        <v>0</v>
      </c>
      <c r="I1248" s="686">
        <v>0</v>
      </c>
      <c r="J1248" s="804">
        <v>0</v>
      </c>
      <c r="K1248" s="804">
        <v>0</v>
      </c>
      <c r="L1248" s="1064" t="s">
        <v>398</v>
      </c>
      <c r="M1248" s="1059"/>
      <c r="N1248" s="1060"/>
      <c r="O1248" s="176"/>
      <c r="P1248" s="1080" t="s">
        <v>1477</v>
      </c>
    </row>
    <row r="1249" spans="1:16">
      <c r="A1249" s="527">
        <v>6</v>
      </c>
      <c r="B1249" s="688"/>
      <c r="C1249" s="683" t="s">
        <v>1475</v>
      </c>
      <c r="D1249" s="1133"/>
      <c r="E1249" s="687">
        <v>9</v>
      </c>
      <c r="F1249" s="105" t="s">
        <v>1473</v>
      </c>
      <c r="G1249" s="645" t="s">
        <v>196</v>
      </c>
      <c r="H1249" s="685"/>
      <c r="I1249" s="686">
        <v>100</v>
      </c>
      <c r="J1249" s="805"/>
      <c r="K1249" s="805"/>
      <c r="L1249" s="1064" t="s">
        <v>398</v>
      </c>
      <c r="M1249" s="1059" t="s">
        <v>1478</v>
      </c>
      <c r="N1249" s="1060" t="s">
        <v>1479</v>
      </c>
      <c r="O1249" s="176">
        <v>100</v>
      </c>
      <c r="P1249" s="1080" t="s">
        <v>1477</v>
      </c>
    </row>
    <row r="1250" spans="1:16">
      <c r="A1250" s="527">
        <v>6</v>
      </c>
      <c r="B1250" s="688"/>
      <c r="C1250" s="683" t="s">
        <v>1475</v>
      </c>
      <c r="D1250" s="1134"/>
      <c r="E1250" s="689">
        <v>9</v>
      </c>
      <c r="F1250" s="105" t="s">
        <v>1473</v>
      </c>
      <c r="G1250" s="845" t="s">
        <v>193</v>
      </c>
      <c r="H1250" s="685"/>
      <c r="I1250" s="686"/>
      <c r="J1250" s="805">
        <f>240+50</f>
        <v>290</v>
      </c>
      <c r="K1250" s="805">
        <f>280-50</f>
        <v>230</v>
      </c>
      <c r="L1250" s="1064" t="s">
        <v>398</v>
      </c>
      <c r="M1250" s="1059" t="s">
        <v>1478</v>
      </c>
      <c r="N1250" s="1060" t="s">
        <v>1479</v>
      </c>
      <c r="O1250" s="176">
        <v>100</v>
      </c>
      <c r="P1250" s="1080" t="s">
        <v>1477</v>
      </c>
    </row>
    <row r="1251" spans="1:16">
      <c r="A1251" s="527">
        <v>6</v>
      </c>
      <c r="B1251" s="688"/>
      <c r="C1251" s="688" t="s">
        <v>1480</v>
      </c>
      <c r="D1251" s="1132" t="s">
        <v>1481</v>
      </c>
      <c r="E1251" s="176" t="s">
        <v>62</v>
      </c>
      <c r="F1251" s="87" t="s">
        <v>1473</v>
      </c>
      <c r="G1251" s="844" t="s">
        <v>461</v>
      </c>
      <c r="H1251" s="690">
        <v>41</v>
      </c>
      <c r="I1251" s="691">
        <v>501</v>
      </c>
      <c r="J1251" s="805"/>
      <c r="K1251" s="805"/>
      <c r="L1251" s="1064" t="s">
        <v>829</v>
      </c>
      <c r="M1251" s="1059" t="s">
        <v>1474</v>
      </c>
      <c r="N1251" s="730" t="s">
        <v>1105</v>
      </c>
      <c r="O1251" s="176">
        <v>100</v>
      </c>
      <c r="P1251" s="1080" t="s">
        <v>1477</v>
      </c>
    </row>
    <row r="1252" spans="1:16">
      <c r="A1252" s="527">
        <v>6</v>
      </c>
      <c r="B1252" s="688"/>
      <c r="C1252" s="688" t="s">
        <v>1480</v>
      </c>
      <c r="D1252" s="1133"/>
      <c r="E1252" s="176">
        <v>9</v>
      </c>
      <c r="F1252" s="87" t="s">
        <v>1473</v>
      </c>
      <c r="G1252" s="844" t="s">
        <v>764</v>
      </c>
      <c r="H1252" s="690"/>
      <c r="I1252" s="691"/>
      <c r="J1252" s="805"/>
      <c r="K1252" s="805"/>
      <c r="L1252" s="1064" t="s">
        <v>829</v>
      </c>
      <c r="M1252" s="1059" t="s">
        <v>1478</v>
      </c>
      <c r="N1252" s="1060" t="s">
        <v>1479</v>
      </c>
      <c r="O1252" s="176">
        <v>100</v>
      </c>
      <c r="P1252" s="1080" t="s">
        <v>1477</v>
      </c>
    </row>
    <row r="1253" spans="1:16">
      <c r="A1253" s="527">
        <v>6</v>
      </c>
      <c r="B1253" s="688"/>
      <c r="C1253" s="688" t="s">
        <v>1480</v>
      </c>
      <c r="D1253" s="1133"/>
      <c r="E1253" s="176">
        <v>9</v>
      </c>
      <c r="F1253" s="87" t="s">
        <v>1473</v>
      </c>
      <c r="G1253" s="844" t="s">
        <v>196</v>
      </c>
      <c r="H1253" s="690"/>
      <c r="I1253" s="691"/>
      <c r="J1253" s="805"/>
      <c r="K1253" s="805"/>
      <c r="L1253" s="1064" t="s">
        <v>829</v>
      </c>
      <c r="M1253" s="1059" t="s">
        <v>1478</v>
      </c>
      <c r="N1253" s="1060" t="s">
        <v>1479</v>
      </c>
      <c r="O1253" s="176">
        <v>100</v>
      </c>
      <c r="P1253" s="1080" t="s">
        <v>1477</v>
      </c>
    </row>
    <row r="1254" spans="1:16">
      <c r="A1254" s="527">
        <v>6</v>
      </c>
      <c r="B1254" s="688"/>
      <c r="C1254" s="688" t="s">
        <v>1480</v>
      </c>
      <c r="D1254" s="1134"/>
      <c r="E1254" s="692">
        <v>9</v>
      </c>
      <c r="F1254" s="87" t="s">
        <v>1473</v>
      </c>
      <c r="G1254" s="844" t="s">
        <v>193</v>
      </c>
      <c r="H1254" s="690"/>
      <c r="I1254" s="691"/>
      <c r="J1254" s="805">
        <v>200</v>
      </c>
      <c r="K1254" s="805">
        <v>160</v>
      </c>
      <c r="L1254" s="1064" t="s">
        <v>398</v>
      </c>
      <c r="M1254" s="1059" t="s">
        <v>1478</v>
      </c>
      <c r="N1254" s="1060" t="s">
        <v>1479</v>
      </c>
      <c r="O1254" s="176">
        <v>100</v>
      </c>
      <c r="P1254" s="1080" t="s">
        <v>1477</v>
      </c>
    </row>
    <row r="1255" spans="1:16">
      <c r="A1255" s="527">
        <v>6</v>
      </c>
      <c r="B1255" s="688"/>
      <c r="C1255" s="688" t="s">
        <v>1482</v>
      </c>
      <c r="D1255" s="1139" t="s">
        <v>1483</v>
      </c>
      <c r="E1255" s="692" t="s">
        <v>62</v>
      </c>
      <c r="F1255" s="105" t="s">
        <v>1473</v>
      </c>
      <c r="G1255" s="846" t="s">
        <v>461</v>
      </c>
      <c r="H1255" s="690">
        <v>37</v>
      </c>
      <c r="I1255" s="691"/>
      <c r="J1255" s="805">
        <v>182.6</v>
      </c>
      <c r="K1255" s="805">
        <v>0</v>
      </c>
      <c r="L1255" s="1064" t="s">
        <v>829</v>
      </c>
      <c r="M1255" s="1059" t="s">
        <v>1474</v>
      </c>
      <c r="N1255" s="1060" t="s">
        <v>1105</v>
      </c>
      <c r="O1255" s="176">
        <v>80</v>
      </c>
      <c r="P1255" s="1080" t="s">
        <v>458</v>
      </c>
    </row>
    <row r="1256" spans="1:16" ht="21.6" customHeight="1">
      <c r="A1256" s="527">
        <v>6</v>
      </c>
      <c r="B1256" s="693"/>
      <c r="C1256" s="688" t="s">
        <v>1482</v>
      </c>
      <c r="D1256" s="1140"/>
      <c r="E1256" s="694">
        <v>9</v>
      </c>
      <c r="F1256" s="105" t="s">
        <v>1473</v>
      </c>
      <c r="G1256" s="847" t="s">
        <v>193</v>
      </c>
      <c r="H1256" s="696">
        <f>216-150-66</f>
        <v>0</v>
      </c>
      <c r="I1256" s="697">
        <f>271.4+150+66</f>
        <v>487.4</v>
      </c>
      <c r="J1256" s="806">
        <v>0</v>
      </c>
      <c r="K1256" s="806">
        <v>0</v>
      </c>
      <c r="L1256" s="1064" t="s">
        <v>398</v>
      </c>
      <c r="M1256" s="1059" t="s">
        <v>1478</v>
      </c>
      <c r="N1256" s="1060" t="s">
        <v>1479</v>
      </c>
      <c r="O1256" s="176">
        <v>100</v>
      </c>
      <c r="P1256" s="1080" t="s">
        <v>458</v>
      </c>
    </row>
    <row r="1257" spans="1:16">
      <c r="A1257" s="527">
        <v>6</v>
      </c>
      <c r="B1257" s="688"/>
      <c r="C1257" s="688" t="s">
        <v>1484</v>
      </c>
      <c r="D1257" s="1141" t="s">
        <v>1485</v>
      </c>
      <c r="E1257" s="692" t="s">
        <v>62</v>
      </c>
      <c r="F1257" s="105" t="s">
        <v>1473</v>
      </c>
      <c r="G1257" s="846" t="s">
        <v>461</v>
      </c>
      <c r="H1257" s="690">
        <v>26</v>
      </c>
      <c r="I1257" s="691">
        <v>50</v>
      </c>
      <c r="J1257" s="805">
        <v>242</v>
      </c>
      <c r="K1257" s="805"/>
      <c r="L1257" s="1064" t="s">
        <v>829</v>
      </c>
      <c r="M1257" s="1059" t="s">
        <v>1474</v>
      </c>
      <c r="N1257" s="730" t="s">
        <v>1486</v>
      </c>
      <c r="O1257" s="176">
        <v>1</v>
      </c>
      <c r="P1257" s="1080" t="s">
        <v>419</v>
      </c>
    </row>
    <row r="1258" spans="1:16">
      <c r="A1258" s="527">
        <v>6</v>
      </c>
      <c r="B1258" s="699"/>
      <c r="C1258" s="688" t="s">
        <v>1484</v>
      </c>
      <c r="D1258" s="1140"/>
      <c r="E1258" s="700">
        <v>9</v>
      </c>
      <c r="F1258" s="105" t="s">
        <v>1473</v>
      </c>
      <c r="G1258" s="849" t="s">
        <v>193</v>
      </c>
      <c r="H1258" s="701">
        <v>0</v>
      </c>
      <c r="I1258" s="702">
        <v>0</v>
      </c>
      <c r="J1258" s="807">
        <f>858-858</f>
        <v>0</v>
      </c>
      <c r="K1258" s="807">
        <v>858</v>
      </c>
      <c r="L1258" s="1064" t="s">
        <v>398</v>
      </c>
      <c r="M1258" s="63" t="s">
        <v>829</v>
      </c>
      <c r="N1258" s="730" t="s">
        <v>829</v>
      </c>
      <c r="O1258" s="176" t="s">
        <v>829</v>
      </c>
      <c r="P1258" s="1080" t="s">
        <v>419</v>
      </c>
    </row>
    <row r="1259" spans="1:16" ht="22.5">
      <c r="A1259" s="527">
        <v>6</v>
      </c>
      <c r="B1259" s="693"/>
      <c r="C1259" s="693" t="s">
        <v>1487</v>
      </c>
      <c r="D1259" s="1142" t="s">
        <v>1488</v>
      </c>
      <c r="E1259" s="695">
        <v>9</v>
      </c>
      <c r="F1259" s="105" t="s">
        <v>1473</v>
      </c>
      <c r="G1259" s="847" t="s">
        <v>193</v>
      </c>
      <c r="H1259" s="696">
        <v>11</v>
      </c>
      <c r="I1259" s="697">
        <v>1057.5</v>
      </c>
      <c r="J1259" s="806">
        <v>0</v>
      </c>
      <c r="K1259" s="806">
        <v>0</v>
      </c>
      <c r="L1259" s="1064" t="s">
        <v>268</v>
      </c>
      <c r="M1259" s="63" t="s">
        <v>1489</v>
      </c>
      <c r="N1259" s="730" t="s">
        <v>1490</v>
      </c>
      <c r="O1259" s="176">
        <v>60</v>
      </c>
      <c r="P1259" s="1080" t="s">
        <v>275</v>
      </c>
    </row>
    <row r="1260" spans="1:16" ht="25.9" customHeight="1">
      <c r="A1260" s="527">
        <v>6</v>
      </c>
      <c r="B1260" s="693"/>
      <c r="C1260" s="693" t="s">
        <v>1487</v>
      </c>
      <c r="D1260" s="1143"/>
      <c r="E1260" s="703">
        <v>9</v>
      </c>
      <c r="F1260" s="105" t="s">
        <v>1473</v>
      </c>
      <c r="G1260" s="849" t="s">
        <v>461</v>
      </c>
      <c r="H1260" s="701">
        <v>0</v>
      </c>
      <c r="I1260" s="702"/>
      <c r="J1260" s="807">
        <v>615.5</v>
      </c>
      <c r="K1260" s="807">
        <v>0</v>
      </c>
      <c r="L1260" s="1064" t="s">
        <v>829</v>
      </c>
      <c r="M1260" s="63" t="s">
        <v>829</v>
      </c>
      <c r="N1260" s="730"/>
      <c r="O1260" s="176"/>
      <c r="P1260" s="1080" t="s">
        <v>275</v>
      </c>
    </row>
    <row r="1261" spans="1:16" ht="40.15" customHeight="1">
      <c r="A1261" s="527">
        <v>6</v>
      </c>
      <c r="B1261" s="704"/>
      <c r="C1261" s="693" t="s">
        <v>1492</v>
      </c>
      <c r="D1261" s="678" t="s">
        <v>1493</v>
      </c>
      <c r="E1261" s="705">
        <v>9</v>
      </c>
      <c r="F1261" s="681" t="s">
        <v>1473</v>
      </c>
      <c r="G1261" s="850" t="s">
        <v>193</v>
      </c>
      <c r="H1261" s="696">
        <f>70-70</f>
        <v>0</v>
      </c>
      <c r="I1261" s="564">
        <f>60-50</f>
        <v>10</v>
      </c>
      <c r="J1261" s="806">
        <v>50</v>
      </c>
      <c r="K1261" s="806">
        <v>0</v>
      </c>
      <c r="L1261" s="1064" t="s">
        <v>268</v>
      </c>
      <c r="M1261" s="63" t="s">
        <v>1478</v>
      </c>
      <c r="N1261" s="730" t="s">
        <v>2260</v>
      </c>
      <c r="O1261" s="176">
        <v>1</v>
      </c>
      <c r="P1261" s="1080" t="s">
        <v>1477</v>
      </c>
    </row>
    <row r="1262" spans="1:16" ht="33.75">
      <c r="A1262" s="527">
        <v>6</v>
      </c>
      <c r="B1262" s="704"/>
      <c r="C1262" s="693" t="s">
        <v>1494</v>
      </c>
      <c r="D1262" s="678" t="s">
        <v>1495</v>
      </c>
      <c r="E1262" s="921">
        <v>9</v>
      </c>
      <c r="F1262" s="681" t="s">
        <v>1473</v>
      </c>
      <c r="G1262" s="851" t="s">
        <v>193</v>
      </c>
      <c r="H1262" s="685">
        <v>10</v>
      </c>
      <c r="I1262" s="686">
        <v>33.5</v>
      </c>
      <c r="J1262" s="804">
        <v>0</v>
      </c>
      <c r="K1262" s="804">
        <v>0</v>
      </c>
      <c r="L1262" s="1064" t="s">
        <v>398</v>
      </c>
      <c r="M1262" s="63" t="s">
        <v>1478</v>
      </c>
      <c r="N1262" s="730" t="s">
        <v>1497</v>
      </c>
      <c r="O1262" s="176">
        <v>100</v>
      </c>
      <c r="P1262" s="1080" t="s">
        <v>399</v>
      </c>
    </row>
    <row r="1263" spans="1:16" ht="22.5">
      <c r="A1263" s="527">
        <v>6</v>
      </c>
      <c r="B1263" s="708"/>
      <c r="C1263" s="699" t="s">
        <v>1498</v>
      </c>
      <c r="D1263" s="23" t="s">
        <v>1499</v>
      </c>
      <c r="E1263" s="709">
        <v>28</v>
      </c>
      <c r="F1263" s="710" t="s">
        <v>1496</v>
      </c>
      <c r="G1263" s="852" t="s">
        <v>193</v>
      </c>
      <c r="H1263" s="690">
        <v>17.600000000000001</v>
      </c>
      <c r="I1263" s="691">
        <v>0</v>
      </c>
      <c r="J1263" s="805">
        <v>0</v>
      </c>
      <c r="K1263" s="805">
        <v>0</v>
      </c>
      <c r="L1263" s="1066" t="s">
        <v>398</v>
      </c>
      <c r="M1263" s="63"/>
      <c r="N1263" s="730"/>
      <c r="O1263" s="176"/>
      <c r="P1263" s="1080" t="s">
        <v>399</v>
      </c>
    </row>
    <row r="1264" spans="1:16">
      <c r="A1264" s="527">
        <v>6</v>
      </c>
      <c r="B1264" s="711"/>
      <c r="C1264" s="693" t="s">
        <v>1500</v>
      </c>
      <c r="D1264" s="1129" t="s">
        <v>1501</v>
      </c>
      <c r="E1264" s="698">
        <v>9</v>
      </c>
      <c r="F1264" s="712" t="s">
        <v>1473</v>
      </c>
      <c r="G1264" s="848" t="s">
        <v>193</v>
      </c>
      <c r="H1264" s="696">
        <f>40-40</f>
        <v>0</v>
      </c>
      <c r="I1264" s="697"/>
      <c r="J1264" s="578">
        <v>40</v>
      </c>
      <c r="K1264" s="578">
        <v>160</v>
      </c>
      <c r="L1264" s="1074" t="s">
        <v>398</v>
      </c>
      <c r="M1264" s="1059" t="s">
        <v>1478</v>
      </c>
      <c r="N1264" s="1060" t="s">
        <v>1479</v>
      </c>
      <c r="O1264" s="176">
        <v>100</v>
      </c>
      <c r="P1264" s="1080" t="s">
        <v>1477</v>
      </c>
    </row>
    <row r="1265" spans="1:16" ht="16.149999999999999" customHeight="1">
      <c r="A1265" s="527">
        <v>6</v>
      </c>
      <c r="B1265" s="693"/>
      <c r="C1265" s="693" t="s">
        <v>1500</v>
      </c>
      <c r="D1265" s="1129"/>
      <c r="E1265" s="698" t="s">
        <v>62</v>
      </c>
      <c r="F1265" s="712" t="s">
        <v>1473</v>
      </c>
      <c r="G1265" s="848" t="s">
        <v>461</v>
      </c>
      <c r="H1265" s="696">
        <v>0</v>
      </c>
      <c r="I1265" s="697">
        <v>0</v>
      </c>
      <c r="J1265" s="578">
        <v>0</v>
      </c>
      <c r="K1265" s="578">
        <v>0</v>
      </c>
      <c r="L1265" s="1075" t="s">
        <v>829</v>
      </c>
      <c r="M1265" s="566" t="s">
        <v>1474</v>
      </c>
      <c r="N1265" s="1061" t="s">
        <v>829</v>
      </c>
      <c r="O1265" s="15" t="s">
        <v>829</v>
      </c>
      <c r="P1265" s="1079" t="s">
        <v>1477</v>
      </c>
    </row>
    <row r="1266" spans="1:16" ht="22.5">
      <c r="A1266" s="527">
        <v>6</v>
      </c>
      <c r="B1266" s="693"/>
      <c r="C1266" s="693" t="s">
        <v>1502</v>
      </c>
      <c r="D1266" s="900" t="s">
        <v>1503</v>
      </c>
      <c r="E1266" s="698">
        <v>9</v>
      </c>
      <c r="F1266" s="712" t="s">
        <v>1473</v>
      </c>
      <c r="G1266" s="848" t="s">
        <v>193</v>
      </c>
      <c r="H1266" s="696"/>
      <c r="I1266" s="697">
        <v>26</v>
      </c>
      <c r="J1266" s="578"/>
      <c r="K1266" s="578"/>
      <c r="L1266" s="1075" t="s">
        <v>398</v>
      </c>
      <c r="M1266" s="63" t="s">
        <v>1478</v>
      </c>
      <c r="N1266" s="730" t="s">
        <v>2390</v>
      </c>
      <c r="O1266" s="176">
        <v>1</v>
      </c>
      <c r="P1266" s="1079" t="s">
        <v>275</v>
      </c>
    </row>
    <row r="1267" spans="1:16" ht="22.5">
      <c r="A1267" s="527">
        <v>6</v>
      </c>
      <c r="B1267" s="693"/>
      <c r="C1267" s="693" t="s">
        <v>1504</v>
      </c>
      <c r="D1267" s="894" t="s">
        <v>1505</v>
      </c>
      <c r="E1267" s="698">
        <v>9</v>
      </c>
      <c r="F1267" s="712" t="s">
        <v>1473</v>
      </c>
      <c r="G1267" s="848" t="s">
        <v>193</v>
      </c>
      <c r="H1267" s="696"/>
      <c r="I1267" s="697"/>
      <c r="J1267" s="578">
        <v>25</v>
      </c>
      <c r="K1267" s="578"/>
      <c r="L1267" s="1075" t="s">
        <v>398</v>
      </c>
      <c r="M1267" s="63" t="s">
        <v>1478</v>
      </c>
      <c r="N1267" s="730" t="s">
        <v>2404</v>
      </c>
      <c r="O1267" s="176">
        <v>10</v>
      </c>
      <c r="P1267" s="1079" t="s">
        <v>399</v>
      </c>
    </row>
    <row r="1268" spans="1:16" ht="22.5">
      <c r="A1268" s="527">
        <v>6</v>
      </c>
      <c r="B1268" s="713"/>
      <c r="C1268" s="713" t="s">
        <v>1506</v>
      </c>
      <c r="D1268" s="714" t="s">
        <v>1507</v>
      </c>
      <c r="E1268" s="715"/>
      <c r="F1268" s="715"/>
      <c r="G1268" s="853"/>
      <c r="H1268" s="716"/>
      <c r="I1268" s="716"/>
      <c r="J1268" s="716"/>
      <c r="K1268" s="716"/>
      <c r="L1268" s="1075" t="s">
        <v>829</v>
      </c>
      <c r="M1268" s="566" t="s">
        <v>829</v>
      </c>
      <c r="N1268" s="1053" t="s">
        <v>829</v>
      </c>
      <c r="O1268" s="706" t="s">
        <v>829</v>
      </c>
      <c r="P1268" s="1079" t="s">
        <v>829</v>
      </c>
    </row>
    <row r="1269" spans="1:16">
      <c r="A1269" s="527">
        <v>6</v>
      </c>
      <c r="B1269" s="717"/>
      <c r="C1269" s="717"/>
      <c r="D1269" s="718"/>
      <c r="E1269" s="719"/>
      <c r="F1269" s="719"/>
      <c r="G1269" s="854" t="s">
        <v>193</v>
      </c>
      <c r="H1269" s="720">
        <f t="shared" ref="H1269:K1269" si="283">H1273+H1274+H1284+H1285</f>
        <v>628</v>
      </c>
      <c r="I1269" s="720">
        <f t="shared" si="283"/>
        <v>499.5</v>
      </c>
      <c r="J1269" s="720">
        <f t="shared" si="283"/>
        <v>1166.5</v>
      </c>
      <c r="K1269" s="720">
        <f t="shared" si="283"/>
        <v>1150</v>
      </c>
      <c r="L1269" s="1064" t="s">
        <v>829</v>
      </c>
      <c r="M1269" s="566" t="s">
        <v>829</v>
      </c>
      <c r="N1269" s="1058" t="s">
        <v>829</v>
      </c>
      <c r="O1269" s="706" t="s">
        <v>829</v>
      </c>
      <c r="P1269" s="1079" t="s">
        <v>829</v>
      </c>
    </row>
    <row r="1270" spans="1:16">
      <c r="A1270" s="527">
        <v>6</v>
      </c>
      <c r="B1270" s="717"/>
      <c r="C1270" s="717"/>
      <c r="D1270" s="718"/>
      <c r="E1270" s="719"/>
      <c r="F1270" s="719"/>
      <c r="G1270" s="854" t="s">
        <v>196</v>
      </c>
      <c r="H1270" s="720">
        <f>H1293</f>
        <v>0</v>
      </c>
      <c r="I1270" s="720">
        <f t="shared" ref="I1270:K1270" si="284">I1293</f>
        <v>280.5</v>
      </c>
      <c r="J1270" s="720">
        <f t="shared" si="284"/>
        <v>0</v>
      </c>
      <c r="K1270" s="720">
        <f t="shared" si="284"/>
        <v>0</v>
      </c>
      <c r="L1270" s="1064"/>
      <c r="M1270" s="566"/>
      <c r="N1270" s="1058"/>
      <c r="O1270" s="706"/>
      <c r="P1270" s="1079"/>
    </row>
    <row r="1271" spans="1:16">
      <c r="A1271" s="527">
        <v>6</v>
      </c>
      <c r="B1271" s="717"/>
      <c r="C1271" s="717"/>
      <c r="D1271" s="718"/>
      <c r="E1271" s="719"/>
      <c r="F1271" s="719"/>
      <c r="G1271" s="854" t="s">
        <v>381</v>
      </c>
      <c r="H1271" s="720">
        <f>SUM(H1291)</f>
        <v>0</v>
      </c>
      <c r="I1271" s="720">
        <f t="shared" ref="I1271:K1271" si="285">SUM(I1291)</f>
        <v>100</v>
      </c>
      <c r="J1271" s="720">
        <f t="shared" si="285"/>
        <v>0</v>
      </c>
      <c r="K1271" s="720">
        <f t="shared" si="285"/>
        <v>0</v>
      </c>
      <c r="L1271" s="1064"/>
      <c r="M1271" s="566"/>
      <c r="N1271" s="1058"/>
      <c r="O1271" s="706"/>
      <c r="P1271" s="1079"/>
    </row>
    <row r="1272" spans="1:16">
      <c r="A1272" s="527">
        <v>6</v>
      </c>
      <c r="B1272" s="717"/>
      <c r="C1272" s="717"/>
      <c r="D1272" s="718"/>
      <c r="E1272" s="719"/>
      <c r="F1272" s="719"/>
      <c r="G1272" s="672" t="s">
        <v>459</v>
      </c>
      <c r="H1272" s="720">
        <f>SUM(H1269:H1271)</f>
        <v>628</v>
      </c>
      <c r="I1272" s="720">
        <f t="shared" ref="I1272:K1272" si="286">SUM(I1269:I1271)</f>
        <v>880</v>
      </c>
      <c r="J1272" s="720">
        <f t="shared" si="286"/>
        <v>1166.5</v>
      </c>
      <c r="K1272" s="720">
        <f t="shared" si="286"/>
        <v>1150</v>
      </c>
      <c r="L1272" s="1064"/>
      <c r="M1272" s="566"/>
      <c r="N1272" s="1058"/>
      <c r="O1272" s="706"/>
      <c r="P1272" s="1079"/>
    </row>
    <row r="1273" spans="1:16" ht="22.5">
      <c r="A1273" s="527">
        <v>6</v>
      </c>
      <c r="B1273" s="721"/>
      <c r="C1273" s="721" t="s">
        <v>1508</v>
      </c>
      <c r="D1273" s="63" t="s">
        <v>1509</v>
      </c>
      <c r="E1273" s="176">
        <v>2</v>
      </c>
      <c r="F1273" s="176" t="s">
        <v>1510</v>
      </c>
      <c r="G1273" s="855" t="s">
        <v>193</v>
      </c>
      <c r="H1273" s="899">
        <v>23.7</v>
      </c>
      <c r="I1273" s="722">
        <v>0</v>
      </c>
      <c r="J1273" s="808">
        <v>0</v>
      </c>
      <c r="K1273" s="808">
        <v>0</v>
      </c>
      <c r="L1273" s="1064" t="s">
        <v>268</v>
      </c>
      <c r="M1273" s="566"/>
      <c r="N1273" s="1053"/>
      <c r="O1273" s="706"/>
      <c r="P1273" s="1079" t="s">
        <v>829</v>
      </c>
    </row>
    <row r="1274" spans="1:16" ht="22.5">
      <c r="A1274" s="527">
        <v>6</v>
      </c>
      <c r="B1274" s="723"/>
      <c r="C1274" s="723" t="s">
        <v>1511</v>
      </c>
      <c r="D1274" s="724" t="s">
        <v>1512</v>
      </c>
      <c r="E1274" s="725">
        <v>9</v>
      </c>
      <c r="F1274" s="725" t="s">
        <v>1513</v>
      </c>
      <c r="G1274" s="856" t="s">
        <v>193</v>
      </c>
      <c r="H1274" s="898">
        <f>SUM(H1275:H1283)</f>
        <v>45.900000000000006</v>
      </c>
      <c r="I1274" s="898">
        <f t="shared" ref="I1274:K1274" si="287">SUM(I1275:I1283)</f>
        <v>117.8</v>
      </c>
      <c r="J1274" s="898">
        <f t="shared" si="287"/>
        <v>0</v>
      </c>
      <c r="K1274" s="898">
        <f t="shared" si="287"/>
        <v>0</v>
      </c>
      <c r="L1274" s="1064" t="s">
        <v>829</v>
      </c>
      <c r="M1274" s="566" t="s">
        <v>829</v>
      </c>
      <c r="N1274" s="1058" t="s">
        <v>829</v>
      </c>
      <c r="O1274" s="706" t="s">
        <v>829</v>
      </c>
      <c r="P1274" s="1079" t="s">
        <v>829</v>
      </c>
    </row>
    <row r="1275" spans="1:16" ht="33.75">
      <c r="A1275" s="527">
        <v>6</v>
      </c>
      <c r="B1275" s="721"/>
      <c r="C1275" s="721" t="s">
        <v>1514</v>
      </c>
      <c r="D1275" s="726" t="s">
        <v>1515</v>
      </c>
      <c r="E1275" s="176">
        <v>9</v>
      </c>
      <c r="F1275" s="176" t="s">
        <v>1513</v>
      </c>
      <c r="G1275" s="855" t="s">
        <v>193</v>
      </c>
      <c r="H1275" s="707">
        <v>11.3</v>
      </c>
      <c r="I1275" s="722">
        <v>20</v>
      </c>
      <c r="J1275" s="809"/>
      <c r="K1275" s="809"/>
      <c r="L1275" s="1064" t="s">
        <v>268</v>
      </c>
      <c r="M1275" s="566" t="s">
        <v>1478</v>
      </c>
      <c r="N1275" s="1053" t="s">
        <v>1516</v>
      </c>
      <c r="O1275" s="706">
        <v>1</v>
      </c>
      <c r="P1275" s="1080" t="s">
        <v>275</v>
      </c>
    </row>
    <row r="1276" spans="1:16" ht="33.75">
      <c r="A1276" s="527">
        <v>6</v>
      </c>
      <c r="B1276" s="721"/>
      <c r="C1276" s="721" t="s">
        <v>1517</v>
      </c>
      <c r="D1276" s="726" t="s">
        <v>1518</v>
      </c>
      <c r="E1276" s="176">
        <v>9</v>
      </c>
      <c r="F1276" s="176" t="s">
        <v>1513</v>
      </c>
      <c r="G1276" s="855" t="s">
        <v>193</v>
      </c>
      <c r="H1276" s="707">
        <v>6.2</v>
      </c>
      <c r="I1276" s="722"/>
      <c r="J1276" s="809"/>
      <c r="K1276" s="809"/>
      <c r="L1276" s="1064" t="s">
        <v>268</v>
      </c>
      <c r="M1276" s="566"/>
      <c r="N1276" s="1053"/>
      <c r="O1276" s="706"/>
      <c r="P1276" s="1080" t="s">
        <v>275</v>
      </c>
    </row>
    <row r="1277" spans="1:16" ht="22.5">
      <c r="A1277" s="527">
        <v>6</v>
      </c>
      <c r="B1277" s="721"/>
      <c r="C1277" s="721" t="s">
        <v>1519</v>
      </c>
      <c r="D1277" s="726" t="s">
        <v>1520</v>
      </c>
      <c r="E1277" s="176">
        <v>9</v>
      </c>
      <c r="F1277" s="176" t="s">
        <v>1513</v>
      </c>
      <c r="G1277" s="855" t="s">
        <v>193</v>
      </c>
      <c r="H1277" s="707">
        <v>12.9</v>
      </c>
      <c r="I1277" s="722"/>
      <c r="J1277" s="809"/>
      <c r="K1277" s="809"/>
      <c r="L1277" s="1064" t="s">
        <v>268</v>
      </c>
      <c r="M1277" s="566"/>
      <c r="N1277" s="1053"/>
      <c r="O1277" s="706"/>
      <c r="P1277" s="1080" t="s">
        <v>275</v>
      </c>
    </row>
    <row r="1278" spans="1:16" ht="22.5">
      <c r="A1278" s="527">
        <v>6</v>
      </c>
      <c r="B1278" s="721"/>
      <c r="C1278" s="721" t="s">
        <v>1521</v>
      </c>
      <c r="D1278" s="726" t="s">
        <v>1522</v>
      </c>
      <c r="E1278" s="176">
        <v>9</v>
      </c>
      <c r="F1278" s="176" t="s">
        <v>1513</v>
      </c>
      <c r="G1278" s="855" t="s">
        <v>193</v>
      </c>
      <c r="H1278" s="707">
        <v>6.3</v>
      </c>
      <c r="I1278" s="722"/>
      <c r="J1278" s="809"/>
      <c r="K1278" s="809"/>
      <c r="L1278" s="1064" t="s">
        <v>268</v>
      </c>
      <c r="M1278" s="566"/>
      <c r="N1278" s="1053"/>
      <c r="O1278" s="706"/>
      <c r="P1278" s="1080" t="s">
        <v>275</v>
      </c>
    </row>
    <row r="1279" spans="1:16" ht="22.5">
      <c r="A1279" s="527">
        <v>6</v>
      </c>
      <c r="B1279" s="721"/>
      <c r="C1279" s="721" t="s">
        <v>1523</v>
      </c>
      <c r="D1279" s="726" t="s">
        <v>1524</v>
      </c>
      <c r="E1279" s="176">
        <v>9</v>
      </c>
      <c r="F1279" s="176" t="s">
        <v>1513</v>
      </c>
      <c r="G1279" s="855" t="s">
        <v>193</v>
      </c>
      <c r="H1279" s="707">
        <v>3.2</v>
      </c>
      <c r="I1279" s="722"/>
      <c r="J1279" s="809"/>
      <c r="K1279" s="809"/>
      <c r="L1279" s="1064" t="s">
        <v>268</v>
      </c>
      <c r="M1279" s="566"/>
      <c r="N1279" s="1053"/>
      <c r="O1279" s="706"/>
      <c r="P1279" s="1080" t="s">
        <v>275</v>
      </c>
    </row>
    <row r="1280" spans="1:16" ht="33.75">
      <c r="A1280" s="527">
        <v>6</v>
      </c>
      <c r="B1280" s="721"/>
      <c r="C1280" s="721" t="s">
        <v>1525</v>
      </c>
      <c r="D1280" s="727" t="s">
        <v>1526</v>
      </c>
      <c r="E1280" s="706">
        <v>9</v>
      </c>
      <c r="F1280" s="706" t="s">
        <v>1513</v>
      </c>
      <c r="G1280" s="851" t="s">
        <v>193</v>
      </c>
      <c r="H1280" s="707">
        <v>2.2000000000000002</v>
      </c>
      <c r="I1280" s="564">
        <v>34.5</v>
      </c>
      <c r="J1280" s="809"/>
      <c r="K1280" s="809"/>
      <c r="L1280" s="1064" t="s">
        <v>398</v>
      </c>
      <c r="M1280" s="566" t="s">
        <v>1478</v>
      </c>
      <c r="N1280" s="1053" t="s">
        <v>1516</v>
      </c>
      <c r="O1280" s="706">
        <v>1</v>
      </c>
      <c r="P1280" s="1080" t="s">
        <v>386</v>
      </c>
    </row>
    <row r="1281" spans="1:16" ht="22.5">
      <c r="A1281" s="527">
        <v>6</v>
      </c>
      <c r="B1281" s="721"/>
      <c r="C1281" s="721" t="s">
        <v>1527</v>
      </c>
      <c r="D1281" s="727" t="s">
        <v>1528</v>
      </c>
      <c r="E1281" s="706">
        <v>9</v>
      </c>
      <c r="F1281" s="706" t="s">
        <v>1513</v>
      </c>
      <c r="G1281" s="851" t="s">
        <v>193</v>
      </c>
      <c r="H1281" s="707">
        <v>1.5</v>
      </c>
      <c r="I1281" s="564">
        <v>21.5</v>
      </c>
      <c r="J1281" s="809"/>
      <c r="K1281" s="809"/>
      <c r="L1281" s="1064" t="s">
        <v>398</v>
      </c>
      <c r="M1281" s="566" t="s">
        <v>1478</v>
      </c>
      <c r="N1281" s="1053" t="s">
        <v>1516</v>
      </c>
      <c r="O1281" s="706">
        <v>1</v>
      </c>
      <c r="P1281" s="1080" t="s">
        <v>419</v>
      </c>
    </row>
    <row r="1282" spans="1:16" ht="22.5">
      <c r="A1282" s="527">
        <v>6</v>
      </c>
      <c r="B1282" s="721"/>
      <c r="C1282" s="721" t="s">
        <v>1529</v>
      </c>
      <c r="D1282" s="727" t="s">
        <v>1530</v>
      </c>
      <c r="E1282" s="706">
        <v>9</v>
      </c>
      <c r="F1282" s="706" t="s">
        <v>1513</v>
      </c>
      <c r="G1282" s="851" t="s">
        <v>193</v>
      </c>
      <c r="H1282" s="707">
        <v>0.7</v>
      </c>
      <c r="I1282" s="564">
        <v>17.600000000000001</v>
      </c>
      <c r="J1282" s="809"/>
      <c r="K1282" s="809"/>
      <c r="L1282" s="1064" t="s">
        <v>398</v>
      </c>
      <c r="M1282" s="566" t="s">
        <v>1478</v>
      </c>
      <c r="N1282" s="1053" t="s">
        <v>1516</v>
      </c>
      <c r="O1282" s="706">
        <v>1</v>
      </c>
      <c r="P1282" s="1080" t="s">
        <v>386</v>
      </c>
    </row>
    <row r="1283" spans="1:16" ht="33.75">
      <c r="A1283" s="527">
        <v>6</v>
      </c>
      <c r="B1283" s="721"/>
      <c r="C1283" s="721" t="s">
        <v>1531</v>
      </c>
      <c r="D1283" s="727" t="s">
        <v>1532</v>
      </c>
      <c r="E1283" s="706">
        <v>9</v>
      </c>
      <c r="F1283" s="706" t="s">
        <v>1513</v>
      </c>
      <c r="G1283" s="851" t="s">
        <v>193</v>
      </c>
      <c r="H1283" s="707">
        <v>1.6</v>
      </c>
      <c r="I1283" s="564">
        <v>24.2</v>
      </c>
      <c r="J1283" s="809"/>
      <c r="K1283" s="809"/>
      <c r="L1283" s="1064" t="s">
        <v>398</v>
      </c>
      <c r="M1283" s="566" t="s">
        <v>1478</v>
      </c>
      <c r="N1283" s="1053" t="s">
        <v>1516</v>
      </c>
      <c r="O1283" s="706">
        <v>1</v>
      </c>
      <c r="P1283" s="1080" t="s">
        <v>415</v>
      </c>
    </row>
    <row r="1284" spans="1:16" ht="45">
      <c r="A1284" s="527">
        <v>6</v>
      </c>
      <c r="B1284" s="721"/>
      <c r="C1284" s="721" t="s">
        <v>1533</v>
      </c>
      <c r="D1284" s="63" t="s">
        <v>1534</v>
      </c>
      <c r="E1284" s="687">
        <v>9</v>
      </c>
      <c r="F1284" s="176" t="s">
        <v>1535</v>
      </c>
      <c r="G1284" s="855" t="s">
        <v>193</v>
      </c>
      <c r="H1284" s="899">
        <v>154.19999999999999</v>
      </c>
      <c r="I1284" s="564">
        <f>180-40</f>
        <v>140</v>
      </c>
      <c r="J1284" s="809">
        <v>140</v>
      </c>
      <c r="K1284" s="809">
        <v>140</v>
      </c>
      <c r="L1284" s="1064" t="s">
        <v>262</v>
      </c>
      <c r="M1284" s="566" t="s">
        <v>1478</v>
      </c>
      <c r="N1284" s="1053" t="s">
        <v>1536</v>
      </c>
      <c r="O1284" s="706">
        <v>84.6</v>
      </c>
      <c r="P1284" s="1079" t="s">
        <v>829</v>
      </c>
    </row>
    <row r="1285" spans="1:16" ht="30" customHeight="1">
      <c r="A1285" s="527">
        <v>6</v>
      </c>
      <c r="B1285" s="723"/>
      <c r="C1285" s="723" t="s">
        <v>1537</v>
      </c>
      <c r="D1285" s="728" t="s">
        <v>1538</v>
      </c>
      <c r="E1285" s="725">
        <v>9</v>
      </c>
      <c r="F1285" s="725" t="s">
        <v>1539</v>
      </c>
      <c r="G1285" s="856" t="s">
        <v>193</v>
      </c>
      <c r="H1285" s="898">
        <f>SUM(H1286,H1287,H1288,H1289,H1290,H1292,H1294,H1295,H1296,H1297,H1298,H1299,H1300,H1301)</f>
        <v>404.20000000000005</v>
      </c>
      <c r="I1285" s="898">
        <f t="shared" ref="I1285:K1285" si="288">SUM(I1286,I1287,I1288,I1289,I1290,I1292,I1294,I1295,I1296,I1297,I1298,I1299,I1300,I1301)</f>
        <v>241.7</v>
      </c>
      <c r="J1285" s="898">
        <f t="shared" si="288"/>
        <v>1026.5</v>
      </c>
      <c r="K1285" s="898">
        <f t="shared" si="288"/>
        <v>1010</v>
      </c>
      <c r="L1285" s="1064" t="s">
        <v>829</v>
      </c>
      <c r="M1285" s="566" t="s">
        <v>829</v>
      </c>
      <c r="N1285" s="1058" t="s">
        <v>829</v>
      </c>
      <c r="O1285" s="706" t="s">
        <v>829</v>
      </c>
      <c r="P1285" s="1079" t="s">
        <v>829</v>
      </c>
    </row>
    <row r="1286" spans="1:16" ht="22.5">
      <c r="A1286" s="527">
        <v>6</v>
      </c>
      <c r="B1286" s="721"/>
      <c r="C1286" s="729" t="s">
        <v>1540</v>
      </c>
      <c r="D1286" s="730" t="s">
        <v>1541</v>
      </c>
      <c r="E1286" s="731">
        <v>9</v>
      </c>
      <c r="F1286" s="176" t="s">
        <v>1539</v>
      </c>
      <c r="G1286" s="855" t="s">
        <v>193</v>
      </c>
      <c r="H1286" s="707">
        <v>31.1</v>
      </c>
      <c r="I1286" s="722"/>
      <c r="J1286" s="809"/>
      <c r="K1286" s="809"/>
      <c r="L1286" s="1064" t="s">
        <v>268</v>
      </c>
      <c r="M1286" s="566"/>
      <c r="N1286" s="1062"/>
      <c r="O1286" s="706" t="s">
        <v>829</v>
      </c>
      <c r="P1286" s="1080" t="s">
        <v>386</v>
      </c>
    </row>
    <row r="1287" spans="1:16" ht="22.5">
      <c r="A1287" s="527">
        <v>6</v>
      </c>
      <c r="B1287" s="721"/>
      <c r="C1287" s="729" t="s">
        <v>1542</v>
      </c>
      <c r="D1287" s="730" t="s">
        <v>1543</v>
      </c>
      <c r="E1287" s="731">
        <v>9</v>
      </c>
      <c r="F1287" s="176" t="s">
        <v>1539</v>
      </c>
      <c r="G1287" s="855" t="s">
        <v>193</v>
      </c>
      <c r="H1287" s="707">
        <v>357.6</v>
      </c>
      <c r="I1287" s="722">
        <v>6.7</v>
      </c>
      <c r="J1287" s="809"/>
      <c r="K1287" s="809"/>
      <c r="L1287" s="1064" t="s">
        <v>268</v>
      </c>
      <c r="M1287" s="566" t="s">
        <v>1478</v>
      </c>
      <c r="N1287" s="1053" t="s">
        <v>1544</v>
      </c>
      <c r="O1287" s="706">
        <v>100</v>
      </c>
      <c r="P1287" s="1080" t="s">
        <v>389</v>
      </c>
    </row>
    <row r="1288" spans="1:16" ht="45">
      <c r="A1288" s="527">
        <v>6</v>
      </c>
      <c r="B1288" s="721"/>
      <c r="C1288" s="729" t="s">
        <v>1545</v>
      </c>
      <c r="D1288" s="730" t="s">
        <v>1546</v>
      </c>
      <c r="E1288" s="176">
        <v>26</v>
      </c>
      <c r="F1288" s="176" t="s">
        <v>1547</v>
      </c>
      <c r="G1288" s="855" t="s">
        <v>193</v>
      </c>
      <c r="H1288" s="684"/>
      <c r="I1288" s="732"/>
      <c r="J1288" s="809"/>
      <c r="K1288" s="809"/>
      <c r="L1288" s="1064" t="s">
        <v>268</v>
      </c>
      <c r="M1288" s="566"/>
      <c r="N1288" s="1053"/>
      <c r="O1288" s="706"/>
      <c r="P1288" s="1080"/>
    </row>
    <row r="1289" spans="1:16" ht="26.45" customHeight="1">
      <c r="A1289" s="527">
        <v>6</v>
      </c>
      <c r="B1289" s="721"/>
      <c r="C1289" s="729" t="s">
        <v>1548</v>
      </c>
      <c r="D1289" s="733" t="s">
        <v>1549</v>
      </c>
      <c r="E1289" s="687" t="s">
        <v>59</v>
      </c>
      <c r="F1289" s="176" t="s">
        <v>1539</v>
      </c>
      <c r="G1289" s="855" t="s">
        <v>193</v>
      </c>
      <c r="H1289" s="684">
        <v>1.4</v>
      </c>
      <c r="I1289" s="732"/>
      <c r="J1289" s="809"/>
      <c r="K1289" s="809"/>
      <c r="L1289" s="1064" t="s">
        <v>268</v>
      </c>
      <c r="M1289" s="566"/>
      <c r="N1289" s="1053"/>
      <c r="O1289" s="706"/>
      <c r="P1289" s="1080"/>
    </row>
    <row r="1290" spans="1:16">
      <c r="A1290" s="527">
        <v>6</v>
      </c>
      <c r="B1290" s="721"/>
      <c r="C1290" s="729" t="s">
        <v>1551</v>
      </c>
      <c r="D1290" s="1130" t="s">
        <v>1552</v>
      </c>
      <c r="E1290" s="176">
        <v>9</v>
      </c>
      <c r="F1290" s="176" t="s">
        <v>1539</v>
      </c>
      <c r="G1290" s="855" t="s">
        <v>193</v>
      </c>
      <c r="H1290" s="684">
        <f>100-100</f>
        <v>0</v>
      </c>
      <c r="I1290" s="732">
        <f>290-180-100</f>
        <v>10</v>
      </c>
      <c r="J1290" s="809">
        <v>180</v>
      </c>
      <c r="K1290" s="809"/>
      <c r="L1290" s="1064" t="s">
        <v>268</v>
      </c>
      <c r="M1290" s="63" t="s">
        <v>1478</v>
      </c>
      <c r="N1290" s="730" t="s">
        <v>1544</v>
      </c>
      <c r="O1290" s="176">
        <v>40</v>
      </c>
      <c r="P1290" s="1080" t="s">
        <v>275</v>
      </c>
    </row>
    <row r="1291" spans="1:16" ht="19.149999999999999" customHeight="1">
      <c r="A1291" s="527">
        <v>6</v>
      </c>
      <c r="B1291" s="721"/>
      <c r="C1291" s="729" t="s">
        <v>1551</v>
      </c>
      <c r="D1291" s="1131"/>
      <c r="E1291" s="176">
        <v>9</v>
      </c>
      <c r="F1291" s="176" t="s">
        <v>1539</v>
      </c>
      <c r="G1291" s="424" t="s">
        <v>381</v>
      </c>
      <c r="H1291" s="684"/>
      <c r="I1291" s="732">
        <v>100</v>
      </c>
      <c r="J1291" s="809"/>
      <c r="K1291" s="809"/>
      <c r="L1291" s="1064"/>
      <c r="M1291" s="63"/>
      <c r="N1291" s="730"/>
      <c r="O1291" s="176"/>
      <c r="P1291" s="1080"/>
    </row>
    <row r="1292" spans="1:16">
      <c r="A1292" s="527">
        <v>6</v>
      </c>
      <c r="B1292" s="721"/>
      <c r="C1292" s="729" t="s">
        <v>1553</v>
      </c>
      <c r="D1292" s="1130" t="s">
        <v>1554</v>
      </c>
      <c r="E1292" s="176">
        <v>9</v>
      </c>
      <c r="F1292" s="176" t="s">
        <v>1539</v>
      </c>
      <c r="G1292" s="855" t="s">
        <v>193</v>
      </c>
      <c r="H1292" s="684">
        <f>50-50</f>
        <v>0</v>
      </c>
      <c r="I1292" s="732"/>
      <c r="J1292" s="809">
        <v>46.5</v>
      </c>
      <c r="K1292" s="809"/>
      <c r="L1292" s="1064" t="s">
        <v>398</v>
      </c>
      <c r="M1292" s="63" t="s">
        <v>1478</v>
      </c>
      <c r="N1292" s="730"/>
      <c r="O1292" s="176"/>
      <c r="P1292" s="1080" t="s">
        <v>275</v>
      </c>
    </row>
    <row r="1293" spans="1:16" ht="19.899999999999999" customHeight="1">
      <c r="A1293" s="527">
        <v>6</v>
      </c>
      <c r="B1293" s="721"/>
      <c r="C1293" s="729"/>
      <c r="D1293" s="1131"/>
      <c r="E1293" s="176">
        <v>9</v>
      </c>
      <c r="F1293" s="176" t="s">
        <v>1539</v>
      </c>
      <c r="G1293" s="645" t="s">
        <v>196</v>
      </c>
      <c r="H1293" s="684"/>
      <c r="I1293" s="732">
        <v>280.5</v>
      </c>
      <c r="J1293" s="809"/>
      <c r="K1293" s="809"/>
      <c r="L1293" s="1064"/>
      <c r="M1293" s="63" t="s">
        <v>1478</v>
      </c>
      <c r="N1293" s="730" t="s">
        <v>2405</v>
      </c>
      <c r="O1293" s="176">
        <v>80</v>
      </c>
      <c r="P1293" s="1080" t="s">
        <v>275</v>
      </c>
    </row>
    <row r="1294" spans="1:16" ht="22.5">
      <c r="A1294" s="527">
        <v>6</v>
      </c>
      <c r="B1294" s="721"/>
      <c r="C1294" s="729" t="s">
        <v>1555</v>
      </c>
      <c r="D1294" s="730" t="s">
        <v>1556</v>
      </c>
      <c r="E1294" s="731">
        <v>9</v>
      </c>
      <c r="F1294" s="176" t="s">
        <v>1539</v>
      </c>
      <c r="G1294" s="855" t="s">
        <v>193</v>
      </c>
      <c r="H1294" s="684"/>
      <c r="I1294" s="564">
        <f>695.1-695.1</f>
        <v>0</v>
      </c>
      <c r="J1294" s="809">
        <v>560</v>
      </c>
      <c r="K1294" s="809">
        <v>800</v>
      </c>
      <c r="L1294" s="1064" t="s">
        <v>398</v>
      </c>
      <c r="M1294" s="63" t="s">
        <v>1478</v>
      </c>
      <c r="N1294" s="730" t="s">
        <v>829</v>
      </c>
      <c r="O1294" s="176" t="s">
        <v>829</v>
      </c>
      <c r="P1294" s="1080" t="s">
        <v>275</v>
      </c>
    </row>
    <row r="1295" spans="1:16" ht="22.5">
      <c r="A1295" s="527">
        <v>6</v>
      </c>
      <c r="B1295" s="721"/>
      <c r="C1295" s="729" t="s">
        <v>1557</v>
      </c>
      <c r="D1295" s="730" t="s">
        <v>1558</v>
      </c>
      <c r="E1295" s="731">
        <v>9</v>
      </c>
      <c r="F1295" s="176" t="s">
        <v>1539</v>
      </c>
      <c r="G1295" s="855" t="s">
        <v>193</v>
      </c>
      <c r="H1295" s="684"/>
      <c r="I1295" s="732"/>
      <c r="J1295" s="809">
        <f>125-125</f>
        <v>0</v>
      </c>
      <c r="K1295" s="809">
        <v>100</v>
      </c>
      <c r="L1295" s="1064" t="s">
        <v>398</v>
      </c>
      <c r="M1295" s="63" t="s">
        <v>1478</v>
      </c>
      <c r="N1295" s="730" t="s">
        <v>829</v>
      </c>
      <c r="O1295" s="176" t="s">
        <v>829</v>
      </c>
      <c r="P1295" s="1080" t="s">
        <v>275</v>
      </c>
    </row>
    <row r="1296" spans="1:16" ht="22.5">
      <c r="A1296" s="527">
        <v>6</v>
      </c>
      <c r="B1296" s="721"/>
      <c r="C1296" s="729" t="s">
        <v>1559</v>
      </c>
      <c r="D1296" s="730" t="s">
        <v>1560</v>
      </c>
      <c r="E1296" s="176">
        <v>9</v>
      </c>
      <c r="F1296" s="176" t="s">
        <v>1539</v>
      </c>
      <c r="G1296" s="855" t="s">
        <v>193</v>
      </c>
      <c r="H1296" s="684"/>
      <c r="I1296" s="732">
        <v>75</v>
      </c>
      <c r="J1296" s="809">
        <v>75</v>
      </c>
      <c r="K1296" s="809"/>
      <c r="L1296" s="1064" t="s">
        <v>398</v>
      </c>
      <c r="M1296" s="63" t="s">
        <v>1478</v>
      </c>
      <c r="N1296" s="730" t="s">
        <v>2406</v>
      </c>
      <c r="O1296" s="176">
        <v>50</v>
      </c>
      <c r="P1296" s="1080" t="s">
        <v>275</v>
      </c>
    </row>
    <row r="1297" spans="1:16" ht="22.5">
      <c r="A1297" s="527">
        <v>6</v>
      </c>
      <c r="B1297" s="721"/>
      <c r="C1297" s="729" t="s">
        <v>1561</v>
      </c>
      <c r="D1297" s="730" t="s">
        <v>1562</v>
      </c>
      <c r="E1297" s="176">
        <v>9</v>
      </c>
      <c r="F1297" s="176" t="s">
        <v>1539</v>
      </c>
      <c r="G1297" s="855" t="s">
        <v>193</v>
      </c>
      <c r="H1297" s="684"/>
      <c r="I1297" s="732">
        <v>40</v>
      </c>
      <c r="J1297" s="809">
        <v>55</v>
      </c>
      <c r="K1297" s="809"/>
      <c r="L1297" s="1064" t="s">
        <v>398</v>
      </c>
      <c r="M1297" s="63" t="s">
        <v>1478</v>
      </c>
      <c r="N1297" s="730" t="s">
        <v>1563</v>
      </c>
      <c r="O1297" s="176">
        <v>100</v>
      </c>
      <c r="P1297" s="1080" t="s">
        <v>392</v>
      </c>
    </row>
    <row r="1298" spans="1:16" ht="33.75">
      <c r="A1298" s="527">
        <v>6</v>
      </c>
      <c r="B1298" s="721"/>
      <c r="C1298" s="729" t="s">
        <v>1564</v>
      </c>
      <c r="D1298" s="730" t="s">
        <v>1089</v>
      </c>
      <c r="E1298" s="87">
        <v>9</v>
      </c>
      <c r="F1298" s="176" t="s">
        <v>1539</v>
      </c>
      <c r="G1298" s="844" t="s">
        <v>193</v>
      </c>
      <c r="H1298" s="684">
        <f>50-50</f>
        <v>0</v>
      </c>
      <c r="I1298" s="732">
        <v>50</v>
      </c>
      <c r="J1298" s="809">
        <v>50</v>
      </c>
      <c r="K1298" s="809">
        <v>50</v>
      </c>
      <c r="L1298" s="1064" t="s">
        <v>274</v>
      </c>
      <c r="M1298" s="63" t="s">
        <v>1478</v>
      </c>
      <c r="N1298" s="730" t="s">
        <v>1092</v>
      </c>
      <c r="O1298" s="87">
        <v>100</v>
      </c>
      <c r="P1298" s="1089" t="s">
        <v>829</v>
      </c>
    </row>
    <row r="1299" spans="1:16" ht="22.5">
      <c r="A1299" s="527">
        <v>6</v>
      </c>
      <c r="B1299" s="546"/>
      <c r="C1299" s="721" t="s">
        <v>1565</v>
      </c>
      <c r="D1299" s="1132" t="s">
        <v>1566</v>
      </c>
      <c r="E1299" s="87" t="s">
        <v>1567</v>
      </c>
      <c r="F1299" s="176" t="s">
        <v>1539</v>
      </c>
      <c r="G1299" s="541" t="s">
        <v>193</v>
      </c>
      <c r="H1299" s="684">
        <v>8</v>
      </c>
      <c r="I1299" s="732">
        <v>60</v>
      </c>
      <c r="J1299" s="801">
        <v>60</v>
      </c>
      <c r="K1299" s="801">
        <v>60</v>
      </c>
      <c r="L1299" s="1064" t="s">
        <v>274</v>
      </c>
      <c r="M1299" s="63" t="s">
        <v>1568</v>
      </c>
      <c r="N1299" s="730" t="s">
        <v>2407</v>
      </c>
      <c r="O1299" s="87">
        <v>20</v>
      </c>
      <c r="P1299" s="1080" t="s">
        <v>829</v>
      </c>
    </row>
    <row r="1300" spans="1:16">
      <c r="A1300" s="527">
        <v>6</v>
      </c>
      <c r="B1300" s="546"/>
      <c r="C1300" s="721" t="s">
        <v>1565</v>
      </c>
      <c r="D1300" s="1133"/>
      <c r="E1300" s="105">
        <v>23</v>
      </c>
      <c r="F1300" s="176" t="s">
        <v>1569</v>
      </c>
      <c r="G1300" s="844" t="s">
        <v>193</v>
      </c>
      <c r="H1300" s="684">
        <v>6.1</v>
      </c>
      <c r="I1300" s="732"/>
      <c r="J1300" s="801"/>
      <c r="K1300" s="801"/>
      <c r="L1300" s="1064" t="s">
        <v>274</v>
      </c>
      <c r="M1300" s="63"/>
      <c r="N1300" s="730"/>
      <c r="O1300" s="87"/>
      <c r="P1300" s="1080" t="s">
        <v>275</v>
      </c>
    </row>
    <row r="1301" spans="1:16">
      <c r="A1301" s="527">
        <v>6</v>
      </c>
      <c r="B1301" s="546"/>
      <c r="C1301" s="721" t="s">
        <v>1565</v>
      </c>
      <c r="D1301" s="1134"/>
      <c r="E1301" s="105">
        <v>26</v>
      </c>
      <c r="F1301" s="176" t="s">
        <v>1547</v>
      </c>
      <c r="G1301" s="541" t="s">
        <v>193</v>
      </c>
      <c r="H1301" s="684"/>
      <c r="I1301" s="732"/>
      <c r="J1301" s="801"/>
      <c r="K1301" s="801"/>
      <c r="L1301" s="1064" t="s">
        <v>274</v>
      </c>
      <c r="M1301" s="63"/>
      <c r="N1301" s="730"/>
      <c r="O1301" s="87"/>
      <c r="P1301" s="1080" t="s">
        <v>392</v>
      </c>
    </row>
    <row r="1302" spans="1:16" ht="33.75">
      <c r="A1302" s="527">
        <v>6</v>
      </c>
      <c r="B1302" s="82" t="s">
        <v>1570</v>
      </c>
      <c r="C1302" s="82" t="s">
        <v>1570</v>
      </c>
      <c r="D1302" s="535" t="s">
        <v>1571</v>
      </c>
      <c r="E1302" s="536"/>
      <c r="F1302" s="536"/>
      <c r="G1302" s="656"/>
      <c r="H1302" s="656">
        <f>SUM(H1303,H1304)</f>
        <v>68.599999999999994</v>
      </c>
      <c r="I1302" s="656">
        <f>SUM(I1303,I1304)</f>
        <v>200</v>
      </c>
      <c r="J1302" s="779">
        <f>SUM(J1303,J1304)</f>
        <v>200</v>
      </c>
      <c r="K1302" s="779">
        <f>SUM(K1303,K1304)</f>
        <v>200</v>
      </c>
      <c r="L1302" s="1064" t="s">
        <v>829</v>
      </c>
      <c r="M1302" s="63" t="s">
        <v>1550</v>
      </c>
      <c r="N1302" s="730" t="s">
        <v>829</v>
      </c>
      <c r="O1302" s="87" t="s">
        <v>829</v>
      </c>
      <c r="P1302" s="1089" t="s">
        <v>829</v>
      </c>
    </row>
    <row r="1303" spans="1:16">
      <c r="A1303" s="527">
        <v>6</v>
      </c>
      <c r="B1303" s="561"/>
      <c r="C1303" s="561"/>
      <c r="D1303" s="680" t="s">
        <v>1572</v>
      </c>
      <c r="E1303" s="176" t="s">
        <v>59</v>
      </c>
      <c r="F1303" s="734" t="s">
        <v>1573</v>
      </c>
      <c r="G1303" s="645" t="s">
        <v>196</v>
      </c>
      <c r="H1303" s="684">
        <v>13.1</v>
      </c>
      <c r="I1303" s="732">
        <v>3.3</v>
      </c>
      <c r="J1303" s="810">
        <v>200</v>
      </c>
      <c r="K1303" s="810">
        <v>200</v>
      </c>
      <c r="L1303" s="1064" t="s">
        <v>829</v>
      </c>
      <c r="M1303" s="63" t="s">
        <v>1550</v>
      </c>
      <c r="N1303" s="1060" t="s">
        <v>1574</v>
      </c>
      <c r="O1303" s="87">
        <v>100</v>
      </c>
      <c r="P1303" s="1089" t="s">
        <v>829</v>
      </c>
    </row>
    <row r="1304" spans="1:16">
      <c r="A1304" s="527">
        <v>6</v>
      </c>
      <c r="B1304" s="561"/>
      <c r="C1304" s="561"/>
      <c r="D1304" s="680" t="s">
        <v>1575</v>
      </c>
      <c r="E1304" s="176" t="s">
        <v>59</v>
      </c>
      <c r="F1304" s="734" t="s">
        <v>1573</v>
      </c>
      <c r="G1304" s="424" t="s">
        <v>764</v>
      </c>
      <c r="H1304" s="684">
        <v>55.5</v>
      </c>
      <c r="I1304" s="732">
        <v>196.7</v>
      </c>
      <c r="J1304" s="811"/>
      <c r="K1304" s="811"/>
      <c r="L1304" s="1064" t="s">
        <v>829</v>
      </c>
      <c r="M1304" s="63" t="s">
        <v>1550</v>
      </c>
      <c r="N1304" s="1060" t="s">
        <v>1574</v>
      </c>
      <c r="O1304" s="87">
        <v>100</v>
      </c>
      <c r="P1304" s="1089" t="s">
        <v>829</v>
      </c>
    </row>
    <row r="1305" spans="1:16" ht="33.75">
      <c r="A1305" s="527">
        <v>6</v>
      </c>
      <c r="B1305" s="82" t="s">
        <v>1576</v>
      </c>
      <c r="C1305" s="82" t="s">
        <v>1576</v>
      </c>
      <c r="D1305" s="535" t="s">
        <v>1577</v>
      </c>
      <c r="E1305" s="536">
        <v>9</v>
      </c>
      <c r="F1305" s="536" t="s">
        <v>1578</v>
      </c>
      <c r="G1305" s="656" t="s">
        <v>193</v>
      </c>
      <c r="H1305" s="656">
        <v>19.2</v>
      </c>
      <c r="I1305" s="656">
        <v>25.7</v>
      </c>
      <c r="J1305" s="656">
        <v>25.7</v>
      </c>
      <c r="K1305" s="656">
        <v>25.7</v>
      </c>
      <c r="L1305" s="1064" t="s">
        <v>829</v>
      </c>
      <c r="M1305" s="566" t="s">
        <v>1579</v>
      </c>
      <c r="N1305" s="1062" t="s">
        <v>1574</v>
      </c>
      <c r="O1305" s="1021">
        <v>100</v>
      </c>
      <c r="P1305" s="1078" t="s">
        <v>829</v>
      </c>
    </row>
    <row r="1306" spans="1:16">
      <c r="A1306" s="527">
        <v>6</v>
      </c>
      <c r="B1306" s="78"/>
      <c r="C1306" s="340"/>
      <c r="D1306" s="51"/>
      <c r="E1306" s="193"/>
      <c r="F1306" s="196"/>
      <c r="G1306" s="120" t="s">
        <v>459</v>
      </c>
      <c r="H1306" s="120">
        <f>SUM(H1303:H1304,H1272,H1239:H1243,H1206:H1207,H1203,H1189,H1183:H1183,H1177,H1165:H1166,H1153,H1085:H1092,H1021:H1029,H977:H978,H1215:H1216,H1305,H1222)</f>
        <v>17668.400000000001</v>
      </c>
      <c r="I1306" s="120">
        <f>SUM(I1303:I1304,I1272,I1239:I1243,I1206:I1207,I1203,I1189,I1183:I1183,I1177,I1165:I1166,I1153,I1085:I1092,I1021:I1029,I977:I978,I1215:I1216,I1305,I1222)</f>
        <v>26641</v>
      </c>
      <c r="J1306" s="120">
        <f>SUM(J1303:J1304,J1272,J1239:J1243,J1206:J1207,J1203,J1189,J1183:J1183,J1177,J1165:J1166,J1153,J1085:J1092,J1021:J1029,J977:J978,J1215:J1216,J1305,J1222)</f>
        <v>23726.300000000003</v>
      </c>
      <c r="K1306" s="120">
        <f>SUM(K1303:K1304,K1272,K1239:K1243,K1206:K1207,K1203,K1189,K1183:K1183,K1177,K1165:K1166,K1153,K1085:K1092,K1021:K1029,K977:K978,K1215:K1216,K1305,K1222)</f>
        <v>19114.399999999998</v>
      </c>
      <c r="L1306" s="1064" t="s">
        <v>829</v>
      </c>
      <c r="M1306" s="566" t="s">
        <v>829</v>
      </c>
      <c r="N1306" s="1053" t="s">
        <v>829</v>
      </c>
      <c r="O1306" s="706" t="s">
        <v>829</v>
      </c>
      <c r="P1306" s="1080" t="s">
        <v>829</v>
      </c>
    </row>
    <row r="1307" spans="1:16">
      <c r="A1307" s="527">
        <v>6</v>
      </c>
      <c r="B1307" s="78"/>
      <c r="C1307" s="340"/>
      <c r="D1307" s="51"/>
      <c r="E1307" s="193"/>
      <c r="F1307" s="196"/>
      <c r="G1307" s="837" t="s">
        <v>193</v>
      </c>
      <c r="H1307" s="42">
        <f>SUM(H1269,H1239,H1207,H1203,H1189,H1183,H1165,H1153,H1092,H1021,H977,H1174,H1305,H1219)</f>
        <v>8549.7000000000007</v>
      </c>
      <c r="I1307" s="42">
        <f>SUM(I1269,I1239,I1207,I1203,I1189,I1183,I1165,I1153,I1092,I1021,I977,I1174,I1305,I1219)</f>
        <v>12013</v>
      </c>
      <c r="J1307" s="42">
        <f>SUM(J1269,J1239,J1207,J1203,J1189,J1183,J1165,J1153,J1092,J1021,J977,J1174,J1305,J1219)</f>
        <v>14880.5</v>
      </c>
      <c r="K1307" s="42">
        <f>SUM(K1269,K1239,K1207,K1203,K1189,K1183,K1165,K1153,K1092,K1021,K977,K1174,K1305,K1219)</f>
        <v>13899.2</v>
      </c>
      <c r="L1307" s="1064" t="s">
        <v>829</v>
      </c>
      <c r="M1307" s="566" t="s">
        <v>829</v>
      </c>
      <c r="N1307" s="1053" t="s">
        <v>829</v>
      </c>
      <c r="O1307" s="706" t="s">
        <v>829</v>
      </c>
      <c r="P1307" s="1080" t="s">
        <v>829</v>
      </c>
    </row>
    <row r="1308" spans="1:16">
      <c r="A1308" s="527">
        <v>6</v>
      </c>
      <c r="B1308" s="78"/>
      <c r="C1308" s="340"/>
      <c r="D1308" s="51"/>
      <c r="E1308" s="193"/>
      <c r="F1308" s="196"/>
      <c r="G1308" s="837" t="s">
        <v>1218</v>
      </c>
      <c r="H1308" s="42">
        <f>SUM(H1085)</f>
        <v>3852.7999999999997</v>
      </c>
      <c r="I1308" s="42">
        <f>SUM(I1085)</f>
        <v>3798</v>
      </c>
      <c r="J1308" s="264">
        <f>SUM(J1085)</f>
        <v>3798</v>
      </c>
      <c r="K1308" s="264">
        <f>SUM(K1085)</f>
        <v>3798</v>
      </c>
      <c r="L1308" s="1064" t="s">
        <v>829</v>
      </c>
      <c r="M1308" s="566" t="s">
        <v>829</v>
      </c>
      <c r="N1308" s="1053" t="s">
        <v>829</v>
      </c>
      <c r="O1308" s="706" t="s">
        <v>829</v>
      </c>
      <c r="P1308" s="1080" t="s">
        <v>829</v>
      </c>
    </row>
    <row r="1309" spans="1:16">
      <c r="A1309" s="527">
        <v>6</v>
      </c>
      <c r="B1309" s="78"/>
      <c r="C1309" s="340"/>
      <c r="D1309" s="51"/>
      <c r="E1309" s="193"/>
      <c r="F1309" s="196"/>
      <c r="G1309" s="837" t="s">
        <v>460</v>
      </c>
      <c r="H1309" s="42">
        <f>SUM(H1086,H978)</f>
        <v>2101.9999999999995</v>
      </c>
      <c r="I1309" s="42">
        <f t="shared" ref="I1309:K1309" si="289">SUM(I1086,I978)</f>
        <v>0</v>
      </c>
      <c r="J1309" s="42">
        <f t="shared" si="289"/>
        <v>0</v>
      </c>
      <c r="K1309" s="42">
        <f t="shared" si="289"/>
        <v>0</v>
      </c>
      <c r="L1309" s="1064" t="s">
        <v>829</v>
      </c>
      <c r="M1309" s="566" t="s">
        <v>829</v>
      </c>
      <c r="N1309" s="1053" t="s">
        <v>829</v>
      </c>
      <c r="O1309" s="706" t="s">
        <v>829</v>
      </c>
      <c r="P1309" s="1080" t="s">
        <v>829</v>
      </c>
    </row>
    <row r="1310" spans="1:16">
      <c r="A1310" s="527">
        <v>6</v>
      </c>
      <c r="B1310" s="78"/>
      <c r="C1310" s="340"/>
      <c r="D1310" s="51"/>
      <c r="E1310" s="193"/>
      <c r="F1310" s="196"/>
      <c r="G1310" s="30" t="s">
        <v>283</v>
      </c>
      <c r="H1310" s="42">
        <f>H1209</f>
        <v>0</v>
      </c>
      <c r="I1310" s="42">
        <f t="shared" ref="I1310:K1310" si="290">I1209</f>
        <v>1493.4</v>
      </c>
      <c r="J1310" s="42">
        <f t="shared" si="290"/>
        <v>0</v>
      </c>
      <c r="K1310" s="42">
        <f t="shared" si="290"/>
        <v>0</v>
      </c>
      <c r="L1310" s="1064" t="s">
        <v>829</v>
      </c>
      <c r="M1310" s="566" t="s">
        <v>829</v>
      </c>
      <c r="N1310" s="1053" t="s">
        <v>829</v>
      </c>
      <c r="O1310" s="706" t="s">
        <v>829</v>
      </c>
      <c r="P1310" s="1080" t="s">
        <v>829</v>
      </c>
    </row>
    <row r="1311" spans="1:16">
      <c r="A1311" s="527">
        <v>6</v>
      </c>
      <c r="B1311" s="78"/>
      <c r="C1311" s="340"/>
      <c r="D1311" s="51"/>
      <c r="E1311" s="193"/>
      <c r="F1311" s="196"/>
      <c r="G1311" s="837" t="s">
        <v>267</v>
      </c>
      <c r="H1311" s="42">
        <f>SUM(H1027,H1088,H1220)</f>
        <v>0</v>
      </c>
      <c r="I1311" s="42">
        <f>SUM(I1027,I1088,I1220)</f>
        <v>2356.8999999999996</v>
      </c>
      <c r="J1311" s="42">
        <f>SUM(J1027,J1088,J1220)</f>
        <v>768.4</v>
      </c>
      <c r="K1311" s="42">
        <f>SUM(K1027,K1088,K1220)</f>
        <v>0</v>
      </c>
      <c r="L1311" s="1064" t="s">
        <v>829</v>
      </c>
      <c r="M1311" s="566" t="s">
        <v>829</v>
      </c>
      <c r="N1311" s="1053" t="s">
        <v>829</v>
      </c>
      <c r="O1311" s="706" t="s">
        <v>829</v>
      </c>
      <c r="P1311" s="1080" t="s">
        <v>829</v>
      </c>
    </row>
    <row r="1312" spans="1:16">
      <c r="A1312" s="527">
        <v>6</v>
      </c>
      <c r="B1312" s="78"/>
      <c r="C1312" s="340"/>
      <c r="D1312" s="51"/>
      <c r="E1312" s="193"/>
      <c r="F1312" s="196"/>
      <c r="G1312" s="835" t="s">
        <v>461</v>
      </c>
      <c r="H1312" s="42">
        <f>SUM(H1265,H1260,H1257,H1255,H1247,H1246,H1067,H1233,H1176,H1058,H1251)</f>
        <v>205.4</v>
      </c>
      <c r="I1312" s="42">
        <f>SUM(I1265,I1260,I1257,I1255,I1247,I1246,I1067,I1233,I1176,I1058,I1251)</f>
        <v>2074.8000000000002</v>
      </c>
      <c r="J1312" s="42">
        <f>SUM(J1265,J1260,J1257,J1255,J1247,J1246,J1067,J1233,J1176,J1058,J1251)</f>
        <v>2113.1</v>
      </c>
      <c r="K1312" s="42">
        <f>SUM(K1265,K1260,K1257,K1255,K1247,K1246,K1067,K1233,K1176,K1058,K1251)</f>
        <v>300</v>
      </c>
      <c r="L1312" s="1064" t="s">
        <v>829</v>
      </c>
      <c r="M1312" s="566" t="s">
        <v>829</v>
      </c>
      <c r="N1312" s="1053" t="s">
        <v>829</v>
      </c>
      <c r="O1312" s="706" t="s">
        <v>829</v>
      </c>
      <c r="P1312" s="1080" t="s">
        <v>829</v>
      </c>
    </row>
    <row r="1313" spans="1:16">
      <c r="A1313" s="527">
        <v>6</v>
      </c>
      <c r="B1313" s="78"/>
      <c r="C1313" s="340"/>
      <c r="D1313" s="51"/>
      <c r="E1313" s="193"/>
      <c r="F1313" s="328"/>
      <c r="G1313" s="836" t="s">
        <v>380</v>
      </c>
      <c r="H1313" s="42">
        <f>H1102+H1046</f>
        <v>0</v>
      </c>
      <c r="I1313" s="42">
        <f>I1102+I1046</f>
        <v>97.199999999999989</v>
      </c>
      <c r="J1313" s="264">
        <f>J1102+J1046</f>
        <v>149.1</v>
      </c>
      <c r="K1313" s="264">
        <f>K1102+K1046</f>
        <v>0</v>
      </c>
      <c r="L1313" s="1064" t="s">
        <v>829</v>
      </c>
      <c r="M1313" s="566" t="s">
        <v>829</v>
      </c>
      <c r="N1313" s="1053" t="s">
        <v>829</v>
      </c>
      <c r="O1313" s="706" t="s">
        <v>829</v>
      </c>
      <c r="P1313" s="1080" t="s">
        <v>829</v>
      </c>
    </row>
    <row r="1314" spans="1:16">
      <c r="A1314" s="527">
        <v>6</v>
      </c>
      <c r="B1314" s="78"/>
      <c r="C1314" s="340"/>
      <c r="D1314" s="51"/>
      <c r="E1314" s="193"/>
      <c r="F1314" s="328"/>
      <c r="G1314" s="836" t="s">
        <v>381</v>
      </c>
      <c r="H1314" s="42">
        <f>SUM(H1170,H1044,H1066,H1291)</f>
        <v>0</v>
      </c>
      <c r="I1314" s="42">
        <f t="shared" ref="I1314:K1314" si="291">SUM(I1170,I1044,I1066,I1291)</f>
        <v>2500</v>
      </c>
      <c r="J1314" s="42">
        <f t="shared" si="291"/>
        <v>0</v>
      </c>
      <c r="K1314" s="42">
        <f t="shared" si="291"/>
        <v>0</v>
      </c>
      <c r="L1314" s="1064" t="s">
        <v>829</v>
      </c>
      <c r="M1314" s="566" t="s">
        <v>829</v>
      </c>
      <c r="N1314" s="1053" t="s">
        <v>829</v>
      </c>
      <c r="O1314" s="706" t="s">
        <v>829</v>
      </c>
      <c r="P1314" s="1080" t="s">
        <v>829</v>
      </c>
    </row>
    <row r="1315" spans="1:16">
      <c r="A1315" s="527">
        <v>6</v>
      </c>
      <c r="B1315" s="78"/>
      <c r="C1315" s="340"/>
      <c r="D1315" s="51"/>
      <c r="E1315" s="193"/>
      <c r="F1315" s="328"/>
      <c r="G1315" s="645" t="s">
        <v>196</v>
      </c>
      <c r="H1315" s="42">
        <f>H1303+H1175+H1140+H1133+H1045+H1042+H1034+H1083+H1242+H1080+H1293</f>
        <v>549.9</v>
      </c>
      <c r="I1315" s="42">
        <f>I1303+I1175+I1140+I1133+I1045+I1042+I1034+I1083+I1242+I1080+I1293</f>
        <v>817.2</v>
      </c>
      <c r="J1315" s="42">
        <f>J1303+J1175+J1140+J1133+J1045+J1042+J1034+J1083+J1242+J1080+J1293</f>
        <v>817.2</v>
      </c>
      <c r="K1315" s="42">
        <f>K1303+K1175+K1140+K1133+K1045+K1042+K1034+K1083+K1242+K1080+K1293</f>
        <v>817.2</v>
      </c>
      <c r="L1315" s="1064" t="s">
        <v>829</v>
      </c>
      <c r="M1315" s="566" t="s">
        <v>829</v>
      </c>
      <c r="N1315" s="1053" t="s">
        <v>829</v>
      </c>
      <c r="O1315" s="706" t="s">
        <v>829</v>
      </c>
      <c r="P1315" s="1080" t="s">
        <v>829</v>
      </c>
    </row>
    <row r="1316" spans="1:16">
      <c r="A1316" s="527">
        <v>6</v>
      </c>
      <c r="B1316" s="78"/>
      <c r="C1316" s="340"/>
      <c r="D1316" s="51"/>
      <c r="E1316" s="193"/>
      <c r="F1316" s="196"/>
      <c r="G1316" s="910" t="s">
        <v>764</v>
      </c>
      <c r="H1316" s="42">
        <f>SUM(H1023,H1241,H1304,H1090)</f>
        <v>137.1</v>
      </c>
      <c r="I1316" s="42">
        <f>SUM(I1023,I1241,I1304,I1090)</f>
        <v>301.5</v>
      </c>
      <c r="J1316" s="264">
        <f>SUM(J1023,J1241,J1304,J1090)</f>
        <v>0</v>
      </c>
      <c r="K1316" s="264">
        <f>SUM(K1023,K1241,K1304,K1090)</f>
        <v>0</v>
      </c>
      <c r="L1316" s="1064" t="s">
        <v>829</v>
      </c>
      <c r="M1316" s="566" t="s">
        <v>829</v>
      </c>
      <c r="N1316" s="1053" t="s">
        <v>829</v>
      </c>
      <c r="O1316" s="706" t="s">
        <v>829</v>
      </c>
      <c r="P1316" s="1080" t="s">
        <v>829</v>
      </c>
    </row>
    <row r="1317" spans="1:16">
      <c r="A1317" s="527">
        <v>6</v>
      </c>
      <c r="B1317" s="78"/>
      <c r="C1317" s="340"/>
      <c r="D1317" s="51"/>
      <c r="E1317" s="193"/>
      <c r="F1317" s="196"/>
      <c r="G1317" s="837" t="s">
        <v>195</v>
      </c>
      <c r="H1317" s="42">
        <f>SUM(H1024,H1091)</f>
        <v>2230.5</v>
      </c>
      <c r="I1317" s="42">
        <f>SUM(I1024,I1091)</f>
        <v>1189</v>
      </c>
      <c r="J1317" s="42">
        <f>SUM(J1024,J1091)</f>
        <v>1200</v>
      </c>
      <c r="K1317" s="42">
        <f>SUM(K1024,K1091)</f>
        <v>300</v>
      </c>
      <c r="L1317" s="1064" t="s">
        <v>829</v>
      </c>
      <c r="M1317" s="566" t="s">
        <v>829</v>
      </c>
      <c r="N1317" s="1053" t="s">
        <v>829</v>
      </c>
      <c r="O1317" s="706" t="s">
        <v>829</v>
      </c>
      <c r="P1317" s="1080" t="s">
        <v>829</v>
      </c>
    </row>
    <row r="1318" spans="1:16">
      <c r="A1318" s="527">
        <v>6</v>
      </c>
      <c r="B1318" s="78"/>
      <c r="C1318" s="340"/>
      <c r="D1318" s="51"/>
      <c r="E1318" s="193"/>
      <c r="F1318" s="196"/>
      <c r="G1318" s="837" t="s">
        <v>686</v>
      </c>
      <c r="H1318" s="42">
        <f t="shared" ref="H1318:K1318" si="292">H1245</f>
        <v>0</v>
      </c>
      <c r="I1318" s="42">
        <f t="shared" si="292"/>
        <v>0</v>
      </c>
      <c r="J1318" s="264">
        <f t="shared" si="292"/>
        <v>0</v>
      </c>
      <c r="K1318" s="264">
        <f t="shared" si="292"/>
        <v>0</v>
      </c>
      <c r="L1318" s="1064" t="s">
        <v>829</v>
      </c>
      <c r="M1318" s="566" t="s">
        <v>829</v>
      </c>
      <c r="N1318" s="1053" t="s">
        <v>829</v>
      </c>
      <c r="O1318" s="706" t="s">
        <v>829</v>
      </c>
      <c r="P1318" s="1080" t="s">
        <v>829</v>
      </c>
    </row>
    <row r="1319" spans="1:16">
      <c r="A1319" s="527">
        <v>6</v>
      </c>
      <c r="B1319" s="78"/>
      <c r="C1319" s="340"/>
      <c r="D1319" s="51"/>
      <c r="E1319" s="193"/>
      <c r="F1319" s="196"/>
      <c r="G1319" s="837" t="s">
        <v>1580</v>
      </c>
      <c r="H1319" s="42">
        <f>H1053</f>
        <v>40.200000000000003</v>
      </c>
      <c r="I1319" s="42">
        <f>I1053</f>
        <v>0</v>
      </c>
      <c r="J1319" s="264">
        <f>J1053</f>
        <v>0</v>
      </c>
      <c r="K1319" s="264">
        <f>K1053</f>
        <v>0</v>
      </c>
      <c r="L1319" s="1064" t="s">
        <v>829</v>
      </c>
      <c r="M1319" s="566" t="s">
        <v>829</v>
      </c>
      <c r="N1319" s="1053" t="s">
        <v>829</v>
      </c>
      <c r="O1319" s="706" t="s">
        <v>829</v>
      </c>
      <c r="P1319" s="1080" t="s">
        <v>829</v>
      </c>
    </row>
    <row r="1320" spans="1:16">
      <c r="A1320" s="527">
        <v>6</v>
      </c>
      <c r="B1320" s="78"/>
      <c r="C1320" s="340"/>
      <c r="D1320" s="51"/>
      <c r="E1320" s="193"/>
      <c r="F1320" s="196"/>
      <c r="G1320" s="837" t="s">
        <v>1439</v>
      </c>
      <c r="H1320" s="42">
        <f>H1215+H1216</f>
        <v>0.8</v>
      </c>
      <c r="I1320" s="42">
        <f t="shared" ref="I1320:K1320" si="293">I1215+I1216</f>
        <v>0</v>
      </c>
      <c r="J1320" s="42">
        <f t="shared" si="293"/>
        <v>0</v>
      </c>
      <c r="K1320" s="42">
        <f t="shared" si="293"/>
        <v>0</v>
      </c>
      <c r="L1320" s="1064" t="s">
        <v>829</v>
      </c>
      <c r="M1320" s="566" t="s">
        <v>829</v>
      </c>
      <c r="N1320" s="1053" t="s">
        <v>829</v>
      </c>
      <c r="O1320" s="706" t="s">
        <v>829</v>
      </c>
      <c r="P1320" s="1080" t="s">
        <v>829</v>
      </c>
    </row>
    <row r="1321" spans="1:16">
      <c r="A1321" s="527">
        <v>6</v>
      </c>
      <c r="B1321" s="78"/>
      <c r="C1321" s="340"/>
      <c r="D1321" s="51"/>
      <c r="E1321" s="193"/>
      <c r="F1321" s="196"/>
      <c r="G1321" s="120" t="s">
        <v>459</v>
      </c>
      <c r="H1321" s="120">
        <f>SUM(H1307:H1320)</f>
        <v>17668.400000000001</v>
      </c>
      <c r="I1321" s="120">
        <f>SUM(I1307:I1320)</f>
        <v>26641.000000000004</v>
      </c>
      <c r="J1321" s="311">
        <f t="shared" ref="J1321:K1321" si="294">SUM(J1307:J1320)</f>
        <v>23726.3</v>
      </c>
      <c r="K1321" s="311">
        <f t="shared" si="294"/>
        <v>19114.400000000001</v>
      </c>
      <c r="L1321" s="1066" t="s">
        <v>829</v>
      </c>
      <c r="M1321" s="566" t="s">
        <v>829</v>
      </c>
      <c r="N1321" s="1053" t="s">
        <v>829</v>
      </c>
      <c r="O1321" s="706" t="s">
        <v>829</v>
      </c>
      <c r="P1321" s="1080" t="s">
        <v>829</v>
      </c>
    </row>
    <row r="1322" spans="1:16">
      <c r="A1322" s="527">
        <v>6</v>
      </c>
      <c r="B1322" s="78"/>
      <c r="C1322" s="340"/>
      <c r="D1322" s="51"/>
      <c r="E1322" s="193"/>
      <c r="F1322" s="196"/>
      <c r="G1322" s="86"/>
      <c r="H1322" s="86">
        <f>H1306-H1321</f>
        <v>0</v>
      </c>
      <c r="I1322" s="86">
        <f>I1306-I1321</f>
        <v>0</v>
      </c>
      <c r="J1322" s="523">
        <f>J1306-J1321</f>
        <v>0</v>
      </c>
      <c r="K1322" s="523">
        <f>K1306-K1321</f>
        <v>0</v>
      </c>
      <c r="L1322" s="1067"/>
      <c r="M1322" s="174"/>
      <c r="N1322" s="174"/>
      <c r="O1322" s="174"/>
      <c r="P1322" s="1019"/>
    </row>
    <row r="1323" spans="1:16" ht="22.5">
      <c r="A1323" s="430">
        <v>7</v>
      </c>
      <c r="B1323" s="184"/>
      <c r="C1323" s="184"/>
      <c r="D1323" s="185" t="s">
        <v>1581</v>
      </c>
      <c r="E1323" s="431"/>
      <c r="F1323" s="184"/>
      <c r="G1323" s="187"/>
      <c r="H1323" s="186"/>
      <c r="I1323" s="432"/>
      <c r="J1323" s="432"/>
      <c r="K1323" s="432"/>
      <c r="L1323" s="179"/>
      <c r="M1323" s="30"/>
      <c r="N1323" s="29"/>
      <c r="O1323" s="174"/>
      <c r="P1323" s="962"/>
    </row>
    <row r="1324" spans="1:16" ht="22.5">
      <c r="A1324" s="433">
        <v>7</v>
      </c>
      <c r="B1324" s="190" t="s">
        <v>1582</v>
      </c>
      <c r="C1324" s="190" t="s">
        <v>1582</v>
      </c>
      <c r="D1324" s="198" t="s">
        <v>1583</v>
      </c>
      <c r="E1324" s="434"/>
      <c r="F1324" s="435"/>
      <c r="G1324" s="435"/>
      <c r="H1324" s="85">
        <f>SUM(H1327,H1330,H1333,H1336,H1339,H1342,H1345,H1349,H1352,H1354)</f>
        <v>6114</v>
      </c>
      <c r="I1324" s="85">
        <f>SUM(I1327,I1330,I1333,I1336,I1339,I1342,I1345,I1349,I1352,I1354)</f>
        <v>7261.5999999999995</v>
      </c>
      <c r="J1324" s="85">
        <f>SUM(J1327,J1330,J1333,J1336,J1339,J1342,J1345,J1349,J1352,J1354)</f>
        <v>7547.3</v>
      </c>
      <c r="K1324" s="85">
        <f>SUM(K1327,K1330,K1333,K1336,K1339,K1342,K1345,K1349,K1352,K1354)</f>
        <v>7830.1</v>
      </c>
      <c r="L1324" s="179"/>
      <c r="M1324" s="30"/>
      <c r="N1324" s="29"/>
      <c r="O1324" s="174"/>
      <c r="P1324" s="962"/>
    </row>
    <row r="1325" spans="1:16">
      <c r="A1325" s="433">
        <v>7</v>
      </c>
      <c r="B1325" s="437"/>
      <c r="C1325" s="437" t="s">
        <v>1584</v>
      </c>
      <c r="D1325" s="438" t="s">
        <v>1585</v>
      </c>
      <c r="E1325" s="437" t="s">
        <v>47</v>
      </c>
      <c r="F1325" s="433" t="s">
        <v>1586</v>
      </c>
      <c r="G1325" s="433" t="s">
        <v>193</v>
      </c>
      <c r="H1325" s="43">
        <v>1026.8</v>
      </c>
      <c r="I1325" s="44">
        <f>1176.2+33</f>
        <v>1209.2</v>
      </c>
      <c r="J1325" s="436">
        <f>1201.7+33</f>
        <v>1234.7</v>
      </c>
      <c r="K1325" s="436">
        <f>1260.1+33</f>
        <v>1293.0999999999999</v>
      </c>
      <c r="L1325" s="179" t="s">
        <v>194</v>
      </c>
      <c r="M1325" s="30"/>
      <c r="N1325" s="29"/>
      <c r="O1325" s="174"/>
      <c r="P1325" s="1090"/>
    </row>
    <row r="1326" spans="1:16">
      <c r="A1326" s="433">
        <v>7</v>
      </c>
      <c r="B1326" s="437"/>
      <c r="C1326" s="437"/>
      <c r="D1326" s="438"/>
      <c r="E1326" s="437" t="s">
        <v>47</v>
      </c>
      <c r="F1326" s="433" t="s">
        <v>1586</v>
      </c>
      <c r="G1326" s="433" t="s">
        <v>196</v>
      </c>
      <c r="H1326" s="43">
        <v>33.9</v>
      </c>
      <c r="I1326" s="44">
        <v>73</v>
      </c>
      <c r="J1326" s="436">
        <v>73</v>
      </c>
      <c r="K1326" s="436">
        <v>73</v>
      </c>
      <c r="L1326" s="179"/>
      <c r="M1326" s="30"/>
      <c r="N1326" s="29"/>
      <c r="O1326" s="174"/>
      <c r="P1326" s="1090"/>
    </row>
    <row r="1327" spans="1:16">
      <c r="A1327" s="433">
        <v>7</v>
      </c>
      <c r="B1327" s="437"/>
      <c r="C1327" s="437"/>
      <c r="D1327" s="438"/>
      <c r="E1327" s="437"/>
      <c r="F1327" s="433" t="s">
        <v>1586</v>
      </c>
      <c r="G1327" s="197" t="s">
        <v>459</v>
      </c>
      <c r="H1327" s="53">
        <f t="shared" ref="H1327:K1327" si="295">SUM(H1325:H1326)</f>
        <v>1060.7</v>
      </c>
      <c r="I1327" s="53">
        <f t="shared" si="295"/>
        <v>1282.2</v>
      </c>
      <c r="J1327" s="53">
        <f t="shared" si="295"/>
        <v>1307.7</v>
      </c>
      <c r="K1327" s="53">
        <f t="shared" si="295"/>
        <v>1366.1</v>
      </c>
      <c r="L1327" s="179"/>
      <c r="M1327" s="30"/>
      <c r="N1327" s="29"/>
      <c r="O1327" s="174"/>
      <c r="P1327" s="1090"/>
    </row>
    <row r="1328" spans="1:16" ht="22.5">
      <c r="A1328" s="433">
        <v>7</v>
      </c>
      <c r="B1328" s="437"/>
      <c r="C1328" s="437" t="s">
        <v>1587</v>
      </c>
      <c r="D1328" s="438" t="s">
        <v>1588</v>
      </c>
      <c r="E1328" s="437" t="s">
        <v>47</v>
      </c>
      <c r="F1328" s="433" t="s">
        <v>1589</v>
      </c>
      <c r="G1328" s="433" t="s">
        <v>196</v>
      </c>
      <c r="H1328" s="43">
        <v>221.7</v>
      </c>
      <c r="I1328" s="44">
        <v>358</v>
      </c>
      <c r="J1328" s="436">
        <v>369.6</v>
      </c>
      <c r="K1328" s="436">
        <v>391.4</v>
      </c>
      <c r="L1328" s="179"/>
      <c r="M1328" s="30"/>
      <c r="N1328" s="29"/>
      <c r="O1328" s="174"/>
      <c r="P1328" s="1090"/>
    </row>
    <row r="1329" spans="1:16">
      <c r="A1329" s="433">
        <v>7</v>
      </c>
      <c r="B1329" s="437"/>
      <c r="C1329" s="437"/>
      <c r="D1329" s="438"/>
      <c r="E1329" s="437" t="s">
        <v>47</v>
      </c>
      <c r="F1329" s="433" t="s">
        <v>1589</v>
      </c>
      <c r="G1329" s="433" t="s">
        <v>193</v>
      </c>
      <c r="H1329" s="43"/>
      <c r="I1329" s="44"/>
      <c r="J1329" s="436"/>
      <c r="K1329" s="436"/>
      <c r="L1329" s="179" t="s">
        <v>194</v>
      </c>
      <c r="M1329" s="30"/>
      <c r="N1329" s="29"/>
      <c r="O1329" s="174"/>
      <c r="P1329" s="1090"/>
    </row>
    <row r="1330" spans="1:16">
      <c r="A1330" s="433">
        <v>7</v>
      </c>
      <c r="B1330" s="437"/>
      <c r="C1330" s="437"/>
      <c r="D1330" s="438"/>
      <c r="E1330" s="437"/>
      <c r="F1330" s="433" t="s">
        <v>1589</v>
      </c>
      <c r="G1330" s="197" t="s">
        <v>459</v>
      </c>
      <c r="H1330" s="53">
        <f t="shared" ref="H1330:K1330" si="296">SUM(H1328:H1329)</f>
        <v>221.7</v>
      </c>
      <c r="I1330" s="53">
        <f t="shared" si="296"/>
        <v>358</v>
      </c>
      <c r="J1330" s="53">
        <f t="shared" si="296"/>
        <v>369.6</v>
      </c>
      <c r="K1330" s="53">
        <f t="shared" si="296"/>
        <v>391.4</v>
      </c>
      <c r="L1330" s="179"/>
      <c r="M1330" s="30"/>
      <c r="N1330" s="29"/>
      <c r="O1330" s="174"/>
      <c r="P1330" s="1090"/>
    </row>
    <row r="1331" spans="1:16" ht="21.6" customHeight="1">
      <c r="A1331" s="433">
        <v>7</v>
      </c>
      <c r="B1331" s="437"/>
      <c r="C1331" s="437" t="s">
        <v>1590</v>
      </c>
      <c r="D1331" s="438" t="s">
        <v>1591</v>
      </c>
      <c r="E1331" s="437" t="s">
        <v>49</v>
      </c>
      <c r="F1331" s="433" t="s">
        <v>1592</v>
      </c>
      <c r="G1331" s="433" t="s">
        <v>193</v>
      </c>
      <c r="H1331" s="43">
        <v>416.1</v>
      </c>
      <c r="I1331" s="467">
        <f>587.3+9.1</f>
        <v>596.4</v>
      </c>
      <c r="J1331" s="436">
        <f>613+9.1</f>
        <v>622.1</v>
      </c>
      <c r="K1331" s="436">
        <f>645.4+9.1</f>
        <v>654.5</v>
      </c>
      <c r="L1331" s="179" t="s">
        <v>194</v>
      </c>
      <c r="M1331" s="30"/>
      <c r="N1331" s="29"/>
      <c r="O1331" s="174"/>
      <c r="P1331" s="1090"/>
    </row>
    <row r="1332" spans="1:16">
      <c r="A1332" s="433">
        <v>7</v>
      </c>
      <c r="B1332" s="437"/>
      <c r="C1332" s="437"/>
      <c r="D1332" s="438"/>
      <c r="E1332" s="437" t="s">
        <v>49</v>
      </c>
      <c r="F1332" s="433" t="s">
        <v>1592</v>
      </c>
      <c r="G1332" s="440" t="s">
        <v>196</v>
      </c>
      <c r="H1332" s="43">
        <v>5.3</v>
      </c>
      <c r="I1332" s="467">
        <v>7</v>
      </c>
      <c r="J1332" s="436">
        <v>7</v>
      </c>
      <c r="K1332" s="436">
        <v>7</v>
      </c>
      <c r="L1332" s="179"/>
      <c r="M1332" s="30"/>
      <c r="N1332" s="29"/>
      <c r="O1332" s="174"/>
      <c r="P1332" s="1090"/>
    </row>
    <row r="1333" spans="1:16">
      <c r="A1333" s="433">
        <v>7</v>
      </c>
      <c r="B1333" s="437"/>
      <c r="C1333" s="437"/>
      <c r="D1333" s="438"/>
      <c r="E1333" s="437"/>
      <c r="F1333" s="433" t="s">
        <v>1592</v>
      </c>
      <c r="G1333" s="197" t="s">
        <v>459</v>
      </c>
      <c r="H1333" s="53">
        <f t="shared" ref="H1333:K1333" si="297">SUM(H1331:H1332)</f>
        <v>421.40000000000003</v>
      </c>
      <c r="I1333" s="53">
        <f t="shared" si="297"/>
        <v>603.4</v>
      </c>
      <c r="J1333" s="53">
        <f t="shared" si="297"/>
        <v>629.1</v>
      </c>
      <c r="K1333" s="53">
        <f t="shared" si="297"/>
        <v>661.5</v>
      </c>
      <c r="L1333" s="179"/>
      <c r="M1333" s="30"/>
      <c r="N1333" s="29"/>
      <c r="O1333" s="174"/>
      <c r="P1333" s="1090"/>
    </row>
    <row r="1334" spans="1:16" ht="22.5">
      <c r="A1334" s="433">
        <v>7</v>
      </c>
      <c r="B1334" s="437"/>
      <c r="C1334" s="437" t="s">
        <v>1593</v>
      </c>
      <c r="D1334" s="438" t="s">
        <v>1594</v>
      </c>
      <c r="E1334" s="437" t="s">
        <v>51</v>
      </c>
      <c r="F1334" s="433" t="s">
        <v>1595</v>
      </c>
      <c r="G1334" s="433" t="s">
        <v>193</v>
      </c>
      <c r="H1334" s="43">
        <v>488.9</v>
      </c>
      <c r="I1334" s="467">
        <f>566+14.7</f>
        <v>580.70000000000005</v>
      </c>
      <c r="J1334" s="436">
        <f>590.3+14.7</f>
        <v>605</v>
      </c>
      <c r="K1334" s="436">
        <f>616+14.7</f>
        <v>630.70000000000005</v>
      </c>
      <c r="L1334" s="179" t="s">
        <v>194</v>
      </c>
      <c r="M1334" s="30"/>
      <c r="N1334" s="29"/>
      <c r="O1334" s="174"/>
      <c r="P1334" s="1090"/>
    </row>
    <row r="1335" spans="1:16">
      <c r="A1335" s="433">
        <v>7</v>
      </c>
      <c r="B1335" s="437"/>
      <c r="C1335" s="437"/>
      <c r="D1335" s="438"/>
      <c r="E1335" s="437" t="s">
        <v>51</v>
      </c>
      <c r="F1335" s="433" t="s">
        <v>1595</v>
      </c>
      <c r="G1335" s="440" t="s">
        <v>196</v>
      </c>
      <c r="H1335" s="43">
        <v>16.3</v>
      </c>
      <c r="I1335" s="467">
        <v>27</v>
      </c>
      <c r="J1335" s="436">
        <v>27</v>
      </c>
      <c r="K1335" s="436">
        <v>27</v>
      </c>
      <c r="L1335" s="179"/>
      <c r="M1335" s="30"/>
      <c r="N1335" s="29"/>
      <c r="O1335" s="174"/>
      <c r="P1335" s="1090"/>
    </row>
    <row r="1336" spans="1:16">
      <c r="A1336" s="433">
        <v>7</v>
      </c>
      <c r="B1336" s="437"/>
      <c r="C1336" s="437"/>
      <c r="D1336" s="438"/>
      <c r="E1336" s="437"/>
      <c r="F1336" s="433" t="s">
        <v>1595</v>
      </c>
      <c r="G1336" s="197" t="s">
        <v>459</v>
      </c>
      <c r="H1336" s="53">
        <f t="shared" ref="H1336:K1336" si="298">SUM(H1334:H1335)</f>
        <v>505.2</v>
      </c>
      <c r="I1336" s="53">
        <f t="shared" si="298"/>
        <v>607.70000000000005</v>
      </c>
      <c r="J1336" s="53">
        <f t="shared" si="298"/>
        <v>632</v>
      </c>
      <c r="K1336" s="53">
        <f t="shared" si="298"/>
        <v>657.7</v>
      </c>
      <c r="L1336" s="179"/>
      <c r="M1336" s="30"/>
      <c r="N1336" s="29"/>
      <c r="O1336" s="174"/>
      <c r="P1336" s="1090"/>
    </row>
    <row r="1337" spans="1:16" ht="22.15" customHeight="1">
      <c r="A1337" s="433">
        <v>7</v>
      </c>
      <c r="B1337" s="437"/>
      <c r="C1337" s="437" t="s">
        <v>1596</v>
      </c>
      <c r="D1337" s="438" t="s">
        <v>1597</v>
      </c>
      <c r="E1337" s="437" t="s">
        <v>53</v>
      </c>
      <c r="F1337" s="433" t="s">
        <v>1598</v>
      </c>
      <c r="G1337" s="433" t="s">
        <v>193</v>
      </c>
      <c r="H1337" s="43">
        <v>566.70000000000005</v>
      </c>
      <c r="I1337" s="467">
        <f>671.6+10.1</f>
        <v>681.7</v>
      </c>
      <c r="J1337" s="436">
        <f>695.4+10.1</f>
        <v>705.5</v>
      </c>
      <c r="K1337" s="436">
        <f>740.8+10.1</f>
        <v>750.9</v>
      </c>
      <c r="L1337" s="179" t="s">
        <v>194</v>
      </c>
      <c r="M1337" s="30"/>
      <c r="N1337" s="29"/>
      <c r="O1337" s="174"/>
      <c r="P1337" s="1090"/>
    </row>
    <row r="1338" spans="1:16">
      <c r="A1338" s="433">
        <v>7</v>
      </c>
      <c r="B1338" s="437"/>
      <c r="C1338" s="437"/>
      <c r="D1338" s="438"/>
      <c r="E1338" s="437" t="s">
        <v>53</v>
      </c>
      <c r="F1338" s="433" t="s">
        <v>1598</v>
      </c>
      <c r="G1338" s="433" t="s">
        <v>196</v>
      </c>
      <c r="H1338" s="43">
        <v>1.1000000000000001</v>
      </c>
      <c r="I1338" s="467">
        <v>4</v>
      </c>
      <c r="J1338" s="436">
        <v>4</v>
      </c>
      <c r="K1338" s="436">
        <v>4</v>
      </c>
      <c r="L1338" s="179"/>
      <c r="M1338" s="30"/>
      <c r="N1338" s="29"/>
      <c r="O1338" s="174"/>
      <c r="P1338" s="1090"/>
    </row>
    <row r="1339" spans="1:16">
      <c r="A1339" s="433">
        <v>7</v>
      </c>
      <c r="B1339" s="437"/>
      <c r="C1339" s="437"/>
      <c r="D1339" s="438"/>
      <c r="E1339" s="437"/>
      <c r="F1339" s="433" t="s">
        <v>1598</v>
      </c>
      <c r="G1339" s="197" t="s">
        <v>459</v>
      </c>
      <c r="H1339" s="53">
        <f t="shared" ref="H1339:K1339" si="299">SUM(H1337:H1338)</f>
        <v>567.80000000000007</v>
      </c>
      <c r="I1339" s="53">
        <f t="shared" si="299"/>
        <v>685.7</v>
      </c>
      <c r="J1339" s="53">
        <f t="shared" si="299"/>
        <v>709.5</v>
      </c>
      <c r="K1339" s="53">
        <f t="shared" si="299"/>
        <v>754.9</v>
      </c>
      <c r="L1339" s="179"/>
      <c r="M1339" s="30"/>
      <c r="N1339" s="29"/>
      <c r="O1339" s="174"/>
      <c r="P1339" s="1090"/>
    </row>
    <row r="1340" spans="1:16">
      <c r="A1340" s="433">
        <v>7</v>
      </c>
      <c r="B1340" s="437"/>
      <c r="C1340" s="437" t="s">
        <v>1599</v>
      </c>
      <c r="D1340" s="438" t="s">
        <v>1600</v>
      </c>
      <c r="E1340" s="437" t="s">
        <v>55</v>
      </c>
      <c r="F1340" s="433" t="s">
        <v>1601</v>
      </c>
      <c r="G1340" s="433" t="s">
        <v>193</v>
      </c>
      <c r="H1340" s="43">
        <v>403.2</v>
      </c>
      <c r="I1340" s="467">
        <f>503.5+6</f>
        <v>509.5</v>
      </c>
      <c r="J1340" s="436">
        <f>527.6+6</f>
        <v>533.6</v>
      </c>
      <c r="K1340" s="436">
        <f>553.1+6</f>
        <v>559.1</v>
      </c>
      <c r="L1340" s="179" t="s">
        <v>194</v>
      </c>
      <c r="M1340" s="30"/>
      <c r="N1340" s="29"/>
      <c r="O1340" s="174"/>
      <c r="P1340" s="1090"/>
    </row>
    <row r="1341" spans="1:16">
      <c r="A1341" s="433">
        <v>7</v>
      </c>
      <c r="B1341" s="437"/>
      <c r="C1341" s="437"/>
      <c r="D1341" s="438"/>
      <c r="E1341" s="437" t="s">
        <v>55</v>
      </c>
      <c r="F1341" s="433" t="s">
        <v>1601</v>
      </c>
      <c r="G1341" s="440" t="s">
        <v>196</v>
      </c>
      <c r="H1341" s="43">
        <v>9.8000000000000007</v>
      </c>
      <c r="I1341" s="467">
        <v>16</v>
      </c>
      <c r="J1341" s="436">
        <v>16</v>
      </c>
      <c r="K1341" s="436">
        <v>16</v>
      </c>
      <c r="L1341" s="179"/>
      <c r="M1341" s="30"/>
      <c r="N1341" s="29"/>
      <c r="O1341" s="174"/>
      <c r="P1341" s="1090"/>
    </row>
    <row r="1342" spans="1:16">
      <c r="A1342" s="433">
        <v>7</v>
      </c>
      <c r="B1342" s="437"/>
      <c r="C1342" s="437"/>
      <c r="D1342" s="438"/>
      <c r="E1342" s="437"/>
      <c r="F1342" s="433" t="s">
        <v>1601</v>
      </c>
      <c r="G1342" s="197" t="s">
        <v>459</v>
      </c>
      <c r="H1342" s="53">
        <f t="shared" ref="H1342:K1342" si="300">SUM(H1340:H1341)</f>
        <v>413</v>
      </c>
      <c r="I1342" s="53">
        <f t="shared" si="300"/>
        <v>525.5</v>
      </c>
      <c r="J1342" s="53">
        <f t="shared" si="300"/>
        <v>549.6</v>
      </c>
      <c r="K1342" s="53">
        <f t="shared" si="300"/>
        <v>575.1</v>
      </c>
      <c r="L1342" s="179"/>
      <c r="M1342" s="30"/>
      <c r="N1342" s="29"/>
      <c r="O1342" s="174"/>
      <c r="P1342" s="1090"/>
    </row>
    <row r="1343" spans="1:16" ht="22.5">
      <c r="A1343" s="433">
        <v>7</v>
      </c>
      <c r="B1343" s="437"/>
      <c r="C1343" s="437" t="s">
        <v>1602</v>
      </c>
      <c r="D1343" s="438" t="s">
        <v>1603</v>
      </c>
      <c r="E1343" s="437" t="s">
        <v>43</v>
      </c>
      <c r="F1343" s="433" t="s">
        <v>1604</v>
      </c>
      <c r="G1343" s="433" t="s">
        <v>193</v>
      </c>
      <c r="H1343" s="43">
        <v>384.8</v>
      </c>
      <c r="I1343" s="44">
        <f>431.3+2.2</f>
        <v>433.5</v>
      </c>
      <c r="J1343" s="436">
        <f>453.6+2.2</f>
        <v>455.8</v>
      </c>
      <c r="K1343" s="436">
        <f>475.8+2.2</f>
        <v>478</v>
      </c>
      <c r="L1343" s="179" t="s">
        <v>194</v>
      </c>
      <c r="M1343" s="30"/>
      <c r="N1343" s="29"/>
      <c r="O1343" s="174"/>
      <c r="P1343" s="1090"/>
    </row>
    <row r="1344" spans="1:16">
      <c r="A1344" s="433">
        <v>7</v>
      </c>
      <c r="B1344" s="437"/>
      <c r="C1344" s="437"/>
      <c r="D1344" s="438"/>
      <c r="E1344" s="437" t="s">
        <v>43</v>
      </c>
      <c r="F1344" s="433" t="s">
        <v>1604</v>
      </c>
      <c r="G1344" s="440" t="s">
        <v>196</v>
      </c>
      <c r="H1344" s="43">
        <v>1.7</v>
      </c>
      <c r="I1344" s="44">
        <v>3.7</v>
      </c>
      <c r="J1344" s="436">
        <v>3.7</v>
      </c>
      <c r="K1344" s="436">
        <v>3.7</v>
      </c>
      <c r="L1344" s="179"/>
      <c r="M1344" s="30"/>
      <c r="N1344" s="29"/>
      <c r="O1344" s="174"/>
      <c r="P1344" s="1090"/>
    </row>
    <row r="1345" spans="1:16">
      <c r="A1345" s="433">
        <v>7</v>
      </c>
      <c r="B1345" s="437"/>
      <c r="C1345" s="437"/>
      <c r="D1345" s="438"/>
      <c r="E1345" s="437"/>
      <c r="F1345" s="433" t="s">
        <v>1604</v>
      </c>
      <c r="G1345" s="197" t="s">
        <v>459</v>
      </c>
      <c r="H1345" s="53">
        <f t="shared" ref="H1345:K1345" si="301">SUM(H1343:H1344)</f>
        <v>386.5</v>
      </c>
      <c r="I1345" s="53">
        <f t="shared" si="301"/>
        <v>437.2</v>
      </c>
      <c r="J1345" s="53">
        <f t="shared" si="301"/>
        <v>459.5</v>
      </c>
      <c r="K1345" s="53">
        <f t="shared" si="301"/>
        <v>481.7</v>
      </c>
      <c r="L1345" s="179"/>
      <c r="M1345" s="30"/>
      <c r="N1345" s="29"/>
      <c r="O1345" s="174"/>
      <c r="P1345" s="1090"/>
    </row>
    <row r="1346" spans="1:16" ht="22.5">
      <c r="A1346" s="433">
        <v>7</v>
      </c>
      <c r="B1346" s="437"/>
      <c r="C1346" s="437" t="s">
        <v>1605</v>
      </c>
      <c r="D1346" s="441" t="s">
        <v>1606</v>
      </c>
      <c r="E1346" s="437" t="s">
        <v>41</v>
      </c>
      <c r="F1346" s="433" t="s">
        <v>1607</v>
      </c>
      <c r="G1346" s="433" t="s">
        <v>193</v>
      </c>
      <c r="H1346" s="43">
        <v>1602</v>
      </c>
      <c r="I1346" s="44">
        <f>1832+12</f>
        <v>1844</v>
      </c>
      <c r="J1346" s="436">
        <f>1929.9+12</f>
        <v>1941.9</v>
      </c>
      <c r="K1346" s="436">
        <f>2033.6+12</f>
        <v>2045.6</v>
      </c>
      <c r="L1346" s="179" t="s">
        <v>194</v>
      </c>
      <c r="M1346" s="30"/>
      <c r="N1346" s="29"/>
      <c r="O1346" s="174"/>
      <c r="P1346" s="1090"/>
    </row>
    <row r="1347" spans="1:16">
      <c r="A1347" s="433">
        <v>7</v>
      </c>
      <c r="B1347" s="437"/>
      <c r="C1347" s="437"/>
      <c r="D1347" s="441"/>
      <c r="E1347" s="437" t="s">
        <v>41</v>
      </c>
      <c r="F1347" s="433" t="s">
        <v>1607</v>
      </c>
      <c r="G1347" s="433" t="s">
        <v>196</v>
      </c>
      <c r="H1347" s="43">
        <v>12.3</v>
      </c>
      <c r="I1347" s="44">
        <v>16</v>
      </c>
      <c r="J1347" s="436">
        <v>16</v>
      </c>
      <c r="K1347" s="436">
        <v>16</v>
      </c>
      <c r="L1347" s="179"/>
      <c r="M1347" s="30"/>
      <c r="N1347" s="29"/>
      <c r="O1347" s="174"/>
      <c r="P1347" s="1090"/>
    </row>
    <row r="1348" spans="1:16">
      <c r="A1348" s="433">
        <v>7</v>
      </c>
      <c r="B1348" s="437"/>
      <c r="C1348" s="437"/>
      <c r="D1348" s="441"/>
      <c r="E1348" s="437" t="s">
        <v>41</v>
      </c>
      <c r="F1348" s="433" t="s">
        <v>1607</v>
      </c>
      <c r="G1348" s="433" t="s">
        <v>195</v>
      </c>
      <c r="H1348" s="43">
        <v>86.8</v>
      </c>
      <c r="I1348" s="44">
        <v>84.6</v>
      </c>
      <c r="J1348" s="436">
        <v>84.6</v>
      </c>
      <c r="K1348" s="436"/>
      <c r="L1348" s="179"/>
      <c r="M1348" s="30"/>
      <c r="N1348" s="29"/>
      <c r="O1348" s="174"/>
      <c r="P1348" s="1090"/>
    </row>
    <row r="1349" spans="1:16">
      <c r="A1349" s="433">
        <v>7</v>
      </c>
      <c r="B1349" s="437"/>
      <c r="C1349" s="437"/>
      <c r="D1349" s="441"/>
      <c r="E1349" s="437"/>
      <c r="F1349" s="433" t="s">
        <v>1607</v>
      </c>
      <c r="G1349" s="197" t="s">
        <v>459</v>
      </c>
      <c r="H1349" s="53">
        <f t="shared" ref="H1349:K1349" si="302">SUM(H1346:H1348)</f>
        <v>1701.1</v>
      </c>
      <c r="I1349" s="53">
        <f t="shared" si="302"/>
        <v>1944.6</v>
      </c>
      <c r="J1349" s="53">
        <f t="shared" si="302"/>
        <v>2042.5</v>
      </c>
      <c r="K1349" s="53">
        <f t="shared" si="302"/>
        <v>2061.6</v>
      </c>
      <c r="L1349" s="179"/>
      <c r="M1349" s="30"/>
      <c r="N1349" s="29"/>
      <c r="O1349" s="174"/>
      <c r="P1349" s="1090"/>
    </row>
    <row r="1350" spans="1:16" ht="22.5">
      <c r="A1350" s="433">
        <v>7</v>
      </c>
      <c r="B1350" s="437"/>
      <c r="C1350" s="437" t="s">
        <v>1608</v>
      </c>
      <c r="D1350" s="438" t="s">
        <v>1609</v>
      </c>
      <c r="E1350" s="437" t="s">
        <v>45</v>
      </c>
      <c r="F1350" s="433" t="s">
        <v>1610</v>
      </c>
      <c r="G1350" s="41" t="s">
        <v>193</v>
      </c>
      <c r="H1350" s="43">
        <v>521.70000000000005</v>
      </c>
      <c r="I1350" s="44">
        <f>584.2+18</f>
        <v>602.20000000000005</v>
      </c>
      <c r="J1350" s="42">
        <f>614.7+18</f>
        <v>632.70000000000005</v>
      </c>
      <c r="K1350" s="42">
        <f>647+18</f>
        <v>665</v>
      </c>
      <c r="L1350" s="179" t="s">
        <v>194</v>
      </c>
      <c r="M1350" s="30"/>
      <c r="N1350" s="29"/>
      <c r="O1350" s="174"/>
      <c r="P1350" s="1090"/>
    </row>
    <row r="1351" spans="1:16">
      <c r="A1351" s="433">
        <v>7</v>
      </c>
      <c r="B1351" s="437"/>
      <c r="C1351" s="437"/>
      <c r="D1351" s="441"/>
      <c r="E1351" s="437" t="s">
        <v>45</v>
      </c>
      <c r="F1351" s="433" t="s">
        <v>1610</v>
      </c>
      <c r="G1351" s="41" t="s">
        <v>196</v>
      </c>
      <c r="H1351" s="43">
        <v>14.6</v>
      </c>
      <c r="I1351" s="44">
        <v>15.1</v>
      </c>
      <c r="J1351" s="42">
        <v>15.1</v>
      </c>
      <c r="K1351" s="42">
        <v>15.1</v>
      </c>
      <c r="L1351" s="179"/>
      <c r="M1351" s="30"/>
      <c r="N1351" s="29"/>
      <c r="O1351" s="174"/>
      <c r="P1351" s="1090"/>
    </row>
    <row r="1352" spans="1:16">
      <c r="A1352" s="433">
        <v>7</v>
      </c>
      <c r="B1352" s="437"/>
      <c r="C1352" s="437"/>
      <c r="D1352" s="441"/>
      <c r="E1352" s="437"/>
      <c r="F1352" s="433" t="s">
        <v>1610</v>
      </c>
      <c r="G1352" s="197" t="s">
        <v>459</v>
      </c>
      <c r="H1352" s="53">
        <f>SUM(H1350:H1351)</f>
        <v>536.30000000000007</v>
      </c>
      <c r="I1352" s="53">
        <f>SUM(I1350:I1351)</f>
        <v>617.30000000000007</v>
      </c>
      <c r="J1352" s="53">
        <f>SUM(J1350:J1351)</f>
        <v>647.80000000000007</v>
      </c>
      <c r="K1352" s="53">
        <f>SUM(K1350:K1351)</f>
        <v>680.1</v>
      </c>
      <c r="L1352" s="179"/>
      <c r="M1352" s="30"/>
      <c r="N1352" s="29"/>
      <c r="O1352" s="174"/>
      <c r="P1352" s="1090"/>
    </row>
    <row r="1353" spans="1:16" ht="22.5">
      <c r="A1353" s="433">
        <v>7</v>
      </c>
      <c r="B1353" s="437"/>
      <c r="C1353" s="437" t="s">
        <v>1611</v>
      </c>
      <c r="D1353" s="438" t="s">
        <v>1612</v>
      </c>
      <c r="E1353" s="437" t="s">
        <v>693</v>
      </c>
      <c r="F1353" s="433" t="s">
        <v>1613</v>
      </c>
      <c r="G1353" s="433" t="s">
        <v>193</v>
      </c>
      <c r="H1353" s="43">
        <v>300.3</v>
      </c>
      <c r="I1353" s="876">
        <v>200</v>
      </c>
      <c r="J1353" s="436">
        <v>200</v>
      </c>
      <c r="K1353" s="436">
        <v>200</v>
      </c>
      <c r="L1353" s="179" t="s">
        <v>262</v>
      </c>
      <c r="M1353" s="1002" t="s">
        <v>2170</v>
      </c>
      <c r="N1353" s="1002" t="s">
        <v>2245</v>
      </c>
      <c r="O1353" s="439">
        <v>100</v>
      </c>
      <c r="P1353" s="1090"/>
    </row>
    <row r="1354" spans="1:16">
      <c r="A1354" s="433">
        <v>7</v>
      </c>
      <c r="B1354" s="437"/>
      <c r="C1354" s="437"/>
      <c r="D1354" s="438"/>
      <c r="E1354" s="437"/>
      <c r="F1354" s="433" t="s">
        <v>1613</v>
      </c>
      <c r="G1354" s="197" t="s">
        <v>459</v>
      </c>
      <c r="H1354" s="53">
        <f t="shared" ref="H1354:K1354" si="303">SUM(H1353)</f>
        <v>300.3</v>
      </c>
      <c r="I1354" s="53">
        <f t="shared" si="303"/>
        <v>200</v>
      </c>
      <c r="J1354" s="53">
        <f t="shared" si="303"/>
        <v>200</v>
      </c>
      <c r="K1354" s="53">
        <f t="shared" si="303"/>
        <v>200</v>
      </c>
      <c r="L1354" s="179"/>
      <c r="M1354" s="30"/>
      <c r="N1354" s="29"/>
      <c r="O1354" s="174"/>
      <c r="P1354" s="1090"/>
    </row>
    <row r="1355" spans="1:16" ht="22.5">
      <c r="A1355" s="433">
        <v>7</v>
      </c>
      <c r="B1355" s="190" t="s">
        <v>1614</v>
      </c>
      <c r="C1355" s="190" t="s">
        <v>1614</v>
      </c>
      <c r="D1355" s="198" t="s">
        <v>1615</v>
      </c>
      <c r="E1355" s="437"/>
      <c r="F1355" s="433"/>
      <c r="G1355" s="41"/>
      <c r="H1355" s="85">
        <f>SUM(H1357,H1363,H1365)</f>
        <v>117.39999999999999</v>
      </c>
      <c r="I1355" s="85">
        <f t="shared" ref="I1355:K1355" si="304">SUM(I1357,I1363,I1365)</f>
        <v>170</v>
      </c>
      <c r="J1355" s="85">
        <f t="shared" si="304"/>
        <v>170</v>
      </c>
      <c r="K1355" s="85">
        <f t="shared" si="304"/>
        <v>170</v>
      </c>
      <c r="L1355" s="179"/>
      <c r="M1355" s="30"/>
      <c r="N1355" s="29"/>
      <c r="O1355" s="174"/>
      <c r="P1355" s="1090"/>
    </row>
    <row r="1356" spans="1:16" ht="45">
      <c r="A1356" s="433">
        <v>7</v>
      </c>
      <c r="B1356" s="437"/>
      <c r="C1356" s="437" t="s">
        <v>1616</v>
      </c>
      <c r="D1356" s="418" t="s">
        <v>1617</v>
      </c>
      <c r="E1356" s="437" t="s">
        <v>1618</v>
      </c>
      <c r="F1356" s="433" t="s">
        <v>1619</v>
      </c>
      <c r="G1356" s="433" t="s">
        <v>193</v>
      </c>
      <c r="H1356" s="43">
        <f>50+20+8.5-1.7-4.7</f>
        <v>72.099999999999994</v>
      </c>
      <c r="I1356" s="876">
        <v>70</v>
      </c>
      <c r="J1356" s="442">
        <v>70</v>
      </c>
      <c r="K1356" s="442">
        <v>70</v>
      </c>
      <c r="L1356" s="179" t="s">
        <v>274</v>
      </c>
      <c r="M1356" s="1002" t="s">
        <v>2408</v>
      </c>
      <c r="N1356" s="1002" t="s">
        <v>2409</v>
      </c>
      <c r="O1356" s="439">
        <v>2</v>
      </c>
      <c r="P1356" s="1090"/>
    </row>
    <row r="1357" spans="1:16" ht="22.5">
      <c r="A1357" s="433">
        <v>7</v>
      </c>
      <c r="B1357" s="437"/>
      <c r="C1357" s="437"/>
      <c r="D1357" s="438"/>
      <c r="E1357" s="437" t="s">
        <v>1618</v>
      </c>
      <c r="F1357" s="433" t="s">
        <v>1619</v>
      </c>
      <c r="G1357" s="197" t="s">
        <v>459</v>
      </c>
      <c r="H1357" s="53">
        <f t="shared" ref="H1357:K1357" si="305">SUM(H1356)</f>
        <v>72.099999999999994</v>
      </c>
      <c r="I1357" s="53">
        <f t="shared" si="305"/>
        <v>70</v>
      </c>
      <c r="J1357" s="53">
        <f t="shared" si="305"/>
        <v>70</v>
      </c>
      <c r="K1357" s="53">
        <f t="shared" si="305"/>
        <v>70</v>
      </c>
      <c r="L1357" s="179"/>
      <c r="M1357" s="1002" t="s">
        <v>2408</v>
      </c>
      <c r="N1357" s="1002" t="s">
        <v>2410</v>
      </c>
      <c r="O1357" s="439">
        <v>5</v>
      </c>
      <c r="P1357" s="1090"/>
    </row>
    <row r="1358" spans="1:16" ht="22.5">
      <c r="A1358" s="433">
        <v>7</v>
      </c>
      <c r="B1358" s="437"/>
      <c r="C1358" s="437" t="s">
        <v>1620</v>
      </c>
      <c r="D1358" s="76" t="s">
        <v>1621</v>
      </c>
      <c r="E1358" s="437" t="s">
        <v>1618</v>
      </c>
      <c r="F1358" s="433" t="s">
        <v>1622</v>
      </c>
      <c r="G1358" s="433" t="s">
        <v>193</v>
      </c>
      <c r="H1358" s="43">
        <f>50+20-20-50</f>
        <v>0</v>
      </c>
      <c r="I1358" s="443"/>
      <c r="J1358" s="444">
        <v>50</v>
      </c>
      <c r="K1358" s="444">
        <v>50</v>
      </c>
      <c r="L1358" s="179" t="s">
        <v>274</v>
      </c>
      <c r="M1358" s="1002" t="s">
        <v>2411</v>
      </c>
      <c r="N1358" s="1002" t="s">
        <v>2412</v>
      </c>
      <c r="O1358" s="439">
        <v>1</v>
      </c>
      <c r="P1358" s="1090" t="s">
        <v>275</v>
      </c>
    </row>
    <row r="1359" spans="1:16">
      <c r="A1359" s="433">
        <v>7</v>
      </c>
      <c r="B1359" s="437"/>
      <c r="C1359" s="437"/>
      <c r="D1359" s="438"/>
      <c r="E1359" s="437" t="s">
        <v>45</v>
      </c>
      <c r="F1359" s="433" t="s">
        <v>1622</v>
      </c>
      <c r="G1359" s="433" t="s">
        <v>193</v>
      </c>
      <c r="H1359" s="43">
        <f>22+5</f>
        <v>27</v>
      </c>
      <c r="I1359" s="877">
        <v>20</v>
      </c>
      <c r="J1359" s="444"/>
      <c r="K1359" s="444"/>
      <c r="L1359" s="179" t="s">
        <v>274</v>
      </c>
      <c r="M1359" s="1002" t="s">
        <v>44</v>
      </c>
      <c r="N1359" s="1002" t="s">
        <v>2413</v>
      </c>
      <c r="O1359" s="439"/>
      <c r="P1359" s="1090" t="s">
        <v>275</v>
      </c>
    </row>
    <row r="1360" spans="1:16" ht="22.5">
      <c r="A1360" s="433">
        <v>7</v>
      </c>
      <c r="B1360" s="437"/>
      <c r="C1360" s="437"/>
      <c r="D1360" s="438"/>
      <c r="E1360" s="437" t="s">
        <v>706</v>
      </c>
      <c r="F1360" s="433" t="s">
        <v>1623</v>
      </c>
      <c r="G1360" s="433" t="s">
        <v>193</v>
      </c>
      <c r="H1360" s="43">
        <v>17</v>
      </c>
      <c r="I1360" s="877">
        <v>25</v>
      </c>
      <c r="J1360" s="444"/>
      <c r="K1360" s="444"/>
      <c r="L1360" s="179" t="s">
        <v>274</v>
      </c>
      <c r="M1360" s="1002" t="s">
        <v>147</v>
      </c>
      <c r="N1360" s="1003" t="s">
        <v>2414</v>
      </c>
      <c r="O1360" s="439">
        <v>1</v>
      </c>
      <c r="P1360" s="1090" t="s">
        <v>275</v>
      </c>
    </row>
    <row r="1361" spans="1:16">
      <c r="A1361" s="433">
        <v>7</v>
      </c>
      <c r="B1361" s="437"/>
      <c r="C1361" s="437"/>
      <c r="D1361" s="438"/>
      <c r="E1361" s="445" t="s">
        <v>769</v>
      </c>
      <c r="F1361" s="446" t="s">
        <v>1624</v>
      </c>
      <c r="G1361" s="446" t="s">
        <v>193</v>
      </c>
      <c r="H1361" s="43">
        <v>1.3</v>
      </c>
      <c r="I1361" s="443"/>
      <c r="J1361" s="444"/>
      <c r="K1361" s="444"/>
      <c r="L1361" s="179" t="s">
        <v>274</v>
      </c>
      <c r="M1361" s="30"/>
      <c r="N1361" s="29"/>
      <c r="O1361" s="174"/>
      <c r="P1361" s="1090"/>
    </row>
    <row r="1362" spans="1:16" ht="22.5">
      <c r="A1362" s="433">
        <v>7</v>
      </c>
      <c r="B1362" s="437"/>
      <c r="C1362" s="437"/>
      <c r="D1362" s="438"/>
      <c r="E1362" s="445" t="s">
        <v>773</v>
      </c>
      <c r="F1362" s="433" t="s">
        <v>1625</v>
      </c>
      <c r="G1362" s="446" t="s">
        <v>193</v>
      </c>
      <c r="H1362" s="43"/>
      <c r="I1362" s="443">
        <v>5</v>
      </c>
      <c r="J1362" s="444"/>
      <c r="K1362" s="444"/>
      <c r="L1362" s="179" t="s">
        <v>274</v>
      </c>
      <c r="M1362" s="1002" t="s">
        <v>153</v>
      </c>
      <c r="N1362" s="1002" t="s">
        <v>2415</v>
      </c>
      <c r="O1362" s="439">
        <v>1</v>
      </c>
      <c r="P1362" s="1090" t="s">
        <v>419</v>
      </c>
    </row>
    <row r="1363" spans="1:16">
      <c r="A1363" s="433">
        <v>7</v>
      </c>
      <c r="B1363" s="437"/>
      <c r="C1363" s="437"/>
      <c r="D1363" s="438"/>
      <c r="E1363" s="437"/>
      <c r="F1363" s="433"/>
      <c r="G1363" s="197" t="s">
        <v>459</v>
      </c>
      <c r="H1363" s="53">
        <f>SUM(H1358:H1362)</f>
        <v>45.3</v>
      </c>
      <c r="I1363" s="53">
        <f t="shared" ref="I1363:K1363" si="306">SUM(I1358:I1362)</f>
        <v>50</v>
      </c>
      <c r="J1363" s="53">
        <f t="shared" si="306"/>
        <v>50</v>
      </c>
      <c r="K1363" s="53">
        <f t="shared" si="306"/>
        <v>50</v>
      </c>
      <c r="L1363" s="179"/>
      <c r="M1363" s="30"/>
      <c r="N1363" s="29"/>
      <c r="O1363" s="174"/>
      <c r="P1363" s="1090"/>
    </row>
    <row r="1364" spans="1:16" ht="22.5">
      <c r="A1364" s="433">
        <v>7</v>
      </c>
      <c r="B1364" s="437"/>
      <c r="C1364" s="447" t="s">
        <v>1626</v>
      </c>
      <c r="D1364" s="448" t="s">
        <v>1627</v>
      </c>
      <c r="E1364" s="437" t="s">
        <v>1618</v>
      </c>
      <c r="F1364" s="433" t="s">
        <v>1628</v>
      </c>
      <c r="G1364" s="446" t="s">
        <v>615</v>
      </c>
      <c r="H1364" s="43"/>
      <c r="I1364" s="443">
        <v>50</v>
      </c>
      <c r="J1364" s="442">
        <v>50</v>
      </c>
      <c r="K1364" s="442">
        <v>50</v>
      </c>
      <c r="L1364" s="179" t="s">
        <v>274</v>
      </c>
      <c r="M1364" s="1002" t="s">
        <v>2527</v>
      </c>
      <c r="N1364" s="1002" t="s">
        <v>2416</v>
      </c>
      <c r="O1364" s="439">
        <v>2</v>
      </c>
      <c r="P1364" s="1090"/>
    </row>
    <row r="1365" spans="1:16">
      <c r="A1365" s="433">
        <v>7</v>
      </c>
      <c r="B1365" s="437"/>
      <c r="C1365" s="437"/>
      <c r="D1365" s="438"/>
      <c r="E1365" s="437"/>
      <c r="F1365" s="433"/>
      <c r="G1365" s="197" t="s">
        <v>459</v>
      </c>
      <c r="H1365" s="53">
        <f>SUM(H1364)</f>
        <v>0</v>
      </c>
      <c r="I1365" s="53">
        <f t="shared" ref="I1365:K1365" si="307">SUM(I1364)</f>
        <v>50</v>
      </c>
      <c r="J1365" s="53">
        <f t="shared" si="307"/>
        <v>50</v>
      </c>
      <c r="K1365" s="53">
        <f t="shared" si="307"/>
        <v>50</v>
      </c>
      <c r="L1365" s="179"/>
      <c r="M1365" s="30"/>
      <c r="N1365" s="29"/>
      <c r="O1365" s="174"/>
      <c r="P1365" s="1090"/>
    </row>
    <row r="1366" spans="1:16" ht="22.5">
      <c r="A1366" s="433">
        <v>7</v>
      </c>
      <c r="B1366" s="199"/>
      <c r="C1366" s="199"/>
      <c r="D1366" s="200" t="s">
        <v>1629</v>
      </c>
      <c r="E1366" s="450"/>
      <c r="F1366" s="199"/>
      <c r="G1366" s="202"/>
      <c r="H1366" s="201"/>
      <c r="I1366" s="451"/>
      <c r="J1366" s="451"/>
      <c r="K1366" s="451"/>
      <c r="L1366" s="179"/>
      <c r="M1366" s="30"/>
      <c r="N1366" s="29"/>
      <c r="O1366" s="174"/>
      <c r="P1366" s="1090"/>
    </row>
    <row r="1367" spans="1:16" ht="22.5">
      <c r="A1367" s="433">
        <v>7</v>
      </c>
      <c r="B1367" s="190" t="s">
        <v>1630</v>
      </c>
      <c r="C1367" s="190" t="s">
        <v>1630</v>
      </c>
      <c r="D1367" s="198" t="s">
        <v>1631</v>
      </c>
      <c r="E1367" s="434"/>
      <c r="F1367" s="435"/>
      <c r="G1367" s="85"/>
      <c r="H1367" s="85">
        <f>H1377+H1380+H1383+H1387+H1390+H1393+H1398</f>
        <v>2990.8</v>
      </c>
      <c r="I1367" s="85">
        <f>I1377+I1380+I1383+I1387+I1390+I1393+I1398</f>
        <v>1817.8999999999999</v>
      </c>
      <c r="J1367" s="85">
        <f>J1377+J1380+J1383+J1387+J1390+J1393+J1398</f>
        <v>3265.5</v>
      </c>
      <c r="K1367" s="85">
        <f>K1377+K1380+K1383+K1387+K1390+K1393+K1398</f>
        <v>3166.2</v>
      </c>
      <c r="L1367" s="179"/>
      <c r="M1367" s="30"/>
      <c r="N1367" s="29"/>
      <c r="O1367" s="174"/>
      <c r="P1367" s="1091"/>
    </row>
    <row r="1368" spans="1:16" ht="33.75">
      <c r="A1368" s="433">
        <v>7</v>
      </c>
      <c r="B1368" s="437"/>
      <c r="C1368" s="452" t="s">
        <v>1632</v>
      </c>
      <c r="D1368" s="76" t="s">
        <v>1633</v>
      </c>
      <c r="E1368" s="453">
        <v>8</v>
      </c>
      <c r="F1368" s="433" t="s">
        <v>1634</v>
      </c>
      <c r="G1368" s="196" t="s">
        <v>193</v>
      </c>
      <c r="H1368" s="320"/>
      <c r="I1368" s="454"/>
      <c r="J1368" s="194">
        <v>300</v>
      </c>
      <c r="K1368" s="194">
        <v>300</v>
      </c>
      <c r="L1368" s="179"/>
      <c r="M1368" s="1002" t="s">
        <v>2527</v>
      </c>
      <c r="N1368" s="1002" t="s">
        <v>2417</v>
      </c>
      <c r="O1368" s="439">
        <v>100</v>
      </c>
      <c r="P1368" s="1090"/>
    </row>
    <row r="1369" spans="1:16">
      <c r="A1369" s="433">
        <v>7</v>
      </c>
      <c r="B1369" s="437"/>
      <c r="C1369" s="452"/>
      <c r="D1369" s="305"/>
      <c r="E1369" s="453" t="s">
        <v>41</v>
      </c>
      <c r="F1369" s="433" t="s">
        <v>1634</v>
      </c>
      <c r="G1369" s="196" t="s">
        <v>193</v>
      </c>
      <c r="H1369" s="320">
        <v>60</v>
      </c>
      <c r="I1369" s="878">
        <v>84.3</v>
      </c>
      <c r="J1369" s="194"/>
      <c r="K1369" s="194"/>
      <c r="L1369" s="179"/>
      <c r="M1369" s="1004" t="s">
        <v>2418</v>
      </c>
      <c r="N1369" s="29"/>
      <c r="O1369" s="174"/>
      <c r="P1369" s="1090"/>
    </row>
    <row r="1370" spans="1:16" ht="17.25">
      <c r="A1370" s="433">
        <v>7</v>
      </c>
      <c r="B1370" s="437"/>
      <c r="C1370" s="452"/>
      <c r="D1370" s="305"/>
      <c r="E1370" s="453" t="s">
        <v>43</v>
      </c>
      <c r="F1370" s="433" t="s">
        <v>1634</v>
      </c>
      <c r="G1370" s="196" t="s">
        <v>193</v>
      </c>
      <c r="H1370" s="320">
        <v>10</v>
      </c>
      <c r="I1370" s="878">
        <v>27</v>
      </c>
      <c r="J1370" s="194"/>
      <c r="K1370" s="194"/>
      <c r="L1370" s="179"/>
      <c r="M1370" s="1005" t="s">
        <v>42</v>
      </c>
      <c r="N1370" s="29"/>
      <c r="O1370" s="174"/>
      <c r="P1370" s="1090"/>
    </row>
    <row r="1371" spans="1:16">
      <c r="A1371" s="433">
        <v>7</v>
      </c>
      <c r="B1371" s="437"/>
      <c r="C1371" s="452"/>
      <c r="D1371" s="305"/>
      <c r="E1371" s="453" t="s">
        <v>45</v>
      </c>
      <c r="F1371" s="433" t="s">
        <v>1634</v>
      </c>
      <c r="G1371" s="196" t="s">
        <v>193</v>
      </c>
      <c r="H1371" s="320">
        <v>69.5</v>
      </c>
      <c r="I1371" s="878">
        <f>53-40</f>
        <v>13</v>
      </c>
      <c r="J1371" s="194"/>
      <c r="K1371" s="194"/>
      <c r="L1371" s="179"/>
      <c r="M1371" s="1004" t="s">
        <v>44</v>
      </c>
      <c r="N1371" s="29"/>
      <c r="O1371" s="174"/>
      <c r="P1371" s="1090"/>
    </row>
    <row r="1372" spans="1:16">
      <c r="A1372" s="433">
        <v>7</v>
      </c>
      <c r="B1372" s="437"/>
      <c r="C1372" s="452"/>
      <c r="D1372" s="305"/>
      <c r="E1372" s="453" t="s">
        <v>47</v>
      </c>
      <c r="F1372" s="433" t="s">
        <v>1634</v>
      </c>
      <c r="G1372" s="196" t="s">
        <v>193</v>
      </c>
      <c r="H1372" s="320">
        <v>17</v>
      </c>
      <c r="I1372" s="878">
        <v>36</v>
      </c>
      <c r="J1372" s="194"/>
      <c r="K1372" s="194"/>
      <c r="L1372" s="179"/>
      <c r="M1372" s="1004" t="s">
        <v>46</v>
      </c>
      <c r="N1372" s="29"/>
      <c r="O1372" s="174"/>
      <c r="P1372" s="1090"/>
    </row>
    <row r="1373" spans="1:16">
      <c r="A1373" s="433">
        <v>7</v>
      </c>
      <c r="B1373" s="437"/>
      <c r="C1373" s="452"/>
      <c r="D1373" s="305"/>
      <c r="E1373" s="453" t="s">
        <v>49</v>
      </c>
      <c r="F1373" s="433" t="s">
        <v>1634</v>
      </c>
      <c r="G1373" s="196" t="s">
        <v>193</v>
      </c>
      <c r="H1373" s="320">
        <v>30.5</v>
      </c>
      <c r="I1373" s="878">
        <v>19</v>
      </c>
      <c r="J1373" s="194"/>
      <c r="K1373" s="194"/>
      <c r="L1373" s="179"/>
      <c r="M1373" s="1004" t="s">
        <v>48</v>
      </c>
      <c r="N1373" s="29"/>
      <c r="O1373" s="174"/>
      <c r="P1373" s="1090"/>
    </row>
    <row r="1374" spans="1:16">
      <c r="A1374" s="433">
        <v>7</v>
      </c>
      <c r="B1374" s="437"/>
      <c r="C1374" s="452"/>
      <c r="D1374" s="305"/>
      <c r="E1374" s="453" t="s">
        <v>51</v>
      </c>
      <c r="F1374" s="433" t="s">
        <v>1634</v>
      </c>
      <c r="G1374" s="196" t="s">
        <v>193</v>
      </c>
      <c r="H1374" s="320">
        <v>58.9</v>
      </c>
      <c r="I1374" s="878">
        <v>82.3</v>
      </c>
      <c r="J1374" s="194"/>
      <c r="K1374" s="194"/>
      <c r="L1374" s="179"/>
      <c r="M1374" s="1004" t="s">
        <v>50</v>
      </c>
      <c r="N1374" s="29"/>
      <c r="O1374" s="174"/>
      <c r="P1374" s="1090"/>
    </row>
    <row r="1375" spans="1:16">
      <c r="A1375" s="433">
        <v>7</v>
      </c>
      <c r="B1375" s="437"/>
      <c r="C1375" s="452"/>
      <c r="D1375" s="305"/>
      <c r="E1375" s="453" t="s">
        <v>53</v>
      </c>
      <c r="F1375" s="433" t="s">
        <v>1634</v>
      </c>
      <c r="G1375" s="196" t="s">
        <v>193</v>
      </c>
      <c r="H1375" s="320">
        <v>35</v>
      </c>
      <c r="I1375" s="878">
        <v>50</v>
      </c>
      <c r="J1375" s="194"/>
      <c r="K1375" s="194"/>
      <c r="L1375" s="179"/>
      <c r="M1375" s="1004" t="s">
        <v>52</v>
      </c>
      <c r="N1375" s="29"/>
      <c r="O1375" s="174"/>
      <c r="P1375" s="1090"/>
    </row>
    <row r="1376" spans="1:16">
      <c r="A1376" s="433">
        <v>7</v>
      </c>
      <c r="B1376" s="437"/>
      <c r="C1376" s="452"/>
      <c r="D1376" s="305"/>
      <c r="E1376" s="453" t="s">
        <v>55</v>
      </c>
      <c r="F1376" s="433" t="s">
        <v>1634</v>
      </c>
      <c r="G1376" s="196" t="s">
        <v>193</v>
      </c>
      <c r="H1376" s="320">
        <v>18.899999999999999</v>
      </c>
      <c r="I1376" s="878">
        <v>38.4</v>
      </c>
      <c r="J1376" s="194"/>
      <c r="K1376" s="194"/>
      <c r="L1376" s="179"/>
      <c r="M1376" s="1004" t="s">
        <v>54</v>
      </c>
      <c r="N1376" s="29"/>
      <c r="O1376" s="174"/>
      <c r="P1376" s="1090"/>
    </row>
    <row r="1377" spans="1:16">
      <c r="A1377" s="433">
        <v>7</v>
      </c>
      <c r="B1377" s="437"/>
      <c r="C1377" s="452"/>
      <c r="D1377" s="305"/>
      <c r="E1377" s="453"/>
      <c r="F1377" s="433" t="s">
        <v>1634</v>
      </c>
      <c r="G1377" s="197" t="s">
        <v>459</v>
      </c>
      <c r="H1377" s="53">
        <f t="shared" ref="H1377:K1377" si="308">SUM(H1368:H1376)</f>
        <v>299.79999999999995</v>
      </c>
      <c r="I1377" s="53">
        <f t="shared" si="308"/>
        <v>350</v>
      </c>
      <c r="J1377" s="53">
        <f t="shared" si="308"/>
        <v>300</v>
      </c>
      <c r="K1377" s="53">
        <f t="shared" si="308"/>
        <v>300</v>
      </c>
      <c r="L1377" s="179" t="s">
        <v>274</v>
      </c>
      <c r="M1377" s="30"/>
      <c r="N1377" s="29"/>
      <c r="O1377" s="174"/>
      <c r="P1377" s="1090"/>
    </row>
    <row r="1378" spans="1:16">
      <c r="A1378" s="433">
        <v>7</v>
      </c>
      <c r="B1378" s="437"/>
      <c r="C1378" s="437" t="s">
        <v>1635</v>
      </c>
      <c r="D1378" s="455" t="s">
        <v>1636</v>
      </c>
      <c r="E1378" s="196">
        <v>9</v>
      </c>
      <c r="F1378" s="196" t="s">
        <v>1637</v>
      </c>
      <c r="G1378" s="196" t="s">
        <v>193</v>
      </c>
      <c r="H1378" s="43">
        <v>2497.4</v>
      </c>
      <c r="I1378" s="454"/>
      <c r="J1378" s="194"/>
      <c r="K1378" s="194"/>
      <c r="L1378" s="179" t="s">
        <v>385</v>
      </c>
      <c r="M1378" s="30"/>
      <c r="N1378" s="29"/>
      <c r="O1378" s="174"/>
      <c r="P1378" s="1090" t="s">
        <v>275</v>
      </c>
    </row>
    <row r="1379" spans="1:16">
      <c r="A1379" s="433">
        <v>7</v>
      </c>
      <c r="B1379" s="437"/>
      <c r="C1379" s="437"/>
      <c r="D1379" s="76"/>
      <c r="E1379" s="196" t="s">
        <v>47</v>
      </c>
      <c r="F1379" s="196" t="s">
        <v>1637</v>
      </c>
      <c r="G1379" s="196" t="s">
        <v>193</v>
      </c>
      <c r="H1379" s="43">
        <v>109.9</v>
      </c>
      <c r="I1379" s="454"/>
      <c r="J1379" s="194"/>
      <c r="K1379" s="194"/>
      <c r="L1379" s="179" t="s">
        <v>385</v>
      </c>
      <c r="M1379" s="30"/>
      <c r="N1379" s="29"/>
      <c r="O1379" s="174"/>
      <c r="P1379" s="1090" t="s">
        <v>275</v>
      </c>
    </row>
    <row r="1380" spans="1:16">
      <c r="A1380" s="433">
        <v>7</v>
      </c>
      <c r="B1380" s="437"/>
      <c r="C1380" s="437"/>
      <c r="D1380" s="76"/>
      <c r="E1380" s="196"/>
      <c r="F1380" s="196" t="s">
        <v>1637</v>
      </c>
      <c r="G1380" s="197" t="s">
        <v>459</v>
      </c>
      <c r="H1380" s="53">
        <f>SUM(H1378:H1379)</f>
        <v>2607.3000000000002</v>
      </c>
      <c r="I1380" s="53">
        <f>SUM(I1378:I1379)</f>
        <v>0</v>
      </c>
      <c r="J1380" s="53">
        <f>SUM(J1378:J1379)</f>
        <v>0</v>
      </c>
      <c r="K1380" s="53">
        <f>SUM(K1378:K1379)</f>
        <v>0</v>
      </c>
      <c r="L1380" s="179" t="s">
        <v>385</v>
      </c>
      <c r="M1380" s="30"/>
      <c r="N1380" s="29"/>
      <c r="O1380" s="174"/>
      <c r="P1380" s="1090"/>
    </row>
    <row r="1381" spans="1:16">
      <c r="A1381" s="433">
        <v>7</v>
      </c>
      <c r="B1381" s="437"/>
      <c r="C1381" s="437" t="s">
        <v>1638</v>
      </c>
      <c r="D1381" s="455" t="s">
        <v>1639</v>
      </c>
      <c r="E1381" s="196">
        <v>9</v>
      </c>
      <c r="F1381" s="433" t="s">
        <v>1640</v>
      </c>
      <c r="G1381" s="196" t="s">
        <v>193</v>
      </c>
      <c r="H1381" s="320">
        <v>75.2</v>
      </c>
      <c r="I1381" s="454">
        <f>1518+1000-500-100-918-800+24.8</f>
        <v>224.8</v>
      </c>
      <c r="J1381" s="194">
        <f>500+100+918</f>
        <v>1518</v>
      </c>
      <c r="K1381" s="194"/>
      <c r="L1381" s="179" t="s">
        <v>385</v>
      </c>
      <c r="M1381" s="1002" t="s">
        <v>2218</v>
      </c>
      <c r="N1381" s="1002" t="s">
        <v>2419</v>
      </c>
      <c r="O1381" s="439">
        <v>100</v>
      </c>
      <c r="P1381" s="1090" t="s">
        <v>399</v>
      </c>
    </row>
    <row r="1382" spans="1:16">
      <c r="A1382" s="433">
        <v>7</v>
      </c>
      <c r="B1382" s="437"/>
      <c r="C1382" s="437"/>
      <c r="D1382" s="76"/>
      <c r="E1382" s="196">
        <v>9</v>
      </c>
      <c r="F1382" s="433" t="s">
        <v>1640</v>
      </c>
      <c r="G1382" s="196" t="s">
        <v>381</v>
      </c>
      <c r="H1382" s="320"/>
      <c r="I1382" s="454">
        <v>800</v>
      </c>
      <c r="J1382" s="194"/>
      <c r="K1382" s="194"/>
      <c r="L1382" s="179" t="s">
        <v>385</v>
      </c>
      <c r="M1382" s="30"/>
      <c r="N1382" s="29"/>
      <c r="O1382" s="174"/>
      <c r="P1382" s="1090" t="s">
        <v>399</v>
      </c>
    </row>
    <row r="1383" spans="1:16">
      <c r="A1383" s="433">
        <v>7</v>
      </c>
      <c r="B1383" s="437"/>
      <c r="C1383" s="437"/>
      <c r="D1383" s="76"/>
      <c r="E1383" s="196"/>
      <c r="F1383" s="433" t="s">
        <v>1640</v>
      </c>
      <c r="G1383" s="197" t="s">
        <v>459</v>
      </c>
      <c r="H1383" s="53">
        <f t="shared" ref="H1383:K1383" si="309">SUM(H1381:H1382)</f>
        <v>75.2</v>
      </c>
      <c r="I1383" s="53">
        <f t="shared" si="309"/>
        <v>1024.8</v>
      </c>
      <c r="J1383" s="53">
        <f t="shared" si="309"/>
        <v>1518</v>
      </c>
      <c r="K1383" s="53">
        <f t="shared" si="309"/>
        <v>0</v>
      </c>
      <c r="L1383" s="179"/>
      <c r="M1383" s="30"/>
      <c r="N1383" s="29"/>
      <c r="O1383" s="174"/>
      <c r="P1383" s="1090"/>
    </row>
    <row r="1384" spans="1:16" ht="22.5">
      <c r="A1384" s="433">
        <v>7</v>
      </c>
      <c r="B1384" s="437"/>
      <c r="C1384" s="437" t="s">
        <v>1641</v>
      </c>
      <c r="D1384" s="455" t="s">
        <v>1642</v>
      </c>
      <c r="E1384" s="196">
        <v>9</v>
      </c>
      <c r="F1384" s="433" t="s">
        <v>1643</v>
      </c>
      <c r="G1384" s="196" t="s">
        <v>193</v>
      </c>
      <c r="H1384" s="320">
        <v>8.5</v>
      </c>
      <c r="I1384" s="454">
        <v>83.1</v>
      </c>
      <c r="J1384" s="194">
        <f>1387.5-500-500</f>
        <v>387.5</v>
      </c>
      <c r="K1384" s="194">
        <f>1396.2+500</f>
        <v>1896.2</v>
      </c>
      <c r="L1384" s="179" t="s">
        <v>398</v>
      </c>
      <c r="M1384" s="1003" t="s">
        <v>2219</v>
      </c>
      <c r="N1384" s="29" t="s">
        <v>2420</v>
      </c>
      <c r="O1384" s="174">
        <v>1</v>
      </c>
      <c r="P1384" s="1090" t="s">
        <v>275</v>
      </c>
    </row>
    <row r="1385" spans="1:16">
      <c r="A1385" s="433"/>
      <c r="B1385" s="437"/>
      <c r="C1385" s="437"/>
      <c r="D1385" s="455"/>
      <c r="E1385" s="196"/>
      <c r="F1385" s="433"/>
      <c r="G1385" s="196" t="s">
        <v>283</v>
      </c>
      <c r="H1385" s="320"/>
      <c r="I1385" s="454"/>
      <c r="J1385" s="194"/>
      <c r="K1385" s="194">
        <v>500</v>
      </c>
      <c r="L1385" s="179"/>
      <c r="M1385" s="30"/>
      <c r="N1385" s="29"/>
      <c r="O1385" s="174"/>
      <c r="P1385" s="1090"/>
    </row>
    <row r="1386" spans="1:16">
      <c r="A1386" s="433">
        <v>7</v>
      </c>
      <c r="B1386" s="437"/>
      <c r="C1386" s="437"/>
      <c r="D1386" s="455"/>
      <c r="E1386" s="196">
        <v>9</v>
      </c>
      <c r="F1386" s="433" t="s">
        <v>1643</v>
      </c>
      <c r="G1386" s="193" t="s">
        <v>381</v>
      </c>
      <c r="H1386" s="320"/>
      <c r="I1386" s="454"/>
      <c r="J1386" s="320"/>
      <c r="K1386" s="320"/>
      <c r="L1386" s="179"/>
      <c r="M1386" s="30"/>
      <c r="N1386" s="29"/>
      <c r="O1386" s="174"/>
      <c r="P1386" s="1090" t="s">
        <v>275</v>
      </c>
    </row>
    <row r="1387" spans="1:16">
      <c r="A1387" s="433">
        <v>7</v>
      </c>
      <c r="B1387" s="437"/>
      <c r="C1387" s="437"/>
      <c r="D1387" s="456"/>
      <c r="E1387" s="457"/>
      <c r="F1387" s="433" t="s">
        <v>1643</v>
      </c>
      <c r="G1387" s="197" t="s">
        <v>459</v>
      </c>
      <c r="H1387" s="53">
        <f t="shared" ref="H1387:K1387" si="310">SUM(H1384:H1386)</f>
        <v>8.5</v>
      </c>
      <c r="I1387" s="53">
        <f t="shared" si="310"/>
        <v>83.1</v>
      </c>
      <c r="J1387" s="53">
        <f t="shared" si="310"/>
        <v>387.5</v>
      </c>
      <c r="K1387" s="53">
        <f t="shared" si="310"/>
        <v>2396.1999999999998</v>
      </c>
      <c r="L1387" s="179"/>
      <c r="M1387" s="30"/>
      <c r="N1387" s="29"/>
      <c r="O1387" s="174"/>
      <c r="P1387" s="1090"/>
    </row>
    <row r="1388" spans="1:16" ht="22.5">
      <c r="A1388" s="433">
        <v>7</v>
      </c>
      <c r="B1388" s="437"/>
      <c r="C1388" s="437" t="s">
        <v>1644</v>
      </c>
      <c r="D1388" s="455" t="s">
        <v>1645</v>
      </c>
      <c r="E1388" s="196">
        <v>9</v>
      </c>
      <c r="F1388" s="433" t="s">
        <v>1646</v>
      </c>
      <c r="G1388" s="196" t="s">
        <v>193</v>
      </c>
      <c r="H1388" s="320"/>
      <c r="I1388" s="454">
        <v>200</v>
      </c>
      <c r="J1388" s="194"/>
      <c r="K1388" s="194"/>
      <c r="L1388" s="179" t="s">
        <v>398</v>
      </c>
      <c r="M1388" s="1003" t="s">
        <v>2217</v>
      </c>
      <c r="N1388" s="126" t="s">
        <v>2421</v>
      </c>
      <c r="O1388" s="174">
        <v>1</v>
      </c>
      <c r="P1388" s="1090" t="s">
        <v>429</v>
      </c>
    </row>
    <row r="1389" spans="1:16">
      <c r="A1389" s="433">
        <v>7</v>
      </c>
      <c r="B1389" s="437"/>
      <c r="C1389" s="437"/>
      <c r="D1389" s="455"/>
      <c r="E1389" s="196">
        <v>9</v>
      </c>
      <c r="F1389" s="433" t="s">
        <v>1646</v>
      </c>
      <c r="G1389" s="196" t="s">
        <v>381</v>
      </c>
      <c r="H1389" s="320"/>
      <c r="I1389" s="454"/>
      <c r="J1389" s="194"/>
      <c r="K1389" s="194"/>
      <c r="L1389" s="179"/>
      <c r="M1389" s="30"/>
      <c r="N1389" s="29"/>
      <c r="O1389" s="174"/>
      <c r="P1389" s="1090"/>
    </row>
    <row r="1390" spans="1:16">
      <c r="A1390" s="433">
        <v>7</v>
      </c>
      <c r="B1390" s="437"/>
      <c r="C1390" s="437"/>
      <c r="D1390" s="456"/>
      <c r="E1390" s="458"/>
      <c r="F1390" s="433"/>
      <c r="G1390" s="197" t="s">
        <v>459</v>
      </c>
      <c r="H1390" s="53">
        <f>SUM(H1388:H1389)</f>
        <v>0</v>
      </c>
      <c r="I1390" s="53">
        <f t="shared" ref="I1390:K1390" si="311">SUM(I1388:I1389)</f>
        <v>200</v>
      </c>
      <c r="J1390" s="53">
        <f t="shared" si="311"/>
        <v>0</v>
      </c>
      <c r="K1390" s="53">
        <f t="shared" si="311"/>
        <v>0</v>
      </c>
      <c r="L1390" s="179"/>
      <c r="M1390" s="30"/>
      <c r="N1390" s="29"/>
      <c r="O1390" s="174"/>
      <c r="P1390" s="1090"/>
    </row>
    <row r="1391" spans="1:16">
      <c r="A1391" s="433">
        <v>7</v>
      </c>
      <c r="B1391" s="437"/>
      <c r="C1391" s="437" t="s">
        <v>1647</v>
      </c>
      <c r="D1391" s="455" t="s">
        <v>1648</v>
      </c>
      <c r="E1391" s="193">
        <v>9</v>
      </c>
      <c r="F1391" s="446"/>
      <c r="G1391" s="196" t="s">
        <v>283</v>
      </c>
      <c r="H1391" s="320"/>
      <c r="I1391" s="454"/>
      <c r="J1391" s="194"/>
      <c r="K1391" s="194"/>
      <c r="L1391" s="179"/>
      <c r="M1391" s="30"/>
      <c r="N1391" s="29"/>
      <c r="O1391" s="174"/>
      <c r="P1391" s="1090" t="s">
        <v>392</v>
      </c>
    </row>
    <row r="1392" spans="1:16">
      <c r="A1392" s="433">
        <v>7</v>
      </c>
      <c r="B1392" s="437"/>
      <c r="C1392" s="437"/>
      <c r="D1392" s="314"/>
      <c r="E1392" s="193">
        <v>9</v>
      </c>
      <c r="F1392" s="446"/>
      <c r="G1392" s="193" t="s">
        <v>193</v>
      </c>
      <c r="H1392" s="320"/>
      <c r="I1392" s="454"/>
      <c r="J1392" s="194">
        <v>50</v>
      </c>
      <c r="K1392" s="194">
        <f>100-100</f>
        <v>0</v>
      </c>
      <c r="L1392" s="179" t="s">
        <v>268</v>
      </c>
      <c r="M1392" s="30"/>
      <c r="N1392" s="29"/>
      <c r="O1392" s="174"/>
      <c r="P1392" s="1090" t="s">
        <v>392</v>
      </c>
    </row>
    <row r="1393" spans="1:16">
      <c r="A1393" s="433">
        <v>7</v>
      </c>
      <c r="B1393" s="437"/>
      <c r="C1393" s="437"/>
      <c r="D1393" s="76"/>
      <c r="E1393" s="458"/>
      <c r="F1393" s="433"/>
      <c r="G1393" s="197" t="s">
        <v>459</v>
      </c>
      <c r="H1393" s="53">
        <f t="shared" ref="H1393:K1393" si="312">SUM(H1391,H1392)</f>
        <v>0</v>
      </c>
      <c r="I1393" s="53">
        <f t="shared" si="312"/>
        <v>0</v>
      </c>
      <c r="J1393" s="53">
        <f t="shared" si="312"/>
        <v>50</v>
      </c>
      <c r="K1393" s="53">
        <f t="shared" si="312"/>
        <v>0</v>
      </c>
      <c r="L1393" s="179"/>
      <c r="M1393" s="30"/>
      <c r="N1393" s="29"/>
      <c r="O1393" s="174"/>
      <c r="P1393" s="1090"/>
    </row>
    <row r="1394" spans="1:16" ht="22.5">
      <c r="A1394" s="433">
        <v>7</v>
      </c>
      <c r="B1394" s="437"/>
      <c r="C1394" s="437" t="s">
        <v>1649</v>
      </c>
      <c r="D1394" s="459" t="s">
        <v>1650</v>
      </c>
      <c r="E1394" s="460" t="s">
        <v>41</v>
      </c>
      <c r="F1394" s="460" t="s">
        <v>1651</v>
      </c>
      <c r="G1394" s="414" t="s">
        <v>193</v>
      </c>
      <c r="H1394" s="320"/>
      <c r="I1394" s="918">
        <v>50</v>
      </c>
      <c r="J1394" s="461">
        <v>0</v>
      </c>
      <c r="K1394" s="422">
        <v>0</v>
      </c>
      <c r="L1394" s="179" t="s">
        <v>398</v>
      </c>
      <c r="M1394" s="1033" t="s">
        <v>2418</v>
      </c>
      <c r="N1394" s="1002" t="s">
        <v>2422</v>
      </c>
      <c r="O1394" s="174"/>
      <c r="P1394" s="1090" t="s">
        <v>419</v>
      </c>
    </row>
    <row r="1395" spans="1:16">
      <c r="A1395" s="433">
        <v>7</v>
      </c>
      <c r="B1395" s="437"/>
      <c r="C1395" s="437"/>
      <c r="D1395" s="462" t="s">
        <v>829</v>
      </c>
      <c r="E1395" s="463">
        <v>9</v>
      </c>
      <c r="F1395" s="463" t="s">
        <v>1651</v>
      </c>
      <c r="G1395" s="464" t="s">
        <v>193</v>
      </c>
      <c r="H1395" s="320"/>
      <c r="I1395" s="465">
        <v>110</v>
      </c>
      <c r="J1395" s="771">
        <v>135</v>
      </c>
      <c r="K1395" s="422">
        <v>0</v>
      </c>
      <c r="L1395" s="179" t="s">
        <v>398</v>
      </c>
      <c r="M1395" s="1033" t="s">
        <v>2219</v>
      </c>
      <c r="N1395" s="1002" t="s">
        <v>2423</v>
      </c>
      <c r="O1395" s="174">
        <v>1</v>
      </c>
      <c r="P1395" s="1090" t="s">
        <v>419</v>
      </c>
    </row>
    <row r="1396" spans="1:16">
      <c r="A1396" s="433">
        <v>7</v>
      </c>
      <c r="B1396" s="437"/>
      <c r="C1396" s="437"/>
      <c r="D1396" s="462" t="s">
        <v>829</v>
      </c>
      <c r="E1396" s="463">
        <v>9</v>
      </c>
      <c r="F1396" s="463" t="s">
        <v>1651</v>
      </c>
      <c r="G1396" s="464" t="s">
        <v>267</v>
      </c>
      <c r="H1396" s="320"/>
      <c r="I1396" s="465">
        <v>0</v>
      </c>
      <c r="J1396" s="466">
        <v>755</v>
      </c>
      <c r="K1396" s="422">
        <v>470</v>
      </c>
      <c r="L1396" s="179"/>
      <c r="M1396" s="30"/>
      <c r="N1396" s="29"/>
      <c r="O1396" s="174"/>
      <c r="P1396" s="1090" t="s">
        <v>419</v>
      </c>
    </row>
    <row r="1397" spans="1:16">
      <c r="A1397" s="433">
        <v>7</v>
      </c>
      <c r="B1397" s="437"/>
      <c r="C1397" s="437"/>
      <c r="D1397" s="462" t="s">
        <v>829</v>
      </c>
      <c r="E1397" s="463">
        <v>9</v>
      </c>
      <c r="F1397" s="463" t="s">
        <v>1651</v>
      </c>
      <c r="G1397" s="464" t="s">
        <v>1652</v>
      </c>
      <c r="H1397" s="320"/>
      <c r="I1397" s="465">
        <v>0</v>
      </c>
      <c r="J1397" s="466">
        <v>120</v>
      </c>
      <c r="K1397" s="422"/>
      <c r="L1397" s="179"/>
      <c r="M1397" s="30"/>
      <c r="N1397" s="29"/>
      <c r="O1397" s="174"/>
      <c r="P1397" s="1090" t="s">
        <v>419</v>
      </c>
    </row>
    <row r="1398" spans="1:16">
      <c r="A1398" s="433">
        <v>7</v>
      </c>
      <c r="B1398" s="437"/>
      <c r="C1398" s="437"/>
      <c r="D1398" s="76"/>
      <c r="E1398" s="458"/>
      <c r="F1398" s="433"/>
      <c r="G1398" s="197" t="s">
        <v>459</v>
      </c>
      <c r="H1398" s="53">
        <f>SUM(H1394,H1395,H1396,H1397)</f>
        <v>0</v>
      </c>
      <c r="I1398" s="53">
        <f t="shared" ref="I1398:K1398" si="313">SUM(I1394,I1395,I1396,I1397)</f>
        <v>160</v>
      </c>
      <c r="J1398" s="53">
        <f t="shared" si="313"/>
        <v>1010</v>
      </c>
      <c r="K1398" s="53">
        <f t="shared" si="313"/>
        <v>470</v>
      </c>
      <c r="L1398" s="179"/>
      <c r="M1398" s="30"/>
      <c r="N1398" s="29"/>
      <c r="O1398" s="174"/>
      <c r="P1398" s="1090"/>
    </row>
    <row r="1399" spans="1:16" ht="33.75">
      <c r="A1399" s="433">
        <v>7</v>
      </c>
      <c r="B1399" s="199"/>
      <c r="C1399" s="199"/>
      <c r="D1399" s="200" t="s">
        <v>1653</v>
      </c>
      <c r="E1399" s="450"/>
      <c r="F1399" s="199"/>
      <c r="G1399" s="202"/>
      <c r="H1399" s="201"/>
      <c r="I1399" s="451">
        <f>SUM(I1387)</f>
        <v>83.1</v>
      </c>
      <c r="J1399" s="451">
        <f>SUM(J1387)</f>
        <v>387.5</v>
      </c>
      <c r="K1399" s="451">
        <f>SUM(K1387)</f>
        <v>2396.1999999999998</v>
      </c>
      <c r="L1399" s="179"/>
      <c r="M1399" s="30"/>
      <c r="N1399" s="29"/>
      <c r="O1399" s="174"/>
      <c r="P1399" s="1090"/>
    </row>
    <row r="1400" spans="1:16">
      <c r="A1400" s="433">
        <v>7</v>
      </c>
      <c r="B1400" s="190" t="s">
        <v>1654</v>
      </c>
      <c r="C1400" s="190" t="s">
        <v>1654</v>
      </c>
      <c r="D1400" s="198" t="s">
        <v>1655</v>
      </c>
      <c r="E1400" s="433">
        <v>8</v>
      </c>
      <c r="F1400" s="433" t="s">
        <v>1656</v>
      </c>
      <c r="G1400" s="433" t="s">
        <v>193</v>
      </c>
      <c r="H1400" s="43">
        <f>67+1.7</f>
        <v>68.7</v>
      </c>
      <c r="I1400" s="467">
        <v>65</v>
      </c>
      <c r="J1400" s="436">
        <v>70</v>
      </c>
      <c r="K1400" s="436">
        <v>75</v>
      </c>
      <c r="L1400" s="179" t="s">
        <v>274</v>
      </c>
      <c r="M1400" s="1002" t="s">
        <v>2528</v>
      </c>
      <c r="N1400" s="1002" t="s">
        <v>2424</v>
      </c>
      <c r="O1400" s="439">
        <v>24</v>
      </c>
      <c r="P1400" s="1090"/>
    </row>
    <row r="1401" spans="1:16">
      <c r="A1401" s="433">
        <v>7</v>
      </c>
      <c r="B1401" s="437"/>
      <c r="C1401" s="437"/>
      <c r="D1401" s="438"/>
      <c r="E1401" s="433"/>
      <c r="F1401" s="433" t="s">
        <v>1656</v>
      </c>
      <c r="G1401" s="197" t="s">
        <v>459</v>
      </c>
      <c r="H1401" s="53">
        <f t="shared" ref="H1401:K1401" si="314">SUM(H1400)</f>
        <v>68.7</v>
      </c>
      <c r="I1401" s="53">
        <f t="shared" si="314"/>
        <v>65</v>
      </c>
      <c r="J1401" s="53">
        <f t="shared" si="314"/>
        <v>70</v>
      </c>
      <c r="K1401" s="53">
        <f t="shared" si="314"/>
        <v>75</v>
      </c>
      <c r="L1401" s="179"/>
      <c r="M1401" s="1002"/>
      <c r="N1401" s="1002"/>
      <c r="O1401" s="439"/>
      <c r="P1401" s="1090"/>
    </row>
    <row r="1402" spans="1:16" ht="22.5">
      <c r="A1402" s="433">
        <v>7</v>
      </c>
      <c r="B1402" s="190" t="s">
        <v>1657</v>
      </c>
      <c r="C1402" s="190" t="s">
        <v>1657</v>
      </c>
      <c r="D1402" s="198" t="s">
        <v>1658</v>
      </c>
      <c r="E1402" s="433">
        <v>8</v>
      </c>
      <c r="F1402" s="433" t="s">
        <v>1659</v>
      </c>
      <c r="G1402" s="433" t="s">
        <v>193</v>
      </c>
      <c r="H1402" s="43">
        <v>4.5</v>
      </c>
      <c r="I1402" s="467">
        <v>4.5</v>
      </c>
      <c r="J1402" s="436">
        <v>4.5</v>
      </c>
      <c r="K1402" s="436">
        <v>4.5</v>
      </c>
      <c r="L1402" s="179" t="s">
        <v>274</v>
      </c>
      <c r="M1402" s="1002" t="s">
        <v>2529</v>
      </c>
      <c r="N1402" s="1002" t="s">
        <v>2425</v>
      </c>
      <c r="O1402" s="439">
        <v>5</v>
      </c>
      <c r="P1402" s="1090"/>
    </row>
    <row r="1403" spans="1:16">
      <c r="A1403" s="433">
        <v>7</v>
      </c>
      <c r="B1403" s="283"/>
      <c r="C1403" s="283"/>
      <c r="D1403" s="126"/>
      <c r="E1403" s="433"/>
      <c r="F1403" s="433" t="s">
        <v>1659</v>
      </c>
      <c r="G1403" s="197" t="s">
        <v>459</v>
      </c>
      <c r="H1403" s="53">
        <f>H1402</f>
        <v>4.5</v>
      </c>
      <c r="I1403" s="53">
        <f>I1402</f>
        <v>4.5</v>
      </c>
      <c r="J1403" s="53">
        <f>J1402</f>
        <v>4.5</v>
      </c>
      <c r="K1403" s="53">
        <f>K1402</f>
        <v>4.5</v>
      </c>
      <c r="L1403" s="179"/>
      <c r="M1403" s="30"/>
      <c r="N1403" s="29"/>
      <c r="O1403" s="174"/>
      <c r="P1403" s="1090"/>
    </row>
    <row r="1404" spans="1:16" ht="22.5">
      <c r="A1404" s="433">
        <v>7</v>
      </c>
      <c r="B1404" s="199"/>
      <c r="C1404" s="199"/>
      <c r="D1404" s="200" t="s">
        <v>1660</v>
      </c>
      <c r="E1404" s="450"/>
      <c r="F1404" s="199"/>
      <c r="G1404" s="202"/>
      <c r="H1404" s="201"/>
      <c r="I1404" s="451">
        <f>SUM(I1402)</f>
        <v>4.5</v>
      </c>
      <c r="J1404" s="451">
        <f>SUM(J1402)</f>
        <v>4.5</v>
      </c>
      <c r="K1404" s="451">
        <f>SUM(K1402)</f>
        <v>4.5</v>
      </c>
      <c r="L1404" s="179"/>
      <c r="M1404" s="30"/>
      <c r="N1404" s="29"/>
      <c r="O1404" s="174"/>
      <c r="P1404" s="1090"/>
    </row>
    <row r="1405" spans="1:16" ht="21.6" customHeight="1">
      <c r="A1405" s="433">
        <v>7</v>
      </c>
      <c r="B1405" s="190" t="s">
        <v>1661</v>
      </c>
      <c r="C1405" s="190" t="s">
        <v>1661</v>
      </c>
      <c r="D1405" s="468" t="s">
        <v>1662</v>
      </c>
      <c r="E1405" s="433"/>
      <c r="F1405" s="433"/>
      <c r="G1405" s="41"/>
      <c r="H1405" s="85">
        <f>SUM(H1409,H1421,H1423,H1425,H1429,H1439)</f>
        <v>307.20000000000005</v>
      </c>
      <c r="I1405" s="85">
        <f>SUM(I1409,I1421,I1423,I1425,I1429,I1439)</f>
        <v>657</v>
      </c>
      <c r="J1405" s="85">
        <f>SUM(J1409,J1421,J1423,J1425,J1429,J1439)</f>
        <v>636.70000000000005</v>
      </c>
      <c r="K1405" s="85">
        <f>SUM(K1409,K1421,K1423,K1425,K1429,K1439)</f>
        <v>992.7</v>
      </c>
      <c r="L1405" s="179"/>
      <c r="M1405" s="30"/>
      <c r="N1405" s="29"/>
      <c r="O1405" s="174"/>
      <c r="P1405" s="1090"/>
    </row>
    <row r="1406" spans="1:16" ht="16.149999999999999" customHeight="1">
      <c r="A1406" s="433">
        <v>7</v>
      </c>
      <c r="B1406" s="437"/>
      <c r="C1406" s="437" t="s">
        <v>1663</v>
      </c>
      <c r="D1406" s="205" t="s">
        <v>1664</v>
      </c>
      <c r="E1406" s="433">
        <v>2</v>
      </c>
      <c r="F1406" s="433" t="s">
        <v>1665</v>
      </c>
      <c r="G1406" s="446"/>
      <c r="H1406" s="469"/>
      <c r="I1406" s="467"/>
      <c r="J1406" s="469"/>
      <c r="K1406" s="469"/>
      <c r="L1406" s="179"/>
      <c r="M1406" s="30"/>
      <c r="N1406" s="29"/>
      <c r="O1406" s="174"/>
      <c r="P1406" s="1092"/>
    </row>
    <row r="1407" spans="1:16" ht="22.5">
      <c r="A1407" s="433">
        <v>7</v>
      </c>
      <c r="B1407" s="437"/>
      <c r="C1407" s="447" t="s">
        <v>1666</v>
      </c>
      <c r="D1407" s="448" t="s">
        <v>1667</v>
      </c>
      <c r="E1407" s="433">
        <v>2</v>
      </c>
      <c r="F1407" s="433" t="s">
        <v>1665</v>
      </c>
      <c r="G1407" s="433" t="s">
        <v>193</v>
      </c>
      <c r="H1407" s="43">
        <v>48.2</v>
      </c>
      <c r="I1407" s="449">
        <v>53.8</v>
      </c>
      <c r="J1407" s="470">
        <v>60</v>
      </c>
      <c r="K1407" s="470">
        <v>60</v>
      </c>
      <c r="L1407" s="179" t="s">
        <v>274</v>
      </c>
      <c r="M1407" s="1006" t="s">
        <v>2530</v>
      </c>
      <c r="N1407" s="1006" t="s">
        <v>2426</v>
      </c>
      <c r="O1407" s="439">
        <v>8</v>
      </c>
      <c r="P1407" s="1093"/>
    </row>
    <row r="1408" spans="1:16" ht="22.5">
      <c r="A1408" s="433">
        <v>7</v>
      </c>
      <c r="B1408" s="437"/>
      <c r="C1408" s="447" t="s">
        <v>1668</v>
      </c>
      <c r="D1408" s="448" t="s">
        <v>1669</v>
      </c>
      <c r="E1408" s="433">
        <v>2</v>
      </c>
      <c r="F1408" s="433" t="s">
        <v>1665</v>
      </c>
      <c r="G1408" s="433" t="s">
        <v>615</v>
      </c>
      <c r="H1408" s="43">
        <v>17.100000000000001</v>
      </c>
      <c r="I1408" s="449">
        <v>5</v>
      </c>
      <c r="J1408" s="470">
        <v>5</v>
      </c>
      <c r="K1408" s="470">
        <v>5</v>
      </c>
      <c r="L1408" s="179" t="s">
        <v>274</v>
      </c>
      <c r="M1408" s="1006" t="s">
        <v>2530</v>
      </c>
      <c r="N1408" s="1006" t="s">
        <v>2427</v>
      </c>
      <c r="O1408" s="439">
        <v>10</v>
      </c>
      <c r="P1408" s="1093"/>
    </row>
    <row r="1409" spans="1:16" ht="15">
      <c r="A1409" s="433">
        <v>7</v>
      </c>
      <c r="B1409" s="437"/>
      <c r="C1409" s="437"/>
      <c r="D1409" s="471"/>
      <c r="E1409" s="433"/>
      <c r="F1409" s="433" t="s">
        <v>1665</v>
      </c>
      <c r="G1409" s="197" t="s">
        <v>459</v>
      </c>
      <c r="H1409" s="53">
        <f t="shared" ref="H1409:K1409" si="315">SUM(H1407,H1408)</f>
        <v>65.300000000000011</v>
      </c>
      <c r="I1409" s="53">
        <f t="shared" si="315"/>
        <v>58.8</v>
      </c>
      <c r="J1409" s="53">
        <f t="shared" si="315"/>
        <v>65</v>
      </c>
      <c r="K1409" s="53">
        <f t="shared" si="315"/>
        <v>65</v>
      </c>
      <c r="L1409" s="179"/>
      <c r="M1409" s="30"/>
      <c r="N1409" s="29"/>
      <c r="O1409" s="174"/>
      <c r="P1409" s="1093"/>
    </row>
    <row r="1410" spans="1:16" ht="22.5">
      <c r="A1410" s="433">
        <v>7</v>
      </c>
      <c r="B1410" s="437"/>
      <c r="C1410" s="437" t="s">
        <v>1670</v>
      </c>
      <c r="D1410" s="205" t="s">
        <v>1671</v>
      </c>
      <c r="E1410" s="433"/>
      <c r="F1410" s="433"/>
      <c r="G1410" s="446"/>
      <c r="H1410" s="469"/>
      <c r="I1410" s="472"/>
      <c r="J1410" s="469"/>
      <c r="K1410" s="469"/>
      <c r="L1410" s="179"/>
      <c r="M1410" s="30"/>
      <c r="N1410" s="29"/>
      <c r="O1410" s="174"/>
      <c r="P1410" s="1093"/>
    </row>
    <row r="1411" spans="1:16" ht="33.75">
      <c r="A1411" s="433">
        <v>7</v>
      </c>
      <c r="B1411" s="437"/>
      <c r="C1411" s="437" t="s">
        <v>1672</v>
      </c>
      <c r="D1411" s="418" t="s">
        <v>1673</v>
      </c>
      <c r="E1411" s="433">
        <v>2</v>
      </c>
      <c r="F1411" s="433" t="s">
        <v>1674</v>
      </c>
      <c r="G1411" s="433" t="s">
        <v>193</v>
      </c>
      <c r="H1411" s="469">
        <v>0</v>
      </c>
      <c r="I1411" s="467"/>
      <c r="J1411" s="436">
        <v>0</v>
      </c>
      <c r="K1411" s="436">
        <f>650.22-350.22</f>
        <v>300</v>
      </c>
      <c r="L1411" s="179" t="s">
        <v>385</v>
      </c>
      <c r="M1411" s="1006" t="s">
        <v>2530</v>
      </c>
      <c r="N1411" s="1006"/>
      <c r="O1411" s="1007">
        <v>0</v>
      </c>
      <c r="P1411" s="1094" t="s">
        <v>392</v>
      </c>
    </row>
    <row r="1412" spans="1:16" ht="15">
      <c r="A1412" s="433">
        <v>7</v>
      </c>
      <c r="B1412" s="437"/>
      <c r="C1412" s="437" t="s">
        <v>1672</v>
      </c>
      <c r="D1412" s="473"/>
      <c r="E1412" s="433">
        <v>2</v>
      </c>
      <c r="F1412" s="433" t="s">
        <v>1674</v>
      </c>
      <c r="G1412" s="433" t="s">
        <v>1580</v>
      </c>
      <c r="H1412" s="469"/>
      <c r="I1412" s="89"/>
      <c r="J1412" s="42">
        <v>0</v>
      </c>
      <c r="K1412" s="42">
        <v>300</v>
      </c>
      <c r="L1412" s="179" t="s">
        <v>385</v>
      </c>
      <c r="M1412" s="1006"/>
      <c r="N1412" s="1006"/>
      <c r="O1412" s="1007"/>
      <c r="P1412" s="1094" t="s">
        <v>392</v>
      </c>
    </row>
    <row r="1413" spans="1:16" ht="22.5">
      <c r="A1413" s="433">
        <v>7</v>
      </c>
      <c r="B1413" s="437"/>
      <c r="C1413" s="437" t="s">
        <v>1675</v>
      </c>
      <c r="D1413" s="418" t="s">
        <v>1676</v>
      </c>
      <c r="E1413" s="433">
        <v>2</v>
      </c>
      <c r="F1413" s="433" t="s">
        <v>1674</v>
      </c>
      <c r="G1413" s="41" t="s">
        <v>193</v>
      </c>
      <c r="H1413" s="43">
        <f>100-99.5</f>
        <v>0.5</v>
      </c>
      <c r="I1413" s="467">
        <f>190-90</f>
        <v>100</v>
      </c>
      <c r="J1413" s="42">
        <v>100</v>
      </c>
      <c r="K1413" s="42">
        <v>0</v>
      </c>
      <c r="L1413" s="179" t="s">
        <v>268</v>
      </c>
      <c r="M1413" s="1006" t="s">
        <v>2530</v>
      </c>
      <c r="N1413" s="1006" t="s">
        <v>2428</v>
      </c>
      <c r="O1413" s="1007">
        <v>1</v>
      </c>
      <c r="P1413" s="1094" t="s">
        <v>419</v>
      </c>
    </row>
    <row r="1414" spans="1:16" ht="22.5">
      <c r="A1414" s="433">
        <v>7</v>
      </c>
      <c r="B1414" s="437"/>
      <c r="C1414" s="437" t="s">
        <v>1677</v>
      </c>
      <c r="D1414" s="322" t="s">
        <v>1678</v>
      </c>
      <c r="E1414" s="433">
        <v>29</v>
      </c>
      <c r="F1414" s="433" t="s">
        <v>1679</v>
      </c>
      <c r="G1414" s="433" t="s">
        <v>193</v>
      </c>
      <c r="H1414" s="469">
        <v>0</v>
      </c>
      <c r="I1414" s="467">
        <v>12</v>
      </c>
      <c r="J1414" s="436">
        <v>0</v>
      </c>
      <c r="K1414" s="436">
        <v>0</v>
      </c>
      <c r="L1414" s="179" t="s">
        <v>268</v>
      </c>
      <c r="M1414" s="1006" t="s">
        <v>2532</v>
      </c>
      <c r="N1414" s="1006" t="s">
        <v>1491</v>
      </c>
      <c r="O1414" s="1007">
        <v>1</v>
      </c>
      <c r="P1414" s="1094" t="s">
        <v>419</v>
      </c>
    </row>
    <row r="1415" spans="1:16" ht="22.5">
      <c r="A1415" s="433">
        <v>7</v>
      </c>
      <c r="B1415" s="437"/>
      <c r="C1415" s="437" t="s">
        <v>1680</v>
      </c>
      <c r="D1415" s="322" t="s">
        <v>1681</v>
      </c>
      <c r="E1415" s="433">
        <v>26</v>
      </c>
      <c r="F1415" s="433" t="s">
        <v>1682</v>
      </c>
      <c r="G1415" s="41" t="s">
        <v>193</v>
      </c>
      <c r="H1415" s="43">
        <f>30-30</f>
        <v>0</v>
      </c>
      <c r="I1415" s="89">
        <v>30</v>
      </c>
      <c r="J1415" s="42"/>
      <c r="K1415" s="42"/>
      <c r="L1415" s="179" t="s">
        <v>398</v>
      </c>
      <c r="M1415" s="1006" t="s">
        <v>2533</v>
      </c>
      <c r="N1415" s="1006" t="s">
        <v>2429</v>
      </c>
      <c r="O1415" s="1008">
        <v>1</v>
      </c>
      <c r="P1415" s="1094" t="s">
        <v>392</v>
      </c>
    </row>
    <row r="1416" spans="1:16" ht="45">
      <c r="A1416" s="433">
        <v>7</v>
      </c>
      <c r="B1416" s="437"/>
      <c r="C1416" s="437" t="s">
        <v>1683</v>
      </c>
      <c r="D1416" s="1125" t="s">
        <v>1684</v>
      </c>
      <c r="E1416" s="433">
        <v>2</v>
      </c>
      <c r="F1416" s="433" t="s">
        <v>1674</v>
      </c>
      <c r="G1416" s="41" t="s">
        <v>193</v>
      </c>
      <c r="H1416" s="43">
        <v>1.6</v>
      </c>
      <c r="I1416" s="474">
        <v>20</v>
      </c>
      <c r="J1416" s="43"/>
      <c r="K1416" s="43"/>
      <c r="L1416" s="179" t="s">
        <v>398</v>
      </c>
      <c r="M1416" s="1006" t="s">
        <v>2530</v>
      </c>
      <c r="N1416" s="1095" t="s">
        <v>2430</v>
      </c>
      <c r="O1416" s="1007">
        <v>1</v>
      </c>
      <c r="P1416" s="1094" t="s">
        <v>275</v>
      </c>
    </row>
    <row r="1417" spans="1:16">
      <c r="A1417" s="433">
        <v>7</v>
      </c>
      <c r="B1417" s="437"/>
      <c r="C1417" s="437"/>
      <c r="D1417" s="1126"/>
      <c r="E1417" s="433"/>
      <c r="F1417" s="433" t="s">
        <v>1674</v>
      </c>
      <c r="G1417" s="433" t="s">
        <v>1580</v>
      </c>
      <c r="H1417" s="43"/>
      <c r="I1417" s="474">
        <v>24.2</v>
      </c>
      <c r="J1417" s="475"/>
      <c r="K1417" s="475"/>
      <c r="L1417" s="179"/>
      <c r="M1417" s="1006"/>
      <c r="N1417" s="1006"/>
      <c r="O1417" s="1007"/>
      <c r="P1417" s="1094"/>
    </row>
    <row r="1418" spans="1:16" ht="22.5">
      <c r="A1418" s="433">
        <v>7</v>
      </c>
      <c r="B1418" s="437"/>
      <c r="C1418" s="41" t="s">
        <v>1685</v>
      </c>
      <c r="D1418" s="476" t="s">
        <v>1686</v>
      </c>
      <c r="E1418" s="433" t="s">
        <v>55</v>
      </c>
      <c r="F1418" s="433" t="s">
        <v>1674</v>
      </c>
      <c r="G1418" s="41" t="s">
        <v>193</v>
      </c>
      <c r="H1418" s="43">
        <v>5.2</v>
      </c>
      <c r="I1418" s="477">
        <v>0.8</v>
      </c>
      <c r="J1418" s="478">
        <v>0</v>
      </c>
      <c r="K1418" s="479">
        <v>0</v>
      </c>
      <c r="L1418" s="179" t="s">
        <v>398</v>
      </c>
      <c r="M1418" s="1009" t="s">
        <v>2431</v>
      </c>
      <c r="N1418" s="1033" t="s">
        <v>2432</v>
      </c>
      <c r="O1418" s="1007">
        <v>1</v>
      </c>
      <c r="P1418" s="1096" t="s">
        <v>419</v>
      </c>
    </row>
    <row r="1419" spans="1:16" ht="22.5">
      <c r="A1419" s="433">
        <v>7</v>
      </c>
      <c r="B1419" s="447"/>
      <c r="C1419" s="210" t="s">
        <v>1687</v>
      </c>
      <c r="D1419" s="1127" t="s">
        <v>1688</v>
      </c>
      <c r="E1419" s="433">
        <v>2</v>
      </c>
      <c r="F1419" s="433" t="s">
        <v>1674</v>
      </c>
      <c r="G1419" s="41" t="s">
        <v>193</v>
      </c>
      <c r="H1419" s="43">
        <f>5-3.6</f>
        <v>1.4</v>
      </c>
      <c r="I1419" s="443">
        <v>10</v>
      </c>
      <c r="J1419" s="480"/>
      <c r="K1419" s="43"/>
      <c r="L1419" s="179" t="s">
        <v>268</v>
      </c>
      <c r="M1419" s="1006" t="s">
        <v>2530</v>
      </c>
      <c r="N1419" s="1002" t="s">
        <v>2433</v>
      </c>
      <c r="O1419" s="1007">
        <v>1</v>
      </c>
      <c r="P1419" s="1096" t="s">
        <v>389</v>
      </c>
    </row>
    <row r="1420" spans="1:16">
      <c r="A1420" s="433"/>
      <c r="B1420" s="447"/>
      <c r="C1420" s="210"/>
      <c r="D1420" s="1128"/>
      <c r="E1420" s="433">
        <v>2</v>
      </c>
      <c r="F1420" s="433" t="s">
        <v>1674</v>
      </c>
      <c r="G1420" s="433" t="s">
        <v>1580</v>
      </c>
      <c r="H1420" s="43"/>
      <c r="I1420" s="443">
        <v>55.2</v>
      </c>
      <c r="J1420" s="480"/>
      <c r="K1420" s="475"/>
      <c r="L1420" s="179"/>
      <c r="M1420" s="30"/>
      <c r="N1420" s="29"/>
      <c r="O1420" s="174"/>
      <c r="P1420" s="1096"/>
    </row>
    <row r="1421" spans="1:16" ht="15">
      <c r="A1421" s="433">
        <v>7</v>
      </c>
      <c r="B1421" s="437"/>
      <c r="C1421" s="437"/>
      <c r="D1421" s="322"/>
      <c r="E1421" s="433"/>
      <c r="F1421" s="433" t="s">
        <v>1674</v>
      </c>
      <c r="G1421" s="197" t="s">
        <v>459</v>
      </c>
      <c r="H1421" s="53">
        <f>SUM(H1411:H1420)</f>
        <v>8.7000000000000011</v>
      </c>
      <c r="I1421" s="53">
        <f t="shared" ref="I1421:K1421" si="316">SUM(I1411:I1420)</f>
        <v>252.2</v>
      </c>
      <c r="J1421" s="53">
        <f t="shared" si="316"/>
        <v>100</v>
      </c>
      <c r="K1421" s="53">
        <f t="shared" si="316"/>
        <v>600</v>
      </c>
      <c r="L1421" s="179"/>
      <c r="M1421" s="30"/>
      <c r="N1421" s="29"/>
      <c r="O1421" s="174"/>
      <c r="P1421" s="1093"/>
    </row>
    <row r="1422" spans="1:16" ht="22.5">
      <c r="A1422" s="433">
        <v>7</v>
      </c>
      <c r="B1422" s="437"/>
      <c r="C1422" s="437" t="s">
        <v>1689</v>
      </c>
      <c r="D1422" s="205" t="s">
        <v>1690</v>
      </c>
      <c r="E1422" s="433">
        <v>2</v>
      </c>
      <c r="F1422" s="481" t="s">
        <v>1691</v>
      </c>
      <c r="G1422" s="433" t="s">
        <v>193</v>
      </c>
      <c r="H1422" s="43">
        <v>36.4</v>
      </c>
      <c r="I1422" s="467">
        <v>0</v>
      </c>
      <c r="J1422" s="436">
        <v>5</v>
      </c>
      <c r="K1422" s="436">
        <v>5</v>
      </c>
      <c r="L1422" s="179" t="s">
        <v>274</v>
      </c>
      <c r="M1422" s="1006" t="s">
        <v>2530</v>
      </c>
      <c r="N1422" s="29"/>
      <c r="O1422" s="174"/>
      <c r="P1422" s="1097" t="s">
        <v>2434</v>
      </c>
    </row>
    <row r="1423" spans="1:16" ht="15">
      <c r="A1423" s="433">
        <v>7</v>
      </c>
      <c r="B1423" s="437"/>
      <c r="C1423" s="437"/>
      <c r="D1423" s="364"/>
      <c r="E1423" s="481"/>
      <c r="F1423" s="481" t="s">
        <v>1691</v>
      </c>
      <c r="G1423" s="197" t="s">
        <v>459</v>
      </c>
      <c r="H1423" s="53">
        <f t="shared" ref="H1423:K1423" si="317">SUM(H1422)</f>
        <v>36.4</v>
      </c>
      <c r="I1423" s="53">
        <f t="shared" si="317"/>
        <v>0</v>
      </c>
      <c r="J1423" s="53">
        <f t="shared" si="317"/>
        <v>5</v>
      </c>
      <c r="K1423" s="53">
        <f t="shared" si="317"/>
        <v>5</v>
      </c>
      <c r="L1423" s="179"/>
      <c r="M1423" s="30"/>
      <c r="N1423" s="29"/>
      <c r="O1423" s="174"/>
      <c r="P1423" s="1093"/>
    </row>
    <row r="1424" spans="1:16" ht="22.5">
      <c r="A1424" s="433">
        <v>7</v>
      </c>
      <c r="B1424" s="437"/>
      <c r="C1424" s="437" t="s">
        <v>1692</v>
      </c>
      <c r="D1424" s="205" t="s">
        <v>1693</v>
      </c>
      <c r="E1424" s="482">
        <v>2</v>
      </c>
      <c r="F1424" s="433" t="s">
        <v>1694</v>
      </c>
      <c r="G1424" s="433" t="s">
        <v>193</v>
      </c>
      <c r="H1424" s="43">
        <v>145.4</v>
      </c>
      <c r="I1424" s="467">
        <f>150+4.6</f>
        <v>154.6</v>
      </c>
      <c r="J1424" s="436">
        <v>150</v>
      </c>
      <c r="K1424" s="436">
        <v>150</v>
      </c>
      <c r="L1424" s="179" t="s">
        <v>274</v>
      </c>
      <c r="M1424" s="1006" t="s">
        <v>2530</v>
      </c>
      <c r="N1424" s="1002" t="s">
        <v>2435</v>
      </c>
      <c r="O1424" s="439">
        <v>6</v>
      </c>
      <c r="P1424" s="1090"/>
    </row>
    <row r="1425" spans="1:16">
      <c r="A1425" s="433">
        <v>7</v>
      </c>
      <c r="B1425" s="437"/>
      <c r="C1425" s="437"/>
      <c r="D1425" s="438"/>
      <c r="E1425" s="433"/>
      <c r="F1425" s="433" t="s">
        <v>1694</v>
      </c>
      <c r="G1425" s="197" t="s">
        <v>459</v>
      </c>
      <c r="H1425" s="53">
        <f t="shared" ref="H1425:K1425" si="318">SUM(H1424)</f>
        <v>145.4</v>
      </c>
      <c r="I1425" s="53">
        <f t="shared" si="318"/>
        <v>154.6</v>
      </c>
      <c r="J1425" s="53">
        <f t="shared" si="318"/>
        <v>150</v>
      </c>
      <c r="K1425" s="53">
        <f t="shared" si="318"/>
        <v>150</v>
      </c>
      <c r="L1425" s="179"/>
      <c r="M1425" s="30"/>
      <c r="N1425" s="29"/>
      <c r="O1425" s="174"/>
      <c r="P1425" s="1090"/>
    </row>
    <row r="1426" spans="1:16" ht="22.5">
      <c r="A1426" s="433">
        <v>7</v>
      </c>
      <c r="B1426" s="437"/>
      <c r="C1426" s="437" t="s">
        <v>1695</v>
      </c>
      <c r="D1426" s="205" t="s">
        <v>1696</v>
      </c>
      <c r="E1426" s="482">
        <v>2</v>
      </c>
      <c r="F1426" s="433" t="s">
        <v>1697</v>
      </c>
      <c r="G1426" s="446"/>
      <c r="H1426" s="483"/>
      <c r="I1426" s="449"/>
      <c r="J1426" s="470"/>
      <c r="K1426" s="470"/>
      <c r="L1426" s="179"/>
      <c r="M1426" s="1006" t="s">
        <v>2530</v>
      </c>
      <c r="N1426" s="996"/>
      <c r="O1426" s="439"/>
      <c r="P1426" s="1092"/>
    </row>
    <row r="1427" spans="1:16" ht="22.5">
      <c r="A1427" s="433">
        <v>7</v>
      </c>
      <c r="B1427" s="437"/>
      <c r="C1427" s="447" t="s">
        <v>1698</v>
      </c>
      <c r="D1427" s="484" t="s">
        <v>1699</v>
      </c>
      <c r="E1427" s="485">
        <v>2</v>
      </c>
      <c r="F1427" s="486" t="s">
        <v>1697</v>
      </c>
      <c r="G1427" s="486" t="s">
        <v>193</v>
      </c>
      <c r="H1427" s="165">
        <v>35.6</v>
      </c>
      <c r="I1427" s="467">
        <v>139</v>
      </c>
      <c r="J1427" s="470">
        <v>59</v>
      </c>
      <c r="K1427" s="470"/>
      <c r="L1427" s="179" t="s">
        <v>398</v>
      </c>
      <c r="M1427" s="1006" t="s">
        <v>2530</v>
      </c>
      <c r="N1427" s="1098" t="s">
        <v>2436</v>
      </c>
      <c r="O1427" s="439">
        <v>70</v>
      </c>
      <c r="P1427" s="1097" t="s">
        <v>399</v>
      </c>
    </row>
    <row r="1428" spans="1:16" ht="22.5">
      <c r="A1428" s="433">
        <v>7</v>
      </c>
      <c r="B1428" s="437"/>
      <c r="C1428" s="447" t="s">
        <v>1700</v>
      </c>
      <c r="D1428" s="484" t="s">
        <v>1701</v>
      </c>
      <c r="E1428" s="485">
        <v>2</v>
      </c>
      <c r="F1428" s="486" t="s">
        <v>1697</v>
      </c>
      <c r="G1428" s="486" t="s">
        <v>193</v>
      </c>
      <c r="H1428" s="67"/>
      <c r="I1428" s="467">
        <f>70-50</f>
        <v>20</v>
      </c>
      <c r="J1428" s="470">
        <f>150+50</f>
        <v>200</v>
      </c>
      <c r="K1428" s="470">
        <v>150</v>
      </c>
      <c r="L1428" s="179" t="s">
        <v>398</v>
      </c>
      <c r="M1428" s="1006" t="s">
        <v>2530</v>
      </c>
      <c r="N1428" s="1002" t="s">
        <v>2437</v>
      </c>
      <c r="O1428" s="439">
        <v>1</v>
      </c>
      <c r="P1428" s="1090" t="s">
        <v>386</v>
      </c>
    </row>
    <row r="1429" spans="1:16">
      <c r="A1429" s="433">
        <v>7</v>
      </c>
      <c r="B1429" s="437"/>
      <c r="C1429" s="437"/>
      <c r="D1429" s="364"/>
      <c r="E1429" s="482"/>
      <c r="F1429" s="433" t="s">
        <v>1697</v>
      </c>
      <c r="G1429" s="197" t="s">
        <v>459</v>
      </c>
      <c r="H1429" s="53">
        <f>SUM(H1427:H1427,H1428)</f>
        <v>35.6</v>
      </c>
      <c r="I1429" s="53">
        <f>SUM(I1427:I1427,I1428)</f>
        <v>159</v>
      </c>
      <c r="J1429" s="53">
        <f>SUM(J1427:J1427,J1428)</f>
        <v>259</v>
      </c>
      <c r="K1429" s="53">
        <f>SUM(K1427:K1427,K1428)</f>
        <v>150</v>
      </c>
      <c r="L1429" s="179"/>
      <c r="M1429" s="30"/>
      <c r="N1429" s="29"/>
      <c r="O1429" s="174"/>
      <c r="P1429" s="1099"/>
    </row>
    <row r="1430" spans="1:16" ht="33.75">
      <c r="A1430" s="433">
        <v>7</v>
      </c>
      <c r="B1430" s="487"/>
      <c r="C1430" s="487" t="s">
        <v>1702</v>
      </c>
      <c r="D1430" s="205" t="s">
        <v>1703</v>
      </c>
      <c r="E1430" s="439">
        <v>2</v>
      </c>
      <c r="F1430" s="439" t="s">
        <v>1704</v>
      </c>
      <c r="G1430" s="439" t="s">
        <v>193</v>
      </c>
      <c r="H1430" s="43"/>
      <c r="I1430" s="467"/>
      <c r="J1430" s="469"/>
      <c r="K1430" s="469"/>
      <c r="L1430" s="179"/>
      <c r="M1430" s="30"/>
      <c r="N1430" s="29"/>
      <c r="O1430" s="174"/>
      <c r="P1430" s="1093"/>
    </row>
    <row r="1431" spans="1:16" ht="22.5">
      <c r="A1431" s="433">
        <v>7</v>
      </c>
      <c r="B1431" s="487"/>
      <c r="C1431" s="487" t="s">
        <v>1705</v>
      </c>
      <c r="D1431" s="488" t="s">
        <v>1706</v>
      </c>
      <c r="E1431" s="439">
        <v>2</v>
      </c>
      <c r="F1431" s="439" t="s">
        <v>1704</v>
      </c>
      <c r="G1431" s="439" t="s">
        <v>193</v>
      </c>
      <c r="H1431" s="43">
        <v>7.5</v>
      </c>
      <c r="I1431" s="467">
        <v>13</v>
      </c>
      <c r="J1431" s="436">
        <v>10</v>
      </c>
      <c r="K1431" s="436">
        <v>10</v>
      </c>
      <c r="L1431" s="179" t="s">
        <v>262</v>
      </c>
      <c r="M1431" s="1006" t="s">
        <v>2530</v>
      </c>
      <c r="N1431" s="1006" t="s">
        <v>2438</v>
      </c>
      <c r="O1431" s="1007">
        <v>10</v>
      </c>
      <c r="P1431" s="1100"/>
    </row>
    <row r="1432" spans="1:16" ht="22.5">
      <c r="A1432" s="433">
        <v>7</v>
      </c>
      <c r="B1432" s="487"/>
      <c r="C1432" s="487" t="s">
        <v>1707</v>
      </c>
      <c r="D1432" s="488" t="s">
        <v>1708</v>
      </c>
      <c r="E1432" s="439">
        <v>2</v>
      </c>
      <c r="F1432" s="439" t="s">
        <v>1704</v>
      </c>
      <c r="G1432" s="439" t="s">
        <v>193</v>
      </c>
      <c r="H1432" s="43">
        <v>4.3</v>
      </c>
      <c r="I1432" s="467">
        <v>4.7</v>
      </c>
      <c r="J1432" s="436">
        <v>4.7</v>
      </c>
      <c r="K1432" s="436">
        <v>4.7</v>
      </c>
      <c r="L1432" s="179" t="s">
        <v>262</v>
      </c>
      <c r="M1432" s="1006" t="s">
        <v>2530</v>
      </c>
      <c r="N1432" s="1006" t="s">
        <v>2439</v>
      </c>
      <c r="O1432" s="1007">
        <v>6</v>
      </c>
      <c r="P1432" s="1100"/>
    </row>
    <row r="1433" spans="1:16" ht="22.5">
      <c r="A1433" s="433">
        <v>7</v>
      </c>
      <c r="B1433" s="487"/>
      <c r="C1433" s="487" t="s">
        <v>1709</v>
      </c>
      <c r="D1433" s="488" t="s">
        <v>1710</v>
      </c>
      <c r="E1433" s="439">
        <v>2</v>
      </c>
      <c r="F1433" s="439" t="s">
        <v>1704</v>
      </c>
      <c r="G1433" s="439" t="s">
        <v>193</v>
      </c>
      <c r="H1433" s="43">
        <v>3</v>
      </c>
      <c r="I1433" s="467">
        <v>3</v>
      </c>
      <c r="J1433" s="436">
        <v>3</v>
      </c>
      <c r="K1433" s="436">
        <v>3</v>
      </c>
      <c r="L1433" s="179" t="s">
        <v>262</v>
      </c>
      <c r="M1433" s="1006" t="s">
        <v>2530</v>
      </c>
      <c r="N1433" s="1098" t="s">
        <v>2440</v>
      </c>
      <c r="O1433" s="1007">
        <v>2</v>
      </c>
      <c r="P1433" s="1100"/>
    </row>
    <row r="1434" spans="1:16" ht="19.899999999999999" customHeight="1">
      <c r="A1434" s="433">
        <v>7</v>
      </c>
      <c r="B1434" s="487"/>
      <c r="C1434" s="487" t="s">
        <v>1711</v>
      </c>
      <c r="D1434" s="489" t="s">
        <v>1712</v>
      </c>
      <c r="E1434" s="439">
        <v>2</v>
      </c>
      <c r="F1434" s="439" t="s">
        <v>1704</v>
      </c>
      <c r="G1434" s="439" t="s">
        <v>193</v>
      </c>
      <c r="H1434" s="43"/>
      <c r="I1434" s="467">
        <v>6.7</v>
      </c>
      <c r="J1434" s="436"/>
      <c r="K1434" s="436"/>
      <c r="L1434" s="179" t="s">
        <v>268</v>
      </c>
      <c r="M1434" s="1006" t="s">
        <v>2530</v>
      </c>
      <c r="N1434" s="1006" t="s">
        <v>2441</v>
      </c>
      <c r="O1434" s="1007">
        <v>1</v>
      </c>
      <c r="P1434" s="1090" t="s">
        <v>429</v>
      </c>
    </row>
    <row r="1435" spans="1:16" ht="33.75">
      <c r="A1435" s="433">
        <v>7</v>
      </c>
      <c r="B1435" s="487"/>
      <c r="C1435" s="487" t="s">
        <v>1713</v>
      </c>
      <c r="D1435" s="488" t="s">
        <v>1714</v>
      </c>
      <c r="E1435" s="439">
        <v>2</v>
      </c>
      <c r="F1435" s="439" t="s">
        <v>1704</v>
      </c>
      <c r="G1435" s="439" t="s">
        <v>193</v>
      </c>
      <c r="H1435" s="43">
        <f>2-2</f>
        <v>0</v>
      </c>
      <c r="I1435" s="467">
        <f>7-7</f>
        <v>0</v>
      </c>
      <c r="J1435" s="436">
        <f>7-5</f>
        <v>2</v>
      </c>
      <c r="K1435" s="436"/>
      <c r="L1435" s="179" t="s">
        <v>398</v>
      </c>
      <c r="M1435" s="1006"/>
      <c r="N1435" s="1033"/>
      <c r="O1435" s="1007"/>
      <c r="P1435" s="1090" t="s">
        <v>386</v>
      </c>
    </row>
    <row r="1436" spans="1:16" ht="15">
      <c r="A1436" s="433">
        <v>7</v>
      </c>
      <c r="B1436" s="487"/>
      <c r="C1436" s="487" t="s">
        <v>1713</v>
      </c>
      <c r="D1436" s="488"/>
      <c r="E1436" s="439">
        <v>2</v>
      </c>
      <c r="F1436" s="439" t="s">
        <v>1704</v>
      </c>
      <c r="G1436" s="490" t="s">
        <v>1580</v>
      </c>
      <c r="H1436" s="43"/>
      <c r="I1436" s="467"/>
      <c r="J1436" s="436">
        <v>18</v>
      </c>
      <c r="K1436" s="436"/>
      <c r="L1436" s="179"/>
      <c r="M1436" s="1006"/>
      <c r="N1436" s="1006"/>
      <c r="O1436" s="1007"/>
      <c r="P1436" s="1100"/>
    </row>
    <row r="1437" spans="1:16" ht="22.5">
      <c r="A1437" s="433">
        <v>7</v>
      </c>
      <c r="B1437" s="487"/>
      <c r="C1437" s="487" t="s">
        <v>1715</v>
      </c>
      <c r="D1437" s="488" t="s">
        <v>1716</v>
      </c>
      <c r="E1437" s="439">
        <v>26</v>
      </c>
      <c r="F1437" s="439" t="s">
        <v>1717</v>
      </c>
      <c r="G1437" s="490" t="s">
        <v>193</v>
      </c>
      <c r="H1437" s="43"/>
      <c r="I1437" s="467"/>
      <c r="J1437" s="436">
        <v>15</v>
      </c>
      <c r="K1437" s="436"/>
      <c r="L1437" s="179" t="s">
        <v>398</v>
      </c>
      <c r="M1437" s="1006" t="s">
        <v>2531</v>
      </c>
      <c r="N1437" s="1006"/>
      <c r="O1437" s="1007"/>
      <c r="P1437" s="1094" t="s">
        <v>392</v>
      </c>
    </row>
    <row r="1438" spans="1:16" ht="15">
      <c r="A1438" s="433">
        <v>7</v>
      </c>
      <c r="B1438" s="487"/>
      <c r="C1438" s="487" t="s">
        <v>1718</v>
      </c>
      <c r="D1438" s="491" t="s">
        <v>1719</v>
      </c>
      <c r="E1438" s="439">
        <v>2</v>
      </c>
      <c r="F1438" s="439" t="s">
        <v>1704</v>
      </c>
      <c r="G1438" s="439" t="s">
        <v>193</v>
      </c>
      <c r="H1438" s="43">
        <v>1</v>
      </c>
      <c r="I1438" s="467">
        <v>5</v>
      </c>
      <c r="J1438" s="436">
        <v>5</v>
      </c>
      <c r="K1438" s="436">
        <v>5</v>
      </c>
      <c r="L1438" s="179" t="s">
        <v>262</v>
      </c>
      <c r="M1438" s="1006" t="s">
        <v>2530</v>
      </c>
      <c r="N1438" s="1101"/>
      <c r="O1438" s="1007"/>
      <c r="P1438" s="1093"/>
    </row>
    <row r="1439" spans="1:16" ht="15">
      <c r="A1439" s="433">
        <v>7</v>
      </c>
      <c r="B1439" s="487"/>
      <c r="C1439" s="487"/>
      <c r="D1439" s="364"/>
      <c r="E1439" s="439"/>
      <c r="F1439" s="439" t="s">
        <v>1704</v>
      </c>
      <c r="G1439" s="197" t="s">
        <v>459</v>
      </c>
      <c r="H1439" s="53">
        <f>H1431+H1432+H1433+H1434+H1435+H1438+H1436+H1437</f>
        <v>15.8</v>
      </c>
      <c r="I1439" s="53">
        <f t="shared" ref="I1439:K1439" si="319">I1431+I1432+I1433+I1434+I1435+I1438+I1436+I1437</f>
        <v>32.4</v>
      </c>
      <c r="J1439" s="53">
        <f t="shared" si="319"/>
        <v>57.7</v>
      </c>
      <c r="K1439" s="53">
        <f t="shared" si="319"/>
        <v>22.7</v>
      </c>
      <c r="L1439" s="179"/>
      <c r="M1439" s="30"/>
      <c r="N1439" s="29"/>
      <c r="O1439" s="174"/>
      <c r="P1439" s="1093"/>
    </row>
    <row r="1440" spans="1:16" ht="22.5">
      <c r="A1440" s="433">
        <v>7</v>
      </c>
      <c r="B1440" s="190" t="s">
        <v>1720</v>
      </c>
      <c r="C1440" s="190" t="s">
        <v>1720</v>
      </c>
      <c r="D1440" s="198" t="s">
        <v>1721</v>
      </c>
      <c r="E1440" s="439"/>
      <c r="F1440" s="433"/>
      <c r="G1440" s="41"/>
      <c r="H1440" s="84">
        <f>H1445</f>
        <v>3</v>
      </c>
      <c r="I1440" s="492">
        <f>I1445</f>
        <v>38</v>
      </c>
      <c r="J1440" s="86">
        <f>J1445</f>
        <v>5</v>
      </c>
      <c r="K1440" s="86">
        <f>K1445</f>
        <v>5</v>
      </c>
      <c r="L1440" s="179"/>
      <c r="M1440" s="30"/>
      <c r="N1440" s="29"/>
      <c r="O1440" s="174"/>
      <c r="P1440" s="1093"/>
    </row>
    <row r="1441" spans="1:16" ht="33.75">
      <c r="A1441" s="433">
        <v>7</v>
      </c>
      <c r="B1441" s="437"/>
      <c r="C1441" s="437" t="s">
        <v>1722</v>
      </c>
      <c r="D1441" s="205" t="s">
        <v>1723</v>
      </c>
      <c r="E1441" s="446">
        <v>2</v>
      </c>
      <c r="F1441" s="433" t="s">
        <v>1724</v>
      </c>
      <c r="G1441" s="43"/>
      <c r="H1441" s="43"/>
      <c r="I1441" s="89"/>
      <c r="J1441" s="43"/>
      <c r="K1441" s="43"/>
      <c r="L1441" s="179"/>
      <c r="M1441" s="30"/>
      <c r="N1441" s="29"/>
      <c r="O1441" s="174"/>
      <c r="P1441" s="1092"/>
    </row>
    <row r="1442" spans="1:16" ht="22.5">
      <c r="A1442" s="433">
        <v>7</v>
      </c>
      <c r="B1442" s="437"/>
      <c r="C1442" s="437" t="s">
        <v>1725</v>
      </c>
      <c r="D1442" s="96" t="s">
        <v>1726</v>
      </c>
      <c r="E1442" s="446">
        <v>2</v>
      </c>
      <c r="F1442" s="433" t="s">
        <v>1724</v>
      </c>
      <c r="G1442" s="446" t="s">
        <v>193</v>
      </c>
      <c r="H1442" s="70"/>
      <c r="I1442" s="467">
        <v>30</v>
      </c>
      <c r="J1442" s="469"/>
      <c r="K1442" s="469"/>
      <c r="L1442" s="179" t="s">
        <v>398</v>
      </c>
      <c r="M1442" s="1006" t="s">
        <v>2530</v>
      </c>
      <c r="N1442" s="1027" t="s">
        <v>2442</v>
      </c>
      <c r="O1442" s="1007">
        <v>100</v>
      </c>
      <c r="P1442" s="1090" t="s">
        <v>399</v>
      </c>
    </row>
    <row r="1443" spans="1:16">
      <c r="A1443" s="433">
        <v>7</v>
      </c>
      <c r="B1443" s="437"/>
      <c r="C1443" s="437" t="s">
        <v>1727</v>
      </c>
      <c r="D1443" s="96" t="s">
        <v>1728</v>
      </c>
      <c r="E1443" s="446">
        <v>2</v>
      </c>
      <c r="F1443" s="433" t="s">
        <v>1724</v>
      </c>
      <c r="G1443" s="446" t="s">
        <v>193</v>
      </c>
      <c r="H1443" s="43">
        <f>5-2</f>
        <v>3</v>
      </c>
      <c r="I1443" s="467">
        <v>5</v>
      </c>
      <c r="J1443" s="469">
        <v>5</v>
      </c>
      <c r="K1443" s="469">
        <v>5</v>
      </c>
      <c r="L1443" s="179" t="s">
        <v>268</v>
      </c>
      <c r="M1443" s="1006" t="s">
        <v>2530</v>
      </c>
      <c r="N1443" s="1006" t="s">
        <v>2443</v>
      </c>
      <c r="O1443" s="1007">
        <v>2</v>
      </c>
      <c r="P1443" s="1090"/>
    </row>
    <row r="1444" spans="1:16" ht="22.5">
      <c r="A1444" s="433">
        <v>7</v>
      </c>
      <c r="B1444" s="437"/>
      <c r="C1444" s="437" t="s">
        <v>1729</v>
      </c>
      <c r="D1444" s="96" t="s">
        <v>1730</v>
      </c>
      <c r="E1444" s="446">
        <v>28</v>
      </c>
      <c r="F1444" s="446" t="s">
        <v>1731</v>
      </c>
      <c r="G1444" s="446" t="s">
        <v>193</v>
      </c>
      <c r="H1444" s="43"/>
      <c r="I1444" s="467">
        <v>3</v>
      </c>
      <c r="J1444" s="469"/>
      <c r="K1444" s="469"/>
      <c r="L1444" s="179" t="s">
        <v>398</v>
      </c>
      <c r="M1444" s="1006" t="s">
        <v>2534</v>
      </c>
      <c r="N1444" s="1006" t="s">
        <v>2444</v>
      </c>
      <c r="O1444" s="1007">
        <v>1</v>
      </c>
      <c r="P1444" s="1090" t="s">
        <v>399</v>
      </c>
    </row>
    <row r="1445" spans="1:16">
      <c r="A1445" s="433">
        <v>7</v>
      </c>
      <c r="B1445" s="437"/>
      <c r="C1445" s="437"/>
      <c r="D1445" s="126"/>
      <c r="E1445" s="446"/>
      <c r="F1445" s="433"/>
      <c r="G1445" s="197" t="s">
        <v>459</v>
      </c>
      <c r="H1445" s="53">
        <f>SUM(H1442:H1444)</f>
        <v>3</v>
      </c>
      <c r="I1445" s="53">
        <f>SUM(I1442:I1444)</f>
        <v>38</v>
      </c>
      <c r="J1445" s="53">
        <f>SUM(J1442:J1444)</f>
        <v>5</v>
      </c>
      <c r="K1445" s="53">
        <f>SUM(K1442:K1444)</f>
        <v>5</v>
      </c>
      <c r="L1445" s="179"/>
      <c r="M1445" s="30"/>
      <c r="N1445" s="29"/>
      <c r="O1445" s="174"/>
      <c r="P1445" s="1090"/>
    </row>
    <row r="1446" spans="1:16">
      <c r="A1446" s="433">
        <v>7</v>
      </c>
      <c r="B1446" s="437"/>
      <c r="C1446" s="437"/>
      <c r="D1446" s="126"/>
      <c r="E1446" s="446"/>
      <c r="F1446" s="433"/>
      <c r="G1446" s="120" t="s">
        <v>459</v>
      </c>
      <c r="H1446" s="120">
        <f>SUM(H1327,H1330,H1333,H1336,H1339,H1342,H1345,H1349,H1352,H1354,H1357,H1363,H1377,,H1380,H1383,H1387,H1401,H1403,H1409,H1421,H1423,H1425,H1429,H1439,H1445,H1390,H1393,H1398,H1365)</f>
        <v>9605.6</v>
      </c>
      <c r="I1446" s="120">
        <f>SUM(I1327,I1330,I1333,I1336,I1339,I1342,I1345,I1349,I1352,I1354,I1357,I1363,I1377,,I1380,I1383,I1387,I1401,I1403,I1409,I1421,I1423,I1425,I1429,I1439,I1445,I1390,I1393,I1398,I1365)</f>
        <v>10014</v>
      </c>
      <c r="J1446" s="120">
        <f>SUM(J1327,J1330,J1333,J1336,J1339,J1342,J1345,J1349,J1352,J1354,J1357,J1363,J1377,,J1380,J1383,J1387,J1401,J1403,J1409,J1421,J1423,J1425,J1429,J1439,J1445,J1390,J1393,J1398,J1365)</f>
        <v>11699</v>
      </c>
      <c r="K1446" s="120">
        <f>SUM(K1327,K1330,K1333,K1336,K1339,K1342,K1345,K1349,K1352,K1354,K1357,K1363,K1377,,K1380,K1383,K1387,K1401,K1403,K1409,K1421,K1423,K1425,K1429,K1439,K1445,K1390,K1393,K1398,K1365)</f>
        <v>12243.5</v>
      </c>
      <c r="L1446" s="179"/>
      <c r="M1446" s="30"/>
      <c r="N1446" s="29"/>
      <c r="O1446" s="174"/>
      <c r="P1446" s="1094"/>
    </row>
    <row r="1447" spans="1:16">
      <c r="A1447" s="433">
        <v>7</v>
      </c>
      <c r="B1447" s="437"/>
      <c r="C1447" s="437"/>
      <c r="D1447" s="126"/>
      <c r="E1447" s="446"/>
      <c r="F1447" s="433"/>
      <c r="G1447" s="41" t="s">
        <v>193</v>
      </c>
      <c r="H1447" s="42">
        <f>SUM(H1325,H1329,H1331,H1334,H1337,H1340,H1343,H1346,H1350,H1353,H1356,H1358,H1359,H1368,H1369,H1370,H1371,H1372,H1373,H1374,H1375,H1376,H1378,H1379,H1381,H1384,H1400,H1402,H1407:H1408,H1411,H1413,H1414,H1415,H1416,H1422,H1424,H1427:H1428,H1431:H1435,H1442:H1444,H1418,H1419,H1388,H1392,H1437:H1438,H1361,H1360,H1362,H1364,H1394,H1395)</f>
        <v>9202.1</v>
      </c>
      <c r="I1447" s="42">
        <f>SUM(I1325,I1329,I1331,I1334,I1337,I1340,I1343,I1346,I1350,I1353,I1356,I1358,I1359,I1368,I1369,I1370,I1371,I1372,I1373,I1374,I1375,I1376,I1378,I1379,I1381,I1384,I1400,I1402,I1407:I1408,I1411,I1413,I1414,I1415,I1416,I1422,I1424,I1427:I1428,I1431:I1435,I1442:I1444,I1418,I1419,I1388,I1392,I1437:I1438,I1361,I1360,I1362,I1364,I1394,I1395)</f>
        <v>8530.2000000000007</v>
      </c>
      <c r="J1447" s="42">
        <f>SUM(J1325,J1329,J1331,J1334,J1337,J1340,J1343,J1346,J1350,J1353,J1356,J1358,J1359,J1368,J1369,J1370,J1371,J1372,J1373,J1374,J1375,J1376,J1378,J1379,J1381,J1384,J1400,J1402,J1407:J1408,J1411,J1413,J1414,J1415,J1416,J1422,J1424,J1427:J1428,J1431:J1435,J1442:J1444,J1418,J1419,J1388,J1392,J1437:J1438,J1361,J1360,J1362,J1364,J1394,J1395)</f>
        <v>10190</v>
      </c>
      <c r="K1447" s="42">
        <f>SUM(K1325,K1329,K1331,K1334,K1337,K1340,K1343,K1346,K1350,K1353,K1356,K1358,K1359,K1368,K1369,K1370,K1371,K1372,K1373,K1374,K1375,K1376,K1378,K1379,K1381,K1384,K1400,K1402,K1407:K1408,K1411,K1413,K1414,K1415,K1416,K1422,K1424,K1427:K1428,K1431:K1435,K1442:K1444,K1418,K1419,K1388,K1392,K1437:K1438,K1361,K1360,K1362,K1364,K1394,K1395)</f>
        <v>10420.300000000001</v>
      </c>
      <c r="L1447" s="179"/>
      <c r="M1447" s="30"/>
      <c r="N1447" s="29"/>
      <c r="O1447" s="174"/>
      <c r="P1447" s="1094"/>
    </row>
    <row r="1448" spans="1:16">
      <c r="A1448" s="433">
        <v>7</v>
      </c>
      <c r="B1448" s="437"/>
      <c r="C1448" s="437"/>
      <c r="D1448" s="126"/>
      <c r="E1448" s="446"/>
      <c r="F1448" s="433"/>
      <c r="G1448" s="41" t="s">
        <v>196</v>
      </c>
      <c r="H1448" s="42">
        <f>SUM(H1326,H1328,H1332,H1335,H1338,H1341,H1344,H1347,H1351)</f>
        <v>316.70000000000005</v>
      </c>
      <c r="I1448" s="42">
        <f>SUM(I1326,I1328,I1332,I1335,I1338,I1341,I1344,I1347,I1351)</f>
        <v>519.79999999999995</v>
      </c>
      <c r="J1448" s="42">
        <f>SUM(J1326,J1328,J1332,J1335,J1338,J1341,J1344,J1347,J1351)</f>
        <v>531.4</v>
      </c>
      <c r="K1448" s="42">
        <f>SUM(K1326,K1328,K1332,K1335,K1338,K1341,K1344,K1347,K1351)</f>
        <v>553.20000000000005</v>
      </c>
      <c r="L1448" s="179"/>
      <c r="M1448" s="30"/>
      <c r="N1448" s="29"/>
      <c r="O1448" s="174"/>
      <c r="P1448" s="1094"/>
    </row>
    <row r="1449" spans="1:16">
      <c r="A1449" s="433">
        <v>7</v>
      </c>
      <c r="B1449" s="437"/>
      <c r="C1449" s="437"/>
      <c r="D1449" s="126"/>
      <c r="E1449" s="446"/>
      <c r="F1449" s="433"/>
      <c r="G1449" s="41" t="s">
        <v>267</v>
      </c>
      <c r="H1449" s="42">
        <f>H1396</f>
        <v>0</v>
      </c>
      <c r="I1449" s="42">
        <v>0</v>
      </c>
      <c r="J1449" s="42">
        <f t="shared" ref="J1449:K1449" si="320">J1396</f>
        <v>755</v>
      </c>
      <c r="K1449" s="42">
        <f t="shared" si="320"/>
        <v>470</v>
      </c>
      <c r="L1449" s="179"/>
      <c r="M1449" s="30"/>
      <c r="N1449" s="29"/>
      <c r="O1449" s="174"/>
      <c r="P1449" s="1094"/>
    </row>
    <row r="1450" spans="1:16">
      <c r="A1450" s="433">
        <v>7</v>
      </c>
      <c r="B1450" s="437"/>
      <c r="C1450" s="437"/>
      <c r="D1450" s="126"/>
      <c r="E1450" s="446"/>
      <c r="F1450" s="433"/>
      <c r="G1450" s="41" t="s">
        <v>381</v>
      </c>
      <c r="H1450" s="42">
        <f>H1382+H1386+H1389</f>
        <v>0</v>
      </c>
      <c r="I1450" s="42">
        <f t="shared" ref="I1450:K1450" si="321">I1382+I1386+I1389</f>
        <v>800</v>
      </c>
      <c r="J1450" s="42">
        <f t="shared" si="321"/>
        <v>0</v>
      </c>
      <c r="K1450" s="42">
        <f t="shared" si="321"/>
        <v>0</v>
      </c>
      <c r="L1450" s="179"/>
      <c r="M1450" s="30"/>
      <c r="N1450" s="29"/>
      <c r="O1450" s="174"/>
      <c r="P1450" s="1094"/>
    </row>
    <row r="1451" spans="1:16">
      <c r="A1451" s="433">
        <v>7</v>
      </c>
      <c r="B1451" s="437"/>
      <c r="C1451" s="437"/>
      <c r="D1451" s="126"/>
      <c r="E1451" s="446"/>
      <c r="F1451" s="433"/>
      <c r="G1451" s="41" t="s">
        <v>269</v>
      </c>
      <c r="H1451" s="42"/>
      <c r="I1451" s="42"/>
      <c r="J1451" s="42"/>
      <c r="K1451" s="42"/>
      <c r="L1451" s="179"/>
      <c r="M1451" s="30"/>
      <c r="N1451" s="29"/>
      <c r="O1451" s="174"/>
      <c r="P1451" s="1094"/>
    </row>
    <row r="1452" spans="1:16">
      <c r="A1452" s="433">
        <v>7</v>
      </c>
      <c r="B1452" s="437"/>
      <c r="C1452" s="437"/>
      <c r="D1452" s="126"/>
      <c r="E1452" s="446"/>
      <c r="F1452" s="433"/>
      <c r="G1452" s="41" t="s">
        <v>195</v>
      </c>
      <c r="H1452" s="42">
        <f>SUM(H1348,)</f>
        <v>86.8</v>
      </c>
      <c r="I1452" s="42">
        <f>SUM(I1348,)</f>
        <v>84.6</v>
      </c>
      <c r="J1452" s="42">
        <f>SUM(J1348,)</f>
        <v>84.6</v>
      </c>
      <c r="K1452" s="42">
        <f>SUM(K1348,)</f>
        <v>0</v>
      </c>
      <c r="L1452" s="179"/>
      <c r="M1452" s="30"/>
      <c r="N1452" s="29"/>
      <c r="O1452" s="174"/>
      <c r="P1452" s="1094"/>
    </row>
    <row r="1453" spans="1:16">
      <c r="A1453" s="433">
        <v>7</v>
      </c>
      <c r="B1453" s="437"/>
      <c r="C1453" s="437"/>
      <c r="D1453" s="126"/>
      <c r="E1453" s="446"/>
      <c r="F1453" s="433"/>
      <c r="G1453" s="41" t="s">
        <v>1732</v>
      </c>
      <c r="H1453" s="42"/>
      <c r="I1453" s="42"/>
      <c r="J1453" s="42"/>
      <c r="K1453" s="42"/>
      <c r="L1453" s="179"/>
      <c r="M1453" s="30"/>
      <c r="N1453" s="29"/>
      <c r="O1453" s="174"/>
      <c r="P1453" s="1094"/>
    </row>
    <row r="1454" spans="1:16">
      <c r="A1454" s="433">
        <v>7</v>
      </c>
      <c r="B1454" s="437"/>
      <c r="C1454" s="437"/>
      <c r="D1454" s="126"/>
      <c r="E1454" s="446"/>
      <c r="F1454" s="433"/>
      <c r="G1454" s="41" t="s">
        <v>283</v>
      </c>
      <c r="H1454" s="42">
        <f>SUM(H1391,H1385)</f>
        <v>0</v>
      </c>
      <c r="I1454" s="42">
        <f t="shared" ref="I1454:K1454" si="322">SUM(I1391,I1385)</f>
        <v>0</v>
      </c>
      <c r="J1454" s="42">
        <f t="shared" si="322"/>
        <v>0</v>
      </c>
      <c r="K1454" s="42">
        <f t="shared" si="322"/>
        <v>500</v>
      </c>
      <c r="L1454" s="179"/>
      <c r="M1454" s="30"/>
      <c r="N1454" s="29"/>
      <c r="O1454" s="174"/>
      <c r="P1454" s="1094"/>
    </row>
    <row r="1455" spans="1:16">
      <c r="A1455" s="433">
        <v>7</v>
      </c>
      <c r="B1455" s="437"/>
      <c r="C1455" s="437"/>
      <c r="D1455" s="126"/>
      <c r="E1455" s="446"/>
      <c r="F1455" s="433"/>
      <c r="G1455" s="41" t="s">
        <v>1580</v>
      </c>
      <c r="H1455" s="42">
        <f>SUM(H1412,H1436,H1417,H1420)</f>
        <v>0</v>
      </c>
      <c r="I1455" s="42">
        <f t="shared" ref="I1455:K1455" si="323">SUM(I1412,I1436,I1417,I1420)</f>
        <v>79.400000000000006</v>
      </c>
      <c r="J1455" s="42">
        <f t="shared" si="323"/>
        <v>18</v>
      </c>
      <c r="K1455" s="42">
        <f t="shared" si="323"/>
        <v>300</v>
      </c>
      <c r="L1455" s="179"/>
      <c r="M1455" s="30"/>
      <c r="N1455" s="29"/>
      <c r="O1455" s="174"/>
      <c r="P1455" s="1094"/>
    </row>
    <row r="1456" spans="1:16">
      <c r="A1456" s="433">
        <v>7</v>
      </c>
      <c r="B1456" s="437"/>
      <c r="C1456" s="437"/>
      <c r="D1456" s="126"/>
      <c r="E1456" s="446"/>
      <c r="F1456" s="433"/>
      <c r="G1456" s="59" t="s">
        <v>1652</v>
      </c>
      <c r="H1456" s="42">
        <f>H1397</f>
        <v>0</v>
      </c>
      <c r="I1456" s="42">
        <v>0</v>
      </c>
      <c r="J1456" s="42">
        <f>J1397</f>
        <v>120</v>
      </c>
      <c r="K1456" s="42">
        <f>K1397</f>
        <v>0</v>
      </c>
      <c r="L1456" s="179"/>
      <c r="M1456" s="30"/>
      <c r="N1456" s="29"/>
      <c r="O1456" s="174"/>
      <c r="P1456" s="1094"/>
    </row>
    <row r="1457" spans="1:16">
      <c r="A1457" s="433">
        <v>7</v>
      </c>
      <c r="B1457" s="437"/>
      <c r="C1457" s="437"/>
      <c r="D1457" s="126"/>
      <c r="E1457" s="446"/>
      <c r="F1457" s="433"/>
      <c r="G1457" s="120" t="s">
        <v>459</v>
      </c>
      <c r="H1457" s="120">
        <f>SUM(H1447:H1456)</f>
        <v>9605.6</v>
      </c>
      <c r="I1457" s="120">
        <f>SUM(I1447:I1456)</f>
        <v>10014</v>
      </c>
      <c r="J1457" s="120">
        <f>SUM(J1447:J1456)</f>
        <v>11699</v>
      </c>
      <c r="K1457" s="120">
        <f>SUM(K1447:K1456)</f>
        <v>12243.500000000002</v>
      </c>
      <c r="L1457" s="179"/>
      <c r="M1457" s="30"/>
      <c r="N1457" s="29"/>
      <c r="O1457" s="174"/>
      <c r="P1457" s="1094"/>
    </row>
    <row r="1458" spans="1:16">
      <c r="A1458" s="433">
        <v>7</v>
      </c>
      <c r="B1458" s="437"/>
      <c r="C1458" s="437"/>
      <c r="D1458" s="126"/>
      <c r="E1458" s="446"/>
      <c r="F1458" s="433"/>
      <c r="G1458" s="446"/>
      <c r="H1458" s="42">
        <f>H1446-H1457</f>
        <v>0</v>
      </c>
      <c r="I1458" s="42">
        <f>I1446-I1457</f>
        <v>0</v>
      </c>
      <c r="J1458" s="42">
        <f>J1446-J1457</f>
        <v>0</v>
      </c>
      <c r="K1458" s="42">
        <f>K1446-K1457</f>
        <v>0</v>
      </c>
      <c r="L1458" s="179"/>
      <c r="M1458" s="30"/>
      <c r="N1458" s="29"/>
      <c r="O1458" s="174"/>
      <c r="P1458" s="1094"/>
    </row>
    <row r="1459" spans="1:16" ht="22.5">
      <c r="A1459" s="493">
        <v>8</v>
      </c>
      <c r="B1459" s="184"/>
      <c r="C1459" s="184"/>
      <c r="D1459" s="185" t="s">
        <v>1733</v>
      </c>
      <c r="E1459" s="431"/>
      <c r="F1459" s="184"/>
      <c r="G1459" s="187"/>
      <c r="H1459" s="186"/>
      <c r="I1459" s="432"/>
      <c r="J1459" s="432"/>
      <c r="K1459" s="432"/>
      <c r="L1459" s="179"/>
      <c r="M1459" s="30"/>
      <c r="N1459" s="29"/>
      <c r="O1459" s="174"/>
      <c r="P1459" s="962"/>
    </row>
    <row r="1460" spans="1:16" ht="22.5">
      <c r="A1460" s="493">
        <v>8</v>
      </c>
      <c r="B1460" s="283" t="s">
        <v>1734</v>
      </c>
      <c r="C1460" s="283" t="s">
        <v>1734</v>
      </c>
      <c r="D1460" s="766" t="s">
        <v>1735</v>
      </c>
      <c r="E1460" s="346" t="s">
        <v>116</v>
      </c>
      <c r="F1460" s="41" t="s">
        <v>1736</v>
      </c>
      <c r="G1460" s="196" t="s">
        <v>193</v>
      </c>
      <c r="H1460" s="43">
        <v>1407.1</v>
      </c>
      <c r="I1460" s="44">
        <f>1442.9+170+7.6-180.7-141</f>
        <v>1298.8</v>
      </c>
      <c r="J1460" s="320">
        <f>1510.9+170</f>
        <v>1680.9</v>
      </c>
      <c r="K1460" s="320">
        <f>1583+170</f>
        <v>1753</v>
      </c>
      <c r="L1460" s="179" t="s">
        <v>194</v>
      </c>
      <c r="M1460" s="30"/>
      <c r="N1460" s="29"/>
      <c r="O1460" s="174"/>
      <c r="P1460" s="1102"/>
    </row>
    <row r="1461" spans="1:16">
      <c r="A1461" s="41">
        <v>8</v>
      </c>
      <c r="B1461" s="283"/>
      <c r="C1461" s="283"/>
      <c r="D1461" s="40"/>
      <c r="E1461" s="346" t="s">
        <v>116</v>
      </c>
      <c r="F1461" s="41" t="s">
        <v>1736</v>
      </c>
      <c r="G1461" s="196" t="s">
        <v>196</v>
      </c>
      <c r="H1461" s="43">
        <v>566.70000000000005</v>
      </c>
      <c r="I1461" s="44">
        <v>230</v>
      </c>
      <c r="J1461" s="320">
        <v>194.2</v>
      </c>
      <c r="K1461" s="320">
        <v>194.2</v>
      </c>
      <c r="L1461" s="179"/>
      <c r="M1461" s="30"/>
      <c r="N1461" s="29"/>
      <c r="O1461" s="174"/>
      <c r="P1461" s="1102"/>
    </row>
    <row r="1462" spans="1:16">
      <c r="A1462" s="41">
        <v>8</v>
      </c>
      <c r="B1462" s="283"/>
      <c r="C1462" s="283"/>
      <c r="D1462" s="40"/>
      <c r="E1462" s="346" t="s">
        <v>116</v>
      </c>
      <c r="F1462" s="41" t="s">
        <v>1736</v>
      </c>
      <c r="G1462" s="193" t="s">
        <v>195</v>
      </c>
      <c r="H1462" s="43"/>
      <c r="I1462" s="44">
        <v>30</v>
      </c>
      <c r="J1462" s="320"/>
      <c r="K1462" s="320"/>
      <c r="L1462" s="179"/>
      <c r="M1462" s="30"/>
      <c r="N1462" s="29"/>
      <c r="O1462" s="174"/>
      <c r="P1462" s="1102"/>
    </row>
    <row r="1463" spans="1:16">
      <c r="A1463" s="41">
        <v>8</v>
      </c>
      <c r="B1463" s="283"/>
      <c r="C1463" s="283"/>
      <c r="D1463" s="40"/>
      <c r="E1463" s="346" t="s">
        <v>116</v>
      </c>
      <c r="F1463" s="41" t="s">
        <v>1736</v>
      </c>
      <c r="G1463" s="197" t="s">
        <v>459</v>
      </c>
      <c r="H1463" s="53">
        <f>SUM(H1460:H1462)</f>
        <v>1973.8</v>
      </c>
      <c r="I1463" s="53">
        <f t="shared" ref="I1463:K1463" si="324">SUM(I1460:I1462)</f>
        <v>1558.8</v>
      </c>
      <c r="J1463" s="53">
        <f t="shared" si="324"/>
        <v>1875.1000000000001</v>
      </c>
      <c r="K1463" s="53">
        <f t="shared" si="324"/>
        <v>1947.2</v>
      </c>
      <c r="L1463" s="179"/>
      <c r="M1463" s="30"/>
      <c r="N1463" s="29"/>
      <c r="O1463" s="174"/>
      <c r="P1463" s="1102"/>
    </row>
    <row r="1464" spans="1:16" ht="22.5">
      <c r="A1464" s="41">
        <v>8</v>
      </c>
      <c r="B1464" s="259" t="s">
        <v>1737</v>
      </c>
      <c r="C1464" s="815" t="s">
        <v>1737</v>
      </c>
      <c r="D1464" s="766" t="s">
        <v>1738</v>
      </c>
      <c r="E1464" s="41" t="s">
        <v>116</v>
      </c>
      <c r="F1464" s="41" t="s">
        <v>1739</v>
      </c>
      <c r="G1464" s="193" t="s">
        <v>193</v>
      </c>
      <c r="H1464" s="42"/>
      <c r="I1464" s="44">
        <f>180.7+141</f>
        <v>321.7</v>
      </c>
      <c r="J1464" s="194"/>
      <c r="K1464" s="194"/>
      <c r="L1464" s="179"/>
      <c r="M1464" s="30"/>
      <c r="N1464" s="29"/>
      <c r="O1464" s="174"/>
      <c r="P1464" s="1102"/>
    </row>
    <row r="1465" spans="1:16">
      <c r="A1465" s="41">
        <v>8</v>
      </c>
      <c r="B1465" s="181"/>
      <c r="C1465" s="364"/>
      <c r="D1465" s="364"/>
      <c r="E1465" s="41" t="s">
        <v>116</v>
      </c>
      <c r="F1465" s="41" t="s">
        <v>1739</v>
      </c>
      <c r="G1465" s="196" t="s">
        <v>196</v>
      </c>
      <c r="H1465" s="43"/>
      <c r="I1465" s="44">
        <v>1629.7</v>
      </c>
      <c r="J1465" s="917">
        <v>1665.5</v>
      </c>
      <c r="K1465" s="917">
        <v>1665.5</v>
      </c>
      <c r="L1465" s="179"/>
      <c r="M1465" s="30"/>
      <c r="N1465" s="29"/>
      <c r="O1465" s="174"/>
      <c r="P1465" s="1102"/>
    </row>
    <row r="1466" spans="1:16">
      <c r="A1466" s="41">
        <v>8</v>
      </c>
      <c r="B1466" s="54"/>
      <c r="C1466" s="54"/>
      <c r="D1466" s="40"/>
      <c r="E1466" s="41"/>
      <c r="F1466" s="41"/>
      <c r="G1466" s="197" t="s">
        <v>459</v>
      </c>
      <c r="H1466" s="53">
        <f>SUM(H1464:H1465)</f>
        <v>0</v>
      </c>
      <c r="I1466" s="53">
        <f t="shared" ref="I1466:K1466" si="325">SUM(I1464:I1465)</f>
        <v>1951.4</v>
      </c>
      <c r="J1466" s="53">
        <f t="shared" si="325"/>
        <v>1665.5</v>
      </c>
      <c r="K1466" s="53">
        <f t="shared" si="325"/>
        <v>1665.5</v>
      </c>
      <c r="L1466" s="179"/>
      <c r="M1466" s="30"/>
      <c r="N1466" s="29"/>
      <c r="O1466" s="174"/>
      <c r="P1466" s="1102"/>
    </row>
    <row r="1467" spans="1:16" ht="33.75">
      <c r="A1467" s="493">
        <v>8</v>
      </c>
      <c r="B1467" s="283" t="s">
        <v>1740</v>
      </c>
      <c r="C1467" s="283" t="s">
        <v>1740</v>
      </c>
      <c r="D1467" s="766" t="s">
        <v>1741</v>
      </c>
      <c r="E1467" s="346" t="s">
        <v>260</v>
      </c>
      <c r="F1467" s="196" t="s">
        <v>1742</v>
      </c>
      <c r="G1467" s="196" t="s">
        <v>193</v>
      </c>
      <c r="H1467" s="42">
        <v>675</v>
      </c>
      <c r="I1467" s="44">
        <v>1280</v>
      </c>
      <c r="J1467" s="194">
        <v>1330</v>
      </c>
      <c r="K1467" s="194">
        <v>1380</v>
      </c>
      <c r="L1467" s="179" t="s">
        <v>262</v>
      </c>
      <c r="M1467" s="995" t="s">
        <v>2445</v>
      </c>
      <c r="N1467" s="995" t="s">
        <v>2446</v>
      </c>
      <c r="O1467" s="174">
        <v>29</v>
      </c>
      <c r="P1467" s="1102"/>
    </row>
    <row r="1468" spans="1:16" ht="22.5">
      <c r="A1468" s="41">
        <v>8</v>
      </c>
      <c r="B1468" s="283"/>
      <c r="C1468" s="283"/>
      <c r="D1468" s="40"/>
      <c r="E1468" s="346" t="s">
        <v>260</v>
      </c>
      <c r="F1468" s="196" t="s">
        <v>1742</v>
      </c>
      <c r="G1468" s="41" t="s">
        <v>461</v>
      </c>
      <c r="H1468" s="42">
        <v>530</v>
      </c>
      <c r="I1468" s="44">
        <v>1161</v>
      </c>
      <c r="J1468" s="42">
        <v>1211</v>
      </c>
      <c r="K1468" s="42">
        <v>1261</v>
      </c>
      <c r="L1468" s="179"/>
      <c r="M1468" s="995" t="s">
        <v>2445</v>
      </c>
      <c r="N1468" s="995" t="s">
        <v>2447</v>
      </c>
      <c r="O1468" s="174">
        <v>92</v>
      </c>
      <c r="P1468" s="1102"/>
    </row>
    <row r="1469" spans="1:16">
      <c r="A1469" s="284">
        <v>8</v>
      </c>
      <c r="B1469" s="283"/>
      <c r="C1469" s="283"/>
      <c r="D1469" s="40"/>
      <c r="E1469" s="346" t="s">
        <v>260</v>
      </c>
      <c r="F1469" s="196" t="s">
        <v>1742</v>
      </c>
      <c r="G1469" s="197" t="s">
        <v>459</v>
      </c>
      <c r="H1469" s="53">
        <f t="shared" ref="H1469:K1469" si="326">SUM(H1467:H1468)</f>
        <v>1205</v>
      </c>
      <c r="I1469" s="53">
        <f t="shared" si="326"/>
        <v>2441</v>
      </c>
      <c r="J1469" s="53">
        <f t="shared" si="326"/>
        <v>2541</v>
      </c>
      <c r="K1469" s="53">
        <f t="shared" si="326"/>
        <v>2641</v>
      </c>
      <c r="L1469" s="179"/>
      <c r="M1469" s="69"/>
      <c r="N1469" s="995"/>
      <c r="O1469" s="174"/>
      <c r="P1469" s="1102"/>
    </row>
    <row r="1470" spans="1:16" ht="22.9" customHeight="1">
      <c r="A1470" s="493">
        <v>8</v>
      </c>
      <c r="B1470" s="283" t="s">
        <v>1743</v>
      </c>
      <c r="C1470" s="283" t="s">
        <v>1743</v>
      </c>
      <c r="D1470" s="766" t="s">
        <v>1744</v>
      </c>
      <c r="E1470" s="346" t="s">
        <v>118</v>
      </c>
      <c r="F1470" s="41" t="s">
        <v>1745</v>
      </c>
      <c r="G1470" s="41" t="s">
        <v>193</v>
      </c>
      <c r="H1470" s="43">
        <v>460</v>
      </c>
      <c r="I1470" s="44">
        <v>494</v>
      </c>
      <c r="J1470" s="42">
        <v>531</v>
      </c>
      <c r="K1470" s="42">
        <v>531</v>
      </c>
      <c r="L1470" s="179" t="s">
        <v>262</v>
      </c>
      <c r="M1470" s="30"/>
      <c r="N1470" s="29"/>
      <c r="O1470" s="174"/>
      <c r="P1470" s="1102"/>
    </row>
    <row r="1471" spans="1:16">
      <c r="A1471" s="493">
        <v>8</v>
      </c>
      <c r="B1471" s="283"/>
      <c r="C1471" s="283"/>
      <c r="D1471" s="40"/>
      <c r="E1471" s="346" t="s">
        <v>118</v>
      </c>
      <c r="F1471" s="41" t="s">
        <v>1745</v>
      </c>
      <c r="G1471" s="41" t="s">
        <v>461</v>
      </c>
      <c r="H1471" s="43">
        <v>30</v>
      </c>
      <c r="I1471" s="44">
        <v>30</v>
      </c>
      <c r="J1471" s="42">
        <v>30</v>
      </c>
      <c r="K1471" s="42">
        <v>30</v>
      </c>
      <c r="L1471" s="179"/>
      <c r="M1471" s="30"/>
      <c r="N1471" s="29"/>
      <c r="O1471" s="174"/>
      <c r="P1471" s="1102"/>
    </row>
    <row r="1472" spans="1:16">
      <c r="A1472" s="41">
        <v>8</v>
      </c>
      <c r="B1472" s="283"/>
      <c r="C1472" s="283"/>
      <c r="D1472" s="40"/>
      <c r="E1472" s="346" t="s">
        <v>118</v>
      </c>
      <c r="F1472" s="41" t="s">
        <v>1745</v>
      </c>
      <c r="G1472" s="197" t="s">
        <v>459</v>
      </c>
      <c r="H1472" s="53">
        <f t="shared" ref="H1472:K1472" si="327">SUM(H1470:H1471)</f>
        <v>490</v>
      </c>
      <c r="I1472" s="53">
        <f t="shared" si="327"/>
        <v>524</v>
      </c>
      <c r="J1472" s="53">
        <f t="shared" si="327"/>
        <v>561</v>
      </c>
      <c r="K1472" s="53">
        <f t="shared" si="327"/>
        <v>561</v>
      </c>
      <c r="L1472" s="179"/>
      <c r="M1472" s="30"/>
      <c r="N1472" s="29"/>
      <c r="O1472" s="174"/>
      <c r="P1472" s="1102"/>
    </row>
    <row r="1473" spans="1:16" ht="22.5">
      <c r="A1473" s="41">
        <v>8</v>
      </c>
      <c r="B1473" s="283" t="s">
        <v>1746</v>
      </c>
      <c r="C1473" s="283" t="s">
        <v>1746</v>
      </c>
      <c r="D1473" s="766" t="s">
        <v>1747</v>
      </c>
      <c r="E1473" s="346" t="s">
        <v>120</v>
      </c>
      <c r="F1473" s="41" t="s">
        <v>1748</v>
      </c>
      <c r="G1473" s="41" t="s">
        <v>193</v>
      </c>
      <c r="H1473" s="43">
        <v>44</v>
      </c>
      <c r="I1473" s="44">
        <f>48.2</f>
        <v>48.2</v>
      </c>
      <c r="J1473" s="42">
        <v>50.2</v>
      </c>
      <c r="K1473" s="42">
        <v>50.2</v>
      </c>
      <c r="L1473" s="179" t="s">
        <v>262</v>
      </c>
      <c r="M1473" s="30"/>
      <c r="N1473" s="29"/>
      <c r="O1473" s="174"/>
      <c r="P1473" s="1102"/>
    </row>
    <row r="1474" spans="1:16">
      <c r="A1474" s="493">
        <v>8</v>
      </c>
      <c r="B1474" s="283"/>
      <c r="C1474" s="283"/>
      <c r="D1474" s="40"/>
      <c r="E1474" s="346" t="s">
        <v>120</v>
      </c>
      <c r="F1474" s="41" t="s">
        <v>1748</v>
      </c>
      <c r="G1474" s="41" t="s">
        <v>461</v>
      </c>
      <c r="H1474" s="43">
        <v>350</v>
      </c>
      <c r="I1474" s="44">
        <v>350</v>
      </c>
      <c r="J1474" s="42">
        <v>350</v>
      </c>
      <c r="K1474" s="42">
        <v>350</v>
      </c>
      <c r="L1474" s="179"/>
      <c r="M1474" s="30"/>
      <c r="N1474" s="29"/>
      <c r="O1474" s="174"/>
      <c r="P1474" s="1102"/>
    </row>
    <row r="1475" spans="1:16">
      <c r="A1475" s="41">
        <v>8</v>
      </c>
      <c r="B1475" s="283"/>
      <c r="C1475" s="283"/>
      <c r="D1475" s="40"/>
      <c r="E1475" s="346" t="s">
        <v>120</v>
      </c>
      <c r="F1475" s="41" t="s">
        <v>1748</v>
      </c>
      <c r="G1475" s="197" t="s">
        <v>459</v>
      </c>
      <c r="H1475" s="53">
        <f t="shared" ref="H1475:K1475" si="328">SUM(H1473:H1474)</f>
        <v>394</v>
      </c>
      <c r="I1475" s="53">
        <f t="shared" si="328"/>
        <v>398.2</v>
      </c>
      <c r="J1475" s="53">
        <f t="shared" si="328"/>
        <v>400.2</v>
      </c>
      <c r="K1475" s="53">
        <f t="shared" si="328"/>
        <v>400.2</v>
      </c>
      <c r="L1475" s="179"/>
      <c r="M1475" s="30"/>
      <c r="N1475" s="29"/>
      <c r="O1475" s="174"/>
      <c r="P1475" s="1102"/>
    </row>
    <row r="1476" spans="1:16" ht="22.5">
      <c r="A1476" s="284">
        <v>8</v>
      </c>
      <c r="B1476" s="283" t="s">
        <v>1749</v>
      </c>
      <c r="C1476" s="283" t="s">
        <v>1749</v>
      </c>
      <c r="D1476" s="766" t="s">
        <v>1750</v>
      </c>
      <c r="E1476" s="115">
        <v>11</v>
      </c>
      <c r="F1476" s="41" t="s">
        <v>1751</v>
      </c>
      <c r="G1476" s="41" t="s">
        <v>193</v>
      </c>
      <c r="H1476" s="43">
        <v>44.1</v>
      </c>
      <c r="I1476" s="44">
        <v>45</v>
      </c>
      <c r="J1476" s="42">
        <v>45</v>
      </c>
      <c r="K1476" s="42">
        <v>45</v>
      </c>
      <c r="L1476" s="179" t="s">
        <v>274</v>
      </c>
      <c r="M1476" s="1103" t="s">
        <v>2448</v>
      </c>
      <c r="N1476" s="29" t="s">
        <v>2449</v>
      </c>
      <c r="O1476" s="174">
        <v>30</v>
      </c>
      <c r="P1476" s="1102"/>
    </row>
    <row r="1477" spans="1:16">
      <c r="A1477" s="493">
        <v>8</v>
      </c>
      <c r="B1477" s="283"/>
      <c r="C1477" s="283"/>
      <c r="D1477" s="40"/>
      <c r="E1477" s="115">
        <v>11</v>
      </c>
      <c r="F1477" s="41" t="s">
        <v>1751</v>
      </c>
      <c r="G1477" s="197" t="s">
        <v>459</v>
      </c>
      <c r="H1477" s="53">
        <f t="shared" ref="H1477:K1477" si="329">SUM(H1476)</f>
        <v>44.1</v>
      </c>
      <c r="I1477" s="53">
        <f t="shared" si="329"/>
        <v>45</v>
      </c>
      <c r="J1477" s="53">
        <f t="shared" si="329"/>
        <v>45</v>
      </c>
      <c r="K1477" s="53">
        <f t="shared" si="329"/>
        <v>45</v>
      </c>
      <c r="L1477" s="179"/>
      <c r="M1477" s="1103"/>
      <c r="N1477" s="29"/>
      <c r="O1477" s="174"/>
      <c r="P1477" s="1102"/>
    </row>
    <row r="1478" spans="1:16" ht="22.5">
      <c r="A1478" s="493">
        <v>8</v>
      </c>
      <c r="B1478" s="283" t="s">
        <v>1752</v>
      </c>
      <c r="C1478" s="283" t="s">
        <v>1752</v>
      </c>
      <c r="D1478" s="766" t="s">
        <v>1753</v>
      </c>
      <c r="E1478" s="115">
        <v>11</v>
      </c>
      <c r="F1478" s="41" t="s">
        <v>1754</v>
      </c>
      <c r="G1478" s="41" t="s">
        <v>193</v>
      </c>
      <c r="H1478" s="43">
        <v>19.8</v>
      </c>
      <c r="I1478" s="44">
        <v>20</v>
      </c>
      <c r="J1478" s="42">
        <v>20</v>
      </c>
      <c r="K1478" s="42">
        <v>20</v>
      </c>
      <c r="L1478" s="179" t="s">
        <v>274</v>
      </c>
      <c r="M1478" s="995" t="s">
        <v>2535</v>
      </c>
      <c r="N1478" s="995" t="s">
        <v>2450</v>
      </c>
      <c r="O1478" s="174">
        <v>6</v>
      </c>
      <c r="P1478" s="1102"/>
    </row>
    <row r="1479" spans="1:16">
      <c r="A1479" s="41">
        <v>8</v>
      </c>
      <c r="B1479" s="283"/>
      <c r="C1479" s="283"/>
      <c r="D1479" s="879"/>
      <c r="E1479" s="115">
        <v>11</v>
      </c>
      <c r="F1479" s="41" t="s">
        <v>1754</v>
      </c>
      <c r="G1479" s="197" t="s">
        <v>459</v>
      </c>
      <c r="H1479" s="53">
        <f t="shared" ref="H1479:K1479" si="330">SUM(H1478)</f>
        <v>19.8</v>
      </c>
      <c r="I1479" s="53">
        <f t="shared" si="330"/>
        <v>20</v>
      </c>
      <c r="J1479" s="53">
        <f t="shared" si="330"/>
        <v>20</v>
      </c>
      <c r="K1479" s="53">
        <f t="shared" si="330"/>
        <v>20</v>
      </c>
      <c r="L1479" s="179"/>
      <c r="M1479" s="30"/>
      <c r="N1479" s="29"/>
      <c r="O1479" s="174"/>
      <c r="P1479" s="1102"/>
    </row>
    <row r="1480" spans="1:16" ht="42.6" customHeight="1">
      <c r="A1480" s="41">
        <v>8</v>
      </c>
      <c r="B1480" s="283" t="s">
        <v>1755</v>
      </c>
      <c r="C1480" s="283" t="s">
        <v>1755</v>
      </c>
      <c r="D1480" s="766" t="s">
        <v>1756</v>
      </c>
      <c r="E1480" s="115">
        <v>11</v>
      </c>
      <c r="F1480" s="41" t="s">
        <v>1757</v>
      </c>
      <c r="G1480" s="59" t="s">
        <v>193</v>
      </c>
      <c r="H1480" s="43">
        <v>250</v>
      </c>
      <c r="I1480" s="44"/>
      <c r="J1480" s="42"/>
      <c r="K1480" s="42"/>
      <c r="L1480" s="179" t="s">
        <v>274</v>
      </c>
      <c r="M1480" s="30"/>
      <c r="N1480" s="29"/>
      <c r="O1480" s="174"/>
      <c r="P1480" s="1102"/>
    </row>
    <row r="1481" spans="1:16">
      <c r="A1481" s="41">
        <v>8</v>
      </c>
      <c r="B1481" s="283"/>
      <c r="C1481" s="283"/>
      <c r="D1481" s="879"/>
      <c r="E1481" s="115">
        <v>11</v>
      </c>
      <c r="F1481" s="41"/>
      <c r="G1481" s="197" t="s">
        <v>459</v>
      </c>
      <c r="H1481" s="53">
        <f t="shared" ref="H1481:K1481" si="331">SUM(H1480)</f>
        <v>250</v>
      </c>
      <c r="I1481" s="53">
        <f t="shared" si="331"/>
        <v>0</v>
      </c>
      <c r="J1481" s="53">
        <f t="shared" si="331"/>
        <v>0</v>
      </c>
      <c r="K1481" s="53">
        <f t="shared" si="331"/>
        <v>0</v>
      </c>
      <c r="L1481" s="179"/>
      <c r="M1481" s="30"/>
      <c r="N1481" s="29"/>
      <c r="O1481" s="174"/>
      <c r="P1481" s="1102"/>
    </row>
    <row r="1482" spans="1:16" ht="22.5">
      <c r="A1482" s="41">
        <v>8</v>
      </c>
      <c r="B1482" s="283" t="s">
        <v>1758</v>
      </c>
      <c r="C1482" s="283" t="s">
        <v>1758</v>
      </c>
      <c r="D1482" s="766" t="s">
        <v>1759</v>
      </c>
      <c r="E1482" s="115">
        <v>11</v>
      </c>
      <c r="F1482" s="59" t="s">
        <v>1760</v>
      </c>
      <c r="G1482" s="41" t="s">
        <v>193</v>
      </c>
      <c r="H1482" s="43"/>
      <c r="I1482" s="44">
        <f>100-100</f>
        <v>0</v>
      </c>
      <c r="J1482" s="42">
        <v>100</v>
      </c>
      <c r="K1482" s="42">
        <v>100</v>
      </c>
      <c r="L1482" s="179" t="s">
        <v>274</v>
      </c>
      <c r="M1482" s="30"/>
      <c r="N1482" s="29"/>
      <c r="O1482" s="174"/>
      <c r="P1482" s="1102"/>
    </row>
    <row r="1483" spans="1:16" ht="12.75" customHeight="1">
      <c r="A1483" s="41">
        <v>8</v>
      </c>
      <c r="B1483" s="283"/>
      <c r="C1483" s="283"/>
      <c r="D1483" s="40"/>
      <c r="E1483" s="115">
        <v>11</v>
      </c>
      <c r="F1483" s="59" t="s">
        <v>1760</v>
      </c>
      <c r="G1483" s="41" t="s">
        <v>461</v>
      </c>
      <c r="H1483" s="43"/>
      <c r="I1483" s="44"/>
      <c r="J1483" s="42"/>
      <c r="K1483" s="42"/>
      <c r="L1483" s="179"/>
      <c r="M1483" s="30"/>
      <c r="N1483" s="29"/>
      <c r="O1483" s="174"/>
      <c r="P1483" s="1102"/>
    </row>
    <row r="1484" spans="1:16" ht="12.6" customHeight="1">
      <c r="A1484" s="41">
        <v>8</v>
      </c>
      <c r="B1484" s="283"/>
      <c r="C1484" s="283"/>
      <c r="D1484" s="40"/>
      <c r="E1484" s="346"/>
      <c r="F1484" s="41"/>
      <c r="G1484" s="197" t="s">
        <v>459</v>
      </c>
      <c r="H1484" s="53">
        <f>SUM(H1482:H1483)</f>
        <v>0</v>
      </c>
      <c r="I1484" s="53">
        <f t="shared" ref="I1484:K1484" si="332">SUM(I1482:I1483)</f>
        <v>0</v>
      </c>
      <c r="J1484" s="53">
        <f t="shared" si="332"/>
        <v>100</v>
      </c>
      <c r="K1484" s="53">
        <f t="shared" si="332"/>
        <v>100</v>
      </c>
      <c r="L1484" s="179"/>
      <c r="M1484" s="30"/>
      <c r="N1484" s="29"/>
      <c r="O1484" s="174"/>
      <c r="P1484" s="1102"/>
    </row>
    <row r="1485" spans="1:16" ht="22.5">
      <c r="A1485" s="41">
        <v>8</v>
      </c>
      <c r="B1485" s="199"/>
      <c r="C1485" s="199"/>
      <c r="D1485" s="200" t="s">
        <v>1761</v>
      </c>
      <c r="E1485" s="450"/>
      <c r="F1485" s="199"/>
      <c r="G1485" s="202"/>
      <c r="H1485" s="201"/>
      <c r="I1485" s="201"/>
      <c r="J1485" s="451"/>
      <c r="K1485" s="451"/>
      <c r="L1485" s="179"/>
      <c r="M1485" s="30"/>
      <c r="N1485" s="29"/>
      <c r="O1485" s="174"/>
      <c r="P1485" s="1102"/>
    </row>
    <row r="1486" spans="1:16" ht="22.5">
      <c r="A1486" s="493">
        <v>8</v>
      </c>
      <c r="B1486" s="190" t="s">
        <v>1762</v>
      </c>
      <c r="C1486" s="190" t="s">
        <v>1762</v>
      </c>
      <c r="D1486" s="198" t="s">
        <v>1763</v>
      </c>
      <c r="E1486" s="346"/>
      <c r="F1486" s="41"/>
      <c r="G1486" s="283"/>
      <c r="H1486" s="85">
        <f>H1490+H1493+H1496</f>
        <v>280.89999999999998</v>
      </c>
      <c r="I1486" s="85">
        <f t="shared" ref="I1486:K1486" si="333">I1490+I1493+I1496</f>
        <v>1047.2</v>
      </c>
      <c r="J1486" s="85">
        <f t="shared" si="333"/>
        <v>375</v>
      </c>
      <c r="K1486" s="85">
        <f t="shared" si="333"/>
        <v>230</v>
      </c>
      <c r="L1486" s="179"/>
      <c r="M1486" s="30"/>
      <c r="N1486" s="29"/>
      <c r="O1486" s="174"/>
      <c r="P1486" s="1102"/>
    </row>
    <row r="1487" spans="1:16" ht="33.75">
      <c r="A1487" s="41">
        <v>8</v>
      </c>
      <c r="B1487" s="283" t="s">
        <v>1764</v>
      </c>
      <c r="C1487" s="283" t="s">
        <v>1764</v>
      </c>
      <c r="D1487" s="861" t="s">
        <v>1765</v>
      </c>
      <c r="E1487" s="346" t="s">
        <v>116</v>
      </c>
      <c r="F1487" s="494" t="s">
        <v>1766</v>
      </c>
      <c r="G1487" s="867" t="s">
        <v>193</v>
      </c>
      <c r="H1487" s="43">
        <v>280.89999999999998</v>
      </c>
      <c r="I1487" s="44">
        <v>230</v>
      </c>
      <c r="J1487" s="880">
        <v>230</v>
      </c>
      <c r="K1487" s="880">
        <v>230</v>
      </c>
      <c r="L1487" s="179" t="s">
        <v>274</v>
      </c>
      <c r="M1487" s="29" t="s">
        <v>2451</v>
      </c>
      <c r="N1487" s="29" t="s">
        <v>2452</v>
      </c>
      <c r="O1487" s="174">
        <v>10</v>
      </c>
      <c r="P1487" s="1102"/>
    </row>
    <row r="1488" spans="1:16" ht="22.5">
      <c r="A1488" s="493">
        <v>8</v>
      </c>
      <c r="B1488" s="283"/>
      <c r="C1488" s="283"/>
      <c r="D1488" s="861"/>
      <c r="E1488" s="346" t="s">
        <v>116</v>
      </c>
      <c r="F1488" s="494" t="s">
        <v>1766</v>
      </c>
      <c r="G1488" s="867" t="s">
        <v>193</v>
      </c>
      <c r="H1488" s="43"/>
      <c r="I1488" s="44">
        <v>150</v>
      </c>
      <c r="J1488" s="880"/>
      <c r="K1488" s="880"/>
      <c r="L1488" s="179" t="s">
        <v>398</v>
      </c>
      <c r="M1488" s="29" t="s">
        <v>2451</v>
      </c>
      <c r="N1488" s="29" t="s">
        <v>2453</v>
      </c>
      <c r="O1488" s="174">
        <v>1</v>
      </c>
      <c r="P1488" s="1104" t="s">
        <v>275</v>
      </c>
    </row>
    <row r="1489" spans="1:16" ht="22.5">
      <c r="A1489" s="493">
        <v>8</v>
      </c>
      <c r="B1489" s="283"/>
      <c r="C1489" s="283"/>
      <c r="D1489" s="495"/>
      <c r="E1489" s="346" t="s">
        <v>118</v>
      </c>
      <c r="F1489" s="494" t="s">
        <v>1766</v>
      </c>
      <c r="G1489" s="196" t="s">
        <v>193</v>
      </c>
      <c r="H1489" s="43"/>
      <c r="I1489" s="44">
        <f>75-75</f>
        <v>0</v>
      </c>
      <c r="J1489" s="194">
        <v>75</v>
      </c>
      <c r="K1489" s="194"/>
      <c r="L1489" s="179" t="s">
        <v>274</v>
      </c>
      <c r="M1489" s="1020" t="s">
        <v>117</v>
      </c>
      <c r="N1489" s="29" t="s">
        <v>2536</v>
      </c>
      <c r="O1489" s="174">
        <v>1</v>
      </c>
      <c r="P1489" s="1104" t="s">
        <v>275</v>
      </c>
    </row>
    <row r="1490" spans="1:16">
      <c r="A1490" s="41">
        <v>8</v>
      </c>
      <c r="B1490" s="283"/>
      <c r="C1490" s="283"/>
      <c r="D1490" s="495"/>
      <c r="E1490" s="346"/>
      <c r="F1490" s="494" t="s">
        <v>1766</v>
      </c>
      <c r="G1490" s="197" t="s">
        <v>459</v>
      </c>
      <c r="H1490" s="53">
        <f>SUM(H1487:H1489)</f>
        <v>280.89999999999998</v>
      </c>
      <c r="I1490" s="53">
        <f>SUM(I1487:I1489)</f>
        <v>380</v>
      </c>
      <c r="J1490" s="53">
        <f>SUM(J1487:J1489)</f>
        <v>305</v>
      </c>
      <c r="K1490" s="53">
        <f>SUM(K1487:K1489)</f>
        <v>230</v>
      </c>
      <c r="L1490" s="179"/>
      <c r="M1490" s="30"/>
      <c r="N1490" s="29"/>
      <c r="O1490" s="174"/>
      <c r="P1490" s="1102"/>
    </row>
    <row r="1491" spans="1:16" ht="22.5">
      <c r="A1491" s="493">
        <v>8</v>
      </c>
      <c r="B1491" s="283" t="s">
        <v>1767</v>
      </c>
      <c r="C1491" s="283" t="s">
        <v>1767</v>
      </c>
      <c r="D1491" s="861" t="s">
        <v>1768</v>
      </c>
      <c r="E1491" s="115" t="s">
        <v>118</v>
      </c>
      <c r="F1491" s="196" t="s">
        <v>1769</v>
      </c>
      <c r="G1491" s="196" t="s">
        <v>193</v>
      </c>
      <c r="H1491" s="43">
        <f>242-70-172</f>
        <v>0</v>
      </c>
      <c r="I1491" s="44">
        <f>70+317.2</f>
        <v>387.2</v>
      </c>
      <c r="J1491" s="194"/>
      <c r="K1491" s="194"/>
      <c r="L1491" s="179" t="s">
        <v>398</v>
      </c>
      <c r="M1491" s="1020" t="s">
        <v>1179</v>
      </c>
      <c r="N1491" s="29" t="s">
        <v>2454</v>
      </c>
      <c r="O1491" s="174">
        <v>32</v>
      </c>
      <c r="P1491" s="1102" t="s">
        <v>389</v>
      </c>
    </row>
    <row r="1492" spans="1:16">
      <c r="A1492" s="41">
        <v>8</v>
      </c>
      <c r="B1492" s="283"/>
      <c r="C1492" s="283"/>
      <c r="D1492" s="861"/>
      <c r="E1492" s="346" t="s">
        <v>118</v>
      </c>
      <c r="F1492" s="196" t="s">
        <v>1769</v>
      </c>
      <c r="G1492" s="193" t="s">
        <v>461</v>
      </c>
      <c r="H1492" s="43">
        <f>200-200</f>
        <v>0</v>
      </c>
      <c r="I1492" s="44">
        <v>200</v>
      </c>
      <c r="J1492" s="194"/>
      <c r="K1492" s="194"/>
      <c r="L1492" s="179"/>
      <c r="M1492" s="30"/>
      <c r="N1492" s="29"/>
      <c r="O1492" s="174"/>
      <c r="P1492" s="1102"/>
    </row>
    <row r="1493" spans="1:16">
      <c r="A1493" s="284">
        <v>8</v>
      </c>
      <c r="B1493" s="283"/>
      <c r="C1493" s="283"/>
      <c r="D1493" s="496"/>
      <c r="E1493" s="115"/>
      <c r="F1493" s="196" t="s">
        <v>1769</v>
      </c>
      <c r="G1493" s="197" t="s">
        <v>459</v>
      </c>
      <c r="H1493" s="53">
        <f>SUM(H1491:H1492)</f>
        <v>0</v>
      </c>
      <c r="I1493" s="53">
        <f t="shared" ref="I1493:K1493" si="334">SUM(I1491:I1492)</f>
        <v>587.20000000000005</v>
      </c>
      <c r="J1493" s="53">
        <f t="shared" si="334"/>
        <v>0</v>
      </c>
      <c r="K1493" s="53">
        <f t="shared" si="334"/>
        <v>0</v>
      </c>
      <c r="L1493" s="179"/>
      <c r="M1493" s="30"/>
      <c r="N1493" s="29"/>
      <c r="O1493" s="174"/>
      <c r="P1493" s="1102"/>
    </row>
    <row r="1494" spans="1:16" ht="22.15" customHeight="1">
      <c r="A1494" s="493">
        <v>8</v>
      </c>
      <c r="B1494" s="283" t="s">
        <v>2159</v>
      </c>
      <c r="C1494" s="283" t="s">
        <v>2159</v>
      </c>
      <c r="D1494" s="922" t="s">
        <v>2160</v>
      </c>
      <c r="E1494" s="115">
        <v>9</v>
      </c>
      <c r="F1494" s="196" t="s">
        <v>2161</v>
      </c>
      <c r="G1494" s="196" t="s">
        <v>193</v>
      </c>
      <c r="H1494" s="43"/>
      <c r="I1494" s="44"/>
      <c r="J1494" s="194">
        <v>70</v>
      </c>
      <c r="K1494" s="194"/>
      <c r="L1494" s="179" t="s">
        <v>398</v>
      </c>
      <c r="M1494" s="364"/>
      <c r="N1494" s="364"/>
      <c r="O1494" s="364"/>
      <c r="P1494" s="364"/>
    </row>
    <row r="1495" spans="1:16">
      <c r="A1495" s="41">
        <v>8</v>
      </c>
      <c r="B1495" s="283"/>
      <c r="C1495" s="283"/>
      <c r="D1495" s="861"/>
      <c r="E1495" s="346" t="s">
        <v>118</v>
      </c>
      <c r="F1495" s="196" t="s">
        <v>2161</v>
      </c>
      <c r="G1495" s="193" t="s">
        <v>461</v>
      </c>
      <c r="H1495" s="43"/>
      <c r="I1495" s="44">
        <v>80</v>
      </c>
      <c r="J1495" s="194"/>
      <c r="K1495" s="194"/>
      <c r="L1495" s="179"/>
      <c r="M1495" s="364"/>
      <c r="N1495" s="364"/>
      <c r="O1495" s="364"/>
      <c r="P1495" s="364"/>
    </row>
    <row r="1496" spans="1:16">
      <c r="A1496" s="284">
        <v>8</v>
      </c>
      <c r="B1496" s="283"/>
      <c r="C1496" s="283"/>
      <c r="D1496" s="496"/>
      <c r="E1496" s="115"/>
      <c r="F1496" s="196"/>
      <c r="G1496" s="197" t="s">
        <v>459</v>
      </c>
      <c r="H1496" s="53">
        <f>SUM(H1494:H1495)</f>
        <v>0</v>
      </c>
      <c r="I1496" s="53">
        <f t="shared" ref="I1496:K1496" si="335">SUM(I1494:I1495)</f>
        <v>80</v>
      </c>
      <c r="J1496" s="53">
        <f t="shared" si="335"/>
        <v>70</v>
      </c>
      <c r="K1496" s="53">
        <f t="shared" si="335"/>
        <v>0</v>
      </c>
      <c r="L1496" s="179"/>
      <c r="M1496" s="364"/>
      <c r="N1496" s="364"/>
      <c r="O1496" s="364"/>
      <c r="P1496" s="364"/>
    </row>
    <row r="1497" spans="1:16" ht="22.5">
      <c r="A1497" s="493">
        <v>8</v>
      </c>
      <c r="B1497" s="190" t="s">
        <v>1770</v>
      </c>
      <c r="C1497" s="190" t="s">
        <v>1770</v>
      </c>
      <c r="D1497" s="198" t="s">
        <v>1771</v>
      </c>
      <c r="E1497" s="346" t="s">
        <v>272</v>
      </c>
      <c r="F1497" s="494" t="s">
        <v>1772</v>
      </c>
      <c r="G1497" s="196" t="s">
        <v>193</v>
      </c>
      <c r="H1497" s="43">
        <v>4029.9</v>
      </c>
      <c r="I1497" s="44">
        <v>1272</v>
      </c>
      <c r="J1497" s="42"/>
      <c r="K1497" s="42"/>
      <c r="L1497" s="179" t="s">
        <v>385</v>
      </c>
      <c r="M1497" s="29" t="s">
        <v>2205</v>
      </c>
      <c r="N1497" s="29" t="s">
        <v>2455</v>
      </c>
      <c r="O1497" s="174">
        <v>100</v>
      </c>
      <c r="P1497" s="1104" t="s">
        <v>275</v>
      </c>
    </row>
    <row r="1498" spans="1:16">
      <c r="A1498" s="493">
        <v>8</v>
      </c>
      <c r="B1498" s="283"/>
      <c r="C1498" s="283"/>
      <c r="D1498" s="497"/>
      <c r="E1498" s="346" t="s">
        <v>272</v>
      </c>
      <c r="F1498" s="494" t="s">
        <v>1772</v>
      </c>
      <c r="G1498" s="196" t="s">
        <v>283</v>
      </c>
      <c r="H1498" s="43">
        <v>2209.8000000000002</v>
      </c>
      <c r="I1498" s="44">
        <f>1272-1272</f>
        <v>0</v>
      </c>
      <c r="J1498" s="42"/>
      <c r="K1498" s="42"/>
      <c r="L1498" s="179" t="s">
        <v>385</v>
      </c>
      <c r="M1498" s="30"/>
      <c r="N1498" s="29"/>
      <c r="O1498" s="174"/>
      <c r="P1498" s="1104" t="s">
        <v>275</v>
      </c>
    </row>
    <row r="1499" spans="1:16">
      <c r="A1499" s="41">
        <v>8</v>
      </c>
      <c r="B1499" s="283"/>
      <c r="C1499" s="283"/>
      <c r="D1499" s="497"/>
      <c r="E1499" s="346" t="s">
        <v>272</v>
      </c>
      <c r="F1499" s="494" t="s">
        <v>1772</v>
      </c>
      <c r="G1499" s="41" t="s">
        <v>381</v>
      </c>
      <c r="H1499" s="43">
        <v>4300</v>
      </c>
      <c r="I1499" s="44">
        <f>2000+1000-300-160-690-1850</f>
        <v>0</v>
      </c>
      <c r="J1499" s="42"/>
      <c r="K1499" s="42"/>
      <c r="L1499" s="179" t="s">
        <v>385</v>
      </c>
      <c r="M1499" s="30"/>
      <c r="N1499" s="29"/>
      <c r="O1499" s="174"/>
      <c r="P1499" s="1104" t="s">
        <v>275</v>
      </c>
    </row>
    <row r="1500" spans="1:16">
      <c r="A1500" s="41">
        <v>8</v>
      </c>
      <c r="B1500" s="283"/>
      <c r="C1500" s="283"/>
      <c r="D1500" s="497"/>
      <c r="E1500" s="346" t="s">
        <v>272</v>
      </c>
      <c r="F1500" s="494" t="s">
        <v>1772</v>
      </c>
      <c r="G1500" s="196" t="s">
        <v>631</v>
      </c>
      <c r="H1500" s="43">
        <v>309</v>
      </c>
      <c r="I1500" s="44"/>
      <c r="J1500" s="42"/>
      <c r="K1500" s="42"/>
      <c r="L1500" s="179" t="s">
        <v>385</v>
      </c>
      <c r="M1500" s="30"/>
      <c r="N1500" s="29"/>
      <c r="O1500" s="174"/>
      <c r="P1500" s="1104" t="s">
        <v>275</v>
      </c>
    </row>
    <row r="1501" spans="1:16">
      <c r="A1501" s="493">
        <v>8</v>
      </c>
      <c r="B1501" s="283"/>
      <c r="C1501" s="283"/>
      <c r="D1501" s="497"/>
      <c r="E1501" s="346" t="s">
        <v>272</v>
      </c>
      <c r="F1501" s="494" t="s">
        <v>1772</v>
      </c>
      <c r="G1501" s="196" t="s">
        <v>460</v>
      </c>
      <c r="H1501" s="43">
        <v>59.7</v>
      </c>
      <c r="I1501" s="44">
        <f>1500-228-1272</f>
        <v>0</v>
      </c>
      <c r="J1501" s="42"/>
      <c r="K1501" s="42"/>
      <c r="L1501" s="179" t="s">
        <v>385</v>
      </c>
      <c r="M1501" s="30"/>
      <c r="N1501" s="29"/>
      <c r="O1501" s="174"/>
      <c r="P1501" s="1104" t="s">
        <v>275</v>
      </c>
    </row>
    <row r="1502" spans="1:16">
      <c r="A1502" s="41">
        <v>8</v>
      </c>
      <c r="B1502" s="283"/>
      <c r="C1502" s="283"/>
      <c r="D1502" s="497"/>
      <c r="E1502" s="346" t="s">
        <v>116</v>
      </c>
      <c r="F1502" s="494" t="s">
        <v>1772</v>
      </c>
      <c r="G1502" s="196" t="s">
        <v>193</v>
      </c>
      <c r="H1502" s="42">
        <v>2045</v>
      </c>
      <c r="I1502" s="44">
        <f>93</f>
        <v>93</v>
      </c>
      <c r="J1502" s="43"/>
      <c r="K1502" s="43"/>
      <c r="L1502" s="179" t="s">
        <v>385</v>
      </c>
      <c r="M1502" s="30"/>
      <c r="N1502" s="29"/>
      <c r="O1502" s="174"/>
      <c r="P1502" s="1104" t="s">
        <v>275</v>
      </c>
    </row>
    <row r="1503" spans="1:16">
      <c r="A1503" s="284">
        <v>8</v>
      </c>
      <c r="B1503" s="283"/>
      <c r="C1503" s="283"/>
      <c r="D1503" s="497"/>
      <c r="E1503" s="346" t="s">
        <v>272</v>
      </c>
      <c r="F1503" s="494" t="s">
        <v>1772</v>
      </c>
      <c r="G1503" s="196" t="s">
        <v>195</v>
      </c>
      <c r="H1503" s="43"/>
      <c r="I1503" s="44"/>
      <c r="J1503" s="42"/>
      <c r="K1503" s="42"/>
      <c r="L1503" s="179" t="s">
        <v>385</v>
      </c>
      <c r="M1503" s="30"/>
      <c r="N1503" s="29"/>
      <c r="O1503" s="174"/>
      <c r="P1503" s="1104" t="s">
        <v>275</v>
      </c>
    </row>
    <row r="1504" spans="1:16">
      <c r="A1504" s="493">
        <v>8</v>
      </c>
      <c r="B1504" s="283"/>
      <c r="C1504" s="283"/>
      <c r="D1504" s="497"/>
      <c r="E1504" s="346" t="s">
        <v>272</v>
      </c>
      <c r="F1504" s="494" t="s">
        <v>1772</v>
      </c>
      <c r="G1504" s="197" t="s">
        <v>459</v>
      </c>
      <c r="H1504" s="53">
        <f>SUM(H1497:H1503)</f>
        <v>12953.400000000001</v>
      </c>
      <c r="I1504" s="53">
        <f t="shared" ref="I1504:K1504" si="336">SUM(I1497:I1503)</f>
        <v>1365</v>
      </c>
      <c r="J1504" s="53">
        <f t="shared" si="336"/>
        <v>0</v>
      </c>
      <c r="K1504" s="53">
        <f t="shared" si="336"/>
        <v>0</v>
      </c>
      <c r="L1504" s="179" t="s">
        <v>385</v>
      </c>
      <c r="M1504" s="30"/>
      <c r="N1504" s="29"/>
      <c r="O1504" s="174"/>
      <c r="P1504" s="1104"/>
    </row>
    <row r="1505" spans="1:16" ht="12.75" customHeight="1">
      <c r="A1505" s="493">
        <v>8</v>
      </c>
      <c r="B1505" s="283"/>
      <c r="C1505" s="283"/>
      <c r="D1505" s="497"/>
      <c r="E1505" s="346"/>
      <c r="F1505" s="494"/>
      <c r="G1505" s="120" t="s">
        <v>459</v>
      </c>
      <c r="H1505" s="120">
        <f>SUM(H1463,H1469,H1472,H1475,H1477,H1479,H1490,H1493,H1504,H1481,H1484,H1466,H1496)</f>
        <v>17611</v>
      </c>
      <c r="I1505" s="120">
        <f>SUM(I1463,I1469,I1472,I1475,I1477,I1479,I1490,I1493,I1504,I1481,I1484,I1466,I1496)</f>
        <v>9350.6</v>
      </c>
      <c r="J1505" s="120">
        <f>SUM(J1463,J1469,J1472,J1475,J1477,J1479,J1490,J1493,J1504,J1481,J1484,J1466,J1496)</f>
        <v>7582.8</v>
      </c>
      <c r="K1505" s="120">
        <f>SUM(K1463,K1469,K1472,K1475,K1477,K1479,K1490,K1493,K1504,K1481,K1484,K1466,K1496)</f>
        <v>7609.9</v>
      </c>
      <c r="L1505" s="179"/>
      <c r="M1505" s="30"/>
      <c r="N1505" s="29"/>
      <c r="O1505" s="174"/>
      <c r="P1505" s="1104"/>
    </row>
    <row r="1506" spans="1:16" ht="12.75" customHeight="1">
      <c r="A1506" s="41">
        <v>8</v>
      </c>
      <c r="B1506" s="283"/>
      <c r="C1506" s="283"/>
      <c r="D1506" s="497"/>
      <c r="E1506" s="346"/>
      <c r="F1506" s="494"/>
      <c r="G1506" s="41" t="s">
        <v>193</v>
      </c>
      <c r="H1506" s="42">
        <f>SUM(H1460,H1467,H1470,H1473,H1476,H1478,H1487,H1489,H1491,H1497,H1502,H1480,H1482,H1488,H1464,H1494)</f>
        <v>9255.7999999999993</v>
      </c>
      <c r="I1506" s="42">
        <f t="shared" ref="I1506:K1506" si="337">SUM(I1460,I1467,I1470,I1473,I1476,I1478,I1487,I1489,I1491,I1497,I1502,I1480,I1482,I1488,I1464,I1494)</f>
        <v>5639.9</v>
      </c>
      <c r="J1506" s="42">
        <f t="shared" si="337"/>
        <v>4132.1000000000004</v>
      </c>
      <c r="K1506" s="42">
        <f t="shared" si="337"/>
        <v>4109.2</v>
      </c>
      <c r="L1506" s="179"/>
      <c r="M1506" s="30"/>
      <c r="N1506" s="29"/>
      <c r="O1506" s="174"/>
      <c r="P1506" s="1104"/>
    </row>
    <row r="1507" spans="1:16" ht="12.75" customHeight="1">
      <c r="A1507" s="41">
        <v>8</v>
      </c>
      <c r="B1507" s="283"/>
      <c r="C1507" s="283"/>
      <c r="D1507" s="497"/>
      <c r="E1507" s="346"/>
      <c r="F1507" s="494"/>
      <c r="G1507" s="41" t="s">
        <v>196</v>
      </c>
      <c r="H1507" s="42">
        <f>SUM(H1461,H1465)</f>
        <v>566.70000000000005</v>
      </c>
      <c r="I1507" s="43">
        <f>SUM(I1461,I1465)</f>
        <v>1859.7</v>
      </c>
      <c r="J1507" s="42">
        <f>SUM(J1461,J1465)</f>
        <v>1859.7</v>
      </c>
      <c r="K1507" s="42">
        <f>SUM(K1461,K1465)</f>
        <v>1859.7</v>
      </c>
      <c r="L1507" s="179"/>
      <c r="M1507" s="30"/>
      <c r="N1507" s="29"/>
      <c r="O1507" s="174"/>
      <c r="P1507" s="1104"/>
    </row>
    <row r="1508" spans="1:16" ht="12.75" customHeight="1">
      <c r="A1508" s="493">
        <v>8</v>
      </c>
      <c r="B1508" s="283"/>
      <c r="C1508" s="283"/>
      <c r="D1508" s="497"/>
      <c r="E1508" s="346"/>
      <c r="F1508" s="494"/>
      <c r="G1508" s="41" t="s">
        <v>461</v>
      </c>
      <c r="H1508" s="42">
        <f>SUM(H1468,H1471,H1474,H1483,H1492,H1495)</f>
        <v>910</v>
      </c>
      <c r="I1508" s="42">
        <f>SUM(I1468,I1471,I1474,I1483,I1492,I1495)</f>
        <v>1821</v>
      </c>
      <c r="J1508" s="42">
        <f>SUM(J1468,J1471,J1474,J1483,J1492,J1495)</f>
        <v>1591</v>
      </c>
      <c r="K1508" s="42">
        <f>SUM(K1468,K1471,K1474,K1483,K1492,K1495)</f>
        <v>1641</v>
      </c>
      <c r="L1508" s="179"/>
      <c r="M1508" s="30"/>
      <c r="N1508" s="29"/>
      <c r="O1508" s="174"/>
      <c r="P1508" s="1104"/>
    </row>
    <row r="1509" spans="1:16" ht="12.75" customHeight="1">
      <c r="A1509" s="41">
        <v>8</v>
      </c>
      <c r="B1509" s="283"/>
      <c r="C1509" s="283"/>
      <c r="D1509" s="497"/>
      <c r="E1509" s="346"/>
      <c r="F1509" s="494"/>
      <c r="G1509" s="194" t="s">
        <v>267</v>
      </c>
      <c r="H1509" s="42"/>
      <c r="I1509" s="43"/>
      <c r="J1509" s="42"/>
      <c r="K1509" s="42"/>
      <c r="L1509" s="179"/>
      <c r="M1509" s="30"/>
      <c r="N1509" s="29"/>
      <c r="O1509" s="174"/>
      <c r="P1509" s="1104"/>
    </row>
    <row r="1510" spans="1:16" ht="12.75" customHeight="1">
      <c r="A1510" s="284">
        <v>8</v>
      </c>
      <c r="B1510" s="283"/>
      <c r="C1510" s="283"/>
      <c r="D1510" s="497"/>
      <c r="E1510" s="346"/>
      <c r="F1510" s="494"/>
      <c r="G1510" s="194" t="s">
        <v>269</v>
      </c>
      <c r="H1510" s="42"/>
      <c r="I1510" s="43"/>
      <c r="J1510" s="42"/>
      <c r="K1510" s="42"/>
      <c r="L1510" s="179"/>
      <c r="M1510" s="30"/>
      <c r="N1510" s="29"/>
      <c r="O1510" s="174"/>
      <c r="P1510" s="1104"/>
    </row>
    <row r="1511" spans="1:16" ht="12.75" customHeight="1">
      <c r="A1511" s="493">
        <v>8</v>
      </c>
      <c r="B1511" s="283"/>
      <c r="C1511" s="283"/>
      <c r="D1511" s="497"/>
      <c r="E1511" s="346"/>
      <c r="F1511" s="494"/>
      <c r="G1511" s="41" t="s">
        <v>195</v>
      </c>
      <c r="H1511" s="42">
        <f>SUM(H1503,H1462)</f>
        <v>0</v>
      </c>
      <c r="I1511" s="42">
        <f>SUM(I1503,I1462)</f>
        <v>30</v>
      </c>
      <c r="J1511" s="42">
        <f>SUM(J1503,J1462)</f>
        <v>0</v>
      </c>
      <c r="K1511" s="42">
        <f>SUM(K1503,K1462)</f>
        <v>0</v>
      </c>
      <c r="L1511" s="179"/>
      <c r="M1511" s="30"/>
      <c r="N1511" s="29"/>
      <c r="O1511" s="174"/>
      <c r="P1511" s="1104"/>
    </row>
    <row r="1512" spans="1:16" ht="12.75" customHeight="1">
      <c r="A1512" s="41">
        <v>8</v>
      </c>
      <c r="B1512" s="283"/>
      <c r="C1512" s="283"/>
      <c r="D1512" s="497"/>
      <c r="E1512" s="346"/>
      <c r="F1512" s="494"/>
      <c r="G1512" s="41" t="s">
        <v>460</v>
      </c>
      <c r="H1512" s="42">
        <f t="shared" ref="H1512:K1512" si="338">SUM(H1501)</f>
        <v>59.7</v>
      </c>
      <c r="I1512" s="43">
        <f t="shared" si="338"/>
        <v>0</v>
      </c>
      <c r="J1512" s="42">
        <f t="shared" si="338"/>
        <v>0</v>
      </c>
      <c r="K1512" s="42">
        <f t="shared" si="338"/>
        <v>0</v>
      </c>
      <c r="L1512" s="179"/>
      <c r="M1512" s="30"/>
      <c r="N1512" s="29"/>
      <c r="O1512" s="174"/>
      <c r="P1512" s="1104"/>
    </row>
    <row r="1513" spans="1:16" ht="12.75" customHeight="1">
      <c r="A1513" s="41">
        <v>8</v>
      </c>
      <c r="B1513" s="283"/>
      <c r="C1513" s="283"/>
      <c r="D1513" s="497"/>
      <c r="E1513" s="346"/>
      <c r="F1513" s="494"/>
      <c r="G1513" s="41" t="s">
        <v>631</v>
      </c>
      <c r="H1513" s="42">
        <f t="shared" ref="H1513:K1513" si="339">H1500</f>
        <v>309</v>
      </c>
      <c r="I1513" s="43">
        <f t="shared" si="339"/>
        <v>0</v>
      </c>
      <c r="J1513" s="42">
        <f t="shared" si="339"/>
        <v>0</v>
      </c>
      <c r="K1513" s="42">
        <f t="shared" si="339"/>
        <v>0</v>
      </c>
      <c r="L1513" s="179"/>
      <c r="M1513" s="30"/>
      <c r="N1513" s="29"/>
      <c r="O1513" s="174"/>
      <c r="P1513" s="1104"/>
    </row>
    <row r="1514" spans="1:16" ht="12.75" customHeight="1">
      <c r="A1514" s="493">
        <v>8</v>
      </c>
      <c r="B1514" s="283"/>
      <c r="C1514" s="283"/>
      <c r="D1514" s="497"/>
      <c r="E1514" s="346"/>
      <c r="F1514" s="494"/>
      <c r="G1514" s="41" t="s">
        <v>283</v>
      </c>
      <c r="H1514" s="42">
        <f>H1498</f>
        <v>2209.8000000000002</v>
      </c>
      <c r="I1514" s="43">
        <f>I1498</f>
        <v>0</v>
      </c>
      <c r="J1514" s="42">
        <f>J1498</f>
        <v>0</v>
      </c>
      <c r="K1514" s="42">
        <f>K1498</f>
        <v>0</v>
      </c>
      <c r="L1514" s="179"/>
      <c r="M1514" s="30"/>
      <c r="N1514" s="29"/>
      <c r="O1514" s="174"/>
      <c r="P1514" s="1104"/>
    </row>
    <row r="1515" spans="1:16" ht="12.75" customHeight="1">
      <c r="A1515" s="41">
        <v>8</v>
      </c>
      <c r="B1515" s="283"/>
      <c r="C1515" s="283"/>
      <c r="D1515" s="497"/>
      <c r="E1515" s="346"/>
      <c r="F1515" s="494"/>
      <c r="G1515" s="41" t="s">
        <v>381</v>
      </c>
      <c r="H1515" s="42">
        <f t="shared" ref="H1515:K1515" si="340">SUM(H1499)</f>
        <v>4300</v>
      </c>
      <c r="I1515" s="43">
        <f t="shared" si="340"/>
        <v>0</v>
      </c>
      <c r="J1515" s="42">
        <f t="shared" si="340"/>
        <v>0</v>
      </c>
      <c r="K1515" s="42">
        <f t="shared" si="340"/>
        <v>0</v>
      </c>
      <c r="L1515" s="179"/>
      <c r="M1515" s="30"/>
      <c r="N1515" s="29"/>
      <c r="O1515" s="174"/>
      <c r="P1515" s="1104"/>
    </row>
    <row r="1516" spans="1:16" ht="12.75" customHeight="1">
      <c r="A1516" s="284">
        <v>8</v>
      </c>
      <c r="B1516" s="283"/>
      <c r="C1516" s="283"/>
      <c r="D1516" s="497"/>
      <c r="E1516" s="346"/>
      <c r="F1516" s="494"/>
      <c r="G1516" s="120" t="s">
        <v>459</v>
      </c>
      <c r="H1516" s="120">
        <f>SUM(H1506:H1515)</f>
        <v>17611</v>
      </c>
      <c r="I1516" s="120">
        <f>SUM(I1506:I1515)</f>
        <v>9350.5999999999985</v>
      </c>
      <c r="J1516" s="120">
        <f>SUM(J1506:J1515)</f>
        <v>7582.8</v>
      </c>
      <c r="K1516" s="120">
        <f>SUM(K1506:K1515)</f>
        <v>7609.9</v>
      </c>
      <c r="L1516" s="179"/>
      <c r="M1516" s="30"/>
      <c r="N1516" s="29"/>
      <c r="O1516" s="174"/>
      <c r="P1516" s="1104"/>
    </row>
    <row r="1517" spans="1:16" ht="12.75" customHeight="1">
      <c r="A1517" s="493">
        <v>8</v>
      </c>
      <c r="B1517" s="283"/>
      <c r="C1517" s="283"/>
      <c r="D1517" s="497"/>
      <c r="E1517" s="346"/>
      <c r="F1517" s="494"/>
      <c r="G1517" s="41"/>
      <c r="H1517" s="42">
        <f>H1505-H1516</f>
        <v>0</v>
      </c>
      <c r="I1517" s="42">
        <f>I1505-I1516</f>
        <v>0</v>
      </c>
      <c r="J1517" s="42">
        <f>J1505-J1516</f>
        <v>0</v>
      </c>
      <c r="K1517" s="42">
        <f>K1505-K1516</f>
        <v>0</v>
      </c>
      <c r="L1517" s="179"/>
      <c r="M1517" s="196"/>
      <c r="N1517" s="196"/>
      <c r="O1517" s="196"/>
      <c r="P1517" s="196"/>
    </row>
    <row r="1518" spans="1:16" ht="22.5">
      <c r="A1518" s="869">
        <v>9</v>
      </c>
      <c r="B1518" s="498"/>
      <c r="C1518" s="498"/>
      <c r="D1518" s="185" t="s">
        <v>1773</v>
      </c>
      <c r="E1518" s="431"/>
      <c r="F1518" s="186"/>
      <c r="G1518" s="184"/>
      <c r="H1518" s="186"/>
      <c r="I1518" s="186"/>
      <c r="J1518" s="186"/>
      <c r="K1518" s="186"/>
      <c r="L1518" s="499"/>
      <c r="M1518" s="40"/>
      <c r="N1518" s="29"/>
      <c r="O1518" s="174"/>
      <c r="P1518" s="948"/>
    </row>
    <row r="1519" spans="1:16" ht="22.5">
      <c r="A1519" s="869">
        <v>9</v>
      </c>
      <c r="B1519" s="500" t="s">
        <v>1774</v>
      </c>
      <c r="C1519" s="500" t="s">
        <v>1774</v>
      </c>
      <c r="D1519" s="198" t="s">
        <v>1775</v>
      </c>
      <c r="E1519" s="501">
        <v>6</v>
      </c>
      <c r="F1519" s="881" t="s">
        <v>1776</v>
      </c>
      <c r="G1519" s="85" t="s">
        <v>1777</v>
      </c>
      <c r="H1519" s="85">
        <f t="shared" ref="H1519:K1519" si="341">SUM(H1522:H1525)</f>
        <v>914.2</v>
      </c>
      <c r="I1519" s="85">
        <f t="shared" si="341"/>
        <v>1059.0999999999999</v>
      </c>
      <c r="J1519" s="85">
        <f t="shared" si="341"/>
        <v>1134.0999999999999</v>
      </c>
      <c r="K1519" s="85">
        <f t="shared" si="341"/>
        <v>1212.4000000000001</v>
      </c>
      <c r="L1519" s="179" t="s">
        <v>194</v>
      </c>
      <c r="M1519" s="1028"/>
      <c r="N1519" s="29"/>
      <c r="O1519" s="174"/>
      <c r="P1519" s="1106"/>
    </row>
    <row r="1520" spans="1:16" ht="22.5">
      <c r="A1520" s="869">
        <v>9</v>
      </c>
      <c r="B1520" s="882"/>
      <c r="C1520" s="869"/>
      <c r="D1520" s="1119"/>
      <c r="E1520" s="881">
        <v>6</v>
      </c>
      <c r="F1520" s="881" t="s">
        <v>1776</v>
      </c>
      <c r="G1520" s="85" t="s">
        <v>1778</v>
      </c>
      <c r="H1520" s="85">
        <f t="shared" ref="H1520:K1520" si="342">H1526</f>
        <v>0</v>
      </c>
      <c r="I1520" s="85">
        <f t="shared" si="342"/>
        <v>0</v>
      </c>
      <c r="J1520" s="85">
        <f t="shared" si="342"/>
        <v>0</v>
      </c>
      <c r="K1520" s="85">
        <f t="shared" si="342"/>
        <v>0</v>
      </c>
      <c r="L1520" s="179"/>
      <c r="M1520" s="1028"/>
      <c r="N1520" s="29"/>
      <c r="O1520" s="174"/>
      <c r="P1520" s="1106"/>
    </row>
    <row r="1521" spans="1:16">
      <c r="A1521" s="869">
        <v>9</v>
      </c>
      <c r="B1521" s="882"/>
      <c r="C1521" s="869"/>
      <c r="D1521" s="1119"/>
      <c r="E1521" s="881">
        <v>6</v>
      </c>
      <c r="F1521" s="881" t="s">
        <v>1776</v>
      </c>
      <c r="G1521" s="502" t="s">
        <v>198</v>
      </c>
      <c r="H1521" s="503">
        <f t="shared" ref="H1521:K1521" si="343">SUM(H1519:H1520)</f>
        <v>914.2</v>
      </c>
      <c r="I1521" s="503">
        <f t="shared" si="343"/>
        <v>1059.0999999999999</v>
      </c>
      <c r="J1521" s="503">
        <f t="shared" si="343"/>
        <v>1134.0999999999999</v>
      </c>
      <c r="K1521" s="503">
        <f t="shared" si="343"/>
        <v>1212.4000000000001</v>
      </c>
      <c r="L1521" s="179"/>
      <c r="M1521" s="1028"/>
      <c r="N1521" s="29"/>
      <c r="O1521" s="174"/>
      <c r="P1521" s="1106"/>
    </row>
    <row r="1522" spans="1:16" ht="22.5">
      <c r="A1522" s="869">
        <v>9</v>
      </c>
      <c r="B1522" s="882"/>
      <c r="C1522" s="869" t="s">
        <v>1779</v>
      </c>
      <c r="D1522" s="1119" t="s">
        <v>1780</v>
      </c>
      <c r="E1522" s="883">
        <v>6</v>
      </c>
      <c r="F1522" s="881" t="s">
        <v>1776</v>
      </c>
      <c r="G1522" s="884" t="s">
        <v>193</v>
      </c>
      <c r="H1522" s="43">
        <v>260.89999999999998</v>
      </c>
      <c r="I1522" s="44">
        <v>279.7</v>
      </c>
      <c r="J1522" s="885">
        <v>305.3</v>
      </c>
      <c r="K1522" s="885">
        <v>330.9</v>
      </c>
      <c r="L1522" s="179"/>
      <c r="M1522" s="1028" t="s">
        <v>1781</v>
      </c>
      <c r="N1522" s="1028" t="s">
        <v>2175</v>
      </c>
      <c r="O1522" s="1024">
        <v>100</v>
      </c>
      <c r="P1522" s="1106"/>
    </row>
    <row r="1523" spans="1:16" ht="22.5">
      <c r="A1523" s="869">
        <v>9</v>
      </c>
      <c r="B1523" s="882"/>
      <c r="C1523" s="869" t="s">
        <v>1782</v>
      </c>
      <c r="D1523" s="1119" t="s">
        <v>1783</v>
      </c>
      <c r="E1523" s="883">
        <v>6</v>
      </c>
      <c r="F1523" s="881" t="s">
        <v>1776</v>
      </c>
      <c r="G1523" s="884" t="s">
        <v>193</v>
      </c>
      <c r="H1523" s="43">
        <v>229.3</v>
      </c>
      <c r="I1523" s="44">
        <v>278.89999999999998</v>
      </c>
      <c r="J1523" s="885">
        <v>304.39999999999998</v>
      </c>
      <c r="K1523" s="885">
        <v>330</v>
      </c>
      <c r="L1523" s="179"/>
      <c r="M1523" s="1028" t="s">
        <v>1781</v>
      </c>
      <c r="N1523" s="1028" t="s">
        <v>2175</v>
      </c>
      <c r="O1523" s="1024">
        <v>100</v>
      </c>
      <c r="P1523" s="1106"/>
    </row>
    <row r="1524" spans="1:16">
      <c r="A1524" s="869">
        <v>9</v>
      </c>
      <c r="B1524" s="882"/>
      <c r="C1524" s="869" t="s">
        <v>1784</v>
      </c>
      <c r="D1524" s="1119" t="s">
        <v>1785</v>
      </c>
      <c r="E1524" s="883">
        <v>6</v>
      </c>
      <c r="F1524" s="881" t="s">
        <v>1776</v>
      </c>
      <c r="G1524" s="884" t="s">
        <v>193</v>
      </c>
      <c r="H1524" s="43">
        <v>13</v>
      </c>
      <c r="I1524" s="44">
        <v>58.2</v>
      </c>
      <c r="J1524" s="885">
        <v>60</v>
      </c>
      <c r="K1524" s="885">
        <v>65</v>
      </c>
      <c r="L1524" s="179"/>
      <c r="M1524" s="1028" t="s">
        <v>1786</v>
      </c>
      <c r="N1524" s="1028" t="s">
        <v>2175</v>
      </c>
      <c r="O1524" s="1024">
        <v>100</v>
      </c>
      <c r="P1524" s="1106"/>
    </row>
    <row r="1525" spans="1:16">
      <c r="A1525" s="869">
        <v>9</v>
      </c>
      <c r="B1525" s="882"/>
      <c r="C1525" s="869" t="s">
        <v>1787</v>
      </c>
      <c r="D1525" s="1119" t="s">
        <v>1788</v>
      </c>
      <c r="E1525" s="883">
        <v>6</v>
      </c>
      <c r="F1525" s="881" t="s">
        <v>1776</v>
      </c>
      <c r="G1525" s="884" t="s">
        <v>193</v>
      </c>
      <c r="H1525" s="43">
        <v>411</v>
      </c>
      <c r="I1525" s="44">
        <v>442.3</v>
      </c>
      <c r="J1525" s="885">
        <v>464.4</v>
      </c>
      <c r="K1525" s="885">
        <v>486.5</v>
      </c>
      <c r="L1525" s="179"/>
      <c r="M1525" s="1028" t="s">
        <v>1789</v>
      </c>
      <c r="N1525" s="1028" t="s">
        <v>2175</v>
      </c>
      <c r="O1525" s="1024">
        <v>100</v>
      </c>
      <c r="P1525" s="1106"/>
    </row>
    <row r="1526" spans="1:16">
      <c r="A1526" s="869">
        <v>9</v>
      </c>
      <c r="B1526" s="882"/>
      <c r="C1526" s="504" t="s">
        <v>1779</v>
      </c>
      <c r="D1526" s="1119" t="s">
        <v>1780</v>
      </c>
      <c r="E1526" s="883">
        <v>6</v>
      </c>
      <c r="F1526" s="881" t="s">
        <v>1776</v>
      </c>
      <c r="G1526" s="884" t="s">
        <v>195</v>
      </c>
      <c r="H1526" s="43"/>
      <c r="I1526" s="44"/>
      <c r="J1526" s="885"/>
      <c r="K1526" s="885"/>
      <c r="L1526" s="179"/>
      <c r="M1526" s="1028"/>
      <c r="N1526" s="29"/>
      <c r="O1526" s="174"/>
      <c r="P1526" s="1106"/>
    </row>
    <row r="1527" spans="1:16" ht="22.5">
      <c r="A1527" s="869">
        <v>9</v>
      </c>
      <c r="B1527" s="500" t="s">
        <v>1790</v>
      </c>
      <c r="C1527" s="500" t="s">
        <v>1790</v>
      </c>
      <c r="D1527" s="198" t="s">
        <v>1791</v>
      </c>
      <c r="E1527" s="883"/>
      <c r="F1527" s="881"/>
      <c r="G1527" s="85" t="s">
        <v>1777</v>
      </c>
      <c r="H1527" s="85">
        <f t="shared" ref="H1527:K1527" si="344">SUM(H1536:H1543,H1545:H1551,H1553,H1555:H1556,H1558,H1560:H1561,H1563:H1563,H1530:H1534,H1562)</f>
        <v>12174.200000000003</v>
      </c>
      <c r="I1527" s="85">
        <f t="shared" si="344"/>
        <v>13748.100000000002</v>
      </c>
      <c r="J1527" s="85">
        <f t="shared" si="344"/>
        <v>14659.600000000002</v>
      </c>
      <c r="K1527" s="85">
        <f t="shared" si="344"/>
        <v>15565.4</v>
      </c>
      <c r="L1527" s="179" t="s">
        <v>194</v>
      </c>
      <c r="M1527" s="1028"/>
      <c r="N1527" s="29"/>
      <c r="O1527" s="174"/>
      <c r="P1527" s="1106"/>
    </row>
    <row r="1528" spans="1:16" ht="22.5">
      <c r="A1528" s="869">
        <v>9</v>
      </c>
      <c r="B1528" s="882"/>
      <c r="C1528" s="869"/>
      <c r="D1528" s="1119"/>
      <c r="E1528" s="883"/>
      <c r="F1528" s="881"/>
      <c r="G1528" s="85" t="s">
        <v>1792</v>
      </c>
      <c r="H1528" s="85">
        <f t="shared" ref="H1528:K1528" si="345">SUM(H1552,H1554,H1557,H1559,H1535)</f>
        <v>14.2</v>
      </c>
      <c r="I1528" s="85">
        <f t="shared" si="345"/>
        <v>17</v>
      </c>
      <c r="J1528" s="85">
        <f t="shared" si="345"/>
        <v>14.399999999999999</v>
      </c>
      <c r="K1528" s="85">
        <f t="shared" si="345"/>
        <v>14.399999999999999</v>
      </c>
      <c r="L1528" s="179"/>
      <c r="M1528" s="1028"/>
      <c r="N1528" s="29"/>
      <c r="O1528" s="174"/>
      <c r="P1528" s="1106"/>
    </row>
    <row r="1529" spans="1:16">
      <c r="A1529" s="869">
        <v>9</v>
      </c>
      <c r="B1529" s="882"/>
      <c r="C1529" s="869"/>
      <c r="D1529" s="1119"/>
      <c r="E1529" s="883"/>
      <c r="F1529" s="881"/>
      <c r="G1529" s="502" t="s">
        <v>459</v>
      </c>
      <c r="H1529" s="503">
        <f t="shared" ref="H1529:K1529" si="346">SUM(H1527:H1528)</f>
        <v>12188.400000000003</v>
      </c>
      <c r="I1529" s="503">
        <f t="shared" si="346"/>
        <v>13765.100000000002</v>
      </c>
      <c r="J1529" s="503">
        <f t="shared" si="346"/>
        <v>14674.000000000002</v>
      </c>
      <c r="K1529" s="503">
        <f t="shared" si="346"/>
        <v>15579.8</v>
      </c>
      <c r="L1529" s="179"/>
      <c r="M1529" s="1028"/>
      <c r="N1529" s="29"/>
      <c r="O1529" s="174"/>
      <c r="P1529" s="1106"/>
    </row>
    <row r="1530" spans="1:16" ht="33.75">
      <c r="A1530" s="869">
        <v>9</v>
      </c>
      <c r="B1530" s="882"/>
      <c r="C1530" s="869" t="s">
        <v>1793</v>
      </c>
      <c r="D1530" s="1119" t="s">
        <v>1794</v>
      </c>
      <c r="E1530" s="505">
        <v>6</v>
      </c>
      <c r="F1530" s="881" t="s">
        <v>1795</v>
      </c>
      <c r="G1530" s="884" t="s">
        <v>193</v>
      </c>
      <c r="H1530" s="43">
        <v>5425.3</v>
      </c>
      <c r="I1530" s="44">
        <f>5884.1-4.2</f>
        <v>5879.9000000000005</v>
      </c>
      <c r="J1530" s="885">
        <v>6280.1</v>
      </c>
      <c r="K1530" s="885">
        <v>6634.2</v>
      </c>
      <c r="L1530" s="179"/>
      <c r="M1530" s="1028" t="s">
        <v>1796</v>
      </c>
      <c r="N1530" s="1028" t="s">
        <v>2456</v>
      </c>
      <c r="O1530" s="174"/>
      <c r="P1530" s="1106"/>
    </row>
    <row r="1531" spans="1:16" ht="22.5">
      <c r="A1531" s="869">
        <v>9</v>
      </c>
      <c r="B1531" s="882"/>
      <c r="C1531" s="869"/>
      <c r="D1531" s="1120" t="s">
        <v>1797</v>
      </c>
      <c r="E1531" s="59">
        <v>6</v>
      </c>
      <c r="F1531" s="869" t="s">
        <v>1798</v>
      </c>
      <c r="G1531" s="884" t="s">
        <v>193</v>
      </c>
      <c r="H1531" s="43"/>
      <c r="I1531" s="44">
        <v>200</v>
      </c>
      <c r="J1531" s="886">
        <v>200</v>
      </c>
      <c r="K1531" s="886">
        <v>200</v>
      </c>
      <c r="L1531" s="179"/>
      <c r="M1531" s="1028" t="s">
        <v>1799</v>
      </c>
      <c r="N1531" s="1028" t="s">
        <v>2457</v>
      </c>
      <c r="O1531" s="174"/>
      <c r="P1531" s="1106"/>
    </row>
    <row r="1532" spans="1:16" ht="22.5">
      <c r="A1532" s="869">
        <v>9</v>
      </c>
      <c r="B1532" s="882"/>
      <c r="C1532" s="869"/>
      <c r="D1532" s="506" t="s">
        <v>1800</v>
      </c>
      <c r="E1532" s="505">
        <v>3</v>
      </c>
      <c r="F1532" s="881" t="s">
        <v>1795</v>
      </c>
      <c r="G1532" s="884" t="s">
        <v>193</v>
      </c>
      <c r="H1532" s="43">
        <v>58.1</v>
      </c>
      <c r="I1532" s="44">
        <v>10</v>
      </c>
      <c r="J1532" s="885">
        <v>10</v>
      </c>
      <c r="K1532" s="885">
        <v>10</v>
      </c>
      <c r="L1532" s="179"/>
      <c r="M1532" s="1028" t="s">
        <v>1801</v>
      </c>
      <c r="N1532" s="1028" t="s">
        <v>2458</v>
      </c>
      <c r="O1532" s="174">
        <v>100</v>
      </c>
      <c r="P1532" s="1106"/>
    </row>
    <row r="1533" spans="1:16">
      <c r="A1533" s="869">
        <v>9</v>
      </c>
      <c r="B1533" s="882"/>
      <c r="C1533" s="869"/>
      <c r="D1533" s="506" t="s">
        <v>1800</v>
      </c>
      <c r="E1533" s="505">
        <v>34</v>
      </c>
      <c r="F1533" s="881" t="s">
        <v>1795</v>
      </c>
      <c r="G1533" s="884" t="s">
        <v>193</v>
      </c>
      <c r="H1533" s="43">
        <v>247.7</v>
      </c>
      <c r="I1533" s="44">
        <v>310</v>
      </c>
      <c r="J1533" s="886">
        <v>310</v>
      </c>
      <c r="K1533" s="886">
        <v>310</v>
      </c>
      <c r="L1533" s="179"/>
      <c r="M1533" s="1028" t="s">
        <v>1802</v>
      </c>
      <c r="N1533" s="1028" t="s">
        <v>2459</v>
      </c>
      <c r="O1533" s="174"/>
      <c r="P1533" s="1106"/>
    </row>
    <row r="1534" spans="1:16">
      <c r="A1534" s="869">
        <v>9</v>
      </c>
      <c r="B1534" s="882"/>
      <c r="C1534" s="869"/>
      <c r="D1534" s="506" t="s">
        <v>1800</v>
      </c>
      <c r="E1534" s="505">
        <v>6</v>
      </c>
      <c r="F1534" s="881" t="s">
        <v>1795</v>
      </c>
      <c r="G1534" s="884" t="s">
        <v>193</v>
      </c>
      <c r="H1534" s="43"/>
      <c r="I1534" s="44">
        <f>80</f>
        <v>80</v>
      </c>
      <c r="J1534" s="885">
        <v>100</v>
      </c>
      <c r="K1534" s="885">
        <v>100</v>
      </c>
      <c r="L1534" s="179"/>
      <c r="M1534" s="1028" t="s">
        <v>1815</v>
      </c>
      <c r="N1534" s="1028" t="s">
        <v>2460</v>
      </c>
      <c r="O1534" s="174"/>
      <c r="P1534" s="1106"/>
    </row>
    <row r="1535" spans="1:16">
      <c r="A1535" s="869">
        <v>9</v>
      </c>
      <c r="B1535" s="882"/>
      <c r="C1535" s="869"/>
      <c r="D1535" s="506" t="s">
        <v>1800</v>
      </c>
      <c r="E1535" s="505">
        <v>6</v>
      </c>
      <c r="F1535" s="881" t="s">
        <v>1795</v>
      </c>
      <c r="G1535" s="884" t="s">
        <v>196</v>
      </c>
      <c r="H1535" s="43">
        <v>12.1</v>
      </c>
      <c r="I1535" s="44">
        <v>12.1</v>
      </c>
      <c r="J1535" s="885">
        <v>12.1</v>
      </c>
      <c r="K1535" s="885">
        <v>12.1</v>
      </c>
      <c r="L1535" s="179"/>
      <c r="M1535" s="1028" t="s">
        <v>1804</v>
      </c>
      <c r="N1535" s="1028" t="s">
        <v>2460</v>
      </c>
      <c r="O1535" s="174"/>
      <c r="P1535" s="1106"/>
    </row>
    <row r="1536" spans="1:16" ht="22.5">
      <c r="A1536" s="869">
        <v>9</v>
      </c>
      <c r="B1536" s="882"/>
      <c r="C1536" s="869"/>
      <c r="D1536" s="506" t="s">
        <v>1805</v>
      </c>
      <c r="E1536" s="505">
        <v>6</v>
      </c>
      <c r="F1536" s="881" t="s">
        <v>1795</v>
      </c>
      <c r="G1536" s="884" t="s">
        <v>193</v>
      </c>
      <c r="H1536" s="43">
        <v>1849.3</v>
      </c>
      <c r="I1536" s="44">
        <v>1626.2</v>
      </c>
      <c r="J1536" s="885">
        <v>1786.8</v>
      </c>
      <c r="K1536" s="885">
        <v>1947.4</v>
      </c>
      <c r="L1536" s="179"/>
      <c r="M1536" s="1028" t="s">
        <v>1799</v>
      </c>
      <c r="N1536" s="1028" t="s">
        <v>2461</v>
      </c>
      <c r="O1536" s="174"/>
      <c r="P1536" s="1106"/>
    </row>
    <row r="1537" spans="1:16" ht="22.5">
      <c r="A1537" s="869">
        <v>9</v>
      </c>
      <c r="B1537" s="882"/>
      <c r="C1537" s="869"/>
      <c r="D1537" s="506" t="s">
        <v>1806</v>
      </c>
      <c r="E1537" s="505">
        <v>6</v>
      </c>
      <c r="F1537" s="881" t="s">
        <v>1795</v>
      </c>
      <c r="G1537" s="884" t="s">
        <v>193</v>
      </c>
      <c r="H1537" s="43">
        <v>480</v>
      </c>
      <c r="I1537" s="44">
        <v>447.3</v>
      </c>
      <c r="J1537" s="885">
        <v>491.7</v>
      </c>
      <c r="K1537" s="885">
        <v>536.20000000000005</v>
      </c>
      <c r="L1537" s="179"/>
      <c r="M1537" s="1028" t="s">
        <v>1799</v>
      </c>
      <c r="N1537" s="1028" t="s">
        <v>2461</v>
      </c>
      <c r="O1537" s="174"/>
      <c r="P1537" s="1106"/>
    </row>
    <row r="1538" spans="1:16" ht="22.5">
      <c r="A1538" s="869">
        <v>9</v>
      </c>
      <c r="B1538" s="882"/>
      <c r="C1538" s="869"/>
      <c r="D1538" s="506" t="s">
        <v>1807</v>
      </c>
      <c r="E1538" s="505">
        <v>6</v>
      </c>
      <c r="F1538" s="881" t="s">
        <v>1795</v>
      </c>
      <c r="G1538" s="884" t="s">
        <v>193</v>
      </c>
      <c r="H1538" s="43">
        <v>34.299999999999997</v>
      </c>
      <c r="I1538" s="44">
        <v>43.2</v>
      </c>
      <c r="J1538" s="885">
        <v>47.5</v>
      </c>
      <c r="K1538" s="885">
        <v>51.7</v>
      </c>
      <c r="L1538" s="179"/>
      <c r="M1538" s="1028" t="s">
        <v>1799</v>
      </c>
      <c r="N1538" s="1028" t="s">
        <v>2461</v>
      </c>
      <c r="O1538" s="174"/>
      <c r="P1538" s="1106"/>
    </row>
    <row r="1539" spans="1:16" ht="22.5">
      <c r="A1539" s="869">
        <v>9</v>
      </c>
      <c r="B1539" s="882"/>
      <c r="C1539" s="869"/>
      <c r="D1539" s="506" t="s">
        <v>1808</v>
      </c>
      <c r="E1539" s="505">
        <v>6</v>
      </c>
      <c r="F1539" s="881" t="s">
        <v>1795</v>
      </c>
      <c r="G1539" s="884" t="s">
        <v>193</v>
      </c>
      <c r="H1539" s="43">
        <v>116.4</v>
      </c>
      <c r="I1539" s="44">
        <v>118.3</v>
      </c>
      <c r="J1539" s="885">
        <v>129.9</v>
      </c>
      <c r="K1539" s="885">
        <v>141.6</v>
      </c>
      <c r="L1539" s="179"/>
      <c r="M1539" s="1028" t="s">
        <v>1799</v>
      </c>
      <c r="N1539" s="1028" t="s">
        <v>2461</v>
      </c>
      <c r="O1539" s="174"/>
      <c r="P1539" s="1106"/>
    </row>
    <row r="1540" spans="1:16" ht="22.5">
      <c r="A1540" s="869">
        <v>9</v>
      </c>
      <c r="B1540" s="882"/>
      <c r="C1540" s="869"/>
      <c r="D1540" s="506" t="s">
        <v>1809</v>
      </c>
      <c r="E1540" s="505">
        <v>6</v>
      </c>
      <c r="F1540" s="881" t="s">
        <v>1795</v>
      </c>
      <c r="G1540" s="884" t="s">
        <v>193</v>
      </c>
      <c r="H1540" s="43">
        <v>190.8</v>
      </c>
      <c r="I1540" s="44">
        <v>189.5</v>
      </c>
      <c r="J1540" s="885">
        <v>208.3</v>
      </c>
      <c r="K1540" s="885">
        <v>227</v>
      </c>
      <c r="L1540" s="179"/>
      <c r="M1540" s="1028" t="s">
        <v>1799</v>
      </c>
      <c r="N1540" s="1028" t="s">
        <v>2461</v>
      </c>
      <c r="O1540" s="174"/>
      <c r="P1540" s="1106"/>
    </row>
    <row r="1541" spans="1:16" ht="22.5">
      <c r="A1541" s="869">
        <v>9</v>
      </c>
      <c r="B1541" s="882"/>
      <c r="C1541" s="869"/>
      <c r="D1541" s="506" t="s">
        <v>1810</v>
      </c>
      <c r="E1541" s="505">
        <v>6</v>
      </c>
      <c r="F1541" s="881" t="s">
        <v>1795</v>
      </c>
      <c r="G1541" s="884" t="s">
        <v>193</v>
      </c>
      <c r="H1541" s="43">
        <v>465.8</v>
      </c>
      <c r="I1541" s="44">
        <v>453</v>
      </c>
      <c r="J1541" s="885">
        <v>500.5</v>
      </c>
      <c r="K1541" s="885">
        <v>548</v>
      </c>
      <c r="L1541" s="179"/>
      <c r="M1541" s="1028" t="s">
        <v>1799</v>
      </c>
      <c r="N1541" s="1028" t="s">
        <v>2461</v>
      </c>
      <c r="O1541" s="174"/>
      <c r="P1541" s="1106"/>
    </row>
    <row r="1542" spans="1:16">
      <c r="A1542" s="869">
        <v>9</v>
      </c>
      <c r="B1542" s="882"/>
      <c r="C1542" s="869" t="s">
        <v>1811</v>
      </c>
      <c r="D1542" s="1119" t="s">
        <v>1812</v>
      </c>
      <c r="E1542" s="505">
        <v>3</v>
      </c>
      <c r="F1542" s="881" t="s">
        <v>1795</v>
      </c>
      <c r="G1542" s="884" t="s">
        <v>193</v>
      </c>
      <c r="H1542" s="43">
        <v>100</v>
      </c>
      <c r="I1542" s="44">
        <v>100</v>
      </c>
      <c r="J1542" s="886">
        <v>100</v>
      </c>
      <c r="K1542" s="886">
        <v>100</v>
      </c>
      <c r="L1542" s="179"/>
      <c r="M1542" s="1028" t="s">
        <v>1801</v>
      </c>
      <c r="N1542" s="1028" t="s">
        <v>2462</v>
      </c>
      <c r="O1542" s="174">
        <v>100</v>
      </c>
      <c r="P1542" s="1106"/>
    </row>
    <row r="1543" spans="1:16" ht="33.75">
      <c r="A1543" s="869">
        <v>9</v>
      </c>
      <c r="B1543" s="882"/>
      <c r="C1543" s="869" t="s">
        <v>1813</v>
      </c>
      <c r="D1543" s="1119" t="s">
        <v>1814</v>
      </c>
      <c r="E1543" s="505">
        <v>6</v>
      </c>
      <c r="F1543" s="881" t="s">
        <v>1795</v>
      </c>
      <c r="G1543" s="884" t="s">
        <v>193</v>
      </c>
      <c r="H1543" s="43">
        <v>5.6</v>
      </c>
      <c r="I1543" s="44">
        <v>300</v>
      </c>
      <c r="J1543" s="886">
        <v>325</v>
      </c>
      <c r="K1543" s="886">
        <v>340</v>
      </c>
      <c r="L1543" s="179"/>
      <c r="M1543" s="1028" t="s">
        <v>1815</v>
      </c>
      <c r="N1543" s="1028" t="s">
        <v>2463</v>
      </c>
      <c r="O1543" s="1024">
        <v>50</v>
      </c>
      <c r="P1543" s="1106"/>
    </row>
    <row r="1544" spans="1:16">
      <c r="A1544" s="869">
        <v>9</v>
      </c>
      <c r="B1544" s="882"/>
      <c r="C1544" s="869"/>
      <c r="D1544" s="1121"/>
      <c r="E1544" s="883"/>
      <c r="F1544" s="881" t="s">
        <v>1795</v>
      </c>
      <c r="G1544" s="507" t="s">
        <v>459</v>
      </c>
      <c r="H1544" s="85">
        <f t="shared" ref="H1544:K1544" si="347">SUM(H1530:H1543)</f>
        <v>8985.4</v>
      </c>
      <c r="I1544" s="85">
        <f t="shared" si="347"/>
        <v>9769.5</v>
      </c>
      <c r="J1544" s="85">
        <f t="shared" si="347"/>
        <v>10501.9</v>
      </c>
      <c r="K1544" s="85">
        <f t="shared" si="347"/>
        <v>11158.200000000003</v>
      </c>
      <c r="L1544" s="179"/>
      <c r="M1544" s="1028"/>
      <c r="N1544" s="29"/>
      <c r="O1544" s="174"/>
      <c r="P1544" s="1106"/>
    </row>
    <row r="1545" spans="1:16" ht="33.75">
      <c r="A1545" s="869">
        <v>9</v>
      </c>
      <c r="B1545" s="882"/>
      <c r="C1545" s="869" t="s">
        <v>1816</v>
      </c>
      <c r="D1545" s="1119" t="s">
        <v>1817</v>
      </c>
      <c r="E1545" s="883">
        <v>6</v>
      </c>
      <c r="F1545" s="881" t="s">
        <v>1818</v>
      </c>
      <c r="G1545" s="884" t="s">
        <v>193</v>
      </c>
      <c r="H1545" s="43">
        <v>160</v>
      </c>
      <c r="I1545" s="44">
        <v>230.7</v>
      </c>
      <c r="J1545" s="885">
        <v>251.3</v>
      </c>
      <c r="K1545" s="885">
        <v>273.3</v>
      </c>
      <c r="L1545" s="179"/>
      <c r="M1545" s="1010" t="s">
        <v>1819</v>
      </c>
      <c r="N1545" s="1028" t="s">
        <v>2464</v>
      </c>
      <c r="O1545" s="1024">
        <v>1</v>
      </c>
      <c r="P1545" s="1106"/>
    </row>
    <row r="1546" spans="1:16">
      <c r="A1546" s="869">
        <v>9</v>
      </c>
      <c r="B1546" s="882"/>
      <c r="C1546" s="869" t="s">
        <v>1820</v>
      </c>
      <c r="D1546" s="1119" t="s">
        <v>1821</v>
      </c>
      <c r="E1546" s="883">
        <v>19</v>
      </c>
      <c r="F1546" s="881" t="s">
        <v>1822</v>
      </c>
      <c r="G1546" s="884" t="s">
        <v>193</v>
      </c>
      <c r="H1546" s="43">
        <v>137.30000000000001</v>
      </c>
      <c r="I1546" s="44">
        <f>164.8+15</f>
        <v>179.8</v>
      </c>
      <c r="J1546" s="885">
        <v>177.1</v>
      </c>
      <c r="K1546" s="885">
        <v>189.4</v>
      </c>
      <c r="L1546" s="179"/>
      <c r="M1546" s="1028" t="s">
        <v>1823</v>
      </c>
      <c r="N1546" s="1028" t="s">
        <v>2465</v>
      </c>
      <c r="O1546" s="1024">
        <v>1</v>
      </c>
      <c r="P1546" s="1106" t="s">
        <v>415</v>
      </c>
    </row>
    <row r="1547" spans="1:16">
      <c r="A1547" s="869">
        <v>9</v>
      </c>
      <c r="B1547" s="882"/>
      <c r="C1547" s="869" t="s">
        <v>1824</v>
      </c>
      <c r="D1547" s="1119" t="s">
        <v>1825</v>
      </c>
      <c r="E1547" s="883">
        <v>20</v>
      </c>
      <c r="F1547" s="881" t="s">
        <v>1826</v>
      </c>
      <c r="G1547" s="884" t="s">
        <v>193</v>
      </c>
      <c r="H1547" s="43">
        <v>139.80000000000001</v>
      </c>
      <c r="I1547" s="44">
        <v>208.2</v>
      </c>
      <c r="J1547" s="885">
        <v>225.1</v>
      </c>
      <c r="K1547" s="885">
        <v>242</v>
      </c>
      <c r="L1547" s="179"/>
      <c r="M1547" s="1028" t="s">
        <v>2466</v>
      </c>
      <c r="N1547" s="1028" t="s">
        <v>2465</v>
      </c>
      <c r="O1547" s="1024">
        <v>1</v>
      </c>
      <c r="P1547" s="1106" t="s">
        <v>687</v>
      </c>
    </row>
    <row r="1548" spans="1:16">
      <c r="A1548" s="869">
        <v>9</v>
      </c>
      <c r="B1548" s="882"/>
      <c r="C1548" s="869" t="s">
        <v>1827</v>
      </c>
      <c r="D1548" s="1119" t="s">
        <v>1828</v>
      </c>
      <c r="E1548" s="883">
        <v>21</v>
      </c>
      <c r="F1548" s="881" t="s">
        <v>1829</v>
      </c>
      <c r="G1548" s="884" t="s">
        <v>193</v>
      </c>
      <c r="H1548" s="43">
        <v>153</v>
      </c>
      <c r="I1548" s="44">
        <v>197.6</v>
      </c>
      <c r="J1548" s="885">
        <v>213.6</v>
      </c>
      <c r="K1548" s="885">
        <v>229.6</v>
      </c>
      <c r="L1548" s="179"/>
      <c r="M1548" s="1028" t="s">
        <v>1377</v>
      </c>
      <c r="N1548" s="1028" t="s">
        <v>2465</v>
      </c>
      <c r="O1548" s="1024">
        <v>1</v>
      </c>
      <c r="P1548" s="1106" t="s">
        <v>389</v>
      </c>
    </row>
    <row r="1549" spans="1:16">
      <c r="A1549" s="869">
        <v>9</v>
      </c>
      <c r="B1549" s="882"/>
      <c r="C1549" s="869" t="s">
        <v>1830</v>
      </c>
      <c r="D1549" s="1119" t="s">
        <v>1831</v>
      </c>
      <c r="E1549" s="883">
        <v>22</v>
      </c>
      <c r="F1549" s="881" t="s">
        <v>1832</v>
      </c>
      <c r="G1549" s="884" t="s">
        <v>193</v>
      </c>
      <c r="H1549" s="43">
        <v>123</v>
      </c>
      <c r="I1549" s="44">
        <v>144.69999999999999</v>
      </c>
      <c r="J1549" s="885">
        <v>156.9</v>
      </c>
      <c r="K1549" s="885">
        <v>169.1</v>
      </c>
      <c r="L1549" s="179"/>
      <c r="M1549" s="1028" t="s">
        <v>1381</v>
      </c>
      <c r="N1549" s="1028" t="s">
        <v>2465</v>
      </c>
      <c r="O1549" s="1024">
        <v>1</v>
      </c>
      <c r="P1549" s="1106" t="s">
        <v>1833</v>
      </c>
    </row>
    <row r="1550" spans="1:16">
      <c r="A1550" s="869">
        <v>9</v>
      </c>
      <c r="B1550" s="882"/>
      <c r="C1550" s="869" t="s">
        <v>1834</v>
      </c>
      <c r="D1550" s="1119" t="s">
        <v>1835</v>
      </c>
      <c r="E1550" s="883">
        <v>23</v>
      </c>
      <c r="F1550" s="881" t="s">
        <v>1836</v>
      </c>
      <c r="G1550" s="884" t="s">
        <v>193</v>
      </c>
      <c r="H1550" s="43">
        <v>121</v>
      </c>
      <c r="I1550" s="44">
        <v>140.5</v>
      </c>
      <c r="J1550" s="885">
        <v>153.30000000000001</v>
      </c>
      <c r="K1550" s="885">
        <v>166.1</v>
      </c>
      <c r="L1550" s="179"/>
      <c r="M1550" s="1002" t="s">
        <v>147</v>
      </c>
      <c r="N1550" s="1028" t="s">
        <v>2465</v>
      </c>
      <c r="O1550" s="1024">
        <v>1</v>
      </c>
      <c r="P1550" s="1106" t="s">
        <v>275</v>
      </c>
    </row>
    <row r="1551" spans="1:16">
      <c r="A1551" s="869">
        <v>9</v>
      </c>
      <c r="B1551" s="882"/>
      <c r="C1551" s="869" t="s">
        <v>1837</v>
      </c>
      <c r="D1551" s="1119" t="s">
        <v>1838</v>
      </c>
      <c r="E1551" s="883">
        <v>24</v>
      </c>
      <c r="F1551" s="881" t="s">
        <v>1839</v>
      </c>
      <c r="G1551" s="884" t="s">
        <v>193</v>
      </c>
      <c r="H1551" s="43">
        <v>98.1</v>
      </c>
      <c r="I1551" s="44">
        <v>128.30000000000001</v>
      </c>
      <c r="J1551" s="885">
        <v>138</v>
      </c>
      <c r="K1551" s="885">
        <v>147.6</v>
      </c>
      <c r="L1551" s="179"/>
      <c r="M1551" s="1028" t="s">
        <v>1388</v>
      </c>
      <c r="N1551" s="1028" t="s">
        <v>2465</v>
      </c>
      <c r="O1551" s="1024">
        <v>1</v>
      </c>
      <c r="P1551" s="1106" t="s">
        <v>565</v>
      </c>
    </row>
    <row r="1552" spans="1:16">
      <c r="A1552" s="869">
        <v>9</v>
      </c>
      <c r="B1552" s="882"/>
      <c r="C1552" s="869"/>
      <c r="D1552" s="1119"/>
      <c r="E1552" s="883">
        <v>24</v>
      </c>
      <c r="F1552" s="881" t="s">
        <v>1839</v>
      </c>
      <c r="G1552" s="869" t="s">
        <v>196</v>
      </c>
      <c r="H1552" s="43">
        <v>0.2</v>
      </c>
      <c r="I1552" s="44">
        <v>0.3</v>
      </c>
      <c r="J1552" s="885">
        <v>0.3</v>
      </c>
      <c r="K1552" s="885">
        <v>0.3</v>
      </c>
      <c r="L1552" s="179"/>
      <c r="M1552" s="1028" t="s">
        <v>1388</v>
      </c>
      <c r="N1552" s="1028" t="s">
        <v>2465</v>
      </c>
      <c r="O1552" s="1024">
        <v>1</v>
      </c>
      <c r="P1552" s="1106" t="s">
        <v>565</v>
      </c>
    </row>
    <row r="1553" spans="1:16">
      <c r="A1553" s="869">
        <v>9</v>
      </c>
      <c r="B1553" s="882"/>
      <c r="C1553" s="869" t="s">
        <v>1840</v>
      </c>
      <c r="D1553" s="1119" t="s">
        <v>1841</v>
      </c>
      <c r="E1553" s="883">
        <v>25</v>
      </c>
      <c r="F1553" s="881" t="s">
        <v>1842</v>
      </c>
      <c r="G1553" s="884" t="s">
        <v>193</v>
      </c>
      <c r="H1553" s="43">
        <v>127.3</v>
      </c>
      <c r="I1553" s="44">
        <v>152.5</v>
      </c>
      <c r="J1553" s="885">
        <v>164.2</v>
      </c>
      <c r="K1553" s="885">
        <v>175.9</v>
      </c>
      <c r="L1553" s="179"/>
      <c r="M1553" s="1028" t="s">
        <v>1392</v>
      </c>
      <c r="N1553" s="1028" t="s">
        <v>2465</v>
      </c>
      <c r="O1553" s="1024">
        <v>1</v>
      </c>
      <c r="P1553" s="1106" t="s">
        <v>429</v>
      </c>
    </row>
    <row r="1554" spans="1:16">
      <c r="A1554" s="869">
        <v>9</v>
      </c>
      <c r="B1554" s="882"/>
      <c r="C1554" s="869"/>
      <c r="D1554" s="1119"/>
      <c r="E1554" s="883">
        <v>25</v>
      </c>
      <c r="F1554" s="881" t="s">
        <v>1842</v>
      </c>
      <c r="G1554" s="869" t="s">
        <v>196</v>
      </c>
      <c r="H1554" s="43"/>
      <c r="I1554" s="44"/>
      <c r="J1554" s="885"/>
      <c r="K1554" s="885"/>
      <c r="L1554" s="179"/>
      <c r="M1554" s="1028" t="s">
        <v>1392</v>
      </c>
      <c r="N1554" s="1028" t="s">
        <v>2465</v>
      </c>
      <c r="O1554" s="1024">
        <v>1</v>
      </c>
      <c r="P1554" s="1106" t="s">
        <v>429</v>
      </c>
    </row>
    <row r="1555" spans="1:16">
      <c r="A1555" s="869">
        <v>9</v>
      </c>
      <c r="B1555" s="882"/>
      <c r="C1555" s="869" t="s">
        <v>1843</v>
      </c>
      <c r="D1555" s="1119" t="s">
        <v>1844</v>
      </c>
      <c r="E1555" s="883">
        <v>26</v>
      </c>
      <c r="F1555" s="881" t="s">
        <v>1845</v>
      </c>
      <c r="G1555" s="884" t="s">
        <v>193</v>
      </c>
      <c r="H1555" s="43">
        <v>187.2</v>
      </c>
      <c r="I1555" s="44">
        <v>191.8</v>
      </c>
      <c r="J1555" s="885">
        <v>206</v>
      </c>
      <c r="K1555" s="885">
        <v>220.1</v>
      </c>
      <c r="L1555" s="179"/>
      <c r="M1555" s="1028" t="s">
        <v>1162</v>
      </c>
      <c r="N1555" s="1028" t="s">
        <v>2465</v>
      </c>
      <c r="O1555" s="1024">
        <v>1</v>
      </c>
      <c r="P1555" s="1106" t="s">
        <v>392</v>
      </c>
    </row>
    <row r="1556" spans="1:16">
      <c r="A1556" s="869">
        <v>9</v>
      </c>
      <c r="B1556" s="882"/>
      <c r="C1556" s="869" t="s">
        <v>1846</v>
      </c>
      <c r="D1556" s="1119" t="s">
        <v>1847</v>
      </c>
      <c r="E1556" s="883">
        <v>27</v>
      </c>
      <c r="F1556" s="881" t="s">
        <v>1848</v>
      </c>
      <c r="G1556" s="884" t="s">
        <v>193</v>
      </c>
      <c r="H1556" s="43">
        <v>183.8</v>
      </c>
      <c r="I1556" s="44">
        <v>251.9</v>
      </c>
      <c r="J1556" s="885">
        <v>271.89999999999998</v>
      </c>
      <c r="K1556" s="885">
        <v>291.89999999999998</v>
      </c>
      <c r="L1556" s="179"/>
      <c r="M1556" s="1028" t="s">
        <v>1849</v>
      </c>
      <c r="N1556" s="1028" t="s">
        <v>2465</v>
      </c>
      <c r="O1556" s="1024">
        <v>1</v>
      </c>
      <c r="P1556" s="1106" t="s">
        <v>386</v>
      </c>
    </row>
    <row r="1557" spans="1:16">
      <c r="A1557" s="869">
        <v>9</v>
      </c>
      <c r="B1557" s="882"/>
      <c r="C1557" s="869"/>
      <c r="D1557" s="1119"/>
      <c r="E1557" s="883">
        <v>27</v>
      </c>
      <c r="F1557" s="881" t="s">
        <v>1848</v>
      </c>
      <c r="G1557" s="869" t="s">
        <v>196</v>
      </c>
      <c r="H1557" s="43">
        <v>1.2</v>
      </c>
      <c r="I1557" s="44">
        <v>1.3</v>
      </c>
      <c r="J1557" s="885">
        <v>1.3</v>
      </c>
      <c r="K1557" s="885">
        <v>1.3</v>
      </c>
      <c r="L1557" s="179"/>
      <c r="M1557" s="1028" t="s">
        <v>1849</v>
      </c>
      <c r="N1557" s="1028" t="s">
        <v>2465</v>
      </c>
      <c r="O1557" s="1024">
        <v>1</v>
      </c>
      <c r="P1557" s="1106" t="s">
        <v>386</v>
      </c>
    </row>
    <row r="1558" spans="1:16">
      <c r="A1558" s="869">
        <v>9</v>
      </c>
      <c r="B1558" s="882"/>
      <c r="C1558" s="869" t="s">
        <v>1850</v>
      </c>
      <c r="D1558" s="1119" t="s">
        <v>1851</v>
      </c>
      <c r="E1558" s="883">
        <v>28</v>
      </c>
      <c r="F1558" s="881" t="s">
        <v>1852</v>
      </c>
      <c r="G1558" s="884" t="s">
        <v>193</v>
      </c>
      <c r="H1558" s="43">
        <v>145.9</v>
      </c>
      <c r="I1558" s="44">
        <v>171.8</v>
      </c>
      <c r="J1558" s="885">
        <v>186.1</v>
      </c>
      <c r="K1558" s="885">
        <v>200.4</v>
      </c>
      <c r="L1558" s="179"/>
      <c r="M1558" s="1028" t="s">
        <v>1403</v>
      </c>
      <c r="N1558" s="1028" t="s">
        <v>2465</v>
      </c>
      <c r="O1558" s="1024">
        <v>1</v>
      </c>
      <c r="P1558" s="1106" t="s">
        <v>399</v>
      </c>
    </row>
    <row r="1559" spans="1:16">
      <c r="A1559" s="869">
        <v>9</v>
      </c>
      <c r="B1559" s="882"/>
      <c r="C1559" s="869"/>
      <c r="D1559" s="1119"/>
      <c r="E1559" s="883">
        <v>28</v>
      </c>
      <c r="F1559" s="881" t="s">
        <v>1852</v>
      </c>
      <c r="G1559" s="869" t="s">
        <v>196</v>
      </c>
      <c r="H1559" s="43">
        <v>0.7</v>
      </c>
      <c r="I1559" s="44">
        <f>0.7+2.6</f>
        <v>3.3</v>
      </c>
      <c r="J1559" s="885">
        <v>0.7</v>
      </c>
      <c r="K1559" s="885">
        <v>0.7</v>
      </c>
      <c r="L1559" s="179"/>
      <c r="M1559" s="1028" t="s">
        <v>1403</v>
      </c>
      <c r="N1559" s="1028" t="s">
        <v>2465</v>
      </c>
      <c r="O1559" s="1024">
        <v>1</v>
      </c>
      <c r="P1559" s="1106" t="s">
        <v>399</v>
      </c>
    </row>
    <row r="1560" spans="1:16">
      <c r="A1560" s="869">
        <v>9</v>
      </c>
      <c r="B1560" s="882"/>
      <c r="C1560" s="869" t="s">
        <v>1853</v>
      </c>
      <c r="D1560" s="1119" t="s">
        <v>1854</v>
      </c>
      <c r="E1560" s="883">
        <v>29</v>
      </c>
      <c r="F1560" s="881" t="s">
        <v>1855</v>
      </c>
      <c r="G1560" s="884" t="s">
        <v>193</v>
      </c>
      <c r="H1560" s="43">
        <v>158.1</v>
      </c>
      <c r="I1560" s="44">
        <v>197</v>
      </c>
      <c r="J1560" s="885">
        <v>212.8</v>
      </c>
      <c r="K1560" s="885">
        <v>228.7</v>
      </c>
      <c r="L1560" s="179"/>
      <c r="M1560" s="1028" t="s">
        <v>1407</v>
      </c>
      <c r="N1560" s="1028" t="s">
        <v>2465</v>
      </c>
      <c r="O1560" s="1024">
        <v>1</v>
      </c>
      <c r="P1560" s="1106" t="s">
        <v>419</v>
      </c>
    </row>
    <row r="1561" spans="1:16">
      <c r="A1561" s="869">
        <v>9</v>
      </c>
      <c r="B1561" s="882"/>
      <c r="C1561" s="869" t="s">
        <v>1856</v>
      </c>
      <c r="D1561" s="1119" t="s">
        <v>1857</v>
      </c>
      <c r="E1561" s="883">
        <v>15</v>
      </c>
      <c r="F1561" s="881" t="s">
        <v>1858</v>
      </c>
      <c r="G1561" s="884" t="s">
        <v>193</v>
      </c>
      <c r="H1561" s="43">
        <v>185</v>
      </c>
      <c r="I1561" s="44">
        <v>300</v>
      </c>
      <c r="J1561" s="885">
        <v>250</v>
      </c>
      <c r="K1561" s="885">
        <v>250</v>
      </c>
      <c r="L1561" s="179"/>
      <c r="M1561" s="1028" t="s">
        <v>2467</v>
      </c>
      <c r="N1561" s="1028" t="s">
        <v>2468</v>
      </c>
      <c r="O1561" s="1024">
        <v>3000</v>
      </c>
      <c r="P1561" s="1106"/>
    </row>
    <row r="1562" spans="1:16" ht="22.5">
      <c r="A1562" s="869">
        <v>9</v>
      </c>
      <c r="B1562" s="882"/>
      <c r="C1562" s="869" t="s">
        <v>1859</v>
      </c>
      <c r="D1562" s="1119" t="s">
        <v>1860</v>
      </c>
      <c r="E1562" s="883">
        <v>3</v>
      </c>
      <c r="F1562" s="881" t="s">
        <v>1858</v>
      </c>
      <c r="G1562" s="884" t="s">
        <v>193</v>
      </c>
      <c r="H1562" s="43">
        <v>82</v>
      </c>
      <c r="I1562" s="44">
        <v>215</v>
      </c>
      <c r="J1562" s="886">
        <v>215</v>
      </c>
      <c r="K1562" s="886">
        <v>215</v>
      </c>
      <c r="L1562" s="179"/>
      <c r="M1562" s="1028" t="s">
        <v>2467</v>
      </c>
      <c r="N1562" s="1028" t="s">
        <v>2469</v>
      </c>
      <c r="O1562" s="1024">
        <v>18000</v>
      </c>
      <c r="P1562" s="1106"/>
    </row>
    <row r="1563" spans="1:16" ht="22.5">
      <c r="A1563" s="869">
        <v>9</v>
      </c>
      <c r="B1563" s="882"/>
      <c r="C1563" s="869" t="s">
        <v>1861</v>
      </c>
      <c r="D1563" s="1119" t="s">
        <v>1862</v>
      </c>
      <c r="E1563" s="883" t="s">
        <v>110</v>
      </c>
      <c r="F1563" s="881" t="s">
        <v>1863</v>
      </c>
      <c r="G1563" s="884" t="s">
        <v>193</v>
      </c>
      <c r="H1563" s="885">
        <v>1199.4000000000001</v>
      </c>
      <c r="I1563" s="887">
        <v>1280.9000000000001</v>
      </c>
      <c r="J1563" s="886">
        <v>1348.5</v>
      </c>
      <c r="K1563" s="886">
        <v>1420.2</v>
      </c>
      <c r="L1563" s="179"/>
      <c r="M1563" s="1028"/>
      <c r="N1563" s="1028"/>
      <c r="O1563" s="1024"/>
      <c r="P1563" s="1106"/>
    </row>
    <row r="1564" spans="1:16">
      <c r="A1564" s="869">
        <v>9</v>
      </c>
      <c r="B1564" s="882"/>
      <c r="C1564" s="869"/>
      <c r="D1564" s="1119"/>
      <c r="E1564" s="883"/>
      <c r="F1564" s="881"/>
      <c r="G1564" s="507" t="s">
        <v>459</v>
      </c>
      <c r="H1564" s="85">
        <f t="shared" ref="H1564:K1564" si="348">SUM(H1545:H1563)</f>
        <v>3203</v>
      </c>
      <c r="I1564" s="85">
        <f t="shared" si="348"/>
        <v>3995.6</v>
      </c>
      <c r="J1564" s="85">
        <f t="shared" si="348"/>
        <v>4172.1000000000004</v>
      </c>
      <c r="K1564" s="85">
        <f t="shared" si="348"/>
        <v>4421.5999999999995</v>
      </c>
      <c r="L1564" s="179"/>
      <c r="M1564" s="1028"/>
      <c r="N1564" s="1028"/>
      <c r="O1564" s="1024"/>
      <c r="P1564" s="1106"/>
    </row>
    <row r="1565" spans="1:16" ht="22.5">
      <c r="A1565" s="869">
        <v>9</v>
      </c>
      <c r="B1565" s="500" t="s">
        <v>1864</v>
      </c>
      <c r="C1565" s="500" t="s">
        <v>1864</v>
      </c>
      <c r="D1565" s="198" t="s">
        <v>1865</v>
      </c>
      <c r="E1565" s="883"/>
      <c r="F1565" s="881"/>
      <c r="G1565" s="85" t="s">
        <v>1777</v>
      </c>
      <c r="H1565" s="85">
        <f>SUM(H1584,H1588,H1592,H1597,H1608,H1612,H1619,H1635,H1640,H1668,H1601,H1674,H1691)</f>
        <v>1248.1999999999998</v>
      </c>
      <c r="I1565" s="85">
        <f>SUM(I1584+I1588+I1592+I1597+I1601+I1608+I1612+I1619+I1635+I1640+I1668+I1674+I1691)</f>
        <v>1759.9</v>
      </c>
      <c r="J1565" s="85">
        <f>SUM(J1584,J1588,J1592,J1597,J1608,J1612,J1619,J1635,J1640,J1668,J1601,J1674,J1691)</f>
        <v>2046.5000000000002</v>
      </c>
      <c r="K1565" s="85">
        <f>SUM(K1584,K1588,K1592,K1597,K1608,K1612,K1619,K1635,K1640,K1668,K1601,K1674,K1691)</f>
        <v>2265.8000000000002</v>
      </c>
      <c r="L1565" s="179" t="s">
        <v>194</v>
      </c>
      <c r="M1565" s="1028"/>
      <c r="N1565" s="1029"/>
      <c r="O1565" s="1024"/>
      <c r="P1565" s="1106"/>
    </row>
    <row r="1566" spans="1:16" ht="22.5">
      <c r="A1566" s="869">
        <v>9</v>
      </c>
      <c r="B1566" s="283"/>
      <c r="C1566" s="283"/>
      <c r="D1566" s="126"/>
      <c r="E1566" s="883"/>
      <c r="F1566" s="881"/>
      <c r="G1566" s="85" t="s">
        <v>1792</v>
      </c>
      <c r="H1566" s="85">
        <f t="shared" ref="H1566:K1566" si="349">H1638</f>
        <v>0.7</v>
      </c>
      <c r="I1566" s="85">
        <f t="shared" si="349"/>
        <v>1</v>
      </c>
      <c r="J1566" s="85">
        <f t="shared" si="349"/>
        <v>1</v>
      </c>
      <c r="K1566" s="85">
        <f t="shared" si="349"/>
        <v>1</v>
      </c>
      <c r="L1566" s="179"/>
      <c r="M1566" s="1028"/>
      <c r="N1566" s="1028"/>
      <c r="O1566" s="1024"/>
      <c r="P1566" s="1106"/>
    </row>
    <row r="1567" spans="1:16" ht="22.5">
      <c r="A1567" s="869">
        <v>9</v>
      </c>
      <c r="B1567" s="882"/>
      <c r="C1567" s="869"/>
      <c r="D1567" s="1119"/>
      <c r="E1567" s="883"/>
      <c r="F1567" s="881"/>
      <c r="G1567" s="85" t="s">
        <v>1778</v>
      </c>
      <c r="H1567" s="85">
        <f>SUM(H1579+H1582+H1586+H1590+H1595+H1599+H1603+H1606+H1610+H1617+H1620+H1622+H1624+H1626+H1628+H1630+H1632+H1636+H1641+H1642+H1643+H1644+H1647+H1669+H1672+H1676+H1679+H1681+H1684+H1686+H1690+H1701)</f>
        <v>1911.6000000000006</v>
      </c>
      <c r="I1567" s="85">
        <f>SUM(I1579+I1582+I1586+I1590+I1595+I1599+I1603+I1606+I1610+I1617+I1620+I1622+I1624+I1626+I1628+I1630+I1632+I1636+I1641+I1642+I1643+I1644+I1647+I1669+I1672+I1676+I1679+I1681+I1684+I1686+I1690+I1701)</f>
        <v>24.4</v>
      </c>
      <c r="J1567" s="85">
        <f>SUM(J1579+J1582+J1586+J1590+J1595+J1599+J1603+J1606+J1610+J1617+J1620+J1622+J1624+J1626+J1628+J1630+J1632+J1636+J1641+J1642+J1643+J1644+J1647+J1669+J1672+J1676+J1679+J1681+J1684+J1686+J1690+J1701)</f>
        <v>24.4</v>
      </c>
      <c r="K1567" s="85">
        <f>SUM(K1579+K1582+K1586+K1590+K1595+K1599+K1603+K1606+K1610+K1617+K1620+K1622+K1624+K1626+K1628+K1630+K1632+K1636+K1641+K1642+K1643+K1644+K1647+K1669+K1672+K1676+K1679+K1681+K1684+K1686+K1690+K1701)</f>
        <v>24.4</v>
      </c>
      <c r="L1567" s="179"/>
      <c r="M1567" s="1028"/>
      <c r="N1567" s="1028"/>
      <c r="O1567" s="1024"/>
      <c r="P1567" s="1106"/>
    </row>
    <row r="1568" spans="1:16" ht="22.5">
      <c r="A1568" s="869">
        <v>9</v>
      </c>
      <c r="B1568" s="882"/>
      <c r="C1568" s="869"/>
      <c r="D1568" s="1119"/>
      <c r="E1568" s="883"/>
      <c r="F1568" s="881"/>
      <c r="G1568" s="85" t="s">
        <v>1866</v>
      </c>
      <c r="H1568" s="85">
        <f>SUM(H1580,H1583,H1587,H1591,H1596,H1600,H1604,H1607,H1611,H1618,H1621,H1623,H1625,H1627,H1629,H1631,H1633,H1637,H1648,H1651,H1653,H1655,H1658,H1660,H1663,H1665,H1667,H1673,H1677)</f>
        <v>0</v>
      </c>
      <c r="I1568" s="85">
        <f>SUM(I1580,I1583,I1587,I1591,I1596,I1600,I1604,I1607,I1611,I1618,I1621,I1623,I1625,I1627,I1629,I1631,I1633,I1637,I1648,I1651,I1653,I1655,I1658,I1660,I1663,I1665,I1667,I1673,I1677)</f>
        <v>1769.5</v>
      </c>
      <c r="J1568" s="85">
        <f>SUM(J1580,J1583,J1587,J1591,J1596,J1600,J1604,J1607,J1611,J1618,J1621,J1623,J1625,J1627,J1629,J1631,J1633,J1637,J1648,J1651,J1653,J1655,J1658,J1660,J1663,J1665,J1667,J1673,J1677)</f>
        <v>1771.6</v>
      </c>
      <c r="K1568" s="85">
        <f>SUM(K1580,K1583,K1587,K1591,K1596,K1600,K1604,K1607,K1611,K1618,K1621,K1623,K1625,K1627,K1629,K1631,K1633,K1637,K1648,K1651,K1653,K1655,K1658,K1660,K1663,K1665,K1667,K1673,K1677)</f>
        <v>1771.6100000000001</v>
      </c>
      <c r="L1568" s="179"/>
      <c r="M1568" s="1028"/>
      <c r="N1568" s="1028"/>
      <c r="O1568" s="1024"/>
      <c r="P1568" s="1106"/>
    </row>
    <row r="1569" spans="1:16" ht="22.5">
      <c r="A1569" s="869">
        <v>9</v>
      </c>
      <c r="B1569" s="882"/>
      <c r="C1569" s="869"/>
      <c r="D1569" s="1119"/>
      <c r="E1569" s="883"/>
      <c r="F1569" s="881"/>
      <c r="G1569" s="85" t="s">
        <v>1867</v>
      </c>
      <c r="H1569" s="85">
        <f t="shared" ref="H1569:K1570" si="350">SUM(H1615)</f>
        <v>7</v>
      </c>
      <c r="I1569" s="85">
        <f t="shared" si="350"/>
        <v>7.3</v>
      </c>
      <c r="J1569" s="85">
        <f t="shared" si="350"/>
        <v>7.3</v>
      </c>
      <c r="K1569" s="85">
        <f t="shared" si="350"/>
        <v>7.3</v>
      </c>
      <c r="L1569" s="179"/>
      <c r="M1569" s="1028"/>
      <c r="N1569" s="1028"/>
      <c r="O1569" s="1024"/>
      <c r="P1569" s="1106"/>
    </row>
    <row r="1570" spans="1:16" ht="22.5">
      <c r="A1570" s="869">
        <v>9</v>
      </c>
      <c r="B1570" s="882"/>
      <c r="C1570" s="869"/>
      <c r="D1570" s="1119"/>
      <c r="E1570" s="883"/>
      <c r="F1570" s="881"/>
      <c r="G1570" s="85" t="s">
        <v>1868</v>
      </c>
      <c r="H1570" s="85">
        <f t="shared" si="350"/>
        <v>7</v>
      </c>
      <c r="I1570" s="85">
        <f t="shared" si="350"/>
        <v>7.3</v>
      </c>
      <c r="J1570" s="85">
        <f t="shared" si="350"/>
        <v>7.3</v>
      </c>
      <c r="K1570" s="85">
        <f t="shared" si="350"/>
        <v>7.3</v>
      </c>
      <c r="L1570" s="179"/>
      <c r="M1570" s="1028"/>
      <c r="N1570" s="1028"/>
      <c r="O1570" s="1024"/>
      <c r="P1570" s="1106"/>
    </row>
    <row r="1571" spans="1:16" ht="22.5">
      <c r="A1571" s="869">
        <v>9</v>
      </c>
      <c r="B1571" s="882"/>
      <c r="C1571" s="869"/>
      <c r="D1571" s="1119"/>
      <c r="E1571" s="883"/>
      <c r="F1571" s="881"/>
      <c r="G1571" s="85" t="s">
        <v>1869</v>
      </c>
      <c r="H1571" s="85">
        <f t="shared" ref="H1571:K1571" si="351">H1688+H1693+H1682+H1645</f>
        <v>0.7</v>
      </c>
      <c r="I1571" s="85">
        <f t="shared" si="351"/>
        <v>0</v>
      </c>
      <c r="J1571" s="85">
        <f t="shared" si="351"/>
        <v>0</v>
      </c>
      <c r="K1571" s="85">
        <f t="shared" si="351"/>
        <v>0</v>
      </c>
      <c r="L1571" s="179"/>
      <c r="M1571" s="1028"/>
      <c r="N1571" s="1028"/>
      <c r="O1571" s="1024"/>
      <c r="P1571" s="1106"/>
    </row>
    <row r="1572" spans="1:16" ht="33.75">
      <c r="A1572" s="869">
        <v>9</v>
      </c>
      <c r="B1572" s="882"/>
      <c r="C1572" s="869"/>
      <c r="D1572" s="1119"/>
      <c r="E1572" s="883"/>
      <c r="F1572" s="881"/>
      <c r="G1572" s="85" t="s">
        <v>1870</v>
      </c>
      <c r="H1572" s="85"/>
      <c r="I1572" s="85"/>
      <c r="J1572" s="85"/>
      <c r="K1572" s="85"/>
      <c r="L1572" s="179"/>
      <c r="M1572" s="1028"/>
      <c r="N1572" s="1028"/>
      <c r="O1572" s="1024"/>
      <c r="P1572" s="1106"/>
    </row>
    <row r="1573" spans="1:16" ht="22.5">
      <c r="A1573" s="869">
        <v>9</v>
      </c>
      <c r="B1573" s="882"/>
      <c r="C1573" s="869"/>
      <c r="D1573" s="1119"/>
      <c r="E1573" s="883"/>
      <c r="F1573" s="881"/>
      <c r="G1573" s="85" t="s">
        <v>1871</v>
      </c>
      <c r="H1573" s="85"/>
      <c r="I1573" s="85"/>
      <c r="J1573" s="85"/>
      <c r="K1573" s="85"/>
      <c r="L1573" s="179"/>
      <c r="M1573" s="1028"/>
      <c r="N1573" s="1028"/>
      <c r="O1573" s="1024"/>
      <c r="P1573" s="1106"/>
    </row>
    <row r="1574" spans="1:16" ht="22.5">
      <c r="A1574" s="869">
        <v>9</v>
      </c>
      <c r="B1574" s="882"/>
      <c r="C1574" s="869"/>
      <c r="D1574" s="1119"/>
      <c r="E1574" s="883"/>
      <c r="F1574" s="881"/>
      <c r="G1574" s="85" t="s">
        <v>1872</v>
      </c>
      <c r="H1574" s="85">
        <f t="shared" ref="H1574:K1575" si="352">SUM(H1695+H1698+H1703)</f>
        <v>61.5</v>
      </c>
      <c r="I1574" s="85">
        <f t="shared" si="352"/>
        <v>62.8</v>
      </c>
      <c r="J1574" s="85">
        <f t="shared" si="352"/>
        <v>62.8</v>
      </c>
      <c r="K1574" s="85">
        <f t="shared" si="352"/>
        <v>0</v>
      </c>
      <c r="L1574" s="179"/>
      <c r="M1574" s="1028"/>
      <c r="N1574" s="1028"/>
      <c r="O1574" s="1024"/>
      <c r="P1574" s="1106"/>
    </row>
    <row r="1575" spans="1:16" ht="22.5">
      <c r="A1575" s="869">
        <v>9</v>
      </c>
      <c r="B1575" s="882"/>
      <c r="C1575" s="869"/>
      <c r="D1575" s="1119"/>
      <c r="E1575" s="883"/>
      <c r="F1575" s="881"/>
      <c r="G1575" s="85" t="s">
        <v>1873</v>
      </c>
      <c r="H1575" s="85">
        <f t="shared" si="352"/>
        <v>15.5</v>
      </c>
      <c r="I1575" s="85">
        <f t="shared" si="352"/>
        <v>15.799999999999999</v>
      </c>
      <c r="J1575" s="85">
        <f t="shared" si="352"/>
        <v>15.799999999999999</v>
      </c>
      <c r="K1575" s="85">
        <f t="shared" si="352"/>
        <v>0</v>
      </c>
      <c r="L1575" s="179"/>
      <c r="M1575" s="1028"/>
      <c r="N1575" s="1028"/>
      <c r="O1575" s="1024"/>
      <c r="P1575" s="1106"/>
    </row>
    <row r="1576" spans="1:16" ht="22.5">
      <c r="A1576" s="869">
        <v>9</v>
      </c>
      <c r="B1576" s="882"/>
      <c r="C1576" s="869"/>
      <c r="D1576" s="1119"/>
      <c r="E1576" s="883"/>
      <c r="F1576" s="881"/>
      <c r="G1576" s="85" t="s">
        <v>1874</v>
      </c>
      <c r="H1576" s="85">
        <f t="shared" ref="H1576:K1576" si="353">SUM(H1593)</f>
        <v>0.7</v>
      </c>
      <c r="I1576" s="85">
        <f t="shared" si="353"/>
        <v>0</v>
      </c>
      <c r="J1576" s="85">
        <f t="shared" si="353"/>
        <v>0</v>
      </c>
      <c r="K1576" s="85">
        <f t="shared" si="353"/>
        <v>0</v>
      </c>
      <c r="L1576" s="179"/>
      <c r="M1576" s="1028"/>
      <c r="N1576" s="1028"/>
      <c r="O1576" s="1024"/>
      <c r="P1576" s="1106"/>
    </row>
    <row r="1577" spans="1:16" ht="22.5">
      <c r="A1577" s="869">
        <v>9</v>
      </c>
      <c r="B1577" s="882"/>
      <c r="C1577" s="869"/>
      <c r="D1577" s="1119"/>
      <c r="E1577" s="883"/>
      <c r="F1577" s="883"/>
      <c r="G1577" s="85" t="s">
        <v>1875</v>
      </c>
      <c r="H1577" s="85">
        <f t="shared" ref="H1577:K1577" si="354">H1613</f>
        <v>0</v>
      </c>
      <c r="I1577" s="85">
        <f t="shared" si="354"/>
        <v>407.1</v>
      </c>
      <c r="J1577" s="85">
        <f t="shared" si="354"/>
        <v>0</v>
      </c>
      <c r="K1577" s="85">
        <f t="shared" si="354"/>
        <v>0</v>
      </c>
      <c r="L1577" s="179"/>
      <c r="M1577" s="1028"/>
      <c r="N1577" s="1028"/>
      <c r="O1577" s="1024"/>
      <c r="P1577" s="1106"/>
    </row>
    <row r="1578" spans="1:16">
      <c r="A1578" s="869">
        <v>9</v>
      </c>
      <c r="B1578" s="882"/>
      <c r="C1578" s="869"/>
      <c r="D1578" s="1119"/>
      <c r="E1578" s="883"/>
      <c r="F1578" s="881"/>
      <c r="G1578" s="502" t="s">
        <v>459</v>
      </c>
      <c r="H1578" s="503">
        <f t="shared" ref="H1578:K1578" si="355">SUM(H1565:H1577)</f>
        <v>3252.9</v>
      </c>
      <c r="I1578" s="503">
        <f t="shared" si="355"/>
        <v>4055.1000000000008</v>
      </c>
      <c r="J1578" s="503">
        <f t="shared" si="355"/>
        <v>3936.7000000000007</v>
      </c>
      <c r="K1578" s="503">
        <f t="shared" si="355"/>
        <v>4077.4100000000008</v>
      </c>
      <c r="L1578" s="179"/>
      <c r="M1578" s="1028"/>
      <c r="N1578" s="29"/>
      <c r="O1578" s="174"/>
      <c r="P1578" s="1106"/>
    </row>
    <row r="1579" spans="1:16" ht="33.75">
      <c r="A1579" s="869">
        <v>9</v>
      </c>
      <c r="B1579" s="882"/>
      <c r="C1579" s="869" t="s">
        <v>1876</v>
      </c>
      <c r="D1579" s="508" t="s">
        <v>1877</v>
      </c>
      <c r="E1579" s="414">
        <v>33</v>
      </c>
      <c r="F1579" s="881" t="s">
        <v>1878</v>
      </c>
      <c r="G1579" s="509" t="s">
        <v>195</v>
      </c>
      <c r="H1579" s="43">
        <v>1.2</v>
      </c>
      <c r="I1579" s="44"/>
      <c r="J1579" s="320"/>
      <c r="K1579" s="320"/>
      <c r="L1579" s="179"/>
      <c r="M1579" s="1028" t="s">
        <v>1879</v>
      </c>
      <c r="N1579" s="1028" t="s">
        <v>2470</v>
      </c>
      <c r="O1579" s="1024">
        <v>1254</v>
      </c>
      <c r="P1579" s="1106"/>
    </row>
    <row r="1580" spans="1:16">
      <c r="A1580" s="869">
        <v>9</v>
      </c>
      <c r="B1580" s="882"/>
      <c r="C1580" s="869"/>
      <c r="D1580" s="508"/>
      <c r="E1580" s="414">
        <v>33</v>
      </c>
      <c r="F1580" s="881" t="s">
        <v>1878</v>
      </c>
      <c r="G1580" s="193" t="s">
        <v>475</v>
      </c>
      <c r="H1580" s="43"/>
      <c r="I1580" s="44">
        <v>1.2</v>
      </c>
      <c r="J1580" s="320">
        <v>1.2</v>
      </c>
      <c r="K1580" s="320">
        <v>1.2</v>
      </c>
      <c r="L1580" s="179"/>
      <c r="M1580" s="1028"/>
      <c r="N1580" s="29"/>
      <c r="O1580" s="174"/>
      <c r="P1580" s="1106"/>
    </row>
    <row r="1581" spans="1:16">
      <c r="A1581" s="869">
        <v>9</v>
      </c>
      <c r="B1581" s="882"/>
      <c r="C1581" s="869"/>
      <c r="D1581" s="508"/>
      <c r="E1581" s="414">
        <v>33</v>
      </c>
      <c r="F1581" s="881" t="s">
        <v>1878</v>
      </c>
      <c r="G1581" s="510" t="s">
        <v>459</v>
      </c>
      <c r="H1581" s="49">
        <f>SUM(H1579,H1580)</f>
        <v>1.2</v>
      </c>
      <c r="I1581" s="49">
        <f t="shared" ref="I1581:K1581" si="356">SUM(I1579,I1580)</f>
        <v>1.2</v>
      </c>
      <c r="J1581" s="49">
        <f t="shared" si="356"/>
        <v>1.2</v>
      </c>
      <c r="K1581" s="49">
        <f t="shared" si="356"/>
        <v>1.2</v>
      </c>
      <c r="L1581" s="179"/>
      <c r="M1581" s="1028"/>
      <c r="N1581" s="29"/>
      <c r="O1581" s="174"/>
      <c r="P1581" s="1106"/>
    </row>
    <row r="1582" spans="1:16" ht="22.5">
      <c r="A1582" s="869">
        <v>9</v>
      </c>
      <c r="B1582" s="882"/>
      <c r="C1582" s="869" t="s">
        <v>1880</v>
      </c>
      <c r="D1582" s="508" t="s">
        <v>1881</v>
      </c>
      <c r="E1582" s="414">
        <v>3</v>
      </c>
      <c r="F1582" s="881" t="s">
        <v>1882</v>
      </c>
      <c r="G1582" s="509" t="s">
        <v>195</v>
      </c>
      <c r="H1582" s="43">
        <v>17.8</v>
      </c>
      <c r="I1582" s="44"/>
      <c r="J1582" s="320"/>
      <c r="K1582" s="320"/>
      <c r="L1582" s="179"/>
      <c r="M1582" s="1028" t="s">
        <v>1883</v>
      </c>
      <c r="N1582" s="1028" t="s">
        <v>2471</v>
      </c>
      <c r="O1582" s="1024">
        <v>1</v>
      </c>
      <c r="P1582" s="1106"/>
    </row>
    <row r="1583" spans="1:16">
      <c r="A1583" s="869">
        <v>9</v>
      </c>
      <c r="B1583" s="882"/>
      <c r="C1583" s="869"/>
      <c r="D1583" s="508"/>
      <c r="E1583" s="414">
        <v>3</v>
      </c>
      <c r="F1583" s="881" t="s">
        <v>1882</v>
      </c>
      <c r="G1583" s="193" t="s">
        <v>475</v>
      </c>
      <c r="H1583" s="43"/>
      <c r="I1583" s="44">
        <f>24.7+0.1</f>
        <v>24.8</v>
      </c>
      <c r="J1583" s="320">
        <v>24.7</v>
      </c>
      <c r="K1583" s="320">
        <v>24.7</v>
      </c>
      <c r="L1583" s="179"/>
      <c r="M1583" s="1028"/>
      <c r="N1583" s="29"/>
      <c r="O1583" s="174"/>
      <c r="P1583" s="1106"/>
    </row>
    <row r="1584" spans="1:16" ht="22.5">
      <c r="A1584" s="869">
        <v>9</v>
      </c>
      <c r="B1584" s="882"/>
      <c r="C1584" s="869"/>
      <c r="D1584" s="508"/>
      <c r="E1584" s="414">
        <v>3</v>
      </c>
      <c r="F1584" s="881" t="s">
        <v>1882</v>
      </c>
      <c r="G1584" s="193" t="s">
        <v>193</v>
      </c>
      <c r="H1584" s="43">
        <v>39.700000000000003</v>
      </c>
      <c r="I1584" s="44">
        <v>46.4</v>
      </c>
      <c r="J1584" s="320">
        <v>60</v>
      </c>
      <c r="K1584" s="320">
        <v>66.8</v>
      </c>
      <c r="L1584" s="179"/>
      <c r="M1584" s="1028" t="s">
        <v>1883</v>
      </c>
      <c r="N1584" s="1028" t="s">
        <v>2471</v>
      </c>
      <c r="O1584" s="1024">
        <v>1</v>
      </c>
      <c r="P1584" s="1107"/>
    </row>
    <row r="1585" spans="1:16">
      <c r="A1585" s="869">
        <v>9</v>
      </c>
      <c r="B1585" s="882"/>
      <c r="C1585" s="869"/>
      <c r="D1585" s="508"/>
      <c r="E1585" s="414">
        <v>3</v>
      </c>
      <c r="F1585" s="881" t="s">
        <v>1882</v>
      </c>
      <c r="G1585" s="510" t="s">
        <v>459</v>
      </c>
      <c r="H1585" s="49">
        <f>SUM(H1582+H1584+H1583)</f>
        <v>57.5</v>
      </c>
      <c r="I1585" s="49">
        <f t="shared" ref="I1585:K1585" si="357">SUM(I1582+I1584+I1583)</f>
        <v>71.2</v>
      </c>
      <c r="J1585" s="49">
        <f t="shared" si="357"/>
        <v>84.7</v>
      </c>
      <c r="K1585" s="49">
        <f t="shared" si="357"/>
        <v>91.5</v>
      </c>
      <c r="L1585" s="179"/>
      <c r="M1585" s="1028"/>
      <c r="N1585" s="29"/>
      <c r="O1585" s="174"/>
      <c r="P1585" s="1106"/>
    </row>
    <row r="1586" spans="1:16">
      <c r="A1586" s="869">
        <v>9</v>
      </c>
      <c r="B1586" s="882"/>
      <c r="C1586" s="869" t="s">
        <v>1884</v>
      </c>
      <c r="D1586" s="508" t="s">
        <v>1885</v>
      </c>
      <c r="E1586" s="414">
        <v>16</v>
      </c>
      <c r="F1586" s="881" t="s">
        <v>1886</v>
      </c>
      <c r="G1586" s="509" t="s">
        <v>195</v>
      </c>
      <c r="H1586" s="43">
        <v>31.9</v>
      </c>
      <c r="I1586" s="44"/>
      <c r="J1586" s="320"/>
      <c r="K1586" s="320"/>
      <c r="L1586" s="179"/>
      <c r="M1586" s="1028" t="s">
        <v>1887</v>
      </c>
      <c r="N1586" s="1028" t="s">
        <v>2471</v>
      </c>
      <c r="O1586" s="1024">
        <v>1</v>
      </c>
      <c r="P1586" s="1106"/>
    </row>
    <row r="1587" spans="1:16">
      <c r="A1587" s="869">
        <v>9</v>
      </c>
      <c r="B1587" s="882"/>
      <c r="C1587" s="869"/>
      <c r="D1587" s="508"/>
      <c r="E1587" s="414">
        <v>16</v>
      </c>
      <c r="F1587" s="881" t="s">
        <v>1886</v>
      </c>
      <c r="G1587" s="193" t="s">
        <v>475</v>
      </c>
      <c r="H1587" s="43"/>
      <c r="I1587" s="44">
        <v>22.9</v>
      </c>
      <c r="J1587" s="320">
        <v>22.9</v>
      </c>
      <c r="K1587" s="320">
        <v>22.9</v>
      </c>
      <c r="L1587" s="179"/>
      <c r="M1587" s="1028"/>
      <c r="N1587" s="29"/>
      <c r="O1587" s="174"/>
      <c r="P1587" s="1106"/>
    </row>
    <row r="1588" spans="1:16">
      <c r="A1588" s="869">
        <v>9</v>
      </c>
      <c r="B1588" s="882"/>
      <c r="C1588" s="869"/>
      <c r="D1588" s="508"/>
      <c r="E1588" s="414">
        <v>16</v>
      </c>
      <c r="F1588" s="881" t="s">
        <v>1886</v>
      </c>
      <c r="G1588" s="193" t="s">
        <v>193</v>
      </c>
      <c r="H1588" s="43">
        <v>1.2</v>
      </c>
      <c r="I1588" s="44">
        <v>15.4</v>
      </c>
      <c r="J1588" s="320">
        <v>12.2</v>
      </c>
      <c r="K1588" s="320">
        <v>15.8</v>
      </c>
      <c r="L1588" s="179"/>
      <c r="M1588" s="1028"/>
      <c r="N1588" s="29"/>
      <c r="O1588" s="174"/>
      <c r="P1588" s="1106"/>
    </row>
    <row r="1589" spans="1:16">
      <c r="A1589" s="869">
        <v>9</v>
      </c>
      <c r="B1589" s="882"/>
      <c r="C1589" s="869"/>
      <c r="D1589" s="508"/>
      <c r="E1589" s="414">
        <v>16</v>
      </c>
      <c r="F1589" s="881" t="s">
        <v>1886</v>
      </c>
      <c r="G1589" s="510" t="s">
        <v>459</v>
      </c>
      <c r="H1589" s="49">
        <f>SUM(H1586+H1588+H1587)</f>
        <v>33.1</v>
      </c>
      <c r="I1589" s="49">
        <f t="shared" ref="I1589:K1589" si="358">SUM(I1586+I1588+I1587)</f>
        <v>38.299999999999997</v>
      </c>
      <c r="J1589" s="49">
        <f t="shared" si="358"/>
        <v>35.099999999999994</v>
      </c>
      <c r="K1589" s="49">
        <f t="shared" si="358"/>
        <v>38.700000000000003</v>
      </c>
      <c r="L1589" s="179"/>
      <c r="M1589" s="1028"/>
      <c r="N1589" s="29"/>
      <c r="O1589" s="174"/>
      <c r="P1589" s="1106"/>
    </row>
    <row r="1590" spans="1:16" ht="21" customHeight="1">
      <c r="A1590" s="869">
        <v>9</v>
      </c>
      <c r="B1590" s="882"/>
      <c r="C1590" s="869" t="s">
        <v>1888</v>
      </c>
      <c r="D1590" s="508" t="s">
        <v>1889</v>
      </c>
      <c r="E1590" s="414">
        <v>3</v>
      </c>
      <c r="F1590" s="881" t="s">
        <v>1890</v>
      </c>
      <c r="G1590" s="509" t="s">
        <v>195</v>
      </c>
      <c r="H1590" s="43">
        <v>9</v>
      </c>
      <c r="I1590" s="44"/>
      <c r="J1590" s="320"/>
      <c r="K1590" s="320"/>
      <c r="L1590" s="179"/>
      <c r="M1590" s="1028"/>
      <c r="N1590" s="1028"/>
      <c r="O1590" s="1024"/>
      <c r="P1590" s="1106"/>
    </row>
    <row r="1591" spans="1:16">
      <c r="A1591" s="869">
        <v>9</v>
      </c>
      <c r="B1591" s="882"/>
      <c r="C1591" s="869"/>
      <c r="D1591" s="508"/>
      <c r="E1591" s="414">
        <v>3</v>
      </c>
      <c r="F1591" s="881" t="s">
        <v>1890</v>
      </c>
      <c r="G1591" s="193" t="s">
        <v>475</v>
      </c>
      <c r="H1591" s="43"/>
      <c r="I1591" s="44">
        <v>9</v>
      </c>
      <c r="J1591" s="320">
        <v>9</v>
      </c>
      <c r="K1591" s="320">
        <v>9</v>
      </c>
      <c r="L1591" s="179"/>
      <c r="M1591" s="1028"/>
      <c r="N1591" s="29"/>
      <c r="O1591" s="174"/>
      <c r="P1591" s="1106"/>
    </row>
    <row r="1592" spans="1:16">
      <c r="A1592" s="869">
        <v>9</v>
      </c>
      <c r="B1592" s="882"/>
      <c r="C1592" s="869"/>
      <c r="D1592" s="508"/>
      <c r="E1592" s="414">
        <v>3</v>
      </c>
      <c r="F1592" s="881" t="s">
        <v>1890</v>
      </c>
      <c r="G1592" s="193" t="s">
        <v>193</v>
      </c>
      <c r="H1592" s="43">
        <v>29</v>
      </c>
      <c r="I1592" s="44">
        <v>41.4</v>
      </c>
      <c r="J1592" s="320">
        <v>46</v>
      </c>
      <c r="K1592" s="320">
        <v>50.9</v>
      </c>
      <c r="L1592" s="179"/>
      <c r="M1592" s="1028" t="s">
        <v>1891</v>
      </c>
      <c r="N1592" s="1028" t="s">
        <v>2471</v>
      </c>
      <c r="O1592" s="1024">
        <v>1</v>
      </c>
      <c r="P1592" s="1106"/>
    </row>
    <row r="1593" spans="1:16">
      <c r="A1593" s="869">
        <v>9</v>
      </c>
      <c r="B1593" s="882"/>
      <c r="C1593" s="869"/>
      <c r="D1593" s="508"/>
      <c r="E1593" s="414">
        <v>3</v>
      </c>
      <c r="F1593" s="881" t="s">
        <v>1890</v>
      </c>
      <c r="G1593" s="509" t="s">
        <v>461</v>
      </c>
      <c r="H1593" s="43">
        <f>0.7</f>
        <v>0.7</v>
      </c>
      <c r="I1593" s="44"/>
      <c r="J1593" s="320"/>
      <c r="K1593" s="320"/>
      <c r="L1593" s="179"/>
      <c r="M1593" s="1028"/>
      <c r="N1593" s="29"/>
      <c r="O1593" s="174"/>
      <c r="P1593" s="1106"/>
    </row>
    <row r="1594" spans="1:16">
      <c r="A1594" s="869">
        <v>9</v>
      </c>
      <c r="B1594" s="882"/>
      <c r="C1594" s="869"/>
      <c r="D1594" s="508"/>
      <c r="E1594" s="414">
        <v>3</v>
      </c>
      <c r="F1594" s="881" t="s">
        <v>1890</v>
      </c>
      <c r="G1594" s="510" t="s">
        <v>459</v>
      </c>
      <c r="H1594" s="49">
        <f>SUM(H1590+H1592+H1593+H1591)</f>
        <v>38.700000000000003</v>
      </c>
      <c r="I1594" s="49">
        <f t="shared" ref="I1594:K1594" si="359">SUM(I1590+I1592+I1593+I1591)</f>
        <v>50.4</v>
      </c>
      <c r="J1594" s="49">
        <f t="shared" si="359"/>
        <v>55</v>
      </c>
      <c r="K1594" s="49">
        <f t="shared" si="359"/>
        <v>59.9</v>
      </c>
      <c r="L1594" s="179"/>
      <c r="M1594" s="1028"/>
      <c r="N1594" s="29"/>
      <c r="O1594" s="174"/>
      <c r="P1594" s="1106"/>
    </row>
    <row r="1595" spans="1:16">
      <c r="A1595" s="869">
        <v>9</v>
      </c>
      <c r="B1595" s="882"/>
      <c r="C1595" s="869" t="s">
        <v>1892</v>
      </c>
      <c r="D1595" s="508" t="s">
        <v>1893</v>
      </c>
      <c r="E1595" s="414">
        <v>33</v>
      </c>
      <c r="F1595" s="881" t="s">
        <v>1894</v>
      </c>
      <c r="G1595" s="509" t="s">
        <v>195</v>
      </c>
      <c r="H1595" s="43">
        <v>34.200000000000003</v>
      </c>
      <c r="I1595" s="44"/>
      <c r="J1595" s="320"/>
      <c r="K1595" s="320"/>
      <c r="L1595" s="179"/>
      <c r="M1595" s="1028"/>
      <c r="N1595" s="1028"/>
      <c r="O1595" s="1024"/>
      <c r="P1595" s="1106"/>
    </row>
    <row r="1596" spans="1:16">
      <c r="A1596" s="869">
        <v>9</v>
      </c>
      <c r="B1596" s="882"/>
      <c r="C1596" s="869"/>
      <c r="D1596" s="508"/>
      <c r="E1596" s="414">
        <v>33</v>
      </c>
      <c r="F1596" s="881" t="s">
        <v>1894</v>
      </c>
      <c r="G1596" s="193" t="s">
        <v>475</v>
      </c>
      <c r="H1596" s="43"/>
      <c r="I1596" s="44">
        <v>35.9</v>
      </c>
      <c r="J1596" s="320">
        <v>35.9</v>
      </c>
      <c r="K1596" s="320">
        <v>35.9</v>
      </c>
      <c r="L1596" s="179"/>
      <c r="M1596" s="1028"/>
      <c r="N1596" s="29"/>
      <c r="O1596" s="174"/>
      <c r="P1596" s="1106"/>
    </row>
    <row r="1597" spans="1:16" ht="56.25">
      <c r="A1597" s="869">
        <v>9</v>
      </c>
      <c r="B1597" s="882"/>
      <c r="C1597" s="869"/>
      <c r="D1597" s="508"/>
      <c r="E1597" s="414">
        <v>33</v>
      </c>
      <c r="F1597" s="881" t="s">
        <v>1894</v>
      </c>
      <c r="G1597" s="193" t="s">
        <v>193</v>
      </c>
      <c r="H1597" s="43">
        <v>89.2</v>
      </c>
      <c r="I1597" s="44">
        <v>116.9</v>
      </c>
      <c r="J1597" s="320">
        <v>131.9</v>
      </c>
      <c r="K1597" s="320">
        <v>146.9</v>
      </c>
      <c r="L1597" s="179"/>
      <c r="M1597" s="1028" t="s">
        <v>1895</v>
      </c>
      <c r="N1597" s="1028" t="s">
        <v>2472</v>
      </c>
      <c r="O1597" s="1024">
        <v>65</v>
      </c>
      <c r="P1597" s="1106"/>
    </row>
    <row r="1598" spans="1:16">
      <c r="A1598" s="869">
        <v>9</v>
      </c>
      <c r="B1598" s="882"/>
      <c r="C1598" s="869"/>
      <c r="D1598" s="508"/>
      <c r="E1598" s="414">
        <v>33</v>
      </c>
      <c r="F1598" s="881" t="s">
        <v>1894</v>
      </c>
      <c r="G1598" s="510" t="s">
        <v>459</v>
      </c>
      <c r="H1598" s="49">
        <f>SUM(H1595+H1597+H1596)</f>
        <v>123.4</v>
      </c>
      <c r="I1598" s="49">
        <f t="shared" ref="I1598:K1598" si="360">SUM(I1595+I1597+I1596)</f>
        <v>152.80000000000001</v>
      </c>
      <c r="J1598" s="49">
        <f t="shared" si="360"/>
        <v>167.8</v>
      </c>
      <c r="K1598" s="49">
        <f t="shared" si="360"/>
        <v>182.8</v>
      </c>
      <c r="L1598" s="179"/>
      <c r="M1598" s="1028"/>
      <c r="N1598" s="29"/>
      <c r="O1598" s="174"/>
      <c r="P1598" s="1106"/>
    </row>
    <row r="1599" spans="1:16" ht="22.5">
      <c r="A1599" s="869">
        <v>9</v>
      </c>
      <c r="B1599" s="882"/>
      <c r="C1599" s="869" t="s">
        <v>1896</v>
      </c>
      <c r="D1599" s="508" t="s">
        <v>1897</v>
      </c>
      <c r="E1599" s="414">
        <v>36</v>
      </c>
      <c r="F1599" s="881" t="s">
        <v>1898</v>
      </c>
      <c r="G1599" s="509" t="s">
        <v>195</v>
      </c>
      <c r="H1599" s="43">
        <v>65.8</v>
      </c>
      <c r="I1599" s="44"/>
      <c r="J1599" s="320"/>
      <c r="K1599" s="320"/>
      <c r="L1599" s="179"/>
      <c r="M1599" s="1028"/>
      <c r="N1599" s="1028"/>
      <c r="O1599" s="1024"/>
      <c r="P1599" s="1106"/>
    </row>
    <row r="1600" spans="1:16">
      <c r="A1600" s="869">
        <v>9</v>
      </c>
      <c r="B1600" s="882"/>
      <c r="C1600" s="869"/>
      <c r="D1600" s="508"/>
      <c r="E1600" s="414">
        <v>36</v>
      </c>
      <c r="F1600" s="881" t="s">
        <v>1898</v>
      </c>
      <c r="G1600" s="193" t="s">
        <v>475</v>
      </c>
      <c r="H1600" s="43"/>
      <c r="I1600" s="44">
        <v>66.5</v>
      </c>
      <c r="J1600" s="320">
        <v>66.5</v>
      </c>
      <c r="K1600" s="320">
        <v>66.5</v>
      </c>
      <c r="L1600" s="179"/>
      <c r="M1600" s="1028"/>
      <c r="N1600" s="29"/>
      <c r="O1600" s="174"/>
      <c r="P1600" s="1106"/>
    </row>
    <row r="1601" spans="1:16" ht="22.5">
      <c r="A1601" s="869">
        <v>9</v>
      </c>
      <c r="B1601" s="882"/>
      <c r="C1601" s="869"/>
      <c r="D1601" s="508"/>
      <c r="E1601" s="414">
        <v>36</v>
      </c>
      <c r="F1601" s="881" t="s">
        <v>1898</v>
      </c>
      <c r="G1601" s="193" t="s">
        <v>193</v>
      </c>
      <c r="H1601" s="43">
        <v>45.5</v>
      </c>
      <c r="I1601" s="44">
        <v>50.5</v>
      </c>
      <c r="J1601" s="320">
        <v>61.7</v>
      </c>
      <c r="K1601" s="320">
        <v>72.900000000000006</v>
      </c>
      <c r="L1601" s="179"/>
      <c r="M1601" s="1028" t="s">
        <v>1899</v>
      </c>
      <c r="N1601" s="1028" t="s">
        <v>2471</v>
      </c>
      <c r="O1601" s="1024">
        <v>1</v>
      </c>
      <c r="P1601" s="1106"/>
    </row>
    <row r="1602" spans="1:16">
      <c r="A1602" s="869">
        <v>9</v>
      </c>
      <c r="B1602" s="882"/>
      <c r="C1602" s="869"/>
      <c r="D1602" s="508"/>
      <c r="E1602" s="414">
        <v>36</v>
      </c>
      <c r="F1602" s="881" t="s">
        <v>1898</v>
      </c>
      <c r="G1602" s="510" t="s">
        <v>459</v>
      </c>
      <c r="H1602" s="49">
        <f>SUM(H1599+H1601+H1600)</f>
        <v>111.3</v>
      </c>
      <c r="I1602" s="49">
        <f t="shared" ref="I1602:K1602" si="361">SUM(I1599+I1601+I1600)</f>
        <v>117</v>
      </c>
      <c r="J1602" s="49">
        <f t="shared" si="361"/>
        <v>128.19999999999999</v>
      </c>
      <c r="K1602" s="49">
        <f t="shared" si="361"/>
        <v>139.4</v>
      </c>
      <c r="L1602" s="179"/>
      <c r="M1602" s="1028"/>
      <c r="N1602" s="29"/>
      <c r="O1602" s="174"/>
      <c r="P1602" s="1106"/>
    </row>
    <row r="1603" spans="1:16" ht="45">
      <c r="A1603" s="869">
        <v>9</v>
      </c>
      <c r="B1603" s="882"/>
      <c r="C1603" s="869" t="s">
        <v>1900</v>
      </c>
      <c r="D1603" s="508" t="s">
        <v>1901</v>
      </c>
      <c r="E1603" s="193">
        <v>12</v>
      </c>
      <c r="F1603" s="869" t="s">
        <v>1902</v>
      </c>
      <c r="G1603" s="509" t="s">
        <v>195</v>
      </c>
      <c r="H1603" s="43">
        <v>10.1</v>
      </c>
      <c r="I1603" s="44"/>
      <c r="J1603" s="320"/>
      <c r="K1603" s="320"/>
      <c r="L1603" s="179"/>
      <c r="M1603" s="1028" t="s">
        <v>1903</v>
      </c>
      <c r="N1603" s="1028" t="s">
        <v>2473</v>
      </c>
      <c r="O1603" s="1024">
        <v>159</v>
      </c>
      <c r="P1603" s="1106"/>
    </row>
    <row r="1604" spans="1:16">
      <c r="A1604" s="869">
        <v>9</v>
      </c>
      <c r="B1604" s="882"/>
      <c r="C1604" s="869"/>
      <c r="D1604" s="508"/>
      <c r="E1604" s="193">
        <v>12</v>
      </c>
      <c r="F1604" s="869" t="s">
        <v>1902</v>
      </c>
      <c r="G1604" s="193" t="s">
        <v>475</v>
      </c>
      <c r="H1604" s="43"/>
      <c r="I1604" s="44">
        <v>5.9</v>
      </c>
      <c r="J1604" s="320">
        <v>5.9</v>
      </c>
      <c r="K1604" s="320">
        <v>5.9</v>
      </c>
      <c r="L1604" s="179"/>
      <c r="M1604" s="1028"/>
      <c r="N1604" s="29"/>
      <c r="O1604" s="174"/>
      <c r="P1604" s="1106"/>
    </row>
    <row r="1605" spans="1:16">
      <c r="A1605" s="869">
        <v>9</v>
      </c>
      <c r="B1605" s="882"/>
      <c r="C1605" s="869"/>
      <c r="D1605" s="508"/>
      <c r="E1605" s="414">
        <v>12</v>
      </c>
      <c r="F1605" s="881" t="s">
        <v>1902</v>
      </c>
      <c r="G1605" s="510" t="s">
        <v>459</v>
      </c>
      <c r="H1605" s="49">
        <f>SUM(H1603,H1604)</f>
        <v>10.1</v>
      </c>
      <c r="I1605" s="49">
        <f t="shared" ref="I1605:K1605" si="362">SUM(I1603,I1604)</f>
        <v>5.9</v>
      </c>
      <c r="J1605" s="49">
        <f t="shared" si="362"/>
        <v>5.9</v>
      </c>
      <c r="K1605" s="49">
        <f t="shared" si="362"/>
        <v>5.9</v>
      </c>
      <c r="L1605" s="179"/>
      <c r="M1605" s="1028"/>
      <c r="N1605" s="29"/>
      <c r="O1605" s="174"/>
      <c r="P1605" s="1106"/>
    </row>
    <row r="1606" spans="1:16">
      <c r="A1606" s="869">
        <v>9</v>
      </c>
      <c r="B1606" s="882"/>
      <c r="C1606" s="869" t="s">
        <v>1904</v>
      </c>
      <c r="D1606" s="508" t="s">
        <v>1905</v>
      </c>
      <c r="E1606" s="414">
        <v>13</v>
      </c>
      <c r="F1606" s="881" t="s">
        <v>1906</v>
      </c>
      <c r="G1606" s="509" t="s">
        <v>195</v>
      </c>
      <c r="H1606" s="43">
        <f>49.7-17.2+2.9</f>
        <v>35.4</v>
      </c>
      <c r="I1606" s="44"/>
      <c r="J1606" s="320"/>
      <c r="K1606" s="320"/>
      <c r="L1606" s="179"/>
      <c r="M1606" s="1028" t="s">
        <v>2474</v>
      </c>
      <c r="N1606" s="1028" t="s">
        <v>2471</v>
      </c>
      <c r="O1606" s="1024">
        <v>1</v>
      </c>
      <c r="P1606" s="1106"/>
    </row>
    <row r="1607" spans="1:16">
      <c r="A1607" s="869">
        <v>9</v>
      </c>
      <c r="B1607" s="882"/>
      <c r="C1607" s="869"/>
      <c r="D1607" s="508"/>
      <c r="E1607" s="414">
        <v>13</v>
      </c>
      <c r="F1607" s="881" t="s">
        <v>1906</v>
      </c>
      <c r="G1607" s="193" t="s">
        <v>475</v>
      </c>
      <c r="H1607" s="43"/>
      <c r="I1607" s="44">
        <v>85.9</v>
      </c>
      <c r="J1607" s="320">
        <v>85.9</v>
      </c>
      <c r="K1607" s="320">
        <v>85.9</v>
      </c>
      <c r="L1607" s="179"/>
      <c r="M1607" s="1028"/>
      <c r="N1607" s="29"/>
      <c r="O1607" s="174"/>
      <c r="P1607" s="1106"/>
    </row>
    <row r="1608" spans="1:16">
      <c r="A1608" s="869">
        <v>9</v>
      </c>
      <c r="B1608" s="882"/>
      <c r="C1608" s="869"/>
      <c r="D1608" s="508"/>
      <c r="E1608" s="414">
        <v>13</v>
      </c>
      <c r="F1608" s="881" t="s">
        <v>1906</v>
      </c>
      <c r="G1608" s="193" t="s">
        <v>193</v>
      </c>
      <c r="H1608" s="43">
        <v>16.600000000000001</v>
      </c>
      <c r="I1608" s="44">
        <v>27.6</v>
      </c>
      <c r="J1608" s="320">
        <v>22.2</v>
      </c>
      <c r="K1608" s="320">
        <v>26.7</v>
      </c>
      <c r="L1608" s="179"/>
      <c r="M1608" s="1028"/>
      <c r="N1608" s="29"/>
      <c r="O1608" s="174"/>
      <c r="P1608" s="1106"/>
    </row>
    <row r="1609" spans="1:16">
      <c r="A1609" s="869">
        <v>9</v>
      </c>
      <c r="B1609" s="882"/>
      <c r="C1609" s="869"/>
      <c r="D1609" s="508"/>
      <c r="E1609" s="414">
        <v>13</v>
      </c>
      <c r="F1609" s="881" t="s">
        <v>1906</v>
      </c>
      <c r="G1609" s="510" t="s">
        <v>459</v>
      </c>
      <c r="H1609" s="49">
        <f>SUM(H1606+H1608+H1607)</f>
        <v>52</v>
      </c>
      <c r="I1609" s="49">
        <f t="shared" ref="I1609:K1609" si="363">SUM(I1606+I1608+I1607)</f>
        <v>113.5</v>
      </c>
      <c r="J1609" s="49">
        <f t="shared" si="363"/>
        <v>108.10000000000001</v>
      </c>
      <c r="K1609" s="49">
        <f t="shared" si="363"/>
        <v>112.60000000000001</v>
      </c>
      <c r="L1609" s="179"/>
      <c r="M1609" s="1028"/>
      <c r="N1609" s="29"/>
      <c r="O1609" s="174"/>
      <c r="P1609" s="1106"/>
    </row>
    <row r="1610" spans="1:16" ht="22.5">
      <c r="A1610" s="869">
        <v>9</v>
      </c>
      <c r="B1610" s="882"/>
      <c r="C1610" s="869" t="s">
        <v>1907</v>
      </c>
      <c r="D1610" s="508" t="s">
        <v>1908</v>
      </c>
      <c r="E1610" s="414">
        <v>13</v>
      </c>
      <c r="F1610" s="881" t="s">
        <v>1909</v>
      </c>
      <c r="G1610" s="509" t="s">
        <v>195</v>
      </c>
      <c r="H1610" s="43">
        <f>174.9-100+1.8</f>
        <v>76.7</v>
      </c>
      <c r="I1610" s="44"/>
      <c r="J1610" s="320"/>
      <c r="K1610" s="320"/>
      <c r="L1610" s="179"/>
      <c r="M1610" s="1025" t="s">
        <v>1910</v>
      </c>
      <c r="N1610" s="1028" t="s">
        <v>2471</v>
      </c>
      <c r="O1610" s="1024">
        <v>1</v>
      </c>
      <c r="P1610" s="1106"/>
    </row>
    <row r="1611" spans="1:16">
      <c r="A1611" s="869">
        <v>9</v>
      </c>
      <c r="B1611" s="882"/>
      <c r="C1611" s="869"/>
      <c r="D1611" s="508"/>
      <c r="E1611" s="414">
        <v>13</v>
      </c>
      <c r="F1611" s="881" t="s">
        <v>1909</v>
      </c>
      <c r="G1611" s="193" t="s">
        <v>475</v>
      </c>
      <c r="H1611" s="43"/>
      <c r="I1611" s="44">
        <v>85.1</v>
      </c>
      <c r="J1611" s="320">
        <v>85.1</v>
      </c>
      <c r="K1611" s="320">
        <v>85.11</v>
      </c>
      <c r="L1611" s="179"/>
      <c r="M1611" s="1025"/>
      <c r="N1611" s="1028"/>
      <c r="O1611" s="1024"/>
      <c r="P1611" s="1106"/>
    </row>
    <row r="1612" spans="1:16" ht="22.5">
      <c r="A1612" s="869">
        <v>9</v>
      </c>
      <c r="B1612" s="882"/>
      <c r="C1612" s="869"/>
      <c r="D1612" s="508"/>
      <c r="E1612" s="414">
        <v>13</v>
      </c>
      <c r="F1612" s="881" t="s">
        <v>1909</v>
      </c>
      <c r="G1612" s="193" t="s">
        <v>193</v>
      </c>
      <c r="H1612" s="43">
        <v>53.5</v>
      </c>
      <c r="I1612" s="44">
        <v>70.099999999999994</v>
      </c>
      <c r="J1612" s="320">
        <v>43.9</v>
      </c>
      <c r="K1612" s="320">
        <v>53.9</v>
      </c>
      <c r="L1612" s="179"/>
      <c r="M1612" s="1028" t="s">
        <v>1910</v>
      </c>
      <c r="N1612" s="29"/>
      <c r="O1612" s="174"/>
      <c r="P1612" s="1107"/>
    </row>
    <row r="1613" spans="1:16">
      <c r="A1613" s="869">
        <v>9</v>
      </c>
      <c r="B1613" s="882"/>
      <c r="C1613" s="869"/>
      <c r="D1613" s="508"/>
      <c r="E1613" s="414">
        <v>13</v>
      </c>
      <c r="F1613" s="881" t="s">
        <v>1909</v>
      </c>
      <c r="G1613" s="193" t="s">
        <v>1652</v>
      </c>
      <c r="H1613" s="43"/>
      <c r="I1613" s="44">
        <v>407.1</v>
      </c>
      <c r="J1613" s="320"/>
      <c r="K1613" s="320"/>
      <c r="L1613" s="179"/>
      <c r="M1613" s="1028" t="s">
        <v>1911</v>
      </c>
      <c r="N1613" s="1028" t="s">
        <v>2475</v>
      </c>
      <c r="O1613" s="1026">
        <v>5</v>
      </c>
      <c r="P1613" s="1106"/>
    </row>
    <row r="1614" spans="1:16">
      <c r="A1614" s="869">
        <v>9</v>
      </c>
      <c r="B1614" s="882"/>
      <c r="C1614" s="869"/>
      <c r="D1614" s="508"/>
      <c r="E1614" s="414">
        <v>13</v>
      </c>
      <c r="F1614" s="881" t="s">
        <v>1909</v>
      </c>
      <c r="G1614" s="510" t="s">
        <v>459</v>
      </c>
      <c r="H1614" s="49">
        <f>SUM(H1610+H1612+H1613+H1611)</f>
        <v>130.19999999999999</v>
      </c>
      <c r="I1614" s="49">
        <f t="shared" ref="I1614:K1614" si="364">SUM(I1610+I1612+I1613+I1611)</f>
        <v>562.30000000000007</v>
      </c>
      <c r="J1614" s="49">
        <f t="shared" si="364"/>
        <v>129</v>
      </c>
      <c r="K1614" s="49">
        <f t="shared" si="364"/>
        <v>139.01</v>
      </c>
      <c r="L1614" s="179"/>
      <c r="M1614" s="1028"/>
      <c r="N1614" s="29"/>
      <c r="O1614" s="174"/>
      <c r="P1614" s="1106"/>
    </row>
    <row r="1615" spans="1:16">
      <c r="A1615" s="869">
        <v>9</v>
      </c>
      <c r="B1615" s="882"/>
      <c r="C1615" s="869" t="s">
        <v>1912</v>
      </c>
      <c r="D1615" s="508" t="s">
        <v>1913</v>
      </c>
      <c r="E1615" s="414">
        <v>32</v>
      </c>
      <c r="F1615" s="881" t="s">
        <v>1914</v>
      </c>
      <c r="G1615" s="415" t="s">
        <v>1915</v>
      </c>
      <c r="H1615" s="43">
        <v>7</v>
      </c>
      <c r="I1615" s="44">
        <v>7.3</v>
      </c>
      <c r="J1615" s="320">
        <v>7.3</v>
      </c>
      <c r="K1615" s="320">
        <v>7.3</v>
      </c>
      <c r="L1615" s="179"/>
      <c r="M1615" s="1028" t="s">
        <v>1916</v>
      </c>
      <c r="N1615" s="1028" t="s">
        <v>2476</v>
      </c>
      <c r="O1615" s="1024">
        <v>100</v>
      </c>
      <c r="P1615" s="1106"/>
    </row>
    <row r="1616" spans="1:16">
      <c r="A1616" s="869">
        <v>9</v>
      </c>
      <c r="B1616" s="882"/>
      <c r="C1616" s="869"/>
      <c r="D1616" s="508"/>
      <c r="E1616" s="414">
        <v>32</v>
      </c>
      <c r="F1616" s="881" t="s">
        <v>1914</v>
      </c>
      <c r="G1616" s="415" t="s">
        <v>1917</v>
      </c>
      <c r="H1616" s="43">
        <v>7</v>
      </c>
      <c r="I1616" s="44">
        <v>7.3</v>
      </c>
      <c r="J1616" s="320">
        <v>7.3</v>
      </c>
      <c r="K1616" s="320">
        <v>7.3</v>
      </c>
      <c r="L1616" s="179"/>
      <c r="M1616" s="1028" t="s">
        <v>1916</v>
      </c>
      <c r="N1616" s="1028" t="s">
        <v>2476</v>
      </c>
      <c r="O1616" s="1024">
        <v>100</v>
      </c>
      <c r="P1616" s="1106"/>
    </row>
    <row r="1617" spans="1:16">
      <c r="A1617" s="869">
        <v>9</v>
      </c>
      <c r="B1617" s="882"/>
      <c r="C1617" s="869"/>
      <c r="D1617" s="508"/>
      <c r="E1617" s="414">
        <v>32</v>
      </c>
      <c r="F1617" s="881" t="s">
        <v>1914</v>
      </c>
      <c r="G1617" s="509" t="s">
        <v>195</v>
      </c>
      <c r="H1617" s="43">
        <v>83.4</v>
      </c>
      <c r="I1617" s="44"/>
      <c r="J1617" s="320"/>
      <c r="K1617" s="320"/>
      <c r="L1617" s="179"/>
      <c r="M1617" s="1028" t="s">
        <v>1916</v>
      </c>
      <c r="N1617" s="1028" t="s">
        <v>2476</v>
      </c>
      <c r="O1617" s="1024">
        <v>100</v>
      </c>
      <c r="P1617" s="1106"/>
    </row>
    <row r="1618" spans="1:16">
      <c r="A1618" s="869">
        <v>9</v>
      </c>
      <c r="B1618" s="882"/>
      <c r="C1618" s="869"/>
      <c r="D1618" s="508"/>
      <c r="E1618" s="414">
        <v>32</v>
      </c>
      <c r="F1618" s="881" t="s">
        <v>1914</v>
      </c>
      <c r="G1618" s="193" t="s">
        <v>475</v>
      </c>
      <c r="H1618" s="43"/>
      <c r="I1618" s="44">
        <v>66.7</v>
      </c>
      <c r="J1618" s="320">
        <v>66.7</v>
      </c>
      <c r="K1618" s="320">
        <v>66.7</v>
      </c>
      <c r="L1618" s="179"/>
      <c r="M1618" s="1028"/>
      <c r="N1618" s="29"/>
      <c r="O1618" s="174"/>
      <c r="P1618" s="1106"/>
    </row>
    <row r="1619" spans="1:16">
      <c r="A1619" s="869">
        <v>9</v>
      </c>
      <c r="B1619" s="882"/>
      <c r="C1619" s="869"/>
      <c r="D1619" s="508"/>
      <c r="E1619" s="414">
        <v>32</v>
      </c>
      <c r="F1619" s="881" t="s">
        <v>1914</v>
      </c>
      <c r="G1619" s="193" t="s">
        <v>193</v>
      </c>
      <c r="H1619" s="43">
        <v>173.1</v>
      </c>
      <c r="I1619" s="44">
        <v>257</v>
      </c>
      <c r="J1619" s="320">
        <v>288.60000000000002</v>
      </c>
      <c r="K1619" s="320">
        <v>320.2</v>
      </c>
      <c r="L1619" s="179"/>
      <c r="M1619" s="1028" t="s">
        <v>1916</v>
      </c>
      <c r="N1619" s="1028" t="s">
        <v>2476</v>
      </c>
      <c r="O1619" s="1024">
        <v>100</v>
      </c>
      <c r="P1619" s="1106"/>
    </row>
    <row r="1620" spans="1:16">
      <c r="A1620" s="869">
        <v>9</v>
      </c>
      <c r="B1620" s="882"/>
      <c r="C1620" s="869"/>
      <c r="D1620" s="508"/>
      <c r="E1620" s="512">
        <v>19</v>
      </c>
      <c r="F1620" s="881" t="s">
        <v>1918</v>
      </c>
      <c r="G1620" s="196" t="s">
        <v>195</v>
      </c>
      <c r="H1620" s="43">
        <v>11.8</v>
      </c>
      <c r="I1620" s="44"/>
      <c r="J1620" s="320"/>
      <c r="K1620" s="320"/>
      <c r="L1620" s="179"/>
      <c r="M1620" s="30"/>
      <c r="N1620" s="29"/>
      <c r="O1620" s="174"/>
      <c r="P1620" s="1106"/>
    </row>
    <row r="1621" spans="1:16" ht="22.5">
      <c r="A1621" s="869">
        <v>9</v>
      </c>
      <c r="B1621" s="882"/>
      <c r="C1621" s="869"/>
      <c r="D1621" s="508"/>
      <c r="E1621" s="512">
        <v>19</v>
      </c>
      <c r="F1621" s="881" t="s">
        <v>1918</v>
      </c>
      <c r="G1621" s="193" t="s">
        <v>475</v>
      </c>
      <c r="H1621" s="43"/>
      <c r="I1621" s="44">
        <v>11.9</v>
      </c>
      <c r="J1621" s="320">
        <v>11.9</v>
      </c>
      <c r="K1621" s="320">
        <v>11.9</v>
      </c>
      <c r="L1621" s="179"/>
      <c r="M1621" s="1028" t="s">
        <v>1919</v>
      </c>
      <c r="N1621" s="1028" t="s">
        <v>2477</v>
      </c>
      <c r="O1621" s="1024">
        <v>165</v>
      </c>
      <c r="P1621" s="1106"/>
    </row>
    <row r="1622" spans="1:16">
      <c r="A1622" s="869">
        <v>9</v>
      </c>
      <c r="B1622" s="882"/>
      <c r="C1622" s="869"/>
      <c r="D1622" s="508"/>
      <c r="E1622" s="512">
        <v>21</v>
      </c>
      <c r="F1622" s="881" t="s">
        <v>1920</v>
      </c>
      <c r="G1622" s="509" t="s">
        <v>195</v>
      </c>
      <c r="H1622" s="43">
        <v>23.6</v>
      </c>
      <c r="I1622" s="44"/>
      <c r="J1622" s="320"/>
      <c r="K1622" s="320"/>
      <c r="L1622" s="179"/>
      <c r="M1622" s="1028"/>
      <c r="N1622" s="29"/>
      <c r="O1622" s="174"/>
      <c r="P1622" s="1106"/>
    </row>
    <row r="1623" spans="1:16" ht="22.5">
      <c r="A1623" s="869">
        <v>9</v>
      </c>
      <c r="B1623" s="882"/>
      <c r="C1623" s="869"/>
      <c r="D1623" s="508"/>
      <c r="E1623" s="512">
        <v>21</v>
      </c>
      <c r="F1623" s="881" t="s">
        <v>1920</v>
      </c>
      <c r="G1623" s="193" t="s">
        <v>475</v>
      </c>
      <c r="H1623" s="43"/>
      <c r="I1623" s="44">
        <v>25.5</v>
      </c>
      <c r="J1623" s="320">
        <v>25.5</v>
      </c>
      <c r="K1623" s="320">
        <v>25.5</v>
      </c>
      <c r="L1623" s="179"/>
      <c r="M1623" s="1028" t="s">
        <v>1921</v>
      </c>
      <c r="N1623" s="1028" t="s">
        <v>2477</v>
      </c>
      <c r="O1623" s="1024">
        <v>500</v>
      </c>
      <c r="P1623" s="1106"/>
    </row>
    <row r="1624" spans="1:16">
      <c r="A1624" s="869">
        <v>9</v>
      </c>
      <c r="B1624" s="882"/>
      <c r="C1624" s="869"/>
      <c r="D1624" s="508"/>
      <c r="E1624" s="512">
        <v>24</v>
      </c>
      <c r="F1624" s="881" t="s">
        <v>1922</v>
      </c>
      <c r="G1624" s="509" t="s">
        <v>195</v>
      </c>
      <c r="H1624" s="43">
        <v>25.8</v>
      </c>
      <c r="I1624" s="44"/>
      <c r="J1624" s="320"/>
      <c r="K1624" s="320"/>
      <c r="L1624" s="179"/>
      <c r="M1624" s="1028"/>
      <c r="N1624" s="29"/>
      <c r="O1624" s="174"/>
      <c r="P1624" s="1106"/>
    </row>
    <row r="1625" spans="1:16" ht="22.5">
      <c r="A1625" s="869">
        <v>9</v>
      </c>
      <c r="B1625" s="882"/>
      <c r="C1625" s="869"/>
      <c r="D1625" s="508"/>
      <c r="E1625" s="512">
        <v>24</v>
      </c>
      <c r="F1625" s="881" t="s">
        <v>1922</v>
      </c>
      <c r="G1625" s="193" t="s">
        <v>475</v>
      </c>
      <c r="H1625" s="43"/>
      <c r="I1625" s="44">
        <v>27.9</v>
      </c>
      <c r="J1625" s="320">
        <v>27.9</v>
      </c>
      <c r="K1625" s="320">
        <v>27.9</v>
      </c>
      <c r="L1625" s="179"/>
      <c r="M1625" s="1028" t="s">
        <v>1923</v>
      </c>
      <c r="N1625" s="1028" t="s">
        <v>2477</v>
      </c>
      <c r="O1625" s="1024">
        <v>395</v>
      </c>
      <c r="P1625" s="1106"/>
    </row>
    <row r="1626" spans="1:16">
      <c r="A1626" s="869">
        <v>9</v>
      </c>
      <c r="B1626" s="882"/>
      <c r="C1626" s="869"/>
      <c r="D1626" s="508"/>
      <c r="E1626" s="512">
        <v>26</v>
      </c>
      <c r="F1626" s="881" t="s">
        <v>1924</v>
      </c>
      <c r="G1626" s="509" t="s">
        <v>195</v>
      </c>
      <c r="H1626" s="43">
        <v>23.6</v>
      </c>
      <c r="I1626" s="44"/>
      <c r="J1626" s="320"/>
      <c r="K1626" s="320"/>
      <c r="L1626" s="179"/>
      <c r="M1626" s="1028"/>
      <c r="N1626" s="29"/>
      <c r="O1626" s="174"/>
      <c r="P1626" s="1106"/>
    </row>
    <row r="1627" spans="1:16" ht="22.5">
      <c r="A1627" s="869">
        <v>9</v>
      </c>
      <c r="B1627" s="882"/>
      <c r="C1627" s="869"/>
      <c r="D1627" s="508"/>
      <c r="E1627" s="512">
        <v>26</v>
      </c>
      <c r="F1627" s="881" t="s">
        <v>1924</v>
      </c>
      <c r="G1627" s="193" t="s">
        <v>475</v>
      </c>
      <c r="H1627" s="43"/>
      <c r="I1627" s="44">
        <v>23.7</v>
      </c>
      <c r="J1627" s="320">
        <v>23.7</v>
      </c>
      <c r="K1627" s="320">
        <v>23.7</v>
      </c>
      <c r="L1627" s="179"/>
      <c r="M1627" s="1028" t="s">
        <v>1925</v>
      </c>
      <c r="N1627" s="1028" t="s">
        <v>2478</v>
      </c>
      <c r="O1627" s="1024">
        <v>500</v>
      </c>
      <c r="P1627" s="1106"/>
    </row>
    <row r="1628" spans="1:16">
      <c r="A1628" s="869">
        <v>9</v>
      </c>
      <c r="B1628" s="882"/>
      <c r="C1628" s="869"/>
      <c r="D1628" s="508"/>
      <c r="E1628" s="512">
        <v>27</v>
      </c>
      <c r="F1628" s="881" t="s">
        <v>1926</v>
      </c>
      <c r="G1628" s="509" t="s">
        <v>195</v>
      </c>
      <c r="H1628" s="43">
        <v>23.9</v>
      </c>
      <c r="I1628" s="44"/>
      <c r="J1628" s="320"/>
      <c r="K1628" s="320"/>
      <c r="L1628" s="179"/>
      <c r="M1628" s="1028"/>
      <c r="N1628" s="29"/>
      <c r="O1628" s="174"/>
      <c r="P1628" s="1106"/>
    </row>
    <row r="1629" spans="1:16" ht="22.5">
      <c r="A1629" s="869">
        <v>9</v>
      </c>
      <c r="B1629" s="882"/>
      <c r="C1629" s="869"/>
      <c r="D1629" s="508"/>
      <c r="E1629" s="512">
        <v>27</v>
      </c>
      <c r="F1629" s="881" t="s">
        <v>1926</v>
      </c>
      <c r="G1629" s="193" t="s">
        <v>475</v>
      </c>
      <c r="H1629" s="43"/>
      <c r="I1629" s="44">
        <v>28.4</v>
      </c>
      <c r="J1629" s="320">
        <v>28.4</v>
      </c>
      <c r="K1629" s="320">
        <v>28.4</v>
      </c>
      <c r="L1629" s="179"/>
      <c r="M1629" s="1028" t="s">
        <v>1927</v>
      </c>
      <c r="N1629" s="1028" t="s">
        <v>2479</v>
      </c>
      <c r="O1629" s="1024">
        <v>400</v>
      </c>
      <c r="P1629" s="1106"/>
    </row>
    <row r="1630" spans="1:16">
      <c r="A1630" s="869">
        <v>9</v>
      </c>
      <c r="B1630" s="882"/>
      <c r="C1630" s="869"/>
      <c r="D1630" s="508"/>
      <c r="E1630" s="512">
        <v>28</v>
      </c>
      <c r="F1630" s="881" t="s">
        <v>1928</v>
      </c>
      <c r="G1630" s="509" t="s">
        <v>195</v>
      </c>
      <c r="H1630" s="43">
        <v>23.6</v>
      </c>
      <c r="I1630" s="44"/>
      <c r="J1630" s="320"/>
      <c r="K1630" s="320"/>
      <c r="L1630" s="179"/>
      <c r="M1630" s="1028"/>
      <c r="N1630" s="29"/>
      <c r="O1630" s="174"/>
      <c r="P1630" s="1106"/>
    </row>
    <row r="1631" spans="1:16" ht="22.5">
      <c r="A1631" s="869">
        <v>9</v>
      </c>
      <c r="B1631" s="882"/>
      <c r="C1631" s="869"/>
      <c r="D1631" s="508"/>
      <c r="E1631" s="512">
        <v>28</v>
      </c>
      <c r="F1631" s="881" t="s">
        <v>1928</v>
      </c>
      <c r="G1631" s="193" t="s">
        <v>475</v>
      </c>
      <c r="H1631" s="43"/>
      <c r="I1631" s="44">
        <v>24.2</v>
      </c>
      <c r="J1631" s="320">
        <v>24.2</v>
      </c>
      <c r="K1631" s="320">
        <v>24.2</v>
      </c>
      <c r="L1631" s="179"/>
      <c r="M1631" s="1028" t="s">
        <v>1929</v>
      </c>
      <c r="N1631" s="1028" t="s">
        <v>2480</v>
      </c>
      <c r="O1631" s="1024">
        <v>560</v>
      </c>
      <c r="P1631" s="1106"/>
    </row>
    <row r="1632" spans="1:16">
      <c r="A1632" s="869">
        <v>9</v>
      </c>
      <c r="B1632" s="882"/>
      <c r="C1632" s="869"/>
      <c r="D1632" s="508"/>
      <c r="E1632" s="512">
        <v>29</v>
      </c>
      <c r="F1632" s="881" t="s">
        <v>1930</v>
      </c>
      <c r="G1632" s="509" t="s">
        <v>195</v>
      </c>
      <c r="H1632" s="43">
        <v>23.6</v>
      </c>
      <c r="I1632" s="44"/>
      <c r="J1632" s="320"/>
      <c r="K1632" s="320"/>
      <c r="L1632" s="179"/>
      <c r="M1632" s="1028"/>
      <c r="N1632" s="29"/>
      <c r="O1632" s="174"/>
      <c r="P1632" s="1106"/>
    </row>
    <row r="1633" spans="1:16" ht="22.5">
      <c r="A1633" s="869">
        <v>9</v>
      </c>
      <c r="B1633" s="882"/>
      <c r="C1633" s="869"/>
      <c r="D1633" s="508"/>
      <c r="E1633" s="512">
        <v>29</v>
      </c>
      <c r="F1633" s="881" t="s">
        <v>1930</v>
      </c>
      <c r="G1633" s="193" t="s">
        <v>475</v>
      </c>
      <c r="H1633" s="43"/>
      <c r="I1633" s="44">
        <v>25.2</v>
      </c>
      <c r="J1633" s="320">
        <v>25.2</v>
      </c>
      <c r="K1633" s="320">
        <v>25.2</v>
      </c>
      <c r="L1633" s="179"/>
      <c r="M1633" s="1028" t="s">
        <v>1931</v>
      </c>
      <c r="N1633" s="1028" t="s">
        <v>2477</v>
      </c>
      <c r="O1633" s="1024">
        <v>594</v>
      </c>
      <c r="P1633" s="1106"/>
    </row>
    <row r="1634" spans="1:16">
      <c r="A1634" s="869">
        <v>9</v>
      </c>
      <c r="B1634" s="882"/>
      <c r="C1634" s="869"/>
      <c r="D1634" s="508"/>
      <c r="E1634" s="505"/>
      <c r="F1634" s="881"/>
      <c r="G1634" s="510" t="s">
        <v>459</v>
      </c>
      <c r="H1634" s="49">
        <f>SUM(H1615:H1633)</f>
        <v>426.40000000000009</v>
      </c>
      <c r="I1634" s="49">
        <f t="shared" ref="I1634:K1634" si="365">SUM(I1615:I1633)</f>
        <v>505.09999999999991</v>
      </c>
      <c r="J1634" s="49">
        <f t="shared" si="365"/>
        <v>536.69999999999993</v>
      </c>
      <c r="K1634" s="49">
        <f t="shared" si="365"/>
        <v>568.30000000000007</v>
      </c>
      <c r="L1634" s="179"/>
      <c r="M1634" s="1028"/>
      <c r="N1634" s="29"/>
      <c r="O1634" s="174"/>
      <c r="P1634" s="1106"/>
    </row>
    <row r="1635" spans="1:16" ht="22.5">
      <c r="A1635" s="869">
        <v>9</v>
      </c>
      <c r="B1635" s="882"/>
      <c r="C1635" s="869" t="s">
        <v>1932</v>
      </c>
      <c r="D1635" s="508" t="s">
        <v>1933</v>
      </c>
      <c r="E1635" s="414">
        <v>30</v>
      </c>
      <c r="F1635" s="881" t="s">
        <v>1934</v>
      </c>
      <c r="G1635" s="193" t="s">
        <v>193</v>
      </c>
      <c r="H1635" s="43">
        <v>57.7</v>
      </c>
      <c r="I1635" s="44">
        <f>60+4.2</f>
        <v>64.2</v>
      </c>
      <c r="J1635" s="194">
        <v>27.7</v>
      </c>
      <c r="K1635" s="194">
        <v>27.7</v>
      </c>
      <c r="L1635" s="179"/>
      <c r="M1635" s="1028" t="s">
        <v>1935</v>
      </c>
      <c r="N1635" s="1028" t="s">
        <v>2250</v>
      </c>
      <c r="O1635" s="1024">
        <v>100</v>
      </c>
      <c r="P1635" s="1108"/>
    </row>
    <row r="1636" spans="1:16">
      <c r="A1636" s="869">
        <v>9</v>
      </c>
      <c r="B1636" s="882"/>
      <c r="C1636" s="869"/>
      <c r="D1636" s="508"/>
      <c r="E1636" s="414">
        <v>30</v>
      </c>
      <c r="F1636" s="881" t="s">
        <v>1934</v>
      </c>
      <c r="G1636" s="509" t="s">
        <v>195</v>
      </c>
      <c r="H1636" s="43">
        <v>1101.9000000000001</v>
      </c>
      <c r="I1636" s="454"/>
      <c r="J1636" s="194"/>
      <c r="K1636" s="194"/>
      <c r="L1636" s="179"/>
      <c r="M1636" s="30"/>
      <c r="N1636" s="174"/>
      <c r="O1636" s="1105"/>
      <c r="P1636" s="1108"/>
    </row>
    <row r="1637" spans="1:16">
      <c r="A1637" s="869">
        <v>9</v>
      </c>
      <c r="B1637" s="882"/>
      <c r="C1637" s="869"/>
      <c r="D1637" s="508"/>
      <c r="E1637" s="414">
        <v>30</v>
      </c>
      <c r="F1637" s="881" t="s">
        <v>1934</v>
      </c>
      <c r="G1637" s="193" t="s">
        <v>475</v>
      </c>
      <c r="H1637" s="43"/>
      <c r="I1637" s="454">
        <v>1069.5</v>
      </c>
      <c r="J1637" s="194">
        <v>1075.4000000000001</v>
      </c>
      <c r="K1637" s="194">
        <v>1075.4000000000001</v>
      </c>
      <c r="L1637" s="179"/>
      <c r="M1637" s="1028" t="s">
        <v>1935</v>
      </c>
      <c r="N1637" s="1028" t="s">
        <v>2250</v>
      </c>
      <c r="O1637" s="1024">
        <v>100</v>
      </c>
      <c r="P1637" s="1108"/>
    </row>
    <row r="1638" spans="1:16">
      <c r="A1638" s="869">
        <v>9</v>
      </c>
      <c r="B1638" s="882"/>
      <c r="C1638" s="869"/>
      <c r="D1638" s="508"/>
      <c r="E1638" s="414">
        <v>30</v>
      </c>
      <c r="F1638" s="881" t="s">
        <v>1934</v>
      </c>
      <c r="G1638" s="196" t="s">
        <v>196</v>
      </c>
      <c r="H1638" s="43">
        <v>0.7</v>
      </c>
      <c r="I1638" s="44">
        <v>1</v>
      </c>
      <c r="J1638" s="320">
        <v>1</v>
      </c>
      <c r="K1638" s="320">
        <v>1</v>
      </c>
      <c r="L1638" s="179"/>
      <c r="M1638" s="1028" t="s">
        <v>1935</v>
      </c>
      <c r="N1638" s="1028" t="s">
        <v>2250</v>
      </c>
      <c r="O1638" s="1024">
        <v>100</v>
      </c>
      <c r="P1638" s="1108"/>
    </row>
    <row r="1639" spans="1:16">
      <c r="A1639" s="869">
        <v>9</v>
      </c>
      <c r="B1639" s="882"/>
      <c r="C1639" s="869"/>
      <c r="D1639" s="508"/>
      <c r="E1639" s="414">
        <v>30</v>
      </c>
      <c r="F1639" s="881" t="s">
        <v>1934</v>
      </c>
      <c r="G1639" s="510" t="s">
        <v>459</v>
      </c>
      <c r="H1639" s="49">
        <f>SUM(H1635:H1638)</f>
        <v>1160.3000000000002</v>
      </c>
      <c r="I1639" s="49">
        <f>SUM(I1635:I1638)</f>
        <v>1134.7</v>
      </c>
      <c r="J1639" s="49">
        <f>SUM(J1635:J1638)</f>
        <v>1104.1000000000001</v>
      </c>
      <c r="K1639" s="49">
        <f>SUM(K1635:K1638)</f>
        <v>1104.1000000000001</v>
      </c>
      <c r="L1639" s="179"/>
      <c r="M1639" s="1028"/>
      <c r="N1639" s="29"/>
      <c r="O1639" s="174"/>
      <c r="P1639" s="1106"/>
    </row>
    <row r="1640" spans="1:16">
      <c r="A1640" s="869">
        <v>9</v>
      </c>
      <c r="B1640" s="882"/>
      <c r="C1640" s="869" t="s">
        <v>1936</v>
      </c>
      <c r="D1640" s="508" t="s">
        <v>1937</v>
      </c>
      <c r="E1640" s="505">
        <v>7</v>
      </c>
      <c r="F1640" s="881" t="s">
        <v>1938</v>
      </c>
      <c r="G1640" s="59" t="s">
        <v>193</v>
      </c>
      <c r="H1640" s="43">
        <v>684.3</v>
      </c>
      <c r="I1640" s="89">
        <v>764.5</v>
      </c>
      <c r="J1640" s="43">
        <v>1005.4</v>
      </c>
      <c r="K1640" s="43">
        <v>1096.2</v>
      </c>
      <c r="L1640" s="179"/>
      <c r="M1640" s="1028" t="s">
        <v>1939</v>
      </c>
      <c r="N1640" s="1028" t="s">
        <v>2250</v>
      </c>
      <c r="O1640" s="1024">
        <v>100</v>
      </c>
      <c r="P1640" s="1106"/>
    </row>
    <row r="1641" spans="1:16">
      <c r="A1641" s="869">
        <v>9</v>
      </c>
      <c r="B1641" s="882"/>
      <c r="C1641" s="869"/>
      <c r="D1641" s="508"/>
      <c r="E1641" s="505">
        <v>7</v>
      </c>
      <c r="F1641" s="881" t="s">
        <v>1938</v>
      </c>
      <c r="G1641" s="509" t="s">
        <v>195</v>
      </c>
      <c r="H1641" s="43"/>
      <c r="I1641" s="89"/>
      <c r="J1641" s="194"/>
      <c r="K1641" s="194"/>
      <c r="L1641" s="179"/>
      <c r="M1641" s="1028"/>
      <c r="N1641" s="29"/>
      <c r="O1641" s="174"/>
      <c r="P1641" s="1106"/>
    </row>
    <row r="1642" spans="1:16">
      <c r="A1642" s="869">
        <v>9</v>
      </c>
      <c r="B1642" s="882"/>
      <c r="C1642" s="869"/>
      <c r="D1642" s="1122" t="s">
        <v>1940</v>
      </c>
      <c r="E1642" s="505">
        <v>7</v>
      </c>
      <c r="F1642" s="881" t="s">
        <v>1938</v>
      </c>
      <c r="G1642" s="415" t="s">
        <v>195</v>
      </c>
      <c r="H1642" s="43">
        <v>10.5</v>
      </c>
      <c r="I1642" s="89"/>
      <c r="J1642" s="194"/>
      <c r="K1642" s="194"/>
      <c r="L1642" s="179"/>
      <c r="M1642" s="1028"/>
      <c r="N1642" s="29"/>
      <c r="O1642" s="174"/>
      <c r="P1642" s="1106"/>
    </row>
    <row r="1643" spans="1:16">
      <c r="A1643" s="869">
        <v>9</v>
      </c>
      <c r="B1643" s="882"/>
      <c r="C1643" s="869"/>
      <c r="D1643" s="1122" t="s">
        <v>1941</v>
      </c>
      <c r="E1643" s="505">
        <v>7</v>
      </c>
      <c r="F1643" s="881" t="s">
        <v>1938</v>
      </c>
      <c r="G1643" s="415" t="s">
        <v>195</v>
      </c>
      <c r="H1643" s="43">
        <v>63.7</v>
      </c>
      <c r="I1643" s="89"/>
      <c r="J1643" s="194"/>
      <c r="K1643" s="194"/>
      <c r="L1643" s="179"/>
      <c r="M1643" s="1028"/>
      <c r="N1643" s="29"/>
      <c r="O1643" s="174"/>
      <c r="P1643" s="1106"/>
    </row>
    <row r="1644" spans="1:16">
      <c r="A1644" s="869">
        <v>9</v>
      </c>
      <c r="B1644" s="882"/>
      <c r="C1644" s="869"/>
      <c r="D1644" s="1122" t="s">
        <v>1942</v>
      </c>
      <c r="E1644" s="505">
        <v>7</v>
      </c>
      <c r="F1644" s="881" t="s">
        <v>1938</v>
      </c>
      <c r="G1644" s="415" t="s">
        <v>195</v>
      </c>
      <c r="H1644" s="43">
        <f>47-3.3</f>
        <v>43.7</v>
      </c>
      <c r="I1644" s="89"/>
      <c r="J1644" s="194"/>
      <c r="K1644" s="194"/>
      <c r="L1644" s="179"/>
      <c r="M1644" s="1028"/>
      <c r="N1644" s="29"/>
      <c r="O1644" s="174"/>
      <c r="P1644" s="1106"/>
    </row>
    <row r="1645" spans="1:16">
      <c r="A1645" s="869">
        <v>9</v>
      </c>
      <c r="B1645" s="882"/>
      <c r="C1645" s="869"/>
      <c r="D1645" s="508"/>
      <c r="E1645" s="505">
        <v>7</v>
      </c>
      <c r="F1645" s="881" t="s">
        <v>1938</v>
      </c>
      <c r="G1645" s="41" t="s">
        <v>197</v>
      </c>
      <c r="H1645" s="320">
        <v>0.3</v>
      </c>
      <c r="I1645" s="454"/>
      <c r="J1645" s="194"/>
      <c r="K1645" s="194"/>
      <c r="L1645" s="179"/>
      <c r="M1645" s="1028"/>
      <c r="N1645" s="29"/>
      <c r="O1645" s="174"/>
      <c r="P1645" s="1106"/>
    </row>
    <row r="1646" spans="1:16">
      <c r="A1646" s="869">
        <v>9</v>
      </c>
      <c r="B1646" s="882"/>
      <c r="C1646" s="869"/>
      <c r="D1646" s="508"/>
      <c r="E1646" s="505">
        <v>7</v>
      </c>
      <c r="F1646" s="881" t="s">
        <v>1938</v>
      </c>
      <c r="G1646" s="510" t="s">
        <v>459</v>
      </c>
      <c r="H1646" s="49">
        <f>SUM(H1640:H1645)</f>
        <v>802.5</v>
      </c>
      <c r="I1646" s="49">
        <f>SUM(I1640:I1645)</f>
        <v>764.5</v>
      </c>
      <c r="J1646" s="49">
        <f>SUM(J1640:J1645)</f>
        <v>1005.4</v>
      </c>
      <c r="K1646" s="49">
        <f>SUM(K1640:K1645)</f>
        <v>1096.2</v>
      </c>
      <c r="L1646" s="179"/>
      <c r="M1646" s="1028"/>
      <c r="N1646" s="29"/>
      <c r="O1646" s="174"/>
      <c r="P1646" s="1106"/>
    </row>
    <row r="1647" spans="1:16" ht="22.5">
      <c r="A1647" s="869">
        <v>9</v>
      </c>
      <c r="B1647" s="882"/>
      <c r="C1647" s="869" t="s">
        <v>1943</v>
      </c>
      <c r="D1647" s="508" t="s">
        <v>1944</v>
      </c>
      <c r="E1647" s="59">
        <v>6</v>
      </c>
      <c r="F1647" s="869" t="s">
        <v>1945</v>
      </c>
      <c r="G1647" s="415" t="s">
        <v>195</v>
      </c>
      <c r="H1647" s="43">
        <v>0.7</v>
      </c>
      <c r="I1647" s="44"/>
      <c r="J1647" s="320"/>
      <c r="K1647" s="320"/>
      <c r="L1647" s="179"/>
      <c r="M1647" s="30"/>
      <c r="N1647" s="29"/>
      <c r="O1647" s="174"/>
      <c r="P1647" s="1106"/>
    </row>
    <row r="1648" spans="1:16">
      <c r="A1648" s="869">
        <v>9</v>
      </c>
      <c r="B1648" s="882"/>
      <c r="C1648" s="869"/>
      <c r="D1648" s="508"/>
      <c r="E1648" s="59">
        <v>6</v>
      </c>
      <c r="F1648" s="869" t="s">
        <v>1945</v>
      </c>
      <c r="G1648" s="193" t="s">
        <v>475</v>
      </c>
      <c r="H1648" s="43"/>
      <c r="I1648" s="44">
        <v>0.7</v>
      </c>
      <c r="J1648" s="320">
        <v>0.7</v>
      </c>
      <c r="K1648" s="320">
        <v>0.7</v>
      </c>
      <c r="L1648" s="179"/>
      <c r="M1648" s="1028" t="s">
        <v>1946</v>
      </c>
      <c r="N1648" s="1028" t="s">
        <v>2481</v>
      </c>
      <c r="O1648" s="1024">
        <v>100</v>
      </c>
      <c r="P1648" s="1106"/>
    </row>
    <row r="1649" spans="1:16">
      <c r="A1649" s="869">
        <v>9</v>
      </c>
      <c r="B1649" s="882"/>
      <c r="C1649" s="869"/>
      <c r="D1649" s="508"/>
      <c r="E1649" s="505">
        <v>6</v>
      </c>
      <c r="F1649" s="881" t="s">
        <v>1945</v>
      </c>
      <c r="G1649" s="510" t="s">
        <v>459</v>
      </c>
      <c r="H1649" s="49">
        <f>SUM(H1647:H1648)</f>
        <v>0.7</v>
      </c>
      <c r="I1649" s="49">
        <f t="shared" ref="I1649:K1649" si="366">SUM(I1647:I1648)</f>
        <v>0.7</v>
      </c>
      <c r="J1649" s="49">
        <f t="shared" si="366"/>
        <v>0.7</v>
      </c>
      <c r="K1649" s="49">
        <f t="shared" si="366"/>
        <v>0.7</v>
      </c>
      <c r="L1649" s="179"/>
      <c r="M1649" s="1028"/>
      <c r="N1649" s="29"/>
      <c r="O1649" s="174"/>
      <c r="P1649" s="1106"/>
    </row>
    <row r="1650" spans="1:16">
      <c r="A1650" s="869">
        <v>9</v>
      </c>
      <c r="B1650" s="882"/>
      <c r="C1650" s="869" t="s">
        <v>1947</v>
      </c>
      <c r="D1650" s="508" t="s">
        <v>1948</v>
      </c>
      <c r="E1650" s="512" t="s">
        <v>1949</v>
      </c>
      <c r="F1650" s="881" t="s">
        <v>1950</v>
      </c>
      <c r="G1650" s="41" t="s">
        <v>195</v>
      </c>
      <c r="H1650" s="43">
        <v>0.2</v>
      </c>
      <c r="I1650" s="44"/>
      <c r="J1650" s="320"/>
      <c r="K1650" s="320"/>
      <c r="L1650" s="179"/>
      <c r="M1650" s="30"/>
      <c r="N1650" s="29"/>
      <c r="O1650" s="174"/>
      <c r="P1650" s="1108"/>
    </row>
    <row r="1651" spans="1:16">
      <c r="A1651" s="869">
        <v>9</v>
      </c>
      <c r="B1651" s="882"/>
      <c r="C1651" s="869"/>
      <c r="D1651" s="508"/>
      <c r="E1651" s="512" t="s">
        <v>1949</v>
      </c>
      <c r="F1651" s="881" t="s">
        <v>1950</v>
      </c>
      <c r="G1651" s="193" t="s">
        <v>475</v>
      </c>
      <c r="H1651" s="43"/>
      <c r="I1651" s="44">
        <v>0.2</v>
      </c>
      <c r="J1651" s="320">
        <v>0.2</v>
      </c>
      <c r="K1651" s="320">
        <v>0.2</v>
      </c>
      <c r="L1651" s="179"/>
      <c r="M1651" s="1028" t="s">
        <v>1951</v>
      </c>
      <c r="N1651" s="1028" t="s">
        <v>2471</v>
      </c>
      <c r="O1651" s="1024">
        <v>1</v>
      </c>
      <c r="P1651" s="1106" t="s">
        <v>415</v>
      </c>
    </row>
    <row r="1652" spans="1:16">
      <c r="A1652" s="869">
        <v>9</v>
      </c>
      <c r="B1652" s="882"/>
      <c r="C1652" s="869"/>
      <c r="D1652" s="508"/>
      <c r="E1652" s="512" t="s">
        <v>1952</v>
      </c>
      <c r="F1652" s="881" t="s">
        <v>1953</v>
      </c>
      <c r="G1652" s="41" t="s">
        <v>195</v>
      </c>
      <c r="H1652" s="43">
        <v>2</v>
      </c>
      <c r="I1652" s="44"/>
      <c r="J1652" s="320"/>
      <c r="K1652" s="320"/>
      <c r="L1652" s="179"/>
      <c r="M1652" s="1028"/>
      <c r="N1652" s="29"/>
      <c r="O1652" s="174"/>
      <c r="P1652" s="1106"/>
    </row>
    <row r="1653" spans="1:16">
      <c r="A1653" s="869">
        <v>9</v>
      </c>
      <c r="B1653" s="882"/>
      <c r="C1653" s="869"/>
      <c r="D1653" s="508"/>
      <c r="E1653" s="512" t="s">
        <v>1952</v>
      </c>
      <c r="F1653" s="881" t="s">
        <v>1953</v>
      </c>
      <c r="G1653" s="193" t="s">
        <v>475</v>
      </c>
      <c r="H1653" s="43"/>
      <c r="I1653" s="44">
        <v>2.8</v>
      </c>
      <c r="J1653" s="320">
        <v>2.8</v>
      </c>
      <c r="K1653" s="320">
        <v>2.8</v>
      </c>
      <c r="L1653" s="179"/>
      <c r="M1653" s="1010" t="s">
        <v>2482</v>
      </c>
      <c r="N1653" s="1028" t="s">
        <v>2471</v>
      </c>
      <c r="O1653" s="1024">
        <v>1</v>
      </c>
      <c r="P1653" s="1106" t="s">
        <v>687</v>
      </c>
    </row>
    <row r="1654" spans="1:16">
      <c r="A1654" s="869">
        <v>9</v>
      </c>
      <c r="B1654" s="882"/>
      <c r="C1654" s="869"/>
      <c r="D1654" s="508"/>
      <c r="E1654" s="512" t="s">
        <v>1954</v>
      </c>
      <c r="F1654" s="881" t="s">
        <v>1955</v>
      </c>
      <c r="G1654" s="41" t="s">
        <v>195</v>
      </c>
      <c r="H1654" s="43">
        <v>0.1</v>
      </c>
      <c r="I1654" s="44"/>
      <c r="J1654" s="320"/>
      <c r="K1654" s="320"/>
      <c r="L1654" s="179"/>
      <c r="M1654" s="1010"/>
      <c r="N1654" s="29"/>
      <c r="O1654" s="174"/>
      <c r="P1654" s="1106"/>
    </row>
    <row r="1655" spans="1:16">
      <c r="A1655" s="869">
        <v>9</v>
      </c>
      <c r="B1655" s="882"/>
      <c r="C1655" s="869"/>
      <c r="D1655" s="508"/>
      <c r="E1655" s="512" t="s">
        <v>1954</v>
      </c>
      <c r="F1655" s="881" t="s">
        <v>1955</v>
      </c>
      <c r="G1655" s="193" t="s">
        <v>475</v>
      </c>
      <c r="H1655" s="43"/>
      <c r="I1655" s="44">
        <v>0.1</v>
      </c>
      <c r="J1655" s="320">
        <v>0.1</v>
      </c>
      <c r="K1655" s="320">
        <v>0.1</v>
      </c>
      <c r="L1655" s="179"/>
      <c r="M1655" s="1023" t="s">
        <v>1956</v>
      </c>
      <c r="N1655" s="1028" t="s">
        <v>2471</v>
      </c>
      <c r="O1655" s="1024">
        <v>1</v>
      </c>
      <c r="P1655" s="1106" t="s">
        <v>1833</v>
      </c>
    </row>
    <row r="1656" spans="1:16">
      <c r="A1656" s="869">
        <v>9</v>
      </c>
      <c r="B1656" s="882"/>
      <c r="C1656" s="869"/>
      <c r="D1656" s="508"/>
      <c r="E1656" s="512" t="s">
        <v>1957</v>
      </c>
      <c r="F1656" s="881" t="s">
        <v>1958</v>
      </c>
      <c r="G1656" s="59" t="s">
        <v>193</v>
      </c>
      <c r="H1656" s="43">
        <v>23.8</v>
      </c>
      <c r="I1656" s="44">
        <v>32.1</v>
      </c>
      <c r="J1656" s="320">
        <v>35.299999999999997</v>
      </c>
      <c r="K1656" s="320">
        <v>38.4</v>
      </c>
      <c r="L1656" s="179"/>
      <c r="M1656" s="1023"/>
      <c r="N1656" s="29"/>
      <c r="O1656" s="174"/>
      <c r="P1656" s="1106"/>
    </row>
    <row r="1657" spans="1:16">
      <c r="A1657" s="869">
        <v>9</v>
      </c>
      <c r="B1657" s="882"/>
      <c r="C1657" s="869"/>
      <c r="D1657" s="508"/>
      <c r="E1657" s="512" t="s">
        <v>1960</v>
      </c>
      <c r="F1657" s="881" t="s">
        <v>1961</v>
      </c>
      <c r="G1657" s="41" t="s">
        <v>195</v>
      </c>
      <c r="H1657" s="43">
        <v>0.1</v>
      </c>
      <c r="I1657" s="44"/>
      <c r="J1657" s="320"/>
      <c r="K1657" s="320"/>
      <c r="L1657" s="179"/>
      <c r="M1657" s="1010" t="s">
        <v>1959</v>
      </c>
      <c r="N1657" s="1028" t="s">
        <v>2471</v>
      </c>
      <c r="O1657" s="1024">
        <v>1</v>
      </c>
      <c r="P1657" s="1106" t="s">
        <v>275</v>
      </c>
    </row>
    <row r="1658" spans="1:16">
      <c r="A1658" s="869">
        <v>9</v>
      </c>
      <c r="B1658" s="882"/>
      <c r="C1658" s="869"/>
      <c r="D1658" s="508"/>
      <c r="E1658" s="512" t="s">
        <v>1960</v>
      </c>
      <c r="F1658" s="881" t="s">
        <v>1961</v>
      </c>
      <c r="G1658" s="193" t="s">
        <v>475</v>
      </c>
      <c r="H1658" s="43"/>
      <c r="I1658" s="44">
        <v>0.1</v>
      </c>
      <c r="J1658" s="320">
        <v>0.1</v>
      </c>
      <c r="K1658" s="320">
        <v>0.1</v>
      </c>
      <c r="L1658" s="179"/>
      <c r="M1658" s="1011" t="s">
        <v>2483</v>
      </c>
      <c r="N1658" s="1028" t="s">
        <v>2471</v>
      </c>
      <c r="O1658" s="1024">
        <v>1</v>
      </c>
      <c r="P1658" s="1106" t="s">
        <v>565</v>
      </c>
    </row>
    <row r="1659" spans="1:16">
      <c r="A1659" s="869">
        <v>9</v>
      </c>
      <c r="B1659" s="882"/>
      <c r="C1659" s="869"/>
      <c r="D1659" s="508"/>
      <c r="E1659" s="512" t="s">
        <v>1962</v>
      </c>
      <c r="F1659" s="881" t="s">
        <v>1963</v>
      </c>
      <c r="G1659" s="41" t="s">
        <v>195</v>
      </c>
      <c r="H1659" s="43">
        <v>2</v>
      </c>
      <c r="I1659" s="44"/>
      <c r="J1659" s="320"/>
      <c r="K1659" s="320"/>
      <c r="L1659" s="179"/>
      <c r="M1659" s="1011"/>
      <c r="N1659" s="29"/>
      <c r="O1659" s="174"/>
      <c r="P1659" s="1106"/>
    </row>
    <row r="1660" spans="1:16" ht="22.5">
      <c r="A1660" s="869">
        <v>9</v>
      </c>
      <c r="B1660" s="882"/>
      <c r="C1660" s="869"/>
      <c r="D1660" s="508"/>
      <c r="E1660" s="512" t="s">
        <v>1962</v>
      </c>
      <c r="F1660" s="881" t="s">
        <v>1963</v>
      </c>
      <c r="G1660" s="193" t="s">
        <v>475</v>
      </c>
      <c r="H1660" s="43"/>
      <c r="I1660" s="44">
        <v>1.7</v>
      </c>
      <c r="J1660" s="320">
        <v>1.7</v>
      </c>
      <c r="K1660" s="320">
        <v>1.7</v>
      </c>
      <c r="L1660" s="179"/>
      <c r="M1660" s="1011" t="s">
        <v>1964</v>
      </c>
      <c r="N1660" s="1028" t="s">
        <v>2471</v>
      </c>
      <c r="O1660" s="1024">
        <v>1</v>
      </c>
      <c r="P1660" s="1106" t="s">
        <v>429</v>
      </c>
    </row>
    <row r="1661" spans="1:16">
      <c r="A1661" s="869">
        <v>9</v>
      </c>
      <c r="B1661" s="882"/>
      <c r="C1661" s="869"/>
      <c r="D1661" s="508"/>
      <c r="E1661" s="512" t="s">
        <v>1965</v>
      </c>
      <c r="F1661" s="881" t="s">
        <v>1966</v>
      </c>
      <c r="G1661" s="59" t="s">
        <v>193</v>
      </c>
      <c r="H1661" s="43">
        <v>12.7</v>
      </c>
      <c r="I1661" s="44">
        <v>14.5</v>
      </c>
      <c r="J1661" s="320">
        <v>15.9</v>
      </c>
      <c r="K1661" s="320">
        <v>17.3</v>
      </c>
      <c r="L1661" s="179"/>
      <c r="M1661" s="1011"/>
      <c r="N1661" s="29"/>
      <c r="O1661" s="174"/>
      <c r="P1661" s="1106"/>
    </row>
    <row r="1662" spans="1:16">
      <c r="A1662" s="869">
        <v>9</v>
      </c>
      <c r="B1662" s="882"/>
      <c r="C1662" s="869"/>
      <c r="D1662" s="508"/>
      <c r="E1662" s="512" t="s">
        <v>1968</v>
      </c>
      <c r="F1662" s="881" t="s">
        <v>1969</v>
      </c>
      <c r="G1662" s="41" t="s">
        <v>195</v>
      </c>
      <c r="H1662" s="43">
        <v>2</v>
      </c>
      <c r="I1662" s="44"/>
      <c r="J1662" s="320"/>
      <c r="K1662" s="320"/>
      <c r="L1662" s="179"/>
      <c r="M1662" s="1028" t="s">
        <v>1967</v>
      </c>
      <c r="N1662" s="1028" t="s">
        <v>2471</v>
      </c>
      <c r="O1662" s="1024">
        <v>1</v>
      </c>
      <c r="P1662" s="1106" t="s">
        <v>392</v>
      </c>
    </row>
    <row r="1663" spans="1:16">
      <c r="A1663" s="869">
        <v>9</v>
      </c>
      <c r="B1663" s="882"/>
      <c r="C1663" s="869"/>
      <c r="D1663" s="508"/>
      <c r="E1663" s="512" t="s">
        <v>1968</v>
      </c>
      <c r="F1663" s="881" t="s">
        <v>1969</v>
      </c>
      <c r="G1663" s="193" t="s">
        <v>475</v>
      </c>
      <c r="H1663" s="43"/>
      <c r="I1663" s="44">
        <v>1.5</v>
      </c>
      <c r="J1663" s="320">
        <v>1.5</v>
      </c>
      <c r="K1663" s="320">
        <v>1.5</v>
      </c>
      <c r="L1663" s="179"/>
      <c r="M1663" s="1012" t="s">
        <v>1970</v>
      </c>
      <c r="N1663" s="1028" t="s">
        <v>2471</v>
      </c>
      <c r="O1663" s="1024">
        <v>1</v>
      </c>
      <c r="P1663" s="1106" t="s">
        <v>386</v>
      </c>
    </row>
    <row r="1664" spans="1:16">
      <c r="A1664" s="869">
        <v>9</v>
      </c>
      <c r="B1664" s="882"/>
      <c r="C1664" s="869"/>
      <c r="D1664" s="508"/>
      <c r="E1664" s="512" t="s">
        <v>1971</v>
      </c>
      <c r="F1664" s="881" t="s">
        <v>1972</v>
      </c>
      <c r="G1664" s="41" t="s">
        <v>195</v>
      </c>
      <c r="H1664" s="43">
        <v>0.3</v>
      </c>
      <c r="I1664" s="44"/>
      <c r="J1664" s="320"/>
      <c r="K1664" s="320"/>
      <c r="L1664" s="179"/>
      <c r="M1664" s="1012"/>
      <c r="N1664" s="29"/>
      <c r="O1664" s="174"/>
      <c r="P1664" s="1106"/>
    </row>
    <row r="1665" spans="1:16">
      <c r="A1665" s="869">
        <v>9</v>
      </c>
      <c r="B1665" s="882"/>
      <c r="C1665" s="869"/>
      <c r="D1665" s="508"/>
      <c r="E1665" s="512" t="s">
        <v>1971</v>
      </c>
      <c r="F1665" s="881" t="s">
        <v>1972</v>
      </c>
      <c r="G1665" s="193" t="s">
        <v>475</v>
      </c>
      <c r="H1665" s="43"/>
      <c r="I1665" s="44">
        <v>0.4</v>
      </c>
      <c r="J1665" s="320">
        <v>0.4</v>
      </c>
      <c r="K1665" s="320">
        <v>0.4</v>
      </c>
      <c r="L1665" s="179"/>
      <c r="M1665" s="1010" t="s">
        <v>1973</v>
      </c>
      <c r="N1665" s="1028" t="s">
        <v>2471</v>
      </c>
      <c r="O1665" s="1024">
        <v>1</v>
      </c>
      <c r="P1665" s="1106" t="s">
        <v>399</v>
      </c>
    </row>
    <row r="1666" spans="1:16">
      <c r="A1666" s="869">
        <v>9</v>
      </c>
      <c r="B1666" s="882"/>
      <c r="C1666" s="869"/>
      <c r="D1666" s="508"/>
      <c r="E1666" s="512" t="s">
        <v>1974</v>
      </c>
      <c r="F1666" s="881" t="s">
        <v>1975</v>
      </c>
      <c r="G1666" s="41" t="s">
        <v>195</v>
      </c>
      <c r="H1666" s="43">
        <v>0.8</v>
      </c>
      <c r="I1666" s="44"/>
      <c r="J1666" s="320"/>
      <c r="K1666" s="320"/>
      <c r="L1666" s="179"/>
      <c r="M1666" s="1010"/>
      <c r="N1666" s="29"/>
      <c r="O1666" s="174"/>
      <c r="P1666" s="1106"/>
    </row>
    <row r="1667" spans="1:16">
      <c r="A1667" s="869">
        <v>9</v>
      </c>
      <c r="B1667" s="882"/>
      <c r="C1667" s="869"/>
      <c r="D1667" s="508"/>
      <c r="E1667" s="512" t="s">
        <v>1974</v>
      </c>
      <c r="F1667" s="881" t="s">
        <v>1975</v>
      </c>
      <c r="G1667" s="193" t="s">
        <v>475</v>
      </c>
      <c r="H1667" s="43"/>
      <c r="I1667" s="44">
        <v>0.6</v>
      </c>
      <c r="J1667" s="320">
        <v>0.6</v>
      </c>
      <c r="K1667" s="320">
        <v>0.6</v>
      </c>
      <c r="L1667" s="179"/>
      <c r="M1667" s="1013" t="s">
        <v>1976</v>
      </c>
      <c r="N1667" s="1028" t="s">
        <v>2471</v>
      </c>
      <c r="O1667" s="1024">
        <v>1</v>
      </c>
      <c r="P1667" s="1106" t="s">
        <v>419</v>
      </c>
    </row>
    <row r="1668" spans="1:16" ht="22.5">
      <c r="A1668" s="869">
        <v>9</v>
      </c>
      <c r="B1668" s="882"/>
      <c r="C1668" s="869"/>
      <c r="D1668" s="508"/>
      <c r="E1668" s="505"/>
      <c r="F1668" s="881"/>
      <c r="G1668" s="507" t="s">
        <v>1777</v>
      </c>
      <c r="H1668" s="337">
        <f t="shared" ref="H1668:K1668" si="367">SUM(H1656+H1661)</f>
        <v>36.5</v>
      </c>
      <c r="I1668" s="337">
        <f t="shared" si="367"/>
        <v>46.6</v>
      </c>
      <c r="J1668" s="337">
        <f t="shared" si="367"/>
        <v>51.199999999999996</v>
      </c>
      <c r="K1668" s="337">
        <f t="shared" si="367"/>
        <v>55.7</v>
      </c>
      <c r="L1668" s="179"/>
      <c r="M1668" s="1028"/>
      <c r="N1668" s="29"/>
      <c r="O1668" s="174"/>
      <c r="P1668" s="1106"/>
    </row>
    <row r="1669" spans="1:16" ht="22.5">
      <c r="A1669" s="869">
        <v>9</v>
      </c>
      <c r="B1669" s="882"/>
      <c r="C1669" s="869"/>
      <c r="D1669" s="508"/>
      <c r="E1669" s="505"/>
      <c r="F1669" s="881"/>
      <c r="G1669" s="507" t="s">
        <v>1778</v>
      </c>
      <c r="H1669" s="337">
        <f t="shared" ref="H1669:K1669" si="368">SUM(H1650+H1652+H1654+H1657+H1659+H1662+H1664+H1666)</f>
        <v>7.5</v>
      </c>
      <c r="I1669" s="337">
        <f t="shared" si="368"/>
        <v>0</v>
      </c>
      <c r="J1669" s="337">
        <f t="shared" si="368"/>
        <v>0</v>
      </c>
      <c r="K1669" s="337">
        <f t="shared" si="368"/>
        <v>0</v>
      </c>
      <c r="L1669" s="179"/>
      <c r="M1669" s="1028"/>
      <c r="N1669" s="29"/>
      <c r="O1669" s="174"/>
      <c r="P1669" s="1107"/>
    </row>
    <row r="1670" spans="1:16" ht="22.5">
      <c r="A1670" s="869"/>
      <c r="B1670" s="882"/>
      <c r="C1670" s="869"/>
      <c r="D1670" s="508"/>
      <c r="E1670" s="505"/>
      <c r="F1670" s="881"/>
      <c r="G1670" s="507" t="s">
        <v>1866</v>
      </c>
      <c r="H1670" s="337">
        <f>SUM(H1651,H1653,H1655,H1658,H1660,H1663,H1665,H1667)</f>
        <v>0</v>
      </c>
      <c r="I1670" s="337">
        <f t="shared" ref="I1670:K1670" si="369">SUM(I1651,I1653,I1655,I1658,I1660,I1663,I1665,I1667)</f>
        <v>7.4</v>
      </c>
      <c r="J1670" s="337">
        <f t="shared" si="369"/>
        <v>7.4</v>
      </c>
      <c r="K1670" s="337">
        <f t="shared" si="369"/>
        <v>7.4</v>
      </c>
      <c r="L1670" s="179"/>
      <c r="M1670" s="1028"/>
      <c r="N1670" s="29"/>
      <c r="O1670" s="174"/>
      <c r="P1670" s="1107"/>
    </row>
    <row r="1671" spans="1:16">
      <c r="A1671" s="869">
        <v>9</v>
      </c>
      <c r="B1671" s="882"/>
      <c r="C1671" s="869"/>
      <c r="D1671" s="508"/>
      <c r="E1671" s="505"/>
      <c r="F1671" s="881"/>
      <c r="G1671" s="502" t="s">
        <v>459</v>
      </c>
      <c r="H1671" s="503">
        <f>SUM(H1668+H1669+H1670)</f>
        <v>44</v>
      </c>
      <c r="I1671" s="503">
        <f t="shared" ref="I1671:K1671" si="370">SUM(I1668+I1669+I1670)</f>
        <v>54</v>
      </c>
      <c r="J1671" s="503">
        <f t="shared" si="370"/>
        <v>58.599999999999994</v>
      </c>
      <c r="K1671" s="503">
        <f t="shared" si="370"/>
        <v>63.1</v>
      </c>
      <c r="L1671" s="179"/>
      <c r="M1671" s="1028"/>
      <c r="N1671" s="29"/>
      <c r="O1671" s="174"/>
      <c r="P1671" s="1107"/>
    </row>
    <row r="1672" spans="1:16">
      <c r="A1672" s="869">
        <v>9</v>
      </c>
      <c r="B1672" s="882"/>
      <c r="C1672" s="869" t="s">
        <v>1977</v>
      </c>
      <c r="D1672" s="508" t="s">
        <v>1978</v>
      </c>
      <c r="E1672" s="505">
        <v>38</v>
      </c>
      <c r="F1672" s="881" t="s">
        <v>1979</v>
      </c>
      <c r="G1672" s="41" t="s">
        <v>195</v>
      </c>
      <c r="H1672" s="43">
        <f>84.1+12.8</f>
        <v>96.899999999999991</v>
      </c>
      <c r="I1672" s="44"/>
      <c r="J1672" s="320"/>
      <c r="K1672" s="320"/>
      <c r="L1672" s="179"/>
      <c r="M1672" s="30"/>
      <c r="N1672" s="29"/>
      <c r="O1672" s="174"/>
      <c r="P1672" s="1107"/>
    </row>
    <row r="1673" spans="1:16">
      <c r="A1673" s="869">
        <v>9</v>
      </c>
      <c r="B1673" s="882"/>
      <c r="C1673" s="869"/>
      <c r="D1673" s="508"/>
      <c r="E1673" s="505">
        <v>38</v>
      </c>
      <c r="F1673" s="881" t="s">
        <v>1979</v>
      </c>
      <c r="G1673" s="193" t="s">
        <v>475</v>
      </c>
      <c r="H1673" s="43"/>
      <c r="I1673" s="44">
        <v>87.5</v>
      </c>
      <c r="J1673" s="320">
        <v>87.5</v>
      </c>
      <c r="K1673" s="320">
        <v>87.5</v>
      </c>
      <c r="L1673" s="179"/>
      <c r="M1673" s="1015" t="s">
        <v>1980</v>
      </c>
      <c r="N1673" s="1028" t="s">
        <v>2471</v>
      </c>
      <c r="O1673" s="1024">
        <v>1</v>
      </c>
      <c r="P1673" s="1107"/>
    </row>
    <row r="1674" spans="1:16">
      <c r="A1674" s="869">
        <v>9</v>
      </c>
      <c r="B1674" s="882"/>
      <c r="C1674" s="869"/>
      <c r="D1674" s="508"/>
      <c r="E1674" s="505">
        <v>38</v>
      </c>
      <c r="F1674" s="881" t="s">
        <v>1979</v>
      </c>
      <c r="G1674" s="59" t="s">
        <v>193</v>
      </c>
      <c r="H1674" s="43">
        <v>12.6</v>
      </c>
      <c r="I1674" s="44">
        <v>237.4</v>
      </c>
      <c r="J1674" s="320">
        <v>269.39999999999998</v>
      </c>
      <c r="K1674" s="320">
        <v>301.3</v>
      </c>
      <c r="L1674" s="179"/>
      <c r="M1674" s="1015" t="s">
        <v>1980</v>
      </c>
      <c r="N1674" s="29"/>
      <c r="O1674" s="174"/>
      <c r="P1674" s="1107"/>
    </row>
    <row r="1675" spans="1:16">
      <c r="A1675" s="869">
        <v>9</v>
      </c>
      <c r="B1675" s="882"/>
      <c r="C1675" s="869"/>
      <c r="D1675" s="508"/>
      <c r="E1675" s="505">
        <v>38</v>
      </c>
      <c r="F1675" s="881" t="s">
        <v>1979</v>
      </c>
      <c r="G1675" s="510" t="s">
        <v>459</v>
      </c>
      <c r="H1675" s="49">
        <f>SUM(H1672+H1674+H1673)</f>
        <v>109.49999999999999</v>
      </c>
      <c r="I1675" s="49">
        <f t="shared" ref="I1675:K1675" si="371">SUM(I1672+I1674+I1673)</f>
        <v>324.89999999999998</v>
      </c>
      <c r="J1675" s="49">
        <f t="shared" si="371"/>
        <v>356.9</v>
      </c>
      <c r="K1675" s="49">
        <f t="shared" si="371"/>
        <v>388.8</v>
      </c>
      <c r="L1675" s="179"/>
      <c r="M1675" s="1028"/>
      <c r="N1675" s="29"/>
      <c r="O1675" s="174"/>
      <c r="P1675" s="1106"/>
    </row>
    <row r="1676" spans="1:16">
      <c r="A1676" s="869">
        <v>9</v>
      </c>
      <c r="B1676" s="882"/>
      <c r="C1676" s="869" t="s">
        <v>1981</v>
      </c>
      <c r="D1676" s="508" t="s">
        <v>1982</v>
      </c>
      <c r="E1676" s="505">
        <v>17</v>
      </c>
      <c r="F1676" s="881" t="s">
        <v>1983</v>
      </c>
      <c r="G1676" s="41" t="s">
        <v>195</v>
      </c>
      <c r="H1676" s="43">
        <f>33.7-6.8</f>
        <v>26.900000000000002</v>
      </c>
      <c r="I1676" s="44"/>
      <c r="J1676" s="320"/>
      <c r="K1676" s="320"/>
      <c r="L1676" s="179"/>
      <c r="M1676" s="75"/>
      <c r="N1676" s="764"/>
      <c r="O1676" s="178"/>
      <c r="P1676" s="1106"/>
    </row>
    <row r="1677" spans="1:16">
      <c r="A1677" s="869">
        <v>9</v>
      </c>
      <c r="B1677" s="882"/>
      <c r="C1677" s="869"/>
      <c r="D1677" s="508"/>
      <c r="E1677" s="505">
        <v>17</v>
      </c>
      <c r="F1677" s="881" t="s">
        <v>1983</v>
      </c>
      <c r="G1677" s="193" t="s">
        <v>475</v>
      </c>
      <c r="H1677" s="43"/>
      <c r="I1677" s="44">
        <f>30+3.7</f>
        <v>33.700000000000003</v>
      </c>
      <c r="J1677" s="320">
        <v>30</v>
      </c>
      <c r="K1677" s="320">
        <v>30</v>
      </c>
      <c r="L1677" s="179"/>
      <c r="M1677" s="1025" t="s">
        <v>1984</v>
      </c>
      <c r="N1677" s="1025" t="s">
        <v>2484</v>
      </c>
      <c r="O1677" s="1026">
        <v>5</v>
      </c>
      <c r="P1677" s="1106"/>
    </row>
    <row r="1678" spans="1:16">
      <c r="A1678" s="869">
        <v>9</v>
      </c>
      <c r="B1678" s="882"/>
      <c r="C1678" s="869"/>
      <c r="D1678" s="508"/>
      <c r="E1678" s="505">
        <v>17</v>
      </c>
      <c r="F1678" s="881" t="s">
        <v>1983</v>
      </c>
      <c r="G1678" s="510" t="s">
        <v>459</v>
      </c>
      <c r="H1678" s="49">
        <f>SUM(H1676:H1677)</f>
        <v>26.900000000000002</v>
      </c>
      <c r="I1678" s="49">
        <f t="shared" ref="I1678:K1678" si="372">SUM(I1676:I1677)</f>
        <v>33.700000000000003</v>
      </c>
      <c r="J1678" s="49">
        <f t="shared" si="372"/>
        <v>30</v>
      </c>
      <c r="K1678" s="49">
        <f t="shared" si="372"/>
        <v>30</v>
      </c>
      <c r="L1678" s="179"/>
      <c r="M1678" s="1025"/>
      <c r="N1678" s="764"/>
      <c r="O1678" s="178"/>
      <c r="P1678" s="1106"/>
    </row>
    <row r="1679" spans="1:16" ht="22.5">
      <c r="A1679" s="869">
        <v>9</v>
      </c>
      <c r="B1679" s="882"/>
      <c r="C1679" s="869" t="s">
        <v>1985</v>
      </c>
      <c r="D1679" s="40" t="s">
        <v>1986</v>
      </c>
      <c r="E1679" s="505">
        <v>7</v>
      </c>
      <c r="F1679" s="881" t="s">
        <v>1987</v>
      </c>
      <c r="G1679" s="41" t="s">
        <v>195</v>
      </c>
      <c r="H1679" s="43">
        <v>2.7</v>
      </c>
      <c r="I1679" s="44"/>
      <c r="J1679" s="320"/>
      <c r="K1679" s="320"/>
      <c r="L1679" s="179"/>
      <c r="M1679" s="1028"/>
      <c r="N1679" s="29"/>
      <c r="O1679" s="174"/>
      <c r="P1679" s="1106"/>
    </row>
    <row r="1680" spans="1:16">
      <c r="A1680" s="869">
        <v>9</v>
      </c>
      <c r="B1680" s="882"/>
      <c r="C1680" s="869"/>
      <c r="D1680" s="40"/>
      <c r="E1680" s="505">
        <v>7</v>
      </c>
      <c r="F1680" s="881" t="s">
        <v>1987</v>
      </c>
      <c r="G1680" s="510" t="s">
        <v>459</v>
      </c>
      <c r="H1680" s="49">
        <f t="shared" ref="H1680:K1680" si="373">SUM(H1679)</f>
        <v>2.7</v>
      </c>
      <c r="I1680" s="49">
        <f t="shared" si="373"/>
        <v>0</v>
      </c>
      <c r="J1680" s="49">
        <f t="shared" si="373"/>
        <v>0</v>
      </c>
      <c r="K1680" s="49">
        <f t="shared" si="373"/>
        <v>0</v>
      </c>
      <c r="L1680" s="179"/>
      <c r="M1680" s="1028"/>
      <c r="N1680" s="29"/>
      <c r="O1680" s="174"/>
      <c r="P1680" s="1106"/>
    </row>
    <row r="1681" spans="1:16" ht="22.5">
      <c r="A1681" s="869">
        <v>9</v>
      </c>
      <c r="B1681" s="882"/>
      <c r="C1681" s="869" t="s">
        <v>1988</v>
      </c>
      <c r="D1681" s="40" t="s">
        <v>1989</v>
      </c>
      <c r="E1681" s="505">
        <v>7</v>
      </c>
      <c r="F1681" s="881" t="s">
        <v>1990</v>
      </c>
      <c r="G1681" s="41" t="s">
        <v>195</v>
      </c>
      <c r="H1681" s="43">
        <v>5.6</v>
      </c>
      <c r="I1681" s="44"/>
      <c r="J1681" s="320"/>
      <c r="K1681" s="320"/>
      <c r="L1681" s="179"/>
      <c r="M1681" s="1016"/>
      <c r="N1681" s="29"/>
      <c r="O1681" s="174"/>
      <c r="P1681" s="1106"/>
    </row>
    <row r="1682" spans="1:16">
      <c r="A1682" s="869">
        <v>9</v>
      </c>
      <c r="B1682" s="882"/>
      <c r="C1682" s="869"/>
      <c r="D1682" s="40"/>
      <c r="E1682" s="505">
        <v>7</v>
      </c>
      <c r="F1682" s="881" t="s">
        <v>1990</v>
      </c>
      <c r="G1682" s="41" t="s">
        <v>197</v>
      </c>
      <c r="H1682" s="43">
        <v>0.3</v>
      </c>
      <c r="I1682" s="44"/>
      <c r="J1682" s="320"/>
      <c r="K1682" s="320"/>
      <c r="L1682" s="179"/>
      <c r="M1682" s="1016"/>
      <c r="N1682" s="29"/>
      <c r="O1682" s="174"/>
      <c r="P1682" s="1106"/>
    </row>
    <row r="1683" spans="1:16">
      <c r="A1683" s="869">
        <v>9</v>
      </c>
      <c r="B1683" s="882"/>
      <c r="C1683" s="869"/>
      <c r="D1683" s="40"/>
      <c r="E1683" s="505">
        <v>7</v>
      </c>
      <c r="F1683" s="881" t="s">
        <v>1990</v>
      </c>
      <c r="G1683" s="510" t="s">
        <v>459</v>
      </c>
      <c r="H1683" s="49">
        <f t="shared" ref="H1683:K1683" si="374">SUM(H1681:H1682)</f>
        <v>5.8999999999999995</v>
      </c>
      <c r="I1683" s="49">
        <f t="shared" si="374"/>
        <v>0</v>
      </c>
      <c r="J1683" s="49">
        <f t="shared" si="374"/>
        <v>0</v>
      </c>
      <c r="K1683" s="49">
        <f t="shared" si="374"/>
        <v>0</v>
      </c>
      <c r="L1683" s="179"/>
      <c r="M1683" s="1028"/>
      <c r="N1683" s="29"/>
      <c r="O1683" s="174"/>
      <c r="P1683" s="1106"/>
    </row>
    <row r="1684" spans="1:16" ht="22.5">
      <c r="A1684" s="869">
        <v>9</v>
      </c>
      <c r="B1684" s="882"/>
      <c r="C1684" s="869" t="s">
        <v>1991</v>
      </c>
      <c r="D1684" s="40" t="s">
        <v>1992</v>
      </c>
      <c r="E1684" s="505">
        <v>7</v>
      </c>
      <c r="F1684" s="881" t="s">
        <v>1993</v>
      </c>
      <c r="G1684" s="41" t="s">
        <v>195</v>
      </c>
      <c r="H1684" s="43">
        <f>1.4-0.1</f>
        <v>1.2999999999999998</v>
      </c>
      <c r="I1684" s="44"/>
      <c r="J1684" s="320"/>
      <c r="K1684" s="320"/>
      <c r="L1684" s="179"/>
      <c r="M1684" s="1017"/>
      <c r="N1684" s="29"/>
      <c r="O1684" s="174"/>
      <c r="P1684" s="1106"/>
    </row>
    <row r="1685" spans="1:16">
      <c r="A1685" s="869">
        <v>9</v>
      </c>
      <c r="B1685" s="882"/>
      <c r="C1685" s="869"/>
      <c r="D1685" s="40"/>
      <c r="E1685" s="505">
        <v>7</v>
      </c>
      <c r="F1685" s="881" t="s">
        <v>1993</v>
      </c>
      <c r="G1685" s="510" t="s">
        <v>459</v>
      </c>
      <c r="H1685" s="49">
        <f t="shared" ref="H1685:K1685" si="375">SUM(H1684)</f>
        <v>1.2999999999999998</v>
      </c>
      <c r="I1685" s="49">
        <f t="shared" si="375"/>
        <v>0</v>
      </c>
      <c r="J1685" s="49">
        <f t="shared" si="375"/>
        <v>0</v>
      </c>
      <c r="K1685" s="49">
        <f t="shared" si="375"/>
        <v>0</v>
      </c>
      <c r="L1685" s="179"/>
      <c r="M1685" s="1028"/>
      <c r="N1685" s="29"/>
      <c r="O1685" s="174"/>
      <c r="P1685" s="1106"/>
    </row>
    <row r="1686" spans="1:16">
      <c r="A1686" s="869">
        <v>9</v>
      </c>
      <c r="B1686" s="882"/>
      <c r="C1686" s="869" t="s">
        <v>1995</v>
      </c>
      <c r="D1686" s="40" t="s">
        <v>1996</v>
      </c>
      <c r="E1686" s="505">
        <v>7</v>
      </c>
      <c r="F1686" s="881" t="s">
        <v>1997</v>
      </c>
      <c r="G1686" s="41" t="s">
        <v>195</v>
      </c>
      <c r="H1686" s="43">
        <v>4</v>
      </c>
      <c r="I1686" s="44"/>
      <c r="J1686" s="320"/>
      <c r="K1686" s="320"/>
      <c r="L1686" s="179"/>
      <c r="M1686" s="1017"/>
      <c r="N1686" s="29"/>
      <c r="O1686" s="174"/>
      <c r="P1686" s="1106"/>
    </row>
    <row r="1687" spans="1:16">
      <c r="A1687" s="869">
        <v>9</v>
      </c>
      <c r="B1687" s="882"/>
      <c r="C1687" s="869"/>
      <c r="D1687" s="40"/>
      <c r="E1687" s="505">
        <v>7</v>
      </c>
      <c r="F1687" s="881" t="s">
        <v>1997</v>
      </c>
      <c r="G1687" s="510" t="s">
        <v>459</v>
      </c>
      <c r="H1687" s="49">
        <f t="shared" ref="H1687:K1687" si="376">SUM(H1686)</f>
        <v>4</v>
      </c>
      <c r="I1687" s="49">
        <f t="shared" si="376"/>
        <v>0</v>
      </c>
      <c r="J1687" s="49">
        <f t="shared" si="376"/>
        <v>0</v>
      </c>
      <c r="K1687" s="49">
        <f t="shared" si="376"/>
        <v>0</v>
      </c>
      <c r="L1687" s="179"/>
      <c r="M1687" s="1028"/>
      <c r="N1687" s="29"/>
      <c r="O1687" s="174"/>
      <c r="P1687" s="1106"/>
    </row>
    <row r="1688" spans="1:16" ht="22.5">
      <c r="A1688" s="869">
        <v>9</v>
      </c>
      <c r="B1688" s="882"/>
      <c r="C1688" s="869" t="s">
        <v>1998</v>
      </c>
      <c r="D1688" s="40" t="s">
        <v>1999</v>
      </c>
      <c r="E1688" s="505">
        <v>7</v>
      </c>
      <c r="F1688" s="881" t="s">
        <v>2000</v>
      </c>
      <c r="G1688" s="41" t="s">
        <v>197</v>
      </c>
      <c r="H1688" s="43"/>
      <c r="I1688" s="44"/>
      <c r="J1688" s="320"/>
      <c r="K1688" s="320"/>
      <c r="L1688" s="179"/>
      <c r="M1688" s="1030"/>
      <c r="N1688" s="29"/>
      <c r="O1688" s="174"/>
      <c r="P1688" s="1106"/>
    </row>
    <row r="1689" spans="1:16">
      <c r="A1689" s="869">
        <v>9</v>
      </c>
      <c r="B1689" s="882"/>
      <c r="C1689" s="869"/>
      <c r="D1689" s="40"/>
      <c r="E1689" s="505">
        <v>7</v>
      </c>
      <c r="F1689" s="881" t="s">
        <v>2000</v>
      </c>
      <c r="G1689" s="510" t="s">
        <v>459</v>
      </c>
      <c r="H1689" s="49">
        <f t="shared" ref="H1689:K1689" si="377">SUM(H1688)</f>
        <v>0</v>
      </c>
      <c r="I1689" s="49">
        <f t="shared" si="377"/>
        <v>0</v>
      </c>
      <c r="J1689" s="49">
        <f t="shared" si="377"/>
        <v>0</v>
      </c>
      <c r="K1689" s="49">
        <f t="shared" si="377"/>
        <v>0</v>
      </c>
      <c r="L1689" s="179"/>
      <c r="M1689" s="1028"/>
      <c r="N1689" s="29"/>
      <c r="O1689" s="174"/>
      <c r="P1689" s="1106"/>
    </row>
    <row r="1690" spans="1:16" ht="22.5">
      <c r="A1690" s="869">
        <v>9</v>
      </c>
      <c r="B1690" s="882"/>
      <c r="C1690" s="869" t="s">
        <v>2001</v>
      </c>
      <c r="D1690" s="40" t="s">
        <v>2002</v>
      </c>
      <c r="E1690" s="59">
        <v>7</v>
      </c>
      <c r="F1690" s="869" t="s">
        <v>2003</v>
      </c>
      <c r="G1690" s="41" t="s">
        <v>195</v>
      </c>
      <c r="H1690" s="43">
        <v>24.4</v>
      </c>
      <c r="I1690" s="44">
        <v>24.4</v>
      </c>
      <c r="J1690" s="42">
        <v>24.4</v>
      </c>
      <c r="K1690" s="42">
        <v>24.4</v>
      </c>
      <c r="L1690" s="179"/>
      <c r="M1690" s="1028" t="s">
        <v>1994</v>
      </c>
      <c r="N1690" s="1028" t="s">
        <v>2471</v>
      </c>
      <c r="O1690" s="1024">
        <v>1</v>
      </c>
      <c r="P1690" s="1106"/>
    </row>
    <row r="1691" spans="1:16">
      <c r="A1691" s="869">
        <v>9</v>
      </c>
      <c r="B1691" s="882"/>
      <c r="C1691" s="869"/>
      <c r="D1691" s="40"/>
      <c r="E1691" s="59">
        <v>7</v>
      </c>
      <c r="F1691" s="869" t="s">
        <v>2003</v>
      </c>
      <c r="G1691" s="59" t="s">
        <v>193</v>
      </c>
      <c r="H1691" s="43">
        <v>9.3000000000000007</v>
      </c>
      <c r="I1691" s="44">
        <v>21.9</v>
      </c>
      <c r="J1691" s="42">
        <v>26.3</v>
      </c>
      <c r="K1691" s="42">
        <v>30.8</v>
      </c>
      <c r="L1691" s="179"/>
      <c r="M1691" s="1028" t="s">
        <v>1994</v>
      </c>
      <c r="N1691" s="29"/>
      <c r="O1691" s="174"/>
      <c r="P1691" s="1106"/>
    </row>
    <row r="1692" spans="1:16">
      <c r="A1692" s="869">
        <v>9</v>
      </c>
      <c r="B1692" s="882"/>
      <c r="C1692" s="869"/>
      <c r="D1692" s="40"/>
      <c r="E1692" s="505">
        <v>7</v>
      </c>
      <c r="F1692" s="881" t="s">
        <v>2003</v>
      </c>
      <c r="G1692" s="510" t="s">
        <v>459</v>
      </c>
      <c r="H1692" s="49">
        <f t="shared" ref="H1692:K1692" si="378">SUM(H1690+H1691)</f>
        <v>33.700000000000003</v>
      </c>
      <c r="I1692" s="49">
        <f t="shared" si="378"/>
        <v>46.3</v>
      </c>
      <c r="J1692" s="49">
        <f t="shared" si="378"/>
        <v>50.7</v>
      </c>
      <c r="K1692" s="49">
        <f t="shared" si="378"/>
        <v>55.2</v>
      </c>
      <c r="L1692" s="179"/>
      <c r="M1692" s="1028"/>
      <c r="N1692" s="29"/>
      <c r="O1692" s="174"/>
      <c r="P1692" s="1106"/>
    </row>
    <row r="1693" spans="1:16" ht="45">
      <c r="A1693" s="869">
        <v>9</v>
      </c>
      <c r="B1693" s="882"/>
      <c r="C1693" s="869" t="s">
        <v>2004</v>
      </c>
      <c r="D1693" s="40" t="s">
        <v>2005</v>
      </c>
      <c r="E1693" s="505">
        <v>7</v>
      </c>
      <c r="F1693" s="881" t="s">
        <v>2006</v>
      </c>
      <c r="G1693" s="41" t="s">
        <v>197</v>
      </c>
      <c r="H1693" s="43">
        <v>0.1</v>
      </c>
      <c r="I1693" s="44"/>
      <c r="J1693" s="42"/>
      <c r="K1693" s="42"/>
      <c r="L1693" s="179"/>
      <c r="M1693" s="1028"/>
      <c r="N1693" s="29"/>
      <c r="O1693" s="174"/>
      <c r="P1693" s="1106"/>
    </row>
    <row r="1694" spans="1:16">
      <c r="A1694" s="869">
        <v>9</v>
      </c>
      <c r="B1694" s="882"/>
      <c r="C1694" s="869"/>
      <c r="D1694" s="40"/>
      <c r="E1694" s="505">
        <v>7</v>
      </c>
      <c r="F1694" s="881" t="s">
        <v>2006</v>
      </c>
      <c r="G1694" s="510" t="s">
        <v>459</v>
      </c>
      <c r="H1694" s="49">
        <f t="shared" ref="H1694:K1694" si="379">SUM(H1693)</f>
        <v>0.1</v>
      </c>
      <c r="I1694" s="49">
        <f t="shared" si="379"/>
        <v>0</v>
      </c>
      <c r="J1694" s="49">
        <f t="shared" si="379"/>
        <v>0</v>
      </c>
      <c r="K1694" s="49">
        <f t="shared" si="379"/>
        <v>0</v>
      </c>
      <c r="L1694" s="179"/>
      <c r="M1694" s="1028"/>
      <c r="N1694" s="29"/>
      <c r="O1694" s="174"/>
      <c r="P1694" s="1106"/>
    </row>
    <row r="1695" spans="1:16" ht="22.5">
      <c r="A1695" s="869">
        <v>9</v>
      </c>
      <c r="B1695" s="882"/>
      <c r="C1695" s="869" t="s">
        <v>2007</v>
      </c>
      <c r="D1695" s="40" t="s">
        <v>2008</v>
      </c>
      <c r="E1695" s="505">
        <v>7</v>
      </c>
      <c r="F1695" s="881" t="s">
        <v>2009</v>
      </c>
      <c r="G1695" s="41" t="s">
        <v>267</v>
      </c>
      <c r="H1695" s="43">
        <v>16.3</v>
      </c>
      <c r="I1695" s="44">
        <v>16.3</v>
      </c>
      <c r="J1695" s="42">
        <v>16.3</v>
      </c>
      <c r="K1695" s="42"/>
      <c r="L1695" s="179"/>
      <c r="M1695" s="1028" t="s">
        <v>2010</v>
      </c>
      <c r="N1695" s="1028" t="s">
        <v>2471</v>
      </c>
      <c r="O1695" s="1024">
        <v>1</v>
      </c>
      <c r="P1695" s="1106"/>
    </row>
    <row r="1696" spans="1:16">
      <c r="A1696" s="869">
        <v>9</v>
      </c>
      <c r="B1696" s="882"/>
      <c r="C1696" s="869"/>
      <c r="D1696" s="40"/>
      <c r="E1696" s="505">
        <v>7</v>
      </c>
      <c r="F1696" s="881" t="s">
        <v>2009</v>
      </c>
      <c r="G1696" s="41" t="s">
        <v>269</v>
      </c>
      <c r="H1696" s="43">
        <v>4.8</v>
      </c>
      <c r="I1696" s="44">
        <v>4.8</v>
      </c>
      <c r="J1696" s="42">
        <v>4.8</v>
      </c>
      <c r="K1696" s="42"/>
      <c r="L1696" s="179"/>
      <c r="M1696" s="1028" t="s">
        <v>2010</v>
      </c>
      <c r="N1696" s="29"/>
      <c r="O1696" s="174"/>
      <c r="P1696" s="1106"/>
    </row>
    <row r="1697" spans="1:16">
      <c r="A1697" s="869">
        <v>9</v>
      </c>
      <c r="B1697" s="882"/>
      <c r="C1697" s="869"/>
      <c r="D1697" s="40"/>
      <c r="E1697" s="505">
        <v>7</v>
      </c>
      <c r="F1697" s="881" t="s">
        <v>2009</v>
      </c>
      <c r="G1697" s="510" t="s">
        <v>459</v>
      </c>
      <c r="H1697" s="49">
        <f t="shared" ref="H1697:K1697" si="380">H1695+H1696</f>
        <v>21.1</v>
      </c>
      <c r="I1697" s="49">
        <f t="shared" si="380"/>
        <v>21.1</v>
      </c>
      <c r="J1697" s="49">
        <f t="shared" si="380"/>
        <v>21.1</v>
      </c>
      <c r="K1697" s="49">
        <f t="shared" si="380"/>
        <v>0</v>
      </c>
      <c r="L1697" s="179"/>
      <c r="M1697" s="1028"/>
      <c r="N1697" s="29"/>
      <c r="O1697" s="174"/>
      <c r="P1697" s="1106"/>
    </row>
    <row r="1698" spans="1:16" ht="33.75">
      <c r="A1698" s="869">
        <v>9</v>
      </c>
      <c r="B1698" s="882"/>
      <c r="C1698" s="869" t="s">
        <v>2011</v>
      </c>
      <c r="D1698" s="40" t="s">
        <v>2012</v>
      </c>
      <c r="E1698" s="505">
        <v>7</v>
      </c>
      <c r="F1698" s="881" t="s">
        <v>2013</v>
      </c>
      <c r="G1698" s="41" t="s">
        <v>267</v>
      </c>
      <c r="H1698" s="43">
        <v>26.3</v>
      </c>
      <c r="I1698" s="44">
        <v>26.7</v>
      </c>
      <c r="J1698" s="42">
        <v>26.7</v>
      </c>
      <c r="K1698" s="42"/>
      <c r="L1698" s="179"/>
      <c r="M1698" s="1028" t="s">
        <v>2014</v>
      </c>
      <c r="N1698" s="1028" t="s">
        <v>2471</v>
      </c>
      <c r="O1698" s="1024">
        <v>1</v>
      </c>
      <c r="P1698" s="1106"/>
    </row>
    <row r="1699" spans="1:16" ht="22.5">
      <c r="A1699" s="869">
        <v>9</v>
      </c>
      <c r="B1699" s="882"/>
      <c r="C1699" s="869"/>
      <c r="D1699" s="40"/>
      <c r="E1699" s="505">
        <v>7</v>
      </c>
      <c r="F1699" s="881" t="s">
        <v>2013</v>
      </c>
      <c r="G1699" s="41" t="s">
        <v>269</v>
      </c>
      <c r="H1699" s="43">
        <v>4.4000000000000004</v>
      </c>
      <c r="I1699" s="44">
        <v>4.4000000000000004</v>
      </c>
      <c r="J1699" s="42">
        <v>4.4000000000000004</v>
      </c>
      <c r="K1699" s="42"/>
      <c r="L1699" s="179"/>
      <c r="M1699" s="1028" t="s">
        <v>2014</v>
      </c>
      <c r="N1699" s="29"/>
      <c r="O1699" s="174"/>
      <c r="P1699" s="1106"/>
    </row>
    <row r="1700" spans="1:16">
      <c r="A1700" s="869">
        <v>9</v>
      </c>
      <c r="B1700" s="882"/>
      <c r="C1700" s="869"/>
      <c r="D1700" s="40"/>
      <c r="E1700" s="505">
        <v>7</v>
      </c>
      <c r="F1700" s="881" t="s">
        <v>2013</v>
      </c>
      <c r="G1700" s="510" t="s">
        <v>459</v>
      </c>
      <c r="H1700" s="49">
        <f t="shared" ref="H1700:K1700" si="381">H1698+H1699</f>
        <v>30.700000000000003</v>
      </c>
      <c r="I1700" s="49">
        <f t="shared" si="381"/>
        <v>31.1</v>
      </c>
      <c r="J1700" s="49">
        <f t="shared" si="381"/>
        <v>31.1</v>
      </c>
      <c r="K1700" s="49">
        <f t="shared" si="381"/>
        <v>0</v>
      </c>
      <c r="L1700" s="179"/>
      <c r="M1700" s="322"/>
      <c r="N1700" s="29"/>
      <c r="O1700" s="174"/>
      <c r="P1700" s="1106"/>
    </row>
    <row r="1701" spans="1:16" ht="22.5">
      <c r="A1701" s="869">
        <v>9</v>
      </c>
      <c r="B1701" s="882"/>
      <c r="C1701" s="869" t="s">
        <v>2015</v>
      </c>
      <c r="D1701" s="40" t="s">
        <v>2016</v>
      </c>
      <c r="E1701" s="505">
        <v>7</v>
      </c>
      <c r="F1701" s="881" t="s">
        <v>2017</v>
      </c>
      <c r="G1701" s="41" t="s">
        <v>195</v>
      </c>
      <c r="H1701" s="43">
        <f>1.1-0.7</f>
        <v>0.40000000000000013</v>
      </c>
      <c r="I1701" s="44"/>
      <c r="J1701" s="42"/>
      <c r="K1701" s="42"/>
      <c r="L1701" s="179"/>
      <c r="M1701" s="1028"/>
      <c r="N1701" s="29"/>
      <c r="O1701" s="174"/>
      <c r="P1701" s="1106"/>
    </row>
    <row r="1702" spans="1:16">
      <c r="A1702" s="869">
        <v>9</v>
      </c>
      <c r="B1702" s="882"/>
      <c r="C1702" s="869"/>
      <c r="D1702" s="40"/>
      <c r="E1702" s="505">
        <v>7</v>
      </c>
      <c r="F1702" s="881" t="s">
        <v>2017</v>
      </c>
      <c r="G1702" s="510" t="s">
        <v>459</v>
      </c>
      <c r="H1702" s="49">
        <f t="shared" ref="H1702:K1702" si="382">H1701</f>
        <v>0.40000000000000013</v>
      </c>
      <c r="I1702" s="49">
        <f t="shared" si="382"/>
        <v>0</v>
      </c>
      <c r="J1702" s="49">
        <f t="shared" si="382"/>
        <v>0</v>
      </c>
      <c r="K1702" s="49">
        <f t="shared" si="382"/>
        <v>0</v>
      </c>
      <c r="L1702" s="179"/>
      <c r="M1702" s="322"/>
      <c r="N1702" s="29"/>
      <c r="O1702" s="174"/>
      <c r="P1702" s="1106"/>
    </row>
    <row r="1703" spans="1:16" ht="22.5">
      <c r="A1703" s="869">
        <v>9</v>
      </c>
      <c r="B1703" s="882"/>
      <c r="C1703" s="869" t="s">
        <v>2018</v>
      </c>
      <c r="D1703" s="40" t="s">
        <v>2019</v>
      </c>
      <c r="E1703" s="505">
        <v>7</v>
      </c>
      <c r="F1703" s="881" t="s">
        <v>2020</v>
      </c>
      <c r="G1703" s="59" t="s">
        <v>267</v>
      </c>
      <c r="H1703" s="43">
        <v>18.899999999999999</v>
      </c>
      <c r="I1703" s="44">
        <v>19.8</v>
      </c>
      <c r="J1703" s="43">
        <v>19.8</v>
      </c>
      <c r="K1703" s="42"/>
      <c r="L1703" s="179"/>
      <c r="M1703" s="1028" t="s">
        <v>1939</v>
      </c>
      <c r="N1703" s="1028" t="s">
        <v>2471</v>
      </c>
      <c r="O1703" s="1024">
        <v>1</v>
      </c>
      <c r="P1703" s="1106"/>
    </row>
    <row r="1704" spans="1:16">
      <c r="A1704" s="869">
        <v>9</v>
      </c>
      <c r="B1704" s="882"/>
      <c r="C1704" s="869"/>
      <c r="D1704" s="40"/>
      <c r="E1704" s="505">
        <v>7</v>
      </c>
      <c r="F1704" s="881" t="s">
        <v>2020</v>
      </c>
      <c r="G1704" s="59" t="s">
        <v>269</v>
      </c>
      <c r="H1704" s="43">
        <v>6.3</v>
      </c>
      <c r="I1704" s="44">
        <v>6.6</v>
      </c>
      <c r="J1704" s="43">
        <v>6.6</v>
      </c>
      <c r="K1704" s="42"/>
      <c r="L1704" s="179"/>
      <c r="M1704" s="1028" t="s">
        <v>1939</v>
      </c>
      <c r="N1704" s="29"/>
      <c r="O1704" s="174"/>
      <c r="P1704" s="1106"/>
    </row>
    <row r="1705" spans="1:16">
      <c r="A1705" s="869">
        <v>9</v>
      </c>
      <c r="B1705" s="882"/>
      <c r="C1705" s="869"/>
      <c r="D1705" s="40"/>
      <c r="E1705" s="505">
        <v>7</v>
      </c>
      <c r="F1705" s="881" t="s">
        <v>2020</v>
      </c>
      <c r="G1705" s="510" t="s">
        <v>459</v>
      </c>
      <c r="H1705" s="49">
        <f t="shared" ref="H1705:K1705" si="383">SUM(H1703+H1704)</f>
        <v>25.2</v>
      </c>
      <c r="I1705" s="49">
        <f t="shared" si="383"/>
        <v>26.4</v>
      </c>
      <c r="J1705" s="49">
        <f t="shared" si="383"/>
        <v>26.4</v>
      </c>
      <c r="K1705" s="49">
        <f t="shared" si="383"/>
        <v>0</v>
      </c>
      <c r="L1705" s="179"/>
      <c r="M1705" s="322"/>
      <c r="N1705" s="29"/>
      <c r="O1705" s="174"/>
      <c r="P1705" s="1106"/>
    </row>
    <row r="1706" spans="1:16" ht="22.5">
      <c r="A1706" s="869">
        <v>9</v>
      </c>
      <c r="B1706" s="500" t="s">
        <v>2021</v>
      </c>
      <c r="C1706" s="500" t="s">
        <v>2021</v>
      </c>
      <c r="D1706" s="198" t="s">
        <v>2022</v>
      </c>
      <c r="E1706" s="883"/>
      <c r="F1706" s="881"/>
      <c r="G1706" s="85" t="s">
        <v>2023</v>
      </c>
      <c r="H1706" s="85">
        <f t="shared" ref="H1706:K1706" si="384">SUM(H1708,H1710)</f>
        <v>2406.6999999999998</v>
      </c>
      <c r="I1706" s="85">
        <f t="shared" si="384"/>
        <v>2763.4</v>
      </c>
      <c r="J1706" s="85">
        <f t="shared" si="384"/>
        <v>3265.4</v>
      </c>
      <c r="K1706" s="85">
        <f t="shared" si="384"/>
        <v>3031.2</v>
      </c>
      <c r="L1706" s="179"/>
      <c r="M1706" s="1028"/>
      <c r="N1706" s="29"/>
      <c r="O1706" s="174"/>
      <c r="P1706" s="1106"/>
    </row>
    <row r="1707" spans="1:16">
      <c r="A1707" s="869">
        <v>9</v>
      </c>
      <c r="B1707" s="882"/>
      <c r="C1707" s="888"/>
      <c r="D1707" s="1119"/>
      <c r="E1707" s="883"/>
      <c r="F1707" s="881"/>
      <c r="G1707" s="502" t="s">
        <v>459</v>
      </c>
      <c r="H1707" s="503">
        <f t="shared" ref="H1707:K1707" si="385">SUM(H1706:H1706)</f>
        <v>2406.6999999999998</v>
      </c>
      <c r="I1707" s="503">
        <f t="shared" si="385"/>
        <v>2763.4</v>
      </c>
      <c r="J1707" s="503">
        <f t="shared" si="385"/>
        <v>3265.4</v>
      </c>
      <c r="K1707" s="503">
        <f t="shared" si="385"/>
        <v>3031.2</v>
      </c>
      <c r="L1707" s="179"/>
      <c r="M1707" s="1028"/>
      <c r="N1707" s="29"/>
      <c r="O1707" s="174"/>
      <c r="P1707" s="1106"/>
    </row>
    <row r="1708" spans="1:16">
      <c r="A1708" s="869">
        <v>9</v>
      </c>
      <c r="B1708" s="882"/>
      <c r="C1708" s="888" t="s">
        <v>2024</v>
      </c>
      <c r="D1708" s="40" t="s">
        <v>2025</v>
      </c>
      <c r="E1708" s="414">
        <v>4</v>
      </c>
      <c r="F1708" s="881" t="s">
        <v>2026</v>
      </c>
      <c r="G1708" s="884" t="s">
        <v>193</v>
      </c>
      <c r="H1708" s="320">
        <v>464.2</v>
      </c>
      <c r="I1708" s="44">
        <v>500</v>
      </c>
      <c r="J1708" s="320">
        <v>500</v>
      </c>
      <c r="K1708" s="320">
        <v>500</v>
      </c>
      <c r="L1708" s="179" t="s">
        <v>262</v>
      </c>
      <c r="M1708" s="1028" t="s">
        <v>2027</v>
      </c>
      <c r="N1708" s="1028" t="s">
        <v>2250</v>
      </c>
      <c r="O1708" s="1024">
        <v>100</v>
      </c>
      <c r="P1708" s="1106"/>
    </row>
    <row r="1709" spans="1:16">
      <c r="A1709" s="869">
        <v>9</v>
      </c>
      <c r="B1709" s="882"/>
      <c r="C1709" s="888"/>
      <c r="D1709" s="40"/>
      <c r="E1709" s="414">
        <v>4</v>
      </c>
      <c r="F1709" s="881" t="s">
        <v>2026</v>
      </c>
      <c r="G1709" s="510" t="s">
        <v>459</v>
      </c>
      <c r="H1709" s="49">
        <f>SUM(H1708)</f>
        <v>464.2</v>
      </c>
      <c r="I1709" s="49">
        <f>SUM(I1708)</f>
        <v>500</v>
      </c>
      <c r="J1709" s="49">
        <f>SUM(J1708)</f>
        <v>500</v>
      </c>
      <c r="K1709" s="49">
        <f>SUM(K1708)</f>
        <v>500</v>
      </c>
      <c r="L1709" s="179"/>
      <c r="M1709" s="1028"/>
      <c r="N1709" s="1028"/>
      <c r="O1709" s="1024"/>
      <c r="P1709" s="1106"/>
    </row>
    <row r="1710" spans="1:16">
      <c r="A1710" s="869">
        <v>9</v>
      </c>
      <c r="B1710" s="882"/>
      <c r="C1710" s="869" t="s">
        <v>2028</v>
      </c>
      <c r="D1710" s="40" t="s">
        <v>2029</v>
      </c>
      <c r="E1710" s="414">
        <v>4</v>
      </c>
      <c r="F1710" s="881" t="s">
        <v>2030</v>
      </c>
      <c r="G1710" s="884" t="s">
        <v>193</v>
      </c>
      <c r="H1710" s="320">
        <v>1942.5</v>
      </c>
      <c r="I1710" s="44">
        <v>2263.4</v>
      </c>
      <c r="J1710" s="194">
        <v>2765.4</v>
      </c>
      <c r="K1710" s="194">
        <v>2531.1999999999998</v>
      </c>
      <c r="L1710" s="179" t="s">
        <v>262</v>
      </c>
      <c r="M1710" s="1028" t="s">
        <v>2027</v>
      </c>
      <c r="N1710" s="1028" t="s">
        <v>2250</v>
      </c>
      <c r="O1710" s="1024">
        <v>100</v>
      </c>
      <c r="P1710" s="1106"/>
    </row>
    <row r="1711" spans="1:16">
      <c r="A1711" s="869">
        <v>9</v>
      </c>
      <c r="B1711" s="882"/>
      <c r="C1711" s="869"/>
      <c r="D1711" s="40"/>
      <c r="E1711" s="414">
        <v>4</v>
      </c>
      <c r="F1711" s="881" t="s">
        <v>2030</v>
      </c>
      <c r="G1711" s="510" t="s">
        <v>459</v>
      </c>
      <c r="H1711" s="49">
        <f t="shared" ref="H1711:K1711" si="386">SUM(H1710:H1710)</f>
        <v>1942.5</v>
      </c>
      <c r="I1711" s="49">
        <f t="shared" si="386"/>
        <v>2263.4</v>
      </c>
      <c r="J1711" s="49">
        <f t="shared" si="386"/>
        <v>2765.4</v>
      </c>
      <c r="K1711" s="49">
        <f t="shared" si="386"/>
        <v>2531.1999999999998</v>
      </c>
      <c r="L1711" s="179"/>
      <c r="M1711" s="1028"/>
      <c r="N1711" s="29"/>
      <c r="O1711" s="174"/>
      <c r="P1711" s="1106"/>
    </row>
    <row r="1712" spans="1:16" ht="45">
      <c r="A1712" s="869">
        <v>9</v>
      </c>
      <c r="B1712" s="199"/>
      <c r="C1712" s="199"/>
      <c r="D1712" s="200" t="s">
        <v>2031</v>
      </c>
      <c r="E1712" s="450"/>
      <c r="F1712" s="201"/>
      <c r="G1712" s="199"/>
      <c r="H1712" s="201"/>
      <c r="I1712" s="201"/>
      <c r="J1712" s="201"/>
      <c r="K1712" s="201"/>
      <c r="L1712" s="179"/>
      <c r="M1712" s="1028"/>
      <c r="N1712" s="29"/>
      <c r="O1712" s="174"/>
      <c r="P1712" s="1106"/>
    </row>
    <row r="1713" spans="1:16" ht="29.45" customHeight="1">
      <c r="A1713" s="869">
        <v>9</v>
      </c>
      <c r="B1713" s="500" t="s">
        <v>2032</v>
      </c>
      <c r="C1713" s="500" t="s">
        <v>2032</v>
      </c>
      <c r="D1713" s="198" t="s">
        <v>2033</v>
      </c>
      <c r="E1713" s="513"/>
      <c r="F1713" s="514"/>
      <c r="G1713" s="85" t="s">
        <v>1777</v>
      </c>
      <c r="H1713" s="85">
        <f>SUM(H1719+H1721+H1723+H1726+H1728+H1730+H1735+H1737+H1732+H1733+H1741+H1739+H1745)</f>
        <v>431.5</v>
      </c>
      <c r="I1713" s="85">
        <f t="shared" ref="I1713:K1713" si="387">SUM(I1719+I1721+I1723+I1726+I1728+I1730+I1735+I1737+I1732+I1733+I1741+I1739+I1745)</f>
        <v>837.1</v>
      </c>
      <c r="J1713" s="85">
        <f t="shared" si="387"/>
        <v>1034.8</v>
      </c>
      <c r="K1713" s="85">
        <f t="shared" si="387"/>
        <v>1134.8</v>
      </c>
      <c r="L1713" s="179"/>
      <c r="M1713" s="1028"/>
      <c r="N1713" s="29"/>
      <c r="O1713" s="174"/>
      <c r="P1713" s="1106"/>
    </row>
    <row r="1714" spans="1:16" ht="22.5">
      <c r="A1714" s="869">
        <v>9</v>
      </c>
      <c r="B1714" s="882"/>
      <c r="C1714" s="888"/>
      <c r="D1714" s="1119"/>
      <c r="E1714" s="883"/>
      <c r="F1714" s="881"/>
      <c r="G1714" s="85" t="s">
        <v>2034</v>
      </c>
      <c r="H1714" s="85">
        <f t="shared" ref="H1714:K1714" si="388">H1724</f>
        <v>10</v>
      </c>
      <c r="I1714" s="85">
        <f t="shared" si="388"/>
        <v>10</v>
      </c>
      <c r="J1714" s="85">
        <f t="shared" si="388"/>
        <v>10</v>
      </c>
      <c r="K1714" s="85">
        <f t="shared" si="388"/>
        <v>10</v>
      </c>
      <c r="L1714" s="179"/>
      <c r="M1714" s="1028"/>
      <c r="N1714" s="29"/>
      <c r="O1714" s="174"/>
      <c r="P1714" s="1106"/>
    </row>
    <row r="1715" spans="1:16" ht="22.5">
      <c r="A1715" s="869">
        <v>9</v>
      </c>
      <c r="B1715" s="882"/>
      <c r="C1715" s="888"/>
      <c r="D1715" s="1119"/>
      <c r="E1715" s="883"/>
      <c r="F1715" s="881"/>
      <c r="G1715" s="85" t="s">
        <v>2035</v>
      </c>
      <c r="H1715" s="85">
        <f>SUM(H1731)</f>
        <v>69</v>
      </c>
      <c r="I1715" s="85">
        <f t="shared" ref="I1715:K1715" si="389">SUM(I1731)</f>
        <v>460.8</v>
      </c>
      <c r="J1715" s="85">
        <f t="shared" si="389"/>
        <v>0</v>
      </c>
      <c r="K1715" s="85">
        <f t="shared" si="389"/>
        <v>0</v>
      </c>
      <c r="L1715" s="179"/>
      <c r="M1715" s="1028"/>
      <c r="N1715" s="29"/>
      <c r="O1715" s="174"/>
      <c r="P1715" s="1106"/>
    </row>
    <row r="1716" spans="1:16" ht="22.5">
      <c r="A1716" s="869">
        <v>9</v>
      </c>
      <c r="B1716" s="882"/>
      <c r="C1716" s="888"/>
      <c r="D1716" s="1119"/>
      <c r="E1716" s="883"/>
      <c r="F1716" s="881"/>
      <c r="G1716" s="85" t="s">
        <v>1778</v>
      </c>
      <c r="H1716" s="85">
        <f t="shared" ref="H1716:K1717" si="390">SUM(H1742)</f>
        <v>0</v>
      </c>
      <c r="I1716" s="85">
        <f t="shared" si="390"/>
        <v>8.4</v>
      </c>
      <c r="J1716" s="85">
        <f t="shared" si="390"/>
        <v>0</v>
      </c>
      <c r="K1716" s="85">
        <f t="shared" si="390"/>
        <v>0</v>
      </c>
      <c r="L1716" s="179"/>
      <c r="M1716" s="1028"/>
      <c r="N1716" s="29"/>
      <c r="O1716" s="174"/>
      <c r="P1716" s="1106"/>
    </row>
    <row r="1717" spans="1:16" ht="22.5">
      <c r="A1717" s="869">
        <v>9</v>
      </c>
      <c r="B1717" s="882"/>
      <c r="C1717" s="888"/>
      <c r="D1717" s="1119"/>
      <c r="E1717" s="883"/>
      <c r="F1717" s="881"/>
      <c r="G1717" s="85" t="s">
        <v>2036</v>
      </c>
      <c r="H1717" s="85">
        <f t="shared" si="390"/>
        <v>0</v>
      </c>
      <c r="I1717" s="85">
        <f t="shared" si="390"/>
        <v>31.4</v>
      </c>
      <c r="J1717" s="85">
        <f t="shared" si="390"/>
        <v>0</v>
      </c>
      <c r="K1717" s="85">
        <f t="shared" si="390"/>
        <v>0</v>
      </c>
      <c r="L1717" s="179"/>
      <c r="M1717" s="1028"/>
      <c r="N1717" s="29"/>
      <c r="O1717" s="174"/>
      <c r="P1717" s="1106"/>
    </row>
    <row r="1718" spans="1:16">
      <c r="A1718" s="869">
        <v>9</v>
      </c>
      <c r="B1718" s="882"/>
      <c r="C1718" s="888"/>
      <c r="D1718" s="1119"/>
      <c r="E1718" s="883"/>
      <c r="F1718" s="881"/>
      <c r="G1718" s="502" t="s">
        <v>459</v>
      </c>
      <c r="H1718" s="503">
        <f t="shared" ref="H1718:K1718" si="391">SUM(H1713:H1717)</f>
        <v>510.5</v>
      </c>
      <c r="I1718" s="503">
        <f t="shared" si="391"/>
        <v>1347.7000000000003</v>
      </c>
      <c r="J1718" s="503">
        <f t="shared" si="391"/>
        <v>1044.8</v>
      </c>
      <c r="K1718" s="503">
        <f t="shared" si="391"/>
        <v>1144.8</v>
      </c>
      <c r="L1718" s="179"/>
      <c r="M1718" s="1028"/>
      <c r="N1718" s="29"/>
      <c r="O1718" s="174"/>
      <c r="P1718" s="1106"/>
    </row>
    <row r="1719" spans="1:16">
      <c r="A1719" s="869">
        <v>9</v>
      </c>
      <c r="B1719" s="882"/>
      <c r="C1719" s="888" t="s">
        <v>2037</v>
      </c>
      <c r="D1719" s="1119" t="s">
        <v>2038</v>
      </c>
      <c r="E1719" s="883">
        <v>13</v>
      </c>
      <c r="F1719" s="881" t="s">
        <v>2039</v>
      </c>
      <c r="G1719" s="884" t="s">
        <v>193</v>
      </c>
      <c r="H1719" s="43">
        <f>272-120</f>
        <v>152</v>
      </c>
      <c r="I1719" s="44">
        <f>150</f>
        <v>150</v>
      </c>
      <c r="J1719" s="885">
        <v>161</v>
      </c>
      <c r="K1719" s="885">
        <v>161</v>
      </c>
      <c r="L1719" s="179" t="s">
        <v>274</v>
      </c>
      <c r="M1719" s="1031" t="s">
        <v>2040</v>
      </c>
      <c r="N1719" s="1028" t="s">
        <v>2485</v>
      </c>
      <c r="O1719" s="1024">
        <v>100</v>
      </c>
      <c r="P1719" s="1106"/>
    </row>
    <row r="1720" spans="1:16">
      <c r="A1720" s="869">
        <v>9</v>
      </c>
      <c r="B1720" s="882"/>
      <c r="C1720" s="888"/>
      <c r="D1720" s="1119"/>
      <c r="E1720" s="883"/>
      <c r="F1720" s="881" t="s">
        <v>2039</v>
      </c>
      <c r="G1720" s="510" t="s">
        <v>459</v>
      </c>
      <c r="H1720" s="49">
        <f t="shared" ref="H1720:K1720" si="392">SUM(H1719)</f>
        <v>152</v>
      </c>
      <c r="I1720" s="49">
        <f t="shared" si="392"/>
        <v>150</v>
      </c>
      <c r="J1720" s="49">
        <f t="shared" si="392"/>
        <v>161</v>
      </c>
      <c r="K1720" s="49">
        <f t="shared" si="392"/>
        <v>161</v>
      </c>
      <c r="L1720" s="179"/>
      <c r="M1720" s="1028"/>
      <c r="N1720" s="29"/>
      <c r="O1720" s="174"/>
      <c r="P1720" s="1106"/>
    </row>
    <row r="1721" spans="1:16">
      <c r="A1721" s="869">
        <v>9</v>
      </c>
      <c r="B1721" s="882"/>
      <c r="C1721" s="888" t="s">
        <v>2041</v>
      </c>
      <c r="D1721" s="1119" t="s">
        <v>2042</v>
      </c>
      <c r="E1721" s="883">
        <v>3</v>
      </c>
      <c r="F1721" s="881" t="s">
        <v>2043</v>
      </c>
      <c r="G1721" s="884" t="s">
        <v>193</v>
      </c>
      <c r="H1721" s="43">
        <v>56</v>
      </c>
      <c r="I1721" s="44">
        <v>160</v>
      </c>
      <c r="J1721" s="886">
        <v>160</v>
      </c>
      <c r="K1721" s="886">
        <v>160</v>
      </c>
      <c r="L1721" s="179" t="s">
        <v>274</v>
      </c>
      <c r="M1721" s="1010" t="s">
        <v>2044</v>
      </c>
      <c r="N1721" s="1028" t="s">
        <v>2486</v>
      </c>
      <c r="O1721" s="1024">
        <v>100</v>
      </c>
      <c r="P1721" s="1106"/>
    </row>
    <row r="1722" spans="1:16">
      <c r="A1722" s="869">
        <v>9</v>
      </c>
      <c r="B1722" s="882"/>
      <c r="C1722" s="888"/>
      <c r="D1722" s="1119"/>
      <c r="E1722" s="883"/>
      <c r="F1722" s="881" t="s">
        <v>2043</v>
      </c>
      <c r="G1722" s="510" t="s">
        <v>459</v>
      </c>
      <c r="H1722" s="49">
        <f>SUM(H1721)</f>
        <v>56</v>
      </c>
      <c r="I1722" s="49">
        <f t="shared" ref="I1722:K1722" si="393">SUM(I1721)</f>
        <v>160</v>
      </c>
      <c r="J1722" s="49">
        <f t="shared" si="393"/>
        <v>160</v>
      </c>
      <c r="K1722" s="49">
        <f t="shared" si="393"/>
        <v>160</v>
      </c>
      <c r="L1722" s="179"/>
      <c r="M1722" s="1028"/>
      <c r="N1722" s="29"/>
      <c r="O1722" s="174"/>
      <c r="P1722" s="1106"/>
    </row>
    <row r="1723" spans="1:16" ht="90">
      <c r="A1723" s="869">
        <v>9</v>
      </c>
      <c r="B1723" s="882"/>
      <c r="C1723" s="888" t="s">
        <v>2045</v>
      </c>
      <c r="D1723" s="1119" t="s">
        <v>2046</v>
      </c>
      <c r="E1723" s="884">
        <v>10</v>
      </c>
      <c r="F1723" s="869" t="s">
        <v>2047</v>
      </c>
      <c r="G1723" s="193" t="s">
        <v>193</v>
      </c>
      <c r="H1723" s="43">
        <v>31.3</v>
      </c>
      <c r="I1723" s="44">
        <v>50</v>
      </c>
      <c r="J1723" s="320">
        <v>50</v>
      </c>
      <c r="K1723" s="320">
        <v>50</v>
      </c>
      <c r="L1723" s="179" t="s">
        <v>262</v>
      </c>
      <c r="M1723" s="1028" t="s">
        <v>1803</v>
      </c>
      <c r="N1723" s="1028" t="s">
        <v>2487</v>
      </c>
      <c r="O1723" s="1032" t="s">
        <v>2488</v>
      </c>
      <c r="P1723" s="1106"/>
    </row>
    <row r="1724" spans="1:16" ht="22.5">
      <c r="A1724" s="869">
        <v>9</v>
      </c>
      <c r="B1724" s="882"/>
      <c r="C1724" s="888"/>
      <c r="D1724" s="1119"/>
      <c r="E1724" s="883">
        <v>10</v>
      </c>
      <c r="F1724" s="881" t="s">
        <v>2047</v>
      </c>
      <c r="G1724" s="196" t="s">
        <v>461</v>
      </c>
      <c r="H1724" s="43">
        <v>10</v>
      </c>
      <c r="I1724" s="44">
        <v>10</v>
      </c>
      <c r="J1724" s="320">
        <v>10</v>
      </c>
      <c r="K1724" s="320">
        <v>10</v>
      </c>
      <c r="L1724" s="179"/>
      <c r="M1724" s="1028" t="s">
        <v>1803</v>
      </c>
      <c r="N1724" s="29"/>
      <c r="O1724" s="174"/>
      <c r="P1724" s="1106"/>
    </row>
    <row r="1725" spans="1:16">
      <c r="A1725" s="869">
        <v>9</v>
      </c>
      <c r="B1725" s="882"/>
      <c r="C1725" s="888"/>
      <c r="D1725" s="1119"/>
      <c r="E1725" s="883"/>
      <c r="F1725" s="881" t="s">
        <v>2047</v>
      </c>
      <c r="G1725" s="510" t="s">
        <v>459</v>
      </c>
      <c r="H1725" s="49">
        <f>SUM(H1723:H1724)</f>
        <v>41.3</v>
      </c>
      <c r="I1725" s="49">
        <f>SUM(I1723:I1724)</f>
        <v>60</v>
      </c>
      <c r="J1725" s="49">
        <f>SUM(J1723:J1724)</f>
        <v>60</v>
      </c>
      <c r="K1725" s="49">
        <f>SUM(K1723:K1724)</f>
        <v>60</v>
      </c>
      <c r="L1725" s="179"/>
      <c r="M1725" s="1028"/>
      <c r="N1725" s="29"/>
      <c r="O1725" s="174"/>
      <c r="P1725" s="1106"/>
    </row>
    <row r="1726" spans="1:16">
      <c r="A1726" s="869">
        <v>9</v>
      </c>
      <c r="B1726" s="882"/>
      <c r="C1726" s="888" t="s">
        <v>2048</v>
      </c>
      <c r="D1726" s="1119" t="s">
        <v>2049</v>
      </c>
      <c r="E1726" s="883">
        <v>10</v>
      </c>
      <c r="F1726" s="881" t="s">
        <v>2050</v>
      </c>
      <c r="G1726" s="193" t="s">
        <v>193</v>
      </c>
      <c r="H1726" s="43">
        <v>32</v>
      </c>
      <c r="I1726" s="44">
        <v>44</v>
      </c>
      <c r="J1726" s="320">
        <v>44</v>
      </c>
      <c r="K1726" s="320">
        <v>44</v>
      </c>
      <c r="L1726" s="179" t="s">
        <v>262</v>
      </c>
      <c r="M1726" s="1015" t="s">
        <v>2051</v>
      </c>
      <c r="N1726" s="1028" t="s">
        <v>2489</v>
      </c>
      <c r="O1726" s="1024">
        <v>100</v>
      </c>
      <c r="P1726" s="1106"/>
    </row>
    <row r="1727" spans="1:16">
      <c r="A1727" s="869">
        <v>9</v>
      </c>
      <c r="B1727" s="882"/>
      <c r="C1727" s="888"/>
      <c r="D1727" s="1119"/>
      <c r="E1727" s="883"/>
      <c r="F1727" s="881" t="s">
        <v>2050</v>
      </c>
      <c r="G1727" s="510" t="s">
        <v>459</v>
      </c>
      <c r="H1727" s="49">
        <f>SUM(H1726)</f>
        <v>32</v>
      </c>
      <c r="I1727" s="49">
        <f>SUM(I1726)</f>
        <v>44</v>
      </c>
      <c r="J1727" s="49">
        <f>SUM(J1726)</f>
        <v>44</v>
      </c>
      <c r="K1727" s="49">
        <f>SUM(K1726)</f>
        <v>44</v>
      </c>
      <c r="L1727" s="179"/>
      <c r="M1727" s="1028"/>
      <c r="N1727" s="29"/>
      <c r="O1727" s="174"/>
      <c r="P1727" s="1106"/>
    </row>
    <row r="1728" spans="1:16">
      <c r="A1728" s="869">
        <v>9</v>
      </c>
      <c r="B1728" s="882"/>
      <c r="C1728" s="888" t="s">
        <v>2052</v>
      </c>
      <c r="D1728" s="1123" t="s">
        <v>2053</v>
      </c>
      <c r="E1728" s="883" t="s">
        <v>2054</v>
      </c>
      <c r="F1728" s="881" t="s">
        <v>2055</v>
      </c>
      <c r="G1728" s="884" t="s">
        <v>193</v>
      </c>
      <c r="H1728" s="43">
        <v>41</v>
      </c>
      <c r="I1728" s="44">
        <v>46.8</v>
      </c>
      <c r="J1728" s="885">
        <v>46.8</v>
      </c>
      <c r="K1728" s="885">
        <v>46.8</v>
      </c>
      <c r="L1728" s="179" t="s">
        <v>262</v>
      </c>
      <c r="M1728" s="1011" t="s">
        <v>2056</v>
      </c>
      <c r="N1728" s="1028" t="s">
        <v>2250</v>
      </c>
      <c r="O1728" s="1024">
        <v>100</v>
      </c>
      <c r="P1728" s="1106"/>
    </row>
    <row r="1729" spans="1:16">
      <c r="A1729" s="869">
        <v>9</v>
      </c>
      <c r="B1729" s="882"/>
      <c r="C1729" s="888"/>
      <c r="D1729" s="1123"/>
      <c r="E1729" s="883"/>
      <c r="F1729" s="881" t="s">
        <v>2055</v>
      </c>
      <c r="G1729" s="510" t="s">
        <v>459</v>
      </c>
      <c r="H1729" s="49">
        <f>SUM(H1728)</f>
        <v>41</v>
      </c>
      <c r="I1729" s="49">
        <f>SUM(I1728)</f>
        <v>46.8</v>
      </c>
      <c r="J1729" s="49">
        <f>SUM(J1728)</f>
        <v>46.8</v>
      </c>
      <c r="K1729" s="49">
        <f>SUM(K1728)</f>
        <v>46.8</v>
      </c>
      <c r="L1729" s="179"/>
      <c r="M1729" s="1028"/>
      <c r="N1729" s="29"/>
      <c r="O1729" s="174"/>
      <c r="P1729" s="1106"/>
    </row>
    <row r="1730" spans="1:16" ht="22.5">
      <c r="A1730" s="869">
        <v>9</v>
      </c>
      <c r="B1730" s="882"/>
      <c r="C1730" s="888" t="s">
        <v>2057</v>
      </c>
      <c r="D1730" s="40" t="s">
        <v>2058</v>
      </c>
      <c r="E1730" s="515" t="s">
        <v>1004</v>
      </c>
      <c r="F1730" s="406" t="s">
        <v>2059</v>
      </c>
      <c r="G1730" s="884" t="s">
        <v>193</v>
      </c>
      <c r="H1730" s="43">
        <v>39.799999999999997</v>
      </c>
      <c r="I1730" s="44">
        <f>234.1-50</f>
        <v>184.1</v>
      </c>
      <c r="J1730" s="886">
        <v>500</v>
      </c>
      <c r="K1730" s="886">
        <v>600</v>
      </c>
      <c r="L1730" s="179" t="s">
        <v>262</v>
      </c>
      <c r="M1730" s="1028" t="s">
        <v>2060</v>
      </c>
      <c r="N1730" s="1028" t="s">
        <v>2490</v>
      </c>
      <c r="O1730" s="1024">
        <v>8</v>
      </c>
      <c r="P1730" s="1106"/>
    </row>
    <row r="1731" spans="1:16" ht="22.5">
      <c r="A1731" s="869">
        <v>9</v>
      </c>
      <c r="B1731" s="882"/>
      <c r="C1731" s="888"/>
      <c r="D1731" s="40"/>
      <c r="E1731" s="515" t="s">
        <v>1004</v>
      </c>
      <c r="F1731" s="406" t="s">
        <v>2059</v>
      </c>
      <c r="G1731" s="869" t="s">
        <v>283</v>
      </c>
      <c r="H1731" s="43">
        <v>69</v>
      </c>
      <c r="I1731" s="44">
        <v>460.8</v>
      </c>
      <c r="J1731" s="885"/>
      <c r="K1731" s="885"/>
      <c r="L1731" s="179" t="s">
        <v>262</v>
      </c>
      <c r="M1731" s="1028" t="s">
        <v>2060</v>
      </c>
      <c r="N1731" s="29"/>
      <c r="O1731" s="174"/>
      <c r="P1731" s="1106"/>
    </row>
    <row r="1732" spans="1:16" ht="22.5">
      <c r="A1732" s="869">
        <v>9</v>
      </c>
      <c r="B1732" s="882"/>
      <c r="C1732" s="888"/>
      <c r="D1732" s="40"/>
      <c r="E1732" s="516" t="s">
        <v>116</v>
      </c>
      <c r="F1732" s="406" t="s">
        <v>2059</v>
      </c>
      <c r="G1732" s="884" t="s">
        <v>193</v>
      </c>
      <c r="H1732" s="43"/>
      <c r="I1732" s="44">
        <v>99.2</v>
      </c>
      <c r="J1732" s="885"/>
      <c r="K1732" s="885"/>
      <c r="L1732" s="179" t="s">
        <v>262</v>
      </c>
      <c r="M1732" s="1028" t="s">
        <v>2061</v>
      </c>
      <c r="N1732" s="29"/>
      <c r="O1732" s="174"/>
      <c r="P1732" s="1106"/>
    </row>
    <row r="1733" spans="1:16" ht="22.5">
      <c r="A1733" s="869">
        <v>9</v>
      </c>
      <c r="B1733" s="882"/>
      <c r="C1733" s="888"/>
      <c r="D1733" s="40"/>
      <c r="E1733" s="516" t="s">
        <v>41</v>
      </c>
      <c r="F1733" s="406" t="s">
        <v>2059</v>
      </c>
      <c r="G1733" s="884" t="s">
        <v>193</v>
      </c>
      <c r="H1733" s="43">
        <v>30</v>
      </c>
      <c r="I1733" s="44">
        <v>30</v>
      </c>
      <c r="J1733" s="885"/>
      <c r="K1733" s="885"/>
      <c r="L1733" s="179" t="s">
        <v>262</v>
      </c>
      <c r="M1733" s="1028" t="s">
        <v>2062</v>
      </c>
      <c r="N1733" s="29"/>
      <c r="O1733" s="174"/>
      <c r="P1733" s="1106"/>
    </row>
    <row r="1734" spans="1:16">
      <c r="A1734" s="869">
        <v>9</v>
      </c>
      <c r="B1734" s="882"/>
      <c r="C1734" s="888"/>
      <c r="D1734" s="40"/>
      <c r="E1734" s="516"/>
      <c r="F1734" s="406" t="s">
        <v>2059</v>
      </c>
      <c r="G1734" s="510" t="s">
        <v>459</v>
      </c>
      <c r="H1734" s="49">
        <f>SUM(H1730:H1733)</f>
        <v>138.80000000000001</v>
      </c>
      <c r="I1734" s="49">
        <f>SUM(I1730:I1733)</f>
        <v>774.1</v>
      </c>
      <c r="J1734" s="49">
        <f>SUM(J1730:J1733)</f>
        <v>500</v>
      </c>
      <c r="K1734" s="49">
        <f>SUM(K1730:K1733)</f>
        <v>600</v>
      </c>
      <c r="L1734" s="179"/>
      <c r="M1734" s="1028"/>
      <c r="N1734" s="29"/>
      <c r="O1734" s="174"/>
      <c r="P1734" s="1106"/>
    </row>
    <row r="1735" spans="1:16" ht="33.75">
      <c r="A1735" s="869">
        <v>9</v>
      </c>
      <c r="B1735" s="882"/>
      <c r="C1735" s="888" t="s">
        <v>2063</v>
      </c>
      <c r="D1735" s="1119" t="s">
        <v>2064</v>
      </c>
      <c r="E1735" s="883">
        <v>36</v>
      </c>
      <c r="F1735" s="881" t="s">
        <v>2065</v>
      </c>
      <c r="G1735" s="884" t="s">
        <v>193</v>
      </c>
      <c r="H1735" s="43">
        <v>29.6</v>
      </c>
      <c r="I1735" s="44">
        <v>50</v>
      </c>
      <c r="J1735" s="885">
        <v>50</v>
      </c>
      <c r="K1735" s="885">
        <v>50</v>
      </c>
      <c r="L1735" s="179" t="s">
        <v>262</v>
      </c>
      <c r="M1735" s="1028" t="s">
        <v>2066</v>
      </c>
      <c r="N1735" s="1028" t="s">
        <v>2491</v>
      </c>
      <c r="O1735" s="1024">
        <v>5</v>
      </c>
      <c r="P1735" s="1106"/>
    </row>
    <row r="1736" spans="1:16">
      <c r="A1736" s="869">
        <v>9</v>
      </c>
      <c r="B1736" s="882"/>
      <c r="C1736" s="888"/>
      <c r="D1736" s="1119"/>
      <c r="E1736" s="883">
        <v>36</v>
      </c>
      <c r="F1736" s="881" t="s">
        <v>2065</v>
      </c>
      <c r="G1736" s="510" t="s">
        <v>459</v>
      </c>
      <c r="H1736" s="49">
        <f>SUM(H1735)</f>
        <v>29.6</v>
      </c>
      <c r="I1736" s="49">
        <f>SUM(I1735)</f>
        <v>50</v>
      </c>
      <c r="J1736" s="49">
        <f>SUM(J1735)</f>
        <v>50</v>
      </c>
      <c r="K1736" s="49">
        <f>SUM(K1735)</f>
        <v>50</v>
      </c>
      <c r="L1736" s="179"/>
      <c r="M1736" s="1028"/>
      <c r="N1736" s="1028"/>
      <c r="O1736" s="1024"/>
      <c r="P1736" s="1106"/>
    </row>
    <row r="1737" spans="1:16" ht="22.15" customHeight="1">
      <c r="A1737" s="869">
        <v>9</v>
      </c>
      <c r="B1737" s="882"/>
      <c r="C1737" s="888" t="s">
        <v>2067</v>
      </c>
      <c r="D1737" s="1119" t="s">
        <v>2068</v>
      </c>
      <c r="E1737" s="883">
        <v>36</v>
      </c>
      <c r="F1737" s="881" t="s">
        <v>2069</v>
      </c>
      <c r="G1737" s="884" t="s">
        <v>193</v>
      </c>
      <c r="H1737" s="43">
        <v>2.4</v>
      </c>
      <c r="I1737" s="44">
        <v>10</v>
      </c>
      <c r="J1737" s="885">
        <v>10</v>
      </c>
      <c r="K1737" s="885">
        <v>10</v>
      </c>
      <c r="L1737" s="179" t="s">
        <v>262</v>
      </c>
      <c r="M1737" s="1028" t="s">
        <v>2492</v>
      </c>
      <c r="N1737" s="1028" t="s">
        <v>2493</v>
      </c>
      <c r="O1737" s="1024">
        <v>7</v>
      </c>
      <c r="P1737" s="1106"/>
    </row>
    <row r="1738" spans="1:16">
      <c r="A1738" s="869">
        <v>9</v>
      </c>
      <c r="B1738" s="882"/>
      <c r="C1738" s="888"/>
      <c r="D1738" s="1119"/>
      <c r="E1738" s="883">
        <v>36</v>
      </c>
      <c r="F1738" s="881" t="s">
        <v>2069</v>
      </c>
      <c r="G1738" s="510" t="s">
        <v>459</v>
      </c>
      <c r="H1738" s="49">
        <f>SUM(H1737)</f>
        <v>2.4</v>
      </c>
      <c r="I1738" s="49">
        <f>SUM(I1737)</f>
        <v>10</v>
      </c>
      <c r="J1738" s="49">
        <f>SUM(J1737)</f>
        <v>10</v>
      </c>
      <c r="K1738" s="49">
        <f>SUM(K1737)</f>
        <v>10</v>
      </c>
      <c r="L1738" s="179"/>
      <c r="M1738" s="1028"/>
      <c r="N1738" s="1028"/>
      <c r="O1738" s="1024"/>
      <c r="P1738" s="1106"/>
    </row>
    <row r="1739" spans="1:16" ht="22.5">
      <c r="A1739" s="869">
        <v>9</v>
      </c>
      <c r="B1739" s="882"/>
      <c r="C1739" s="888" t="s">
        <v>2070</v>
      </c>
      <c r="D1739" s="1119" t="s">
        <v>2071</v>
      </c>
      <c r="E1739" s="884">
        <v>13</v>
      </c>
      <c r="F1739" s="869" t="s">
        <v>2072</v>
      </c>
      <c r="G1739" s="884" t="s">
        <v>193</v>
      </c>
      <c r="H1739" s="43">
        <v>4.4000000000000004</v>
      </c>
      <c r="I1739" s="44">
        <v>10</v>
      </c>
      <c r="J1739" s="885">
        <v>10</v>
      </c>
      <c r="K1739" s="885">
        <v>10</v>
      </c>
      <c r="L1739" s="179" t="s">
        <v>274</v>
      </c>
      <c r="M1739" s="1028" t="s">
        <v>2494</v>
      </c>
      <c r="N1739" s="1028" t="s">
        <v>2495</v>
      </c>
      <c r="O1739" s="1024">
        <v>2</v>
      </c>
      <c r="P1739" s="1106"/>
    </row>
    <row r="1740" spans="1:16">
      <c r="A1740" s="869">
        <v>9</v>
      </c>
      <c r="B1740" s="882"/>
      <c r="C1740" s="888"/>
      <c r="D1740" s="1119"/>
      <c r="E1740" s="869">
        <v>13</v>
      </c>
      <c r="F1740" s="869" t="s">
        <v>2072</v>
      </c>
      <c r="G1740" s="510" t="s">
        <v>459</v>
      </c>
      <c r="H1740" s="49">
        <f t="shared" ref="H1740:K1740" si="394">SUM(H1739)</f>
        <v>4.4000000000000004</v>
      </c>
      <c r="I1740" s="49">
        <f t="shared" si="394"/>
        <v>10</v>
      </c>
      <c r="J1740" s="49">
        <f t="shared" si="394"/>
        <v>10</v>
      </c>
      <c r="K1740" s="49">
        <f t="shared" si="394"/>
        <v>10</v>
      </c>
      <c r="L1740" s="179"/>
      <c r="M1740" s="1028"/>
      <c r="N1740" s="29"/>
      <c r="O1740" s="174"/>
      <c r="P1740" s="1106"/>
    </row>
    <row r="1741" spans="1:16" ht="22.5">
      <c r="A1741" s="869">
        <v>9</v>
      </c>
      <c r="B1741" s="882"/>
      <c r="C1741" s="888" t="s">
        <v>2073</v>
      </c>
      <c r="D1741" s="1119" t="s">
        <v>2074</v>
      </c>
      <c r="E1741" s="869">
        <v>10</v>
      </c>
      <c r="F1741" s="869" t="s">
        <v>2075</v>
      </c>
      <c r="G1741" s="884" t="s">
        <v>193</v>
      </c>
      <c r="H1741" s="43">
        <v>10</v>
      </c>
      <c r="I1741" s="44"/>
      <c r="J1741" s="885"/>
      <c r="K1741" s="885"/>
      <c r="L1741" s="179" t="s">
        <v>385</v>
      </c>
      <c r="M1741" s="1028" t="s">
        <v>2076</v>
      </c>
      <c r="N1741" s="29"/>
      <c r="O1741" s="174"/>
      <c r="P1741" s="1106"/>
    </row>
    <row r="1742" spans="1:16">
      <c r="A1742" s="869">
        <v>9</v>
      </c>
      <c r="B1742" s="882"/>
      <c r="C1742" s="888"/>
      <c r="D1742" s="1119"/>
      <c r="E1742" s="869">
        <v>10</v>
      </c>
      <c r="F1742" s="869" t="s">
        <v>2075</v>
      </c>
      <c r="G1742" s="869" t="s">
        <v>195</v>
      </c>
      <c r="H1742" s="43"/>
      <c r="I1742" s="44">
        <v>8.4</v>
      </c>
      <c r="J1742" s="885"/>
      <c r="K1742" s="885"/>
      <c r="L1742" s="179" t="s">
        <v>385</v>
      </c>
      <c r="M1742" s="1028" t="s">
        <v>2076</v>
      </c>
      <c r="N1742" s="126"/>
      <c r="O1742" s="196"/>
      <c r="P1742" s="1106"/>
    </row>
    <row r="1743" spans="1:16">
      <c r="A1743" s="869">
        <v>9</v>
      </c>
      <c r="B1743" s="882"/>
      <c r="C1743" s="888"/>
      <c r="D1743" s="1119"/>
      <c r="E1743" s="869">
        <v>10</v>
      </c>
      <c r="F1743" s="869" t="s">
        <v>2075</v>
      </c>
      <c r="G1743" s="869" t="s">
        <v>267</v>
      </c>
      <c r="H1743" s="43"/>
      <c r="I1743" s="44">
        <v>31.4</v>
      </c>
      <c r="J1743" s="885"/>
      <c r="K1743" s="885"/>
      <c r="L1743" s="179" t="s">
        <v>385</v>
      </c>
      <c r="M1743" s="1028" t="s">
        <v>2076</v>
      </c>
      <c r="N1743" s="1028" t="s">
        <v>2496</v>
      </c>
      <c r="O1743" s="1024">
        <v>100</v>
      </c>
      <c r="P1743" s="1106"/>
    </row>
    <row r="1744" spans="1:16">
      <c r="A1744" s="869">
        <v>9</v>
      </c>
      <c r="B1744" s="882"/>
      <c r="C1744" s="888"/>
      <c r="D1744" s="1119"/>
      <c r="E1744" s="869">
        <v>10</v>
      </c>
      <c r="F1744" s="869" t="s">
        <v>2075</v>
      </c>
      <c r="G1744" s="510" t="s">
        <v>459</v>
      </c>
      <c r="H1744" s="49">
        <f t="shared" ref="H1744:K1744" si="395">SUM(H1741:H1743)</f>
        <v>10</v>
      </c>
      <c r="I1744" s="49">
        <f t="shared" si="395"/>
        <v>39.799999999999997</v>
      </c>
      <c r="J1744" s="49">
        <f t="shared" si="395"/>
        <v>0</v>
      </c>
      <c r="K1744" s="49">
        <f t="shared" si="395"/>
        <v>0</v>
      </c>
      <c r="L1744" s="179" t="s">
        <v>385</v>
      </c>
      <c r="M1744" s="1028"/>
      <c r="N1744" s="29"/>
      <c r="O1744" s="174"/>
      <c r="P1744" s="1106"/>
    </row>
    <row r="1745" spans="1:16" ht="22.5">
      <c r="A1745" s="869">
        <v>9</v>
      </c>
      <c r="B1745" s="882"/>
      <c r="C1745" s="888" t="s">
        <v>2077</v>
      </c>
      <c r="D1745" s="1124" t="s">
        <v>2078</v>
      </c>
      <c r="E1745" s="869">
        <v>10</v>
      </c>
      <c r="F1745" s="869" t="s">
        <v>2079</v>
      </c>
      <c r="G1745" s="884" t="s">
        <v>193</v>
      </c>
      <c r="H1745" s="43">
        <v>3</v>
      </c>
      <c r="I1745" s="44">
        <v>3</v>
      </c>
      <c r="J1745" s="885">
        <v>3</v>
      </c>
      <c r="K1745" s="885">
        <v>3</v>
      </c>
      <c r="L1745" s="179" t="s">
        <v>262</v>
      </c>
      <c r="M1745" s="1028" t="s">
        <v>2080</v>
      </c>
      <c r="N1745" s="1028" t="s">
        <v>2489</v>
      </c>
      <c r="O1745" s="1024">
        <v>100</v>
      </c>
      <c r="P1745" s="1106"/>
    </row>
    <row r="1746" spans="1:16">
      <c r="A1746" s="869">
        <v>9</v>
      </c>
      <c r="B1746" s="882"/>
      <c r="C1746" s="888"/>
      <c r="D1746" s="1119"/>
      <c r="E1746" s="869">
        <v>10</v>
      </c>
      <c r="F1746" s="869" t="s">
        <v>2079</v>
      </c>
      <c r="G1746" s="510" t="s">
        <v>459</v>
      </c>
      <c r="H1746" s="49">
        <f t="shared" ref="H1746:K1746" si="396">SUM(H1745)</f>
        <v>3</v>
      </c>
      <c r="I1746" s="49">
        <f t="shared" si="396"/>
        <v>3</v>
      </c>
      <c r="J1746" s="49">
        <f t="shared" si="396"/>
        <v>3</v>
      </c>
      <c r="K1746" s="49">
        <f t="shared" si="396"/>
        <v>3</v>
      </c>
      <c r="L1746" s="179"/>
      <c r="M1746" s="1028"/>
      <c r="N1746" s="29"/>
      <c r="O1746" s="174"/>
      <c r="P1746" s="1106"/>
    </row>
    <row r="1747" spans="1:16" ht="22.5">
      <c r="A1747" s="869">
        <v>9</v>
      </c>
      <c r="B1747" s="517"/>
      <c r="C1747" s="517"/>
      <c r="D1747" s="200" t="s">
        <v>2081</v>
      </c>
      <c r="E1747" s="450"/>
      <c r="F1747" s="201"/>
      <c r="G1747" s="199"/>
      <c r="H1747" s="201"/>
      <c r="I1747" s="201"/>
      <c r="J1747" s="201"/>
      <c r="K1747" s="201"/>
      <c r="L1747" s="179"/>
      <c r="M1747" s="1028"/>
      <c r="N1747" s="29"/>
      <c r="O1747" s="174"/>
      <c r="P1747" s="1106"/>
    </row>
    <row r="1748" spans="1:16" ht="22.5">
      <c r="A1748" s="869">
        <v>9</v>
      </c>
      <c r="B1748" s="500" t="s">
        <v>2082</v>
      </c>
      <c r="C1748" s="500" t="s">
        <v>2082</v>
      </c>
      <c r="D1748" s="198" t="s">
        <v>2083</v>
      </c>
      <c r="E1748" s="883"/>
      <c r="F1748" s="881"/>
      <c r="G1748" s="85" t="s">
        <v>2023</v>
      </c>
      <c r="H1748" s="85">
        <f>SUM(H1758+H1761+H1765+H1767+H1769+H1775+H1777+H1781+H1782+H1784+H1786+H1789+H1759+H1790+H1791)</f>
        <v>758.40000000000009</v>
      </c>
      <c r="I1748" s="85">
        <f t="shared" ref="I1748:K1748" si="397">SUM(I1758+I1761+I1765+I1767+I1769+I1775+I1777+I1781+I1782+I1784+I1786+I1789+I1759+I1790+I1791)</f>
        <v>1428.3</v>
      </c>
      <c r="J1748" s="85">
        <f t="shared" si="397"/>
        <v>737.3</v>
      </c>
      <c r="K1748" s="85">
        <f t="shared" si="397"/>
        <v>568.1</v>
      </c>
      <c r="L1748" s="179"/>
      <c r="M1748" s="1028"/>
      <c r="N1748" s="29"/>
      <c r="O1748" s="174"/>
      <c r="P1748" s="1106"/>
    </row>
    <row r="1749" spans="1:16" ht="22.5">
      <c r="A1749" s="869">
        <v>9</v>
      </c>
      <c r="B1749" s="882"/>
      <c r="C1749" s="869"/>
      <c r="D1749" s="1119"/>
      <c r="E1749" s="883"/>
      <c r="F1749" s="881"/>
      <c r="G1749" s="85" t="s">
        <v>2084</v>
      </c>
      <c r="H1749" s="85">
        <f t="shared" ref="H1749:K1749" si="398">H1762+H1771</f>
        <v>0</v>
      </c>
      <c r="I1749" s="85">
        <f t="shared" si="398"/>
        <v>200</v>
      </c>
      <c r="J1749" s="85">
        <f t="shared" si="398"/>
        <v>0</v>
      </c>
      <c r="K1749" s="85">
        <f t="shared" si="398"/>
        <v>0</v>
      </c>
      <c r="L1749" s="179"/>
      <c r="M1749" s="1028"/>
      <c r="N1749" s="29"/>
      <c r="O1749" s="174"/>
      <c r="P1749" s="1106"/>
    </row>
    <row r="1750" spans="1:16" ht="22.5">
      <c r="A1750" s="869">
        <v>9</v>
      </c>
      <c r="B1750" s="882"/>
      <c r="C1750" s="869"/>
      <c r="D1750" s="1119"/>
      <c r="E1750" s="883"/>
      <c r="F1750" s="881"/>
      <c r="G1750" s="85" t="s">
        <v>2085</v>
      </c>
      <c r="H1750" s="85">
        <f t="shared" ref="H1750:K1750" si="399">H1763</f>
        <v>24</v>
      </c>
      <c r="I1750" s="85">
        <f t="shared" si="399"/>
        <v>5</v>
      </c>
      <c r="J1750" s="85">
        <f t="shared" si="399"/>
        <v>0</v>
      </c>
      <c r="K1750" s="85">
        <f t="shared" si="399"/>
        <v>0</v>
      </c>
      <c r="L1750" s="179"/>
      <c r="M1750" s="1028"/>
      <c r="N1750" s="29"/>
      <c r="O1750" s="174"/>
      <c r="P1750" s="1106"/>
    </row>
    <row r="1751" spans="1:16" ht="22.5">
      <c r="A1751" s="869">
        <v>9</v>
      </c>
      <c r="B1751" s="882"/>
      <c r="C1751" s="869"/>
      <c r="D1751" s="1119"/>
      <c r="E1751" s="883"/>
      <c r="F1751" s="881"/>
      <c r="G1751" s="85" t="s">
        <v>2086</v>
      </c>
      <c r="H1751" s="85">
        <f t="shared" ref="H1751:K1752" si="400">H1778</f>
        <v>86.6</v>
      </c>
      <c r="I1751" s="85">
        <f t="shared" si="400"/>
        <v>93</v>
      </c>
      <c r="J1751" s="85">
        <f t="shared" si="400"/>
        <v>93</v>
      </c>
      <c r="K1751" s="85">
        <f t="shared" si="400"/>
        <v>93</v>
      </c>
      <c r="L1751" s="179"/>
      <c r="M1751" s="1028"/>
      <c r="N1751" s="29"/>
      <c r="O1751" s="174"/>
      <c r="P1751" s="1106"/>
    </row>
    <row r="1752" spans="1:16" ht="22.5">
      <c r="A1752" s="869">
        <v>9</v>
      </c>
      <c r="B1752" s="882"/>
      <c r="C1752" s="869"/>
      <c r="D1752" s="1119"/>
      <c r="E1752" s="883"/>
      <c r="F1752" s="881"/>
      <c r="G1752" s="85" t="s">
        <v>2087</v>
      </c>
      <c r="H1752" s="85">
        <f t="shared" si="400"/>
        <v>0</v>
      </c>
      <c r="I1752" s="85">
        <f t="shared" si="400"/>
        <v>0</v>
      </c>
      <c r="J1752" s="85">
        <f t="shared" si="400"/>
        <v>0</v>
      </c>
      <c r="K1752" s="85">
        <f t="shared" si="400"/>
        <v>0</v>
      </c>
      <c r="L1752" s="179"/>
      <c r="M1752" s="1028"/>
      <c r="N1752" s="29"/>
      <c r="O1752" s="174"/>
      <c r="P1752" s="1106"/>
    </row>
    <row r="1753" spans="1:16" ht="22.5">
      <c r="A1753" s="869">
        <v>9</v>
      </c>
      <c r="B1753" s="882"/>
      <c r="C1753" s="869"/>
      <c r="D1753" s="1119"/>
      <c r="E1753" s="883"/>
      <c r="F1753" s="881"/>
      <c r="G1753" s="85" t="s">
        <v>2088</v>
      </c>
      <c r="H1753" s="85">
        <f>H1787+H1773</f>
        <v>918.40000000000009</v>
      </c>
      <c r="I1753" s="85">
        <f>I1787+I1773</f>
        <v>1823.7</v>
      </c>
      <c r="J1753" s="85">
        <f>J1787+J1773</f>
        <v>345.3</v>
      </c>
      <c r="K1753" s="85">
        <f>K1787+K1773</f>
        <v>0</v>
      </c>
      <c r="L1753" s="179"/>
      <c r="M1753" s="1028"/>
      <c r="N1753" s="29"/>
      <c r="O1753" s="174"/>
      <c r="P1753" s="1106"/>
    </row>
    <row r="1754" spans="1:16" ht="22.5">
      <c r="A1754" s="869">
        <v>9</v>
      </c>
      <c r="B1754" s="882"/>
      <c r="C1754" s="869"/>
      <c r="D1754" s="1119"/>
      <c r="E1754" s="883"/>
      <c r="F1754" s="881"/>
      <c r="G1754" s="85" t="s">
        <v>2089</v>
      </c>
      <c r="H1754" s="85"/>
      <c r="I1754" s="85">
        <f t="shared" ref="I1754" si="401">SUM(J1772)</f>
        <v>0</v>
      </c>
      <c r="J1754" s="85">
        <f>SUM(L1772)</f>
        <v>0</v>
      </c>
      <c r="K1754" s="85">
        <f>SUM(M1772)</f>
        <v>0</v>
      </c>
      <c r="L1754" s="179"/>
      <c r="M1754" s="1028"/>
      <c r="N1754" s="29"/>
      <c r="O1754" s="174"/>
      <c r="P1754" s="1106"/>
    </row>
    <row r="1755" spans="1:16" ht="22.5">
      <c r="A1755" s="869">
        <v>9</v>
      </c>
      <c r="B1755" s="882"/>
      <c r="C1755" s="869"/>
      <c r="D1755" s="1119"/>
      <c r="E1755" s="883"/>
      <c r="F1755" s="881"/>
      <c r="G1755" s="85" t="s">
        <v>2090</v>
      </c>
      <c r="H1755" s="85">
        <f>H1770</f>
        <v>0</v>
      </c>
      <c r="I1755" s="85">
        <f t="shared" ref="I1755:K1755" si="402">I1770</f>
        <v>0</v>
      </c>
      <c r="J1755" s="85">
        <f t="shared" si="402"/>
        <v>0</v>
      </c>
      <c r="K1755" s="85">
        <f t="shared" si="402"/>
        <v>0</v>
      </c>
      <c r="L1755" s="179"/>
      <c r="M1755" s="1028"/>
      <c r="N1755" s="29"/>
      <c r="O1755" s="174"/>
      <c r="P1755" s="1106"/>
    </row>
    <row r="1756" spans="1:16" ht="22.5">
      <c r="A1756" s="869">
        <v>9</v>
      </c>
      <c r="B1756" s="882"/>
      <c r="C1756" s="869"/>
      <c r="D1756" s="1119"/>
      <c r="E1756" s="883"/>
      <c r="F1756" s="881"/>
      <c r="G1756" s="85" t="s">
        <v>2091</v>
      </c>
      <c r="H1756" s="85">
        <f>H1772</f>
        <v>0</v>
      </c>
      <c r="I1756" s="85">
        <f t="shared" ref="I1756:K1756" si="403">I1772</f>
        <v>600</v>
      </c>
      <c r="J1756" s="85">
        <f t="shared" si="403"/>
        <v>0</v>
      </c>
      <c r="K1756" s="85">
        <f t="shared" si="403"/>
        <v>0</v>
      </c>
      <c r="L1756" s="179"/>
      <c r="M1756" s="1028"/>
      <c r="N1756" s="29"/>
      <c r="O1756" s="174"/>
      <c r="P1756" s="1106"/>
    </row>
    <row r="1757" spans="1:16">
      <c r="A1757" s="869">
        <v>9</v>
      </c>
      <c r="B1757" s="882"/>
      <c r="C1757" s="869"/>
      <c r="D1757" s="1119"/>
      <c r="E1757" s="883"/>
      <c r="F1757" s="881"/>
      <c r="G1757" s="502" t="s">
        <v>459</v>
      </c>
      <c r="H1757" s="503">
        <f>SUM(H1748:H1756)</f>
        <v>1787.4</v>
      </c>
      <c r="I1757" s="503">
        <f t="shared" ref="I1757:K1757" si="404">SUM(I1748:I1756)</f>
        <v>4150</v>
      </c>
      <c r="J1757" s="503">
        <f t="shared" si="404"/>
        <v>1175.5999999999999</v>
      </c>
      <c r="K1757" s="503">
        <f t="shared" si="404"/>
        <v>661.1</v>
      </c>
      <c r="L1757" s="179"/>
      <c r="M1757" s="1028"/>
      <c r="N1757" s="29"/>
      <c r="O1757" s="174"/>
      <c r="P1757" s="1106"/>
    </row>
    <row r="1758" spans="1:16" ht="33.75">
      <c r="A1758" s="869">
        <v>9</v>
      </c>
      <c r="B1758" s="882"/>
      <c r="C1758" s="869" t="s">
        <v>2092</v>
      </c>
      <c r="D1758" s="1119" t="s">
        <v>2093</v>
      </c>
      <c r="E1758" s="883">
        <v>10</v>
      </c>
      <c r="F1758" s="881" t="s">
        <v>2094</v>
      </c>
      <c r="G1758" s="884" t="s">
        <v>193</v>
      </c>
      <c r="H1758" s="885">
        <v>46.9</v>
      </c>
      <c r="I1758" s="887">
        <v>42</v>
      </c>
      <c r="J1758" s="886">
        <v>42</v>
      </c>
      <c r="K1758" s="886">
        <v>42</v>
      </c>
      <c r="L1758" s="179" t="s">
        <v>274</v>
      </c>
      <c r="M1758" s="1028" t="s">
        <v>2095</v>
      </c>
      <c r="N1758" s="1025" t="s">
        <v>2497</v>
      </c>
      <c r="O1758" s="1026">
        <v>10</v>
      </c>
      <c r="P1758" s="1106"/>
    </row>
    <row r="1759" spans="1:16">
      <c r="A1759" s="869">
        <v>9</v>
      </c>
      <c r="B1759" s="882"/>
      <c r="C1759" s="869"/>
      <c r="D1759" s="1119"/>
      <c r="E1759" s="881">
        <v>27</v>
      </c>
      <c r="F1759" s="881" t="s">
        <v>2094</v>
      </c>
      <c r="G1759" s="884" t="s">
        <v>193</v>
      </c>
      <c r="H1759" s="885">
        <v>54.3</v>
      </c>
      <c r="I1759" s="887"/>
      <c r="J1759" s="885"/>
      <c r="K1759" s="885"/>
      <c r="L1759" s="179" t="s">
        <v>274</v>
      </c>
      <c r="M1759" s="1028"/>
      <c r="N1759" s="29"/>
      <c r="O1759" s="174"/>
      <c r="P1759" s="1106"/>
    </row>
    <row r="1760" spans="1:16">
      <c r="A1760" s="869">
        <v>9</v>
      </c>
      <c r="B1760" s="882"/>
      <c r="C1760" s="869"/>
      <c r="D1760" s="1119"/>
      <c r="E1760" s="883">
        <v>10</v>
      </c>
      <c r="F1760" s="881" t="s">
        <v>2094</v>
      </c>
      <c r="G1760" s="510" t="s">
        <v>459</v>
      </c>
      <c r="H1760" s="49">
        <f>SUM(H1758+H1759)</f>
        <v>101.19999999999999</v>
      </c>
      <c r="I1760" s="49">
        <f t="shared" ref="I1760:K1760" si="405">SUM(I1758+I1759)</f>
        <v>42</v>
      </c>
      <c r="J1760" s="49">
        <f t="shared" si="405"/>
        <v>42</v>
      </c>
      <c r="K1760" s="49">
        <f t="shared" si="405"/>
        <v>42</v>
      </c>
      <c r="L1760" s="179"/>
      <c r="M1760" s="1028"/>
      <c r="N1760" s="29"/>
      <c r="O1760" s="174"/>
      <c r="P1760" s="1106"/>
    </row>
    <row r="1761" spans="1:16" ht="22.5">
      <c r="A1761" s="869">
        <v>9</v>
      </c>
      <c r="B1761" s="882"/>
      <c r="C1761" s="869" t="s">
        <v>2096</v>
      </c>
      <c r="D1761" s="1119" t="s">
        <v>2097</v>
      </c>
      <c r="E1761" s="883">
        <v>38</v>
      </c>
      <c r="F1761" s="881" t="s">
        <v>2098</v>
      </c>
      <c r="G1761" s="884" t="s">
        <v>193</v>
      </c>
      <c r="H1761" s="43">
        <v>37.799999999999997</v>
      </c>
      <c r="I1761" s="44">
        <v>50</v>
      </c>
      <c r="J1761" s="885">
        <v>50</v>
      </c>
      <c r="K1761" s="885">
        <v>50</v>
      </c>
      <c r="L1761" s="179" t="s">
        <v>262</v>
      </c>
      <c r="M1761" s="1028" t="s">
        <v>2099</v>
      </c>
      <c r="N1761" s="1028" t="s">
        <v>2245</v>
      </c>
      <c r="O1761" s="1024">
        <v>100</v>
      </c>
      <c r="P1761" s="1106"/>
    </row>
    <row r="1762" spans="1:16">
      <c r="A1762" s="869">
        <v>9</v>
      </c>
      <c r="B1762" s="882"/>
      <c r="C1762" s="869"/>
      <c r="D1762" s="1119"/>
      <c r="E1762" s="883">
        <v>38</v>
      </c>
      <c r="F1762" s="881" t="s">
        <v>2098</v>
      </c>
      <c r="G1762" s="869" t="s">
        <v>631</v>
      </c>
      <c r="H1762" s="43"/>
      <c r="I1762" s="44"/>
      <c r="J1762" s="885"/>
      <c r="K1762" s="885"/>
      <c r="L1762" s="179"/>
      <c r="M1762" s="1028"/>
      <c r="N1762" s="1028"/>
      <c r="O1762" s="1024"/>
      <c r="P1762" s="1106"/>
    </row>
    <row r="1763" spans="1:16">
      <c r="A1763" s="869">
        <v>9</v>
      </c>
      <c r="B1763" s="882"/>
      <c r="C1763" s="869"/>
      <c r="D1763" s="1119"/>
      <c r="E1763" s="883">
        <v>38</v>
      </c>
      <c r="F1763" s="881" t="s">
        <v>2098</v>
      </c>
      <c r="G1763" s="884" t="s">
        <v>2100</v>
      </c>
      <c r="H1763" s="43">
        <v>24</v>
      </c>
      <c r="I1763" s="44">
        <v>5</v>
      </c>
      <c r="J1763" s="886"/>
      <c r="K1763" s="886"/>
      <c r="L1763" s="179"/>
      <c r="M1763" s="1028"/>
      <c r="N1763" s="1028"/>
      <c r="O1763" s="1024"/>
      <c r="P1763" s="1106"/>
    </row>
    <row r="1764" spans="1:16">
      <c r="A1764" s="869">
        <v>9</v>
      </c>
      <c r="B1764" s="882"/>
      <c r="C1764" s="869"/>
      <c r="D1764" s="1119"/>
      <c r="E1764" s="883">
        <v>38</v>
      </c>
      <c r="F1764" s="881" t="s">
        <v>2098</v>
      </c>
      <c r="G1764" s="510" t="s">
        <v>459</v>
      </c>
      <c r="H1764" s="49">
        <f t="shared" ref="H1764:K1764" si="406">SUM(H1761:H1763)</f>
        <v>61.8</v>
      </c>
      <c r="I1764" s="49">
        <f t="shared" si="406"/>
        <v>55</v>
      </c>
      <c r="J1764" s="49">
        <f t="shared" si="406"/>
        <v>50</v>
      </c>
      <c r="K1764" s="49">
        <f t="shared" si="406"/>
        <v>50</v>
      </c>
      <c r="L1764" s="179"/>
      <c r="M1764" s="1028"/>
      <c r="N1764" s="1028"/>
      <c r="O1764" s="1024"/>
      <c r="P1764" s="1106"/>
    </row>
    <row r="1765" spans="1:16">
      <c r="A1765" s="869">
        <v>9</v>
      </c>
      <c r="B1765" s="882"/>
      <c r="C1765" s="869" t="s">
        <v>2101</v>
      </c>
      <c r="D1765" s="1119" t="s">
        <v>2102</v>
      </c>
      <c r="E1765" s="518">
        <v>36</v>
      </c>
      <c r="F1765" s="881" t="s">
        <v>2103</v>
      </c>
      <c r="G1765" s="884" t="s">
        <v>193</v>
      </c>
      <c r="H1765" s="43">
        <v>10</v>
      </c>
      <c r="I1765" s="44">
        <v>16</v>
      </c>
      <c r="J1765" s="885">
        <v>16</v>
      </c>
      <c r="K1765" s="885">
        <v>16</v>
      </c>
      <c r="L1765" s="179" t="s">
        <v>262</v>
      </c>
      <c r="M1765" s="1028" t="s">
        <v>2066</v>
      </c>
      <c r="N1765" s="1028" t="s">
        <v>2498</v>
      </c>
      <c r="O1765" s="1024">
        <v>15</v>
      </c>
      <c r="P1765" s="1106"/>
    </row>
    <row r="1766" spans="1:16">
      <c r="A1766" s="869">
        <v>9</v>
      </c>
      <c r="B1766" s="882"/>
      <c r="C1766" s="869"/>
      <c r="D1766" s="1119"/>
      <c r="E1766" s="518">
        <v>36</v>
      </c>
      <c r="F1766" s="881" t="s">
        <v>2103</v>
      </c>
      <c r="G1766" s="510" t="s">
        <v>459</v>
      </c>
      <c r="H1766" s="49">
        <f>SUM(H1765)</f>
        <v>10</v>
      </c>
      <c r="I1766" s="49">
        <f>SUM(I1765)</f>
        <v>16</v>
      </c>
      <c r="J1766" s="49">
        <f>SUM(J1765)</f>
        <v>16</v>
      </c>
      <c r="K1766" s="49">
        <f>SUM(K1765)</f>
        <v>16</v>
      </c>
      <c r="L1766" s="179"/>
      <c r="M1766" s="1028"/>
      <c r="N1766" s="29"/>
      <c r="O1766" s="174"/>
      <c r="P1766" s="1106"/>
    </row>
    <row r="1767" spans="1:16" ht="22.5">
      <c r="A1767" s="869">
        <v>9</v>
      </c>
      <c r="B1767" s="882"/>
      <c r="C1767" s="869" t="s">
        <v>2104</v>
      </c>
      <c r="D1767" s="1119" t="s">
        <v>2105</v>
      </c>
      <c r="E1767" s="518">
        <v>36</v>
      </c>
      <c r="F1767" s="881" t="s">
        <v>2106</v>
      </c>
      <c r="G1767" s="884" t="s">
        <v>193</v>
      </c>
      <c r="H1767" s="43">
        <v>124.7</v>
      </c>
      <c r="I1767" s="44">
        <f>798-200-250</f>
        <v>348</v>
      </c>
      <c r="J1767" s="885">
        <v>100</v>
      </c>
      <c r="K1767" s="885">
        <v>100</v>
      </c>
      <c r="L1767" s="179" t="s">
        <v>274</v>
      </c>
      <c r="M1767" s="1028" t="s">
        <v>2107</v>
      </c>
      <c r="N1767" s="1028" t="s">
        <v>2499</v>
      </c>
      <c r="O1767" s="1024">
        <v>4</v>
      </c>
      <c r="P1767" s="1106"/>
    </row>
    <row r="1768" spans="1:16">
      <c r="A1768" s="869">
        <v>9</v>
      </c>
      <c r="B1768" s="882"/>
      <c r="C1768" s="869"/>
      <c r="D1768" s="1119"/>
      <c r="E1768" s="518">
        <v>36</v>
      </c>
      <c r="F1768" s="881" t="s">
        <v>2106</v>
      </c>
      <c r="G1768" s="510" t="s">
        <v>459</v>
      </c>
      <c r="H1768" s="49">
        <f>SUM(H1767)</f>
        <v>124.7</v>
      </c>
      <c r="I1768" s="49">
        <f>SUM(I1767)</f>
        <v>348</v>
      </c>
      <c r="J1768" s="49">
        <f>SUM(J1767)</f>
        <v>100</v>
      </c>
      <c r="K1768" s="49">
        <f>SUM(K1767)</f>
        <v>100</v>
      </c>
      <c r="L1768" s="179"/>
      <c r="M1768" s="1028"/>
      <c r="N1768" s="29"/>
      <c r="O1768" s="174"/>
      <c r="P1768" s="1106"/>
    </row>
    <row r="1769" spans="1:16" ht="22.5">
      <c r="A1769" s="869">
        <v>9</v>
      </c>
      <c r="B1769" s="882"/>
      <c r="C1769" s="869" t="s">
        <v>2108</v>
      </c>
      <c r="D1769" s="40" t="s">
        <v>2109</v>
      </c>
      <c r="E1769" s="414">
        <v>9</v>
      </c>
      <c r="F1769" s="881" t="s">
        <v>2110</v>
      </c>
      <c r="G1769" s="884" t="s">
        <v>193</v>
      </c>
      <c r="H1769" s="43">
        <v>144.6</v>
      </c>
      <c r="I1769" s="89">
        <f>1174-600</f>
        <v>574</v>
      </c>
      <c r="J1769" s="320"/>
      <c r="K1769" s="320"/>
      <c r="L1769" s="179" t="s">
        <v>385</v>
      </c>
      <c r="M1769" s="1028" t="s">
        <v>2111</v>
      </c>
      <c r="N1769" s="1028" t="s">
        <v>1121</v>
      </c>
      <c r="O1769" s="1024">
        <v>100</v>
      </c>
      <c r="P1769" s="1106" t="s">
        <v>275</v>
      </c>
    </row>
    <row r="1770" spans="1:16">
      <c r="A1770" s="869">
        <v>9</v>
      </c>
      <c r="B1770" s="882"/>
      <c r="C1770" s="869"/>
      <c r="D1770" s="40"/>
      <c r="E1770" s="414">
        <v>9</v>
      </c>
      <c r="F1770" s="881" t="s">
        <v>2110</v>
      </c>
      <c r="G1770" s="884" t="s">
        <v>283</v>
      </c>
      <c r="H1770" s="43"/>
      <c r="I1770" s="89"/>
      <c r="J1770" s="320"/>
      <c r="K1770" s="320"/>
      <c r="L1770" s="179"/>
      <c r="M1770" s="1028"/>
      <c r="N1770" s="29"/>
      <c r="O1770" s="174"/>
      <c r="P1770" s="1106"/>
    </row>
    <row r="1771" spans="1:16">
      <c r="A1771" s="869">
        <v>9</v>
      </c>
      <c r="B1771" s="882"/>
      <c r="C1771" s="869"/>
      <c r="D1771" s="40"/>
      <c r="E1771" s="414">
        <v>9</v>
      </c>
      <c r="F1771" s="881" t="s">
        <v>2110</v>
      </c>
      <c r="G1771" s="869" t="s">
        <v>631</v>
      </c>
      <c r="H1771" s="43"/>
      <c r="I1771" s="89">
        <v>200</v>
      </c>
      <c r="J1771" s="320"/>
      <c r="K1771" s="320"/>
      <c r="L1771" s="179" t="s">
        <v>385</v>
      </c>
      <c r="M1771" s="1028"/>
      <c r="N1771" s="29"/>
      <c r="O1771" s="174"/>
      <c r="P1771" s="1106" t="s">
        <v>275</v>
      </c>
    </row>
    <row r="1772" spans="1:16">
      <c r="A1772" s="869">
        <v>9</v>
      </c>
      <c r="B1772" s="882"/>
      <c r="C1772" s="869"/>
      <c r="D1772" s="40"/>
      <c r="E1772" s="414">
        <v>9</v>
      </c>
      <c r="F1772" s="881" t="s">
        <v>2110</v>
      </c>
      <c r="G1772" s="869" t="s">
        <v>381</v>
      </c>
      <c r="H1772" s="43">
        <f>1000+200-1200</f>
        <v>0</v>
      </c>
      <c r="I1772" s="89">
        <f>600</f>
        <v>600</v>
      </c>
      <c r="J1772" s="320"/>
      <c r="K1772" s="320"/>
      <c r="L1772" s="179" t="s">
        <v>385</v>
      </c>
      <c r="M1772" s="1028"/>
      <c r="N1772" s="29"/>
      <c r="O1772" s="174"/>
      <c r="P1772" s="1106" t="s">
        <v>275</v>
      </c>
    </row>
    <row r="1773" spans="1:16">
      <c r="A1773" s="869">
        <v>9</v>
      </c>
      <c r="B1773" s="882"/>
      <c r="C1773" s="869"/>
      <c r="D1773" s="40"/>
      <c r="E1773" s="414">
        <v>9</v>
      </c>
      <c r="F1773" s="881" t="s">
        <v>2110</v>
      </c>
      <c r="G1773" s="884" t="s">
        <v>267</v>
      </c>
      <c r="H1773" s="43">
        <v>492.1</v>
      </c>
      <c r="I1773" s="89">
        <v>1777.9</v>
      </c>
      <c r="J1773" s="194">
        <v>195.3</v>
      </c>
      <c r="K1773" s="320"/>
      <c r="L1773" s="179"/>
      <c r="M1773" s="1028"/>
      <c r="N1773" s="29"/>
      <c r="O1773" s="174"/>
      <c r="P1773" s="1106" t="s">
        <v>275</v>
      </c>
    </row>
    <row r="1774" spans="1:16">
      <c r="A1774" s="869">
        <v>9</v>
      </c>
      <c r="B1774" s="882"/>
      <c r="C1774" s="869"/>
      <c r="D1774" s="40"/>
      <c r="E1774" s="414"/>
      <c r="F1774" s="881" t="s">
        <v>2110</v>
      </c>
      <c r="G1774" s="510" t="s">
        <v>459</v>
      </c>
      <c r="H1774" s="49">
        <f t="shared" ref="H1774:K1774" si="407">SUM(H1769:H1773)</f>
        <v>636.70000000000005</v>
      </c>
      <c r="I1774" s="49">
        <f t="shared" si="407"/>
        <v>3151.9</v>
      </c>
      <c r="J1774" s="49">
        <f t="shared" si="407"/>
        <v>195.3</v>
      </c>
      <c r="K1774" s="49">
        <f t="shared" si="407"/>
        <v>0</v>
      </c>
      <c r="L1774" s="179" t="s">
        <v>385</v>
      </c>
      <c r="M1774" s="1028"/>
      <c r="N1774" s="29"/>
      <c r="O1774" s="174"/>
      <c r="P1774" s="1106"/>
    </row>
    <row r="1775" spans="1:16" ht="47.45" customHeight="1">
      <c r="A1775" s="869">
        <v>9</v>
      </c>
      <c r="B1775" s="882"/>
      <c r="C1775" s="869" t="s">
        <v>2112</v>
      </c>
      <c r="D1775" s="260" t="s">
        <v>2113</v>
      </c>
      <c r="E1775" s="193">
        <v>9</v>
      </c>
      <c r="F1775" s="869" t="s">
        <v>2114</v>
      </c>
      <c r="G1775" s="884" t="s">
        <v>193</v>
      </c>
      <c r="H1775" s="43">
        <v>29.5</v>
      </c>
      <c r="I1775" s="44">
        <v>50</v>
      </c>
      <c r="J1775" s="320">
        <v>50</v>
      </c>
      <c r="K1775" s="320">
        <v>50</v>
      </c>
      <c r="L1775" s="179" t="s">
        <v>262</v>
      </c>
      <c r="M1775" s="1028" t="s">
        <v>2115</v>
      </c>
      <c r="N1775" s="1028" t="s">
        <v>2500</v>
      </c>
      <c r="O1775" s="1024">
        <v>100</v>
      </c>
      <c r="P1775" s="1106"/>
    </row>
    <row r="1776" spans="1:16">
      <c r="A1776" s="869">
        <v>9</v>
      </c>
      <c r="B1776" s="882"/>
      <c r="C1776" s="869"/>
      <c r="D1776" s="260"/>
      <c r="E1776" s="414">
        <v>9</v>
      </c>
      <c r="F1776" s="881" t="s">
        <v>2114</v>
      </c>
      <c r="G1776" s="510" t="s">
        <v>459</v>
      </c>
      <c r="H1776" s="49">
        <f>SUM(H1775)</f>
        <v>29.5</v>
      </c>
      <c r="I1776" s="49">
        <f>SUM(I1775)</f>
        <v>50</v>
      </c>
      <c r="J1776" s="49">
        <f>SUM(J1775)</f>
        <v>50</v>
      </c>
      <c r="K1776" s="49">
        <f>SUM(K1775)</f>
        <v>50</v>
      </c>
      <c r="L1776" s="179"/>
      <c r="M1776" s="1028"/>
      <c r="N1776" s="29"/>
      <c r="O1776" s="174"/>
      <c r="P1776" s="1106"/>
    </row>
    <row r="1777" spans="1:16" ht="22.5">
      <c r="A1777" s="869">
        <v>9</v>
      </c>
      <c r="B1777" s="882"/>
      <c r="C1777" s="869" t="s">
        <v>2116</v>
      </c>
      <c r="D1777" s="508" t="s">
        <v>2117</v>
      </c>
      <c r="E1777" s="505">
        <v>36</v>
      </c>
      <c r="F1777" s="881" t="s">
        <v>2118</v>
      </c>
      <c r="G1777" s="884" t="s">
        <v>193</v>
      </c>
      <c r="H1777" s="43">
        <v>70.099999999999994</v>
      </c>
      <c r="I1777" s="44">
        <v>100</v>
      </c>
      <c r="J1777" s="43">
        <v>100</v>
      </c>
      <c r="K1777" s="43">
        <v>100</v>
      </c>
      <c r="L1777" s="179" t="s">
        <v>274</v>
      </c>
      <c r="M1777" s="1028" t="s">
        <v>2119</v>
      </c>
      <c r="N1777" s="1028" t="s">
        <v>2501</v>
      </c>
      <c r="O1777" s="1024">
        <v>15</v>
      </c>
      <c r="P1777" s="1106"/>
    </row>
    <row r="1778" spans="1:16">
      <c r="A1778" s="869">
        <v>9</v>
      </c>
      <c r="B1778" s="882"/>
      <c r="C1778" s="869"/>
      <c r="D1778" s="508"/>
      <c r="E1778" s="505">
        <v>36</v>
      </c>
      <c r="F1778" s="881" t="s">
        <v>2118</v>
      </c>
      <c r="G1778" s="869" t="s">
        <v>196</v>
      </c>
      <c r="H1778" s="43">
        <v>86.6</v>
      </c>
      <c r="I1778" s="44">
        <v>93</v>
      </c>
      <c r="J1778" s="43">
        <v>93</v>
      </c>
      <c r="K1778" s="43">
        <v>93</v>
      </c>
      <c r="L1778" s="179"/>
      <c r="M1778" s="1028" t="s">
        <v>2119</v>
      </c>
      <c r="N1778" s="29"/>
      <c r="O1778" s="174"/>
      <c r="P1778" s="1106"/>
    </row>
    <row r="1779" spans="1:16">
      <c r="A1779" s="869">
        <v>9</v>
      </c>
      <c r="B1779" s="882"/>
      <c r="C1779" s="869"/>
      <c r="D1779" s="508"/>
      <c r="E1779" s="505">
        <v>36</v>
      </c>
      <c r="F1779" s="881" t="s">
        <v>2118</v>
      </c>
      <c r="G1779" s="869" t="s">
        <v>764</v>
      </c>
      <c r="H1779" s="43"/>
      <c r="I1779" s="44"/>
      <c r="J1779" s="43"/>
      <c r="K1779" s="43"/>
      <c r="L1779" s="179"/>
      <c r="M1779" s="1028" t="s">
        <v>2119</v>
      </c>
      <c r="N1779" s="29"/>
      <c r="O1779" s="174"/>
      <c r="P1779" s="1106"/>
    </row>
    <row r="1780" spans="1:16">
      <c r="A1780" s="869">
        <v>9</v>
      </c>
      <c r="B1780" s="882"/>
      <c r="C1780" s="869"/>
      <c r="D1780" s="508"/>
      <c r="E1780" s="505">
        <v>36</v>
      </c>
      <c r="F1780" s="881" t="s">
        <v>2118</v>
      </c>
      <c r="G1780" s="510" t="s">
        <v>459</v>
      </c>
      <c r="H1780" s="49">
        <f t="shared" ref="H1780:K1780" si="408">SUM(H1777:H1779)</f>
        <v>156.69999999999999</v>
      </c>
      <c r="I1780" s="49">
        <f t="shared" si="408"/>
        <v>193</v>
      </c>
      <c r="J1780" s="49">
        <f t="shared" si="408"/>
        <v>193</v>
      </c>
      <c r="K1780" s="49">
        <f t="shared" si="408"/>
        <v>193</v>
      </c>
      <c r="L1780" s="179"/>
      <c r="M1780" s="1028"/>
      <c r="N1780" s="29"/>
      <c r="O1780" s="174"/>
      <c r="P1780" s="1106"/>
    </row>
    <row r="1781" spans="1:16" ht="15">
      <c r="A1781" s="869">
        <v>9</v>
      </c>
      <c r="B1781" s="882"/>
      <c r="C1781" s="869" t="s">
        <v>2120</v>
      </c>
      <c r="D1781" s="76" t="s">
        <v>2121</v>
      </c>
      <c r="E1781" s="505" t="s">
        <v>64</v>
      </c>
      <c r="F1781" s="881" t="s">
        <v>2122</v>
      </c>
      <c r="G1781" s="884" t="s">
        <v>193</v>
      </c>
      <c r="H1781" s="43">
        <v>8.1</v>
      </c>
      <c r="I1781" s="44">
        <v>75.3</v>
      </c>
      <c r="J1781" s="43">
        <v>75.3</v>
      </c>
      <c r="K1781" s="43">
        <v>75.3</v>
      </c>
      <c r="L1781" s="179" t="s">
        <v>262</v>
      </c>
      <c r="M1781" s="1018"/>
      <c r="N1781" s="29"/>
      <c r="O1781" s="174"/>
      <c r="P1781" s="1109"/>
    </row>
    <row r="1782" spans="1:16">
      <c r="A1782" s="869">
        <v>9</v>
      </c>
      <c r="B1782" s="882"/>
      <c r="C1782" s="869"/>
      <c r="D1782" s="76"/>
      <c r="E1782" s="59">
        <v>18</v>
      </c>
      <c r="F1782" s="869" t="s">
        <v>2122</v>
      </c>
      <c r="G1782" s="884" t="s">
        <v>193</v>
      </c>
      <c r="H1782" s="43">
        <v>214.7</v>
      </c>
      <c r="I1782" s="44">
        <v>50</v>
      </c>
      <c r="J1782" s="42">
        <v>50</v>
      </c>
      <c r="K1782" s="43">
        <v>50</v>
      </c>
      <c r="L1782" s="179" t="s">
        <v>274</v>
      </c>
      <c r="M1782" s="1028" t="s">
        <v>2123</v>
      </c>
      <c r="N1782" s="29" t="s">
        <v>2502</v>
      </c>
      <c r="O1782" s="174">
        <v>1</v>
      </c>
      <c r="P1782" s="1106"/>
    </row>
    <row r="1783" spans="1:16">
      <c r="A1783" s="869">
        <v>9</v>
      </c>
      <c r="B1783" s="882"/>
      <c r="C1783" s="869"/>
      <c r="D1783" s="76"/>
      <c r="E1783" s="505"/>
      <c r="F1783" s="881" t="s">
        <v>2122</v>
      </c>
      <c r="G1783" s="510" t="s">
        <v>459</v>
      </c>
      <c r="H1783" s="49">
        <f>SUM(H1781+H1782)</f>
        <v>222.79999999999998</v>
      </c>
      <c r="I1783" s="49">
        <f>SUM(I1781+I1782)</f>
        <v>125.3</v>
      </c>
      <c r="J1783" s="49">
        <f>SUM(J1781+J1782)</f>
        <v>125.3</v>
      </c>
      <c r="K1783" s="49">
        <f>SUM(K1781+K1782)</f>
        <v>125.3</v>
      </c>
      <c r="L1783" s="179"/>
      <c r="M1783" s="1028"/>
      <c r="N1783" s="29"/>
      <c r="O1783" s="174"/>
      <c r="P1783" s="1106"/>
    </row>
    <row r="1784" spans="1:16" ht="33.75">
      <c r="A1784" s="869">
        <v>9</v>
      </c>
      <c r="B1784" s="882"/>
      <c r="C1784" s="869" t="s">
        <v>2124</v>
      </c>
      <c r="D1784" s="519" t="s">
        <v>2125</v>
      </c>
      <c r="E1784" s="505">
        <v>18</v>
      </c>
      <c r="F1784" s="881" t="s">
        <v>2126</v>
      </c>
      <c r="G1784" s="884" t="s">
        <v>193</v>
      </c>
      <c r="H1784" s="43">
        <v>15.5</v>
      </c>
      <c r="I1784" s="44">
        <v>20</v>
      </c>
      <c r="J1784" s="43">
        <v>20</v>
      </c>
      <c r="K1784" s="43">
        <v>20</v>
      </c>
      <c r="L1784" s="179" t="s">
        <v>262</v>
      </c>
      <c r="M1784" s="1028" t="s">
        <v>2127</v>
      </c>
      <c r="N1784" s="1028" t="s">
        <v>2500</v>
      </c>
      <c r="O1784" s="1024">
        <v>100</v>
      </c>
      <c r="P1784" s="1106"/>
    </row>
    <row r="1785" spans="1:16">
      <c r="A1785" s="869">
        <v>9</v>
      </c>
      <c r="B1785" s="882"/>
      <c r="C1785" s="869"/>
      <c r="D1785" s="519"/>
      <c r="E1785" s="505">
        <v>18</v>
      </c>
      <c r="F1785" s="881" t="s">
        <v>2126</v>
      </c>
      <c r="G1785" s="510" t="s">
        <v>459</v>
      </c>
      <c r="H1785" s="49">
        <f>SUM(H1784)</f>
        <v>15.5</v>
      </c>
      <c r="I1785" s="49">
        <f>SUM(I1784)</f>
        <v>20</v>
      </c>
      <c r="J1785" s="49">
        <f>SUM(J1784)</f>
        <v>20</v>
      </c>
      <c r="K1785" s="49">
        <f>SUM(K1784)</f>
        <v>20</v>
      </c>
      <c r="L1785" s="179"/>
      <c r="M1785" s="1028"/>
      <c r="N1785" s="29"/>
      <c r="O1785" s="174"/>
      <c r="P1785" s="1106"/>
    </row>
    <row r="1786" spans="1:16" ht="22.5">
      <c r="A1786" s="869">
        <v>9</v>
      </c>
      <c r="B1786" s="882"/>
      <c r="C1786" s="869" t="s">
        <v>2128</v>
      </c>
      <c r="D1786" s="40" t="s">
        <v>2129</v>
      </c>
      <c r="E1786" s="505">
        <v>9</v>
      </c>
      <c r="F1786" s="881" t="s">
        <v>2130</v>
      </c>
      <c r="G1786" s="884" t="s">
        <v>193</v>
      </c>
      <c r="H1786" s="43"/>
      <c r="I1786" s="44">
        <v>33</v>
      </c>
      <c r="J1786" s="194">
        <v>100</v>
      </c>
      <c r="K1786" s="320">
        <f>200-200</f>
        <v>0</v>
      </c>
      <c r="L1786" s="179" t="s">
        <v>268</v>
      </c>
      <c r="M1786" s="1028"/>
      <c r="N1786" s="29"/>
      <c r="O1786" s="174"/>
      <c r="P1786" s="1106"/>
    </row>
    <row r="1787" spans="1:16" ht="22.5">
      <c r="A1787" s="869">
        <v>9</v>
      </c>
      <c r="B1787" s="882"/>
      <c r="C1787" s="869"/>
      <c r="D1787" s="40"/>
      <c r="E1787" s="505">
        <v>9</v>
      </c>
      <c r="F1787" s="881" t="s">
        <v>2130</v>
      </c>
      <c r="G1787" s="869" t="s">
        <v>267</v>
      </c>
      <c r="H1787" s="43">
        <v>426.3</v>
      </c>
      <c r="I1787" s="44">
        <f>195.8-150</f>
        <v>45.800000000000011</v>
      </c>
      <c r="J1787" s="194">
        <v>150</v>
      </c>
      <c r="K1787" s="320"/>
      <c r="L1787" s="179"/>
      <c r="M1787" s="1119" t="s">
        <v>2540</v>
      </c>
      <c r="N1787" s="29" t="s">
        <v>2503</v>
      </c>
      <c r="O1787" s="174">
        <v>2</v>
      </c>
      <c r="P1787" s="1110"/>
    </row>
    <row r="1788" spans="1:16">
      <c r="A1788" s="869">
        <v>9</v>
      </c>
      <c r="B1788" s="882"/>
      <c r="C1788" s="869"/>
      <c r="D1788" s="40"/>
      <c r="E1788" s="505">
        <v>9</v>
      </c>
      <c r="F1788" s="881" t="s">
        <v>2130</v>
      </c>
      <c r="G1788" s="510" t="s">
        <v>459</v>
      </c>
      <c r="H1788" s="49">
        <f t="shared" ref="H1788:K1788" si="409">SUM(H1786:H1787)</f>
        <v>426.3</v>
      </c>
      <c r="I1788" s="49">
        <f t="shared" si="409"/>
        <v>78.800000000000011</v>
      </c>
      <c r="J1788" s="49">
        <f t="shared" si="409"/>
        <v>250</v>
      </c>
      <c r="K1788" s="49">
        <f t="shared" si="409"/>
        <v>0</v>
      </c>
      <c r="L1788" s="179"/>
      <c r="M1788" s="1028"/>
      <c r="N1788" s="29"/>
      <c r="O1788" s="174"/>
      <c r="P1788" s="1106"/>
    </row>
    <row r="1789" spans="1:16" ht="22.5">
      <c r="A1789" s="869">
        <v>9</v>
      </c>
      <c r="B1789" s="882"/>
      <c r="C1789" s="1024" t="s">
        <v>2132</v>
      </c>
      <c r="D1789" s="519" t="s">
        <v>2133</v>
      </c>
      <c r="E1789" s="59">
        <v>9</v>
      </c>
      <c r="F1789" s="869" t="s">
        <v>2134</v>
      </c>
      <c r="G1789" s="884" t="s">
        <v>193</v>
      </c>
      <c r="H1789" s="43">
        <v>2.2000000000000002</v>
      </c>
      <c r="I1789" s="897">
        <v>0</v>
      </c>
      <c r="J1789" s="42">
        <f>70+64-50</f>
        <v>84</v>
      </c>
      <c r="K1789" s="42">
        <f>70-5.2</f>
        <v>64.8</v>
      </c>
      <c r="L1789" s="179" t="s">
        <v>274</v>
      </c>
      <c r="M1789" s="1028" t="s">
        <v>2167</v>
      </c>
      <c r="N1789" s="29" t="s">
        <v>2504</v>
      </c>
      <c r="O1789" s="174">
        <v>20</v>
      </c>
      <c r="P1789" s="1106" t="s">
        <v>565</v>
      </c>
    </row>
    <row r="1790" spans="1:16">
      <c r="A1790" s="869">
        <v>9</v>
      </c>
      <c r="B1790" s="889"/>
      <c r="C1790" s="890"/>
      <c r="D1790" s="520"/>
      <c r="E1790" s="896">
        <v>21</v>
      </c>
      <c r="F1790" s="890" t="s">
        <v>682</v>
      </c>
      <c r="G1790" s="869" t="s">
        <v>193</v>
      </c>
      <c r="H1790" s="112"/>
      <c r="I1790" s="897">
        <v>70</v>
      </c>
      <c r="J1790" s="754"/>
      <c r="K1790" s="754"/>
      <c r="L1790" s="179"/>
      <c r="M1790" s="1028" t="s">
        <v>145</v>
      </c>
      <c r="N1790" s="29" t="s">
        <v>2207</v>
      </c>
      <c r="O1790" s="174">
        <v>1</v>
      </c>
      <c r="P1790" s="1106" t="s">
        <v>389</v>
      </c>
    </row>
    <row r="1791" spans="1:16">
      <c r="A1791" s="869">
        <v>9</v>
      </c>
      <c r="B1791" s="889"/>
      <c r="C1791" s="890"/>
      <c r="D1791" s="520"/>
      <c r="E1791" s="896">
        <v>24</v>
      </c>
      <c r="F1791" s="890" t="s">
        <v>682</v>
      </c>
      <c r="G1791" s="869" t="s">
        <v>193</v>
      </c>
      <c r="H1791" s="112"/>
      <c r="I1791" s="897"/>
      <c r="J1791" s="754">
        <v>50</v>
      </c>
      <c r="K1791" s="754"/>
      <c r="L1791" s="179"/>
      <c r="M1791" s="30"/>
      <c r="N1791" s="29"/>
      <c r="O1791" s="174"/>
      <c r="P1791" s="1106" t="s">
        <v>565</v>
      </c>
    </row>
    <row r="1792" spans="1:16">
      <c r="A1792" s="869">
        <v>9</v>
      </c>
      <c r="B1792" s="889"/>
      <c r="C1792" s="890"/>
      <c r="D1792" s="520"/>
      <c r="E1792" s="428"/>
      <c r="F1792" s="868"/>
      <c r="G1792" s="521" t="s">
        <v>459</v>
      </c>
      <c r="H1792" s="522">
        <f>SUM(H1789:H1791)</f>
        <v>2.2000000000000002</v>
      </c>
      <c r="I1792" s="522">
        <f t="shared" ref="I1792:K1792" si="410">SUM(I1789:I1791)</f>
        <v>70</v>
      </c>
      <c r="J1792" s="522">
        <f t="shared" si="410"/>
        <v>134</v>
      </c>
      <c r="K1792" s="522">
        <f t="shared" si="410"/>
        <v>64.8</v>
      </c>
      <c r="L1792" s="179"/>
      <c r="M1792" s="322"/>
      <c r="N1792" s="29"/>
      <c r="O1792" s="174"/>
      <c r="P1792" s="1107"/>
    </row>
    <row r="1793" spans="1:16">
      <c r="A1793" s="869">
        <v>9</v>
      </c>
      <c r="B1793" s="196"/>
      <c r="C1793" s="196"/>
      <c r="D1793" s="338"/>
      <c r="E1793" s="196"/>
      <c r="F1793" s="196"/>
      <c r="G1793" s="120" t="s">
        <v>459</v>
      </c>
      <c r="H1793" s="120">
        <f>SUM(H1521+H1529+H1578+H1707+H1718+H1757)</f>
        <v>21060.100000000006</v>
      </c>
      <c r="I1793" s="120">
        <f>SUM(I1521+I1529+I1578+I1707+I1718+I1757)</f>
        <v>27140.400000000005</v>
      </c>
      <c r="J1793" s="120">
        <f>SUM(J1521+J1529+J1578+J1707+J1718+J1757)</f>
        <v>25230.600000000002</v>
      </c>
      <c r="K1793" s="120">
        <f>SUM(K1521+K1529+K1578+K1707+K1718+K1757)</f>
        <v>25706.71</v>
      </c>
      <c r="L1793" s="523"/>
      <c r="M1793" s="322"/>
      <c r="N1793" s="29"/>
      <c r="O1793" s="174"/>
      <c r="P1793" s="1107"/>
    </row>
    <row r="1794" spans="1:16">
      <c r="A1794" s="869">
        <v>9</v>
      </c>
      <c r="B1794" s="196"/>
      <c r="C1794" s="196"/>
      <c r="D1794" s="338"/>
      <c r="E1794" s="196"/>
      <c r="F1794" s="196"/>
      <c r="G1794" s="59" t="s">
        <v>193</v>
      </c>
      <c r="H1794" s="42">
        <f>SUM(H1519+H1527+H1565+H1706+H1713+H1748)</f>
        <v>17933.200000000004</v>
      </c>
      <c r="I1794" s="44">
        <f>SUM(I1519+I1527+I1565+I1706+I1713+I1748)</f>
        <v>21595.9</v>
      </c>
      <c r="J1794" s="42">
        <f>SUM(J1519+J1527+J1565+J1706+J1713+J1748)</f>
        <v>22877.700000000004</v>
      </c>
      <c r="K1794" s="42">
        <f>SUM(K1519+K1527+K1565+K1706+K1713+K1748)</f>
        <v>23777.699999999997</v>
      </c>
      <c r="L1794" s="264"/>
      <c r="M1794" s="322"/>
      <c r="N1794" s="29"/>
      <c r="O1794" s="174"/>
      <c r="P1794" s="1107"/>
    </row>
    <row r="1795" spans="1:16">
      <c r="A1795" s="869">
        <v>9</v>
      </c>
      <c r="B1795" s="196"/>
      <c r="C1795" s="196"/>
      <c r="D1795" s="338"/>
      <c r="E1795" s="196"/>
      <c r="F1795" s="196"/>
      <c r="G1795" s="41" t="s">
        <v>195</v>
      </c>
      <c r="H1795" s="42">
        <f>SUM(H1520+H1567+H1716+H1754)</f>
        <v>1911.6000000000006</v>
      </c>
      <c r="I1795" s="44">
        <f>SUM(I1520+I1567+I1716+I1754)</f>
        <v>32.799999999999997</v>
      </c>
      <c r="J1795" s="42">
        <f>SUM(J1520+J1567+J1716+J1754)</f>
        <v>24.4</v>
      </c>
      <c r="K1795" s="42">
        <f>SUM(K1520+K1567+K1716+K1754)</f>
        <v>24.4</v>
      </c>
      <c r="L1795" s="264"/>
      <c r="M1795" s="322"/>
      <c r="N1795" s="29"/>
      <c r="O1795" s="174"/>
      <c r="P1795" s="1107"/>
    </row>
    <row r="1796" spans="1:16">
      <c r="A1796" s="869">
        <v>9</v>
      </c>
      <c r="B1796" s="196"/>
      <c r="C1796" s="196"/>
      <c r="D1796" s="338"/>
      <c r="E1796" s="196"/>
      <c r="F1796" s="196"/>
      <c r="G1796" s="59" t="s">
        <v>475</v>
      </c>
      <c r="H1796" s="42">
        <f>SUM(H1568)</f>
        <v>0</v>
      </c>
      <c r="I1796" s="44">
        <f>SUM(I1568)</f>
        <v>1769.5</v>
      </c>
      <c r="J1796" s="42">
        <f>SUM(J1568)</f>
        <v>1771.6</v>
      </c>
      <c r="K1796" s="42">
        <f>SUM(K1568)</f>
        <v>1771.6100000000001</v>
      </c>
      <c r="L1796" s="264"/>
      <c r="M1796" s="322"/>
      <c r="N1796" s="29"/>
      <c r="O1796" s="174"/>
      <c r="P1796" s="1107"/>
    </row>
    <row r="1797" spans="1:16">
      <c r="A1797" s="869">
        <v>9</v>
      </c>
      <c r="B1797" s="196"/>
      <c r="C1797" s="196"/>
      <c r="D1797" s="338"/>
      <c r="E1797" s="196"/>
      <c r="F1797" s="196"/>
      <c r="G1797" s="41" t="s">
        <v>381</v>
      </c>
      <c r="H1797" s="42">
        <f>H1772</f>
        <v>0</v>
      </c>
      <c r="I1797" s="44">
        <f>I1772</f>
        <v>600</v>
      </c>
      <c r="J1797" s="42">
        <f>J1772</f>
        <v>0</v>
      </c>
      <c r="K1797" s="42">
        <f>K1772</f>
        <v>0</v>
      </c>
      <c r="L1797" s="264"/>
      <c r="M1797" s="322"/>
      <c r="N1797" s="29"/>
      <c r="O1797" s="174"/>
      <c r="P1797" s="1107"/>
    </row>
    <row r="1798" spans="1:16">
      <c r="A1798" s="869">
        <v>9</v>
      </c>
      <c r="B1798" s="196"/>
      <c r="C1798" s="196"/>
      <c r="D1798" s="338"/>
      <c r="E1798" s="196"/>
      <c r="F1798" s="196"/>
      <c r="G1798" s="41" t="s">
        <v>379</v>
      </c>
      <c r="H1798" s="42"/>
      <c r="I1798" s="44"/>
      <c r="J1798" s="42"/>
      <c r="K1798" s="42"/>
      <c r="L1798" s="264"/>
      <c r="M1798" s="322"/>
      <c r="N1798" s="29"/>
      <c r="O1798" s="174"/>
      <c r="P1798" s="1107"/>
    </row>
    <row r="1799" spans="1:16">
      <c r="A1799" s="869">
        <v>9</v>
      </c>
      <c r="B1799" s="196"/>
      <c r="C1799" s="196"/>
      <c r="D1799" s="338"/>
      <c r="E1799" s="196"/>
      <c r="F1799" s="196"/>
      <c r="G1799" s="41" t="s">
        <v>196</v>
      </c>
      <c r="H1799" s="42">
        <f>SUM(H1535,H1552,H1554,H1557,H1559,H1778,H1638)</f>
        <v>101.5</v>
      </c>
      <c r="I1799" s="44">
        <f>SUM(I1535,I1552,I1554,I1557,I1559,I1778,I1638)</f>
        <v>111</v>
      </c>
      <c r="J1799" s="42">
        <f>SUM(J1535,J1552,J1554,J1557,J1559,J1778,J1638)</f>
        <v>108.4</v>
      </c>
      <c r="K1799" s="42">
        <f>SUM(K1535,K1552,K1554,K1557,K1559,K1778,K1638)</f>
        <v>108.4</v>
      </c>
      <c r="L1799" s="264"/>
      <c r="M1799" s="322"/>
      <c r="N1799" s="29"/>
      <c r="O1799" s="174"/>
      <c r="P1799" s="1107"/>
    </row>
    <row r="1800" spans="1:16">
      <c r="A1800" s="869">
        <v>9</v>
      </c>
      <c r="B1800" s="196"/>
      <c r="C1800" s="196"/>
      <c r="D1800" s="338"/>
      <c r="E1800" s="196"/>
      <c r="F1800" s="196"/>
      <c r="G1800" s="41" t="s">
        <v>764</v>
      </c>
      <c r="H1800" s="42">
        <f>H1779</f>
        <v>0</v>
      </c>
      <c r="I1800" s="44">
        <f>I1779</f>
        <v>0</v>
      </c>
      <c r="J1800" s="42">
        <f>J1779</f>
        <v>0</v>
      </c>
      <c r="K1800" s="42">
        <f>K1779</f>
        <v>0</v>
      </c>
      <c r="L1800" s="264"/>
      <c r="M1800" s="322"/>
      <c r="N1800" s="29"/>
      <c r="O1800" s="174"/>
      <c r="P1800" s="1107"/>
    </row>
    <row r="1801" spans="1:16">
      <c r="A1801" s="869">
        <v>9</v>
      </c>
      <c r="B1801" s="196"/>
      <c r="C1801" s="196"/>
      <c r="D1801" s="338"/>
      <c r="E1801" s="196"/>
      <c r="F1801" s="196"/>
      <c r="G1801" s="41" t="s">
        <v>1915</v>
      </c>
      <c r="H1801" s="42">
        <f>SUM(H1615)</f>
        <v>7</v>
      </c>
      <c r="I1801" s="44">
        <f>SUM(I1615)</f>
        <v>7.3</v>
      </c>
      <c r="J1801" s="42">
        <f>SUM(J1615)</f>
        <v>7.3</v>
      </c>
      <c r="K1801" s="42">
        <f>SUM(K1615)</f>
        <v>7.3</v>
      </c>
      <c r="L1801" s="264"/>
      <c r="M1801" s="322"/>
      <c r="N1801" s="29"/>
      <c r="O1801" s="174"/>
      <c r="P1801" s="1107"/>
    </row>
    <row r="1802" spans="1:16">
      <c r="A1802" s="869">
        <v>9</v>
      </c>
      <c r="B1802" s="196"/>
      <c r="C1802" s="196"/>
      <c r="D1802" s="338"/>
      <c r="E1802" s="196"/>
      <c r="F1802" s="196"/>
      <c r="G1802" s="41" t="s">
        <v>1917</v>
      </c>
      <c r="H1802" s="42">
        <f>H1616</f>
        <v>7</v>
      </c>
      <c r="I1802" s="44">
        <f>I1616</f>
        <v>7.3</v>
      </c>
      <c r="J1802" s="42">
        <f>J1616</f>
        <v>7.3</v>
      </c>
      <c r="K1802" s="42">
        <f>K1616</f>
        <v>7.3</v>
      </c>
      <c r="L1802" s="264"/>
      <c r="M1802" s="322"/>
      <c r="N1802" s="29"/>
      <c r="O1802" s="174"/>
      <c r="P1802" s="1107"/>
    </row>
    <row r="1803" spans="1:16">
      <c r="A1803" s="869">
        <v>9</v>
      </c>
      <c r="B1803" s="196"/>
      <c r="C1803" s="196"/>
      <c r="D1803" s="338"/>
      <c r="E1803" s="196"/>
      <c r="F1803" s="196"/>
      <c r="G1803" s="41" t="s">
        <v>460</v>
      </c>
      <c r="H1803" s="42"/>
      <c r="I1803" s="44"/>
      <c r="J1803" s="42"/>
      <c r="K1803" s="42"/>
      <c r="L1803" s="264"/>
      <c r="M1803" s="322"/>
      <c r="N1803" s="29"/>
      <c r="O1803" s="174"/>
      <c r="P1803" s="1107"/>
    </row>
    <row r="1804" spans="1:16">
      <c r="A1804" s="869">
        <v>9</v>
      </c>
      <c r="B1804" s="196"/>
      <c r="C1804" s="196"/>
      <c r="D1804" s="338"/>
      <c r="E1804" s="196"/>
      <c r="F1804" s="196"/>
      <c r="G1804" s="41" t="s">
        <v>461</v>
      </c>
      <c r="H1804" s="42">
        <f>SUM(H1724+H1593)</f>
        <v>10.7</v>
      </c>
      <c r="I1804" s="44">
        <f>SUM(I1724+I1593)</f>
        <v>10</v>
      </c>
      <c r="J1804" s="42">
        <f>SUM(J1724+J1593)</f>
        <v>10</v>
      </c>
      <c r="K1804" s="42">
        <f>SUM(K1724+K1593)</f>
        <v>10</v>
      </c>
      <c r="L1804" s="264"/>
      <c r="M1804" s="322"/>
      <c r="N1804" s="29"/>
      <c r="O1804" s="174"/>
      <c r="P1804" s="1107"/>
    </row>
    <row r="1805" spans="1:16">
      <c r="A1805" s="869">
        <v>9</v>
      </c>
      <c r="B1805" s="196"/>
      <c r="C1805" s="196"/>
      <c r="D1805" s="338"/>
      <c r="E1805" s="196"/>
      <c r="F1805" s="196"/>
      <c r="G1805" s="196" t="s">
        <v>631</v>
      </c>
      <c r="H1805" s="42">
        <f>SUM(H1762,H1771)</f>
        <v>0</v>
      </c>
      <c r="I1805" s="44">
        <f>SUM(I1762,I1771)</f>
        <v>200</v>
      </c>
      <c r="J1805" s="42">
        <f>SUM(J1762,J1771)</f>
        <v>0</v>
      </c>
      <c r="K1805" s="42">
        <f>SUM(K1762,K1771)</f>
        <v>0</v>
      </c>
      <c r="L1805" s="264"/>
      <c r="M1805" s="322"/>
      <c r="N1805" s="29"/>
      <c r="O1805" s="174"/>
      <c r="P1805" s="1107"/>
    </row>
    <row r="1806" spans="1:16">
      <c r="A1806" s="869">
        <v>9</v>
      </c>
      <c r="B1806" s="196"/>
      <c r="C1806" s="196"/>
      <c r="D1806" s="338"/>
      <c r="E1806" s="196"/>
      <c r="F1806" s="196"/>
      <c r="G1806" s="193" t="s">
        <v>2100</v>
      </c>
      <c r="H1806" s="42">
        <f>H1763</f>
        <v>24</v>
      </c>
      <c r="I1806" s="44">
        <f>I1763</f>
        <v>5</v>
      </c>
      <c r="J1806" s="42">
        <f>J1763</f>
        <v>0</v>
      </c>
      <c r="K1806" s="42">
        <f>K1763</f>
        <v>0</v>
      </c>
      <c r="L1806" s="264"/>
      <c r="M1806" s="322"/>
      <c r="N1806" s="29"/>
      <c r="O1806" s="174"/>
      <c r="P1806" s="1107"/>
    </row>
    <row r="1807" spans="1:16">
      <c r="A1807" s="869">
        <v>9</v>
      </c>
      <c r="B1807" s="196"/>
      <c r="C1807" s="196"/>
      <c r="D1807" s="338"/>
      <c r="E1807" s="196"/>
      <c r="F1807" s="196"/>
      <c r="G1807" s="196" t="s">
        <v>686</v>
      </c>
      <c r="H1807" s="42"/>
      <c r="I1807" s="44"/>
      <c r="J1807" s="42"/>
      <c r="K1807" s="42"/>
      <c r="L1807" s="264"/>
      <c r="M1807" s="322"/>
      <c r="N1807" s="29"/>
      <c r="O1807" s="174"/>
      <c r="P1807" s="1107"/>
    </row>
    <row r="1808" spans="1:16">
      <c r="A1808" s="869">
        <v>9</v>
      </c>
      <c r="B1808" s="196"/>
      <c r="C1808" s="196"/>
      <c r="D1808" s="338"/>
      <c r="E1808" s="196"/>
      <c r="F1808" s="196"/>
      <c r="G1808" s="41" t="s">
        <v>267</v>
      </c>
      <c r="H1808" s="42">
        <f>SUM(H1787,H1698,H1695,H1743,H1703,H1773)</f>
        <v>979.90000000000009</v>
      </c>
      <c r="I1808" s="44">
        <f>SUM(I1787,I1698,I1695,I1743,I1703,I1773)</f>
        <v>1917.9</v>
      </c>
      <c r="J1808" s="42">
        <f>SUM(J1787,J1698,J1695,J1743,J1703,J1773)</f>
        <v>408.1</v>
      </c>
      <c r="K1808" s="42">
        <f>SUM(K1787,K1698,K1695,K1743,K1703,K1773)</f>
        <v>0</v>
      </c>
      <c r="L1808" s="264"/>
      <c r="M1808" s="322"/>
      <c r="N1808" s="29"/>
      <c r="O1808" s="174"/>
      <c r="P1808" s="1107"/>
    </row>
    <row r="1809" spans="1:16">
      <c r="A1809" s="869">
        <v>9</v>
      </c>
      <c r="B1809" s="196"/>
      <c r="C1809" s="196"/>
      <c r="D1809" s="338"/>
      <c r="E1809" s="196"/>
      <c r="F1809" s="196"/>
      <c r="G1809" s="41" t="s">
        <v>269</v>
      </c>
      <c r="H1809" s="42">
        <f>SUM(H1575)</f>
        <v>15.5</v>
      </c>
      <c r="I1809" s="44">
        <f>SUM(I1575)</f>
        <v>15.799999999999999</v>
      </c>
      <c r="J1809" s="42">
        <f>SUM(J1575)</f>
        <v>15.799999999999999</v>
      </c>
      <c r="K1809" s="42">
        <f>SUM(K1575)</f>
        <v>0</v>
      </c>
      <c r="L1809" s="264"/>
      <c r="M1809" s="322"/>
      <c r="N1809" s="29"/>
      <c r="O1809" s="174"/>
      <c r="P1809" s="1107"/>
    </row>
    <row r="1810" spans="1:16">
      <c r="A1810" s="869">
        <v>9</v>
      </c>
      <c r="B1810" s="196"/>
      <c r="C1810" s="196"/>
      <c r="D1810" s="338"/>
      <c r="E1810" s="196"/>
      <c r="F1810" s="196"/>
      <c r="G1810" s="41" t="s">
        <v>283</v>
      </c>
      <c r="H1810" s="42">
        <f>SUM(H1731,H1770)</f>
        <v>69</v>
      </c>
      <c r="I1810" s="44">
        <f>SUM(I1731,I1770)</f>
        <v>460.8</v>
      </c>
      <c r="J1810" s="42">
        <f>SUM(J1731,J1770)</f>
        <v>0</v>
      </c>
      <c r="K1810" s="42">
        <f>SUM(K1731,K1770)</f>
        <v>0</v>
      </c>
      <c r="L1810" s="264"/>
      <c r="M1810" s="322"/>
      <c r="N1810" s="29"/>
      <c r="O1810" s="174"/>
      <c r="P1810" s="1107"/>
    </row>
    <row r="1811" spans="1:16">
      <c r="A1811" s="869">
        <v>9</v>
      </c>
      <c r="B1811" s="196"/>
      <c r="C1811" s="196"/>
      <c r="D1811" s="338"/>
      <c r="E1811" s="196"/>
      <c r="F1811" s="196"/>
      <c r="G1811" s="41" t="s">
        <v>197</v>
      </c>
      <c r="H1811" s="42">
        <f>SUM(H1571)</f>
        <v>0.7</v>
      </c>
      <c r="I1811" s="44">
        <f>SUM(I1571)</f>
        <v>0</v>
      </c>
      <c r="J1811" s="42">
        <f>SUM(J1571)</f>
        <v>0</v>
      </c>
      <c r="K1811" s="42">
        <f>SUM(K1571)</f>
        <v>0</v>
      </c>
      <c r="L1811" s="264"/>
      <c r="M1811" s="322"/>
      <c r="N1811" s="29"/>
      <c r="O1811" s="174"/>
      <c r="P1811" s="1107"/>
    </row>
    <row r="1812" spans="1:16">
      <c r="A1812" s="869">
        <v>9</v>
      </c>
      <c r="B1812" s="196"/>
      <c r="C1812" s="196"/>
      <c r="D1812" s="338"/>
      <c r="E1812" s="196"/>
      <c r="F1812" s="196"/>
      <c r="G1812" s="41" t="s">
        <v>876</v>
      </c>
      <c r="H1812" s="42"/>
      <c r="I1812" s="44"/>
      <c r="J1812" s="42"/>
      <c r="K1812" s="42"/>
      <c r="L1812" s="264"/>
      <c r="M1812" s="322"/>
      <c r="N1812" s="29"/>
      <c r="O1812" s="174"/>
      <c r="P1812" s="1107"/>
    </row>
    <row r="1813" spans="1:16">
      <c r="A1813" s="869">
        <v>9</v>
      </c>
      <c r="B1813" s="196"/>
      <c r="C1813" s="196"/>
      <c r="D1813" s="338"/>
      <c r="E1813" s="196"/>
      <c r="F1813" s="196"/>
      <c r="G1813" s="59" t="s">
        <v>1652</v>
      </c>
      <c r="H1813" s="42">
        <f>H1613</f>
        <v>0</v>
      </c>
      <c r="I1813" s="44">
        <f>I1613</f>
        <v>407.1</v>
      </c>
      <c r="J1813" s="42">
        <f>J1613</f>
        <v>0</v>
      </c>
      <c r="K1813" s="42">
        <f>K1613</f>
        <v>0</v>
      </c>
      <c r="L1813" s="264"/>
      <c r="M1813" s="329"/>
      <c r="N1813" s="329"/>
      <c r="O1813" s="329"/>
      <c r="P1813" s="1014"/>
    </row>
    <row r="1814" spans="1:16">
      <c r="A1814" s="869">
        <v>9</v>
      </c>
      <c r="B1814" s="196"/>
      <c r="C1814" s="196"/>
      <c r="D1814" s="338"/>
      <c r="E1814" s="196"/>
      <c r="F1814" s="196"/>
      <c r="G1814" s="120" t="s">
        <v>459</v>
      </c>
      <c r="H1814" s="120">
        <f t="shared" ref="H1814:K1814" si="411">SUM(H1794:H1813)</f>
        <v>21060.100000000009</v>
      </c>
      <c r="I1814" s="120">
        <f t="shared" si="411"/>
        <v>27140.399999999998</v>
      </c>
      <c r="J1814" s="120">
        <f t="shared" si="411"/>
        <v>25230.600000000002</v>
      </c>
      <c r="K1814" s="120">
        <f t="shared" si="411"/>
        <v>25706.71</v>
      </c>
      <c r="L1814" s="523"/>
      <c r="M1814" s="329"/>
      <c r="N1814" s="329"/>
      <c r="O1814" s="329"/>
      <c r="P1814" s="1014"/>
    </row>
    <row r="1815" spans="1:16" ht="12.75" customHeight="1">
      <c r="A1815" s="179"/>
      <c r="B1815" s="179"/>
      <c r="C1815" s="179"/>
      <c r="D1815" s="313"/>
      <c r="E1815" s="179"/>
      <c r="F1815" s="179"/>
      <c r="G1815" s="524"/>
      <c r="H1815" s="525">
        <f t="shared" ref="H1815:K1815" si="412">H1793-H1814</f>
        <v>0</v>
      </c>
      <c r="I1815" s="525">
        <f t="shared" si="412"/>
        <v>0</v>
      </c>
      <c r="J1815" s="525">
        <f t="shared" si="412"/>
        <v>0</v>
      </c>
      <c r="K1815" s="525">
        <f t="shared" si="412"/>
        <v>0</v>
      </c>
      <c r="L1815" s="525"/>
      <c r="M1815" s="182"/>
      <c r="N1815" s="182"/>
      <c r="O1815" s="182"/>
      <c r="P1815" s="511"/>
    </row>
    <row r="1816" spans="1:16" ht="12.75" customHeight="1">
      <c r="I1816" s="1113"/>
      <c r="J1816" s="1113"/>
    </row>
  </sheetData>
  <sheetProtection formatCells="0" formatColumns="0" formatRows="0" insertColumns="0" insertRows="0" sort="0" autoFilter="0"/>
  <protectedRanges>
    <protectedRange sqref="M310:M314" name="Diapazonas1_2"/>
  </protectedRanges>
  <autoFilter ref="A3:P391" xr:uid="{00000000-0009-0000-0000-00000E000000}"/>
  <mergeCells count="107">
    <mergeCell ref="D1:G1"/>
    <mergeCell ref="A3:A4"/>
    <mergeCell ref="B3:B4"/>
    <mergeCell ref="C3:C4"/>
    <mergeCell ref="D3:D4"/>
    <mergeCell ref="E3:E4"/>
    <mergeCell ref="F3:F4"/>
    <mergeCell ref="G3:G4"/>
    <mergeCell ref="D127:D134"/>
    <mergeCell ref="D135:D142"/>
    <mergeCell ref="D151:D158"/>
    <mergeCell ref="P3:P4"/>
    <mergeCell ref="D24:D31"/>
    <mergeCell ref="D119:D126"/>
    <mergeCell ref="D32:D39"/>
    <mergeCell ref="D40:D47"/>
    <mergeCell ref="D48:D55"/>
    <mergeCell ref="D56:D63"/>
    <mergeCell ref="D64:D71"/>
    <mergeCell ref="D72:D79"/>
    <mergeCell ref="D80:D87"/>
    <mergeCell ref="D88:D94"/>
    <mergeCell ref="D95:D102"/>
    <mergeCell ref="D103:D110"/>
    <mergeCell ref="D111:D118"/>
    <mergeCell ref="H4:I4"/>
    <mergeCell ref="D8:D15"/>
    <mergeCell ref="D469:D470"/>
    <mergeCell ref="D472:D475"/>
    <mergeCell ref="D477:D479"/>
    <mergeCell ref="D490:D492"/>
    <mergeCell ref="D494:D495"/>
    <mergeCell ref="O1:P1"/>
    <mergeCell ref="D405:D406"/>
    <mergeCell ref="D415:D416"/>
    <mergeCell ref="D422:D424"/>
    <mergeCell ref="D460:D461"/>
    <mergeCell ref="D159:D165"/>
    <mergeCell ref="D338:D339"/>
    <mergeCell ref="D183:D185"/>
    <mergeCell ref="D196:D200"/>
    <mergeCell ref="D210:D211"/>
    <mergeCell ref="D334:D336"/>
    <mergeCell ref="D172:D177"/>
    <mergeCell ref="D168:D171"/>
    <mergeCell ref="D243:D246"/>
    <mergeCell ref="D223:D224"/>
    <mergeCell ref="D226:D230"/>
    <mergeCell ref="D231:D235"/>
    <mergeCell ref="D16:D23"/>
    <mergeCell ref="D143:D150"/>
    <mergeCell ref="M853:M855"/>
    <mergeCell ref="D858:D859"/>
    <mergeCell ref="D705:D710"/>
    <mergeCell ref="D775:D778"/>
    <mergeCell ref="D780:D782"/>
    <mergeCell ref="D820:D823"/>
    <mergeCell ref="D853:D856"/>
    <mergeCell ref="D497:D499"/>
    <mergeCell ref="D529:D530"/>
    <mergeCell ref="D531:D532"/>
    <mergeCell ref="D569:D573"/>
    <mergeCell ref="D665:D667"/>
    <mergeCell ref="D1096:D1098"/>
    <mergeCell ref="D1099:D1102"/>
    <mergeCell ref="D1103:D1104"/>
    <mergeCell ref="D1105:D1106"/>
    <mergeCell ref="D1107:D1108"/>
    <mergeCell ref="D1050:D1051"/>
    <mergeCell ref="D1052:D1053"/>
    <mergeCell ref="D1057:D1058"/>
    <mergeCell ref="D1065:D1067"/>
    <mergeCell ref="D1078:D1080"/>
    <mergeCell ref="D1120:D1121"/>
    <mergeCell ref="D1122:D1123"/>
    <mergeCell ref="D1124:D1127"/>
    <mergeCell ref="D1128:D1129"/>
    <mergeCell ref="D1130:D1133"/>
    <mergeCell ref="D1109:D1110"/>
    <mergeCell ref="D1111:D1112"/>
    <mergeCell ref="D1113:D1114"/>
    <mergeCell ref="D1115:D1116"/>
    <mergeCell ref="D1117:D1118"/>
    <mergeCell ref="D1416:D1417"/>
    <mergeCell ref="D1419:D1420"/>
    <mergeCell ref="D1264:D1265"/>
    <mergeCell ref="D1290:D1291"/>
    <mergeCell ref="D1292:D1293"/>
    <mergeCell ref="D1299:D1301"/>
    <mergeCell ref="D1033:D1034"/>
    <mergeCell ref="D1041:D1042"/>
    <mergeCell ref="D1043:D1047"/>
    <mergeCell ref="D1247:D1250"/>
    <mergeCell ref="D1251:D1254"/>
    <mergeCell ref="D1255:D1256"/>
    <mergeCell ref="D1257:D1258"/>
    <mergeCell ref="D1259:D1260"/>
    <mergeCell ref="D1148:D1149"/>
    <mergeCell ref="D1169:D1170"/>
    <mergeCell ref="D1172:D1173"/>
    <mergeCell ref="D1226:D1227"/>
    <mergeCell ref="D1245:D1246"/>
    <mergeCell ref="D1134:D1135"/>
    <mergeCell ref="D1136:D1137"/>
    <mergeCell ref="D1138:D1142"/>
    <mergeCell ref="D1143:D1144"/>
    <mergeCell ref="D1146:D1147"/>
  </mergeCells>
  <pageMargins left="0.23622047244094491" right="0.56818181818181823" top="0.74803149606299213" bottom="0.74803149606299213" header="0.31496062992125984" footer="0.31496062992125984"/>
  <pageSetup paperSize="9" scale="66" fitToHeight="0" orientation="portrait" horizontalDpi="4294967293" verticalDpi="4294967293" r:id="rId1"/>
  <headerFooter alignWithMargins="0">
    <oddHeader>&amp;C&amp;P</oddHeader>
  </headerFooter>
  <ignoredErrors>
    <ignoredError sqref="E339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4CF97-AA3D-4479-8C3D-353365467877}">
  <dimension ref="B2:L20"/>
  <sheetViews>
    <sheetView workbookViewId="0">
      <selection activeCell="M348" sqref="M348"/>
    </sheetView>
  </sheetViews>
  <sheetFormatPr defaultRowHeight="12.75"/>
  <cols>
    <col min="2" max="2" width="27.42578125" customWidth="1"/>
    <col min="3" max="3" width="21.7109375" customWidth="1"/>
    <col min="4" max="4" width="15.42578125" customWidth="1"/>
    <col min="5" max="5" width="12.85546875" customWidth="1"/>
    <col min="6" max="6" width="11" customWidth="1"/>
    <col min="7" max="7" width="12.5703125" customWidth="1"/>
    <col min="11" max="11" width="27.5703125" customWidth="1"/>
    <col min="12" max="12" width="26.85546875" customWidth="1"/>
  </cols>
  <sheetData>
    <row r="2" spans="2:12" ht="12.75" customHeight="1">
      <c r="B2" s="1202" t="s">
        <v>2135</v>
      </c>
      <c r="C2" s="1202" t="s">
        <v>2136</v>
      </c>
      <c r="D2" s="736" t="s">
        <v>2137</v>
      </c>
      <c r="E2" s="737" t="s">
        <v>829</v>
      </c>
      <c r="F2" s="1208" t="s">
        <v>2138</v>
      </c>
      <c r="G2" s="1205"/>
    </row>
    <row r="3" spans="2:12" ht="12.75" customHeight="1">
      <c r="B3" s="1206"/>
      <c r="C3" s="1206"/>
      <c r="D3" s="1209" t="s">
        <v>2139</v>
      </c>
      <c r="E3" s="738" t="s">
        <v>2140</v>
      </c>
      <c r="F3" s="739" t="s">
        <v>2141</v>
      </c>
      <c r="G3" s="740" t="s">
        <v>1038</v>
      </c>
      <c r="K3" s="1211" t="s">
        <v>2142</v>
      </c>
      <c r="L3" s="1202" t="s">
        <v>2143</v>
      </c>
    </row>
    <row r="4" spans="2:12" ht="30">
      <c r="B4" s="1207"/>
      <c r="C4" s="1207"/>
      <c r="D4" s="1210"/>
      <c r="E4" s="741" t="s">
        <v>2144</v>
      </c>
      <c r="F4" s="1204">
        <v>2026</v>
      </c>
      <c r="G4" s="1205"/>
      <c r="K4" s="1210"/>
      <c r="L4" s="1203"/>
    </row>
    <row r="5" spans="2:12" ht="18.75">
      <c r="B5" s="742">
        <v>1</v>
      </c>
      <c r="C5" s="743" t="s">
        <v>415</v>
      </c>
      <c r="D5" s="744">
        <v>1123</v>
      </c>
      <c r="E5" s="745">
        <v>54.68</v>
      </c>
      <c r="F5" s="746">
        <v>3.28</v>
      </c>
      <c r="G5" s="747">
        <v>63.9</v>
      </c>
      <c r="K5" s="748">
        <v>1133</v>
      </c>
      <c r="L5" s="749">
        <v>1130</v>
      </c>
    </row>
    <row r="6" spans="2:12" ht="18.75">
      <c r="B6" s="742">
        <v>2</v>
      </c>
      <c r="C6" s="743" t="s">
        <v>687</v>
      </c>
      <c r="D6" s="748">
        <v>5539</v>
      </c>
      <c r="E6" s="745">
        <v>73.319999999999993</v>
      </c>
      <c r="F6" s="746">
        <v>7.02</v>
      </c>
      <c r="G6" s="747">
        <v>136.80000000000001</v>
      </c>
      <c r="K6" s="748">
        <v>5420</v>
      </c>
      <c r="L6" s="749">
        <v>5340</v>
      </c>
    </row>
    <row r="7" spans="2:12" ht="18.75">
      <c r="B7" s="742">
        <v>3</v>
      </c>
      <c r="C7" s="743" t="s">
        <v>389</v>
      </c>
      <c r="D7" s="748">
        <v>6940</v>
      </c>
      <c r="E7" s="745">
        <v>118.82</v>
      </c>
      <c r="F7" s="746">
        <v>10.050000000000001</v>
      </c>
      <c r="G7" s="747">
        <v>195.9</v>
      </c>
      <c r="K7" s="748">
        <v>6841</v>
      </c>
      <c r="L7" s="749">
        <v>6760</v>
      </c>
    </row>
    <row r="8" spans="2:12" ht="18.75">
      <c r="B8" s="742">
        <v>4</v>
      </c>
      <c r="C8" s="743" t="s">
        <v>458</v>
      </c>
      <c r="D8" s="748">
        <v>1361</v>
      </c>
      <c r="E8" s="745">
        <v>79.489999999999995</v>
      </c>
      <c r="F8" s="746">
        <v>4.58</v>
      </c>
      <c r="G8" s="747">
        <v>89.4</v>
      </c>
      <c r="K8" s="744">
        <v>1358</v>
      </c>
      <c r="L8" s="749">
        <v>1364</v>
      </c>
    </row>
    <row r="9" spans="2:12" ht="18.75">
      <c r="B9" s="742">
        <v>5</v>
      </c>
      <c r="C9" s="743" t="s">
        <v>275</v>
      </c>
      <c r="D9" s="748">
        <v>15498</v>
      </c>
      <c r="E9" s="745">
        <v>63.43</v>
      </c>
      <c r="F9" s="746">
        <v>13.04</v>
      </c>
      <c r="G9" s="747">
        <v>254.3</v>
      </c>
      <c r="K9" s="744">
        <v>15369</v>
      </c>
      <c r="L9" s="749">
        <v>15613</v>
      </c>
    </row>
    <row r="10" spans="2:12" ht="18.75">
      <c r="B10" s="742">
        <v>6</v>
      </c>
      <c r="C10" s="743" t="s">
        <v>565</v>
      </c>
      <c r="D10" s="744">
        <v>565</v>
      </c>
      <c r="E10" s="745">
        <v>41.82</v>
      </c>
      <c r="F10" s="746">
        <v>2.31</v>
      </c>
      <c r="G10" s="747">
        <v>45.1</v>
      </c>
      <c r="K10" s="744">
        <v>579</v>
      </c>
      <c r="L10" s="749">
        <v>580</v>
      </c>
    </row>
    <row r="11" spans="2:12" ht="18.75">
      <c r="B11" s="742">
        <v>7</v>
      </c>
      <c r="C11" s="743" t="s">
        <v>429</v>
      </c>
      <c r="D11" s="748">
        <v>6598</v>
      </c>
      <c r="E11" s="745">
        <v>120.74</v>
      </c>
      <c r="F11" s="746">
        <v>9.91</v>
      </c>
      <c r="G11" s="747">
        <v>193.3</v>
      </c>
      <c r="K11" s="744">
        <v>6512</v>
      </c>
      <c r="L11" s="749">
        <v>6520</v>
      </c>
    </row>
    <row r="12" spans="2:12" ht="18.75">
      <c r="B12" s="742">
        <v>8</v>
      </c>
      <c r="C12" s="743" t="s">
        <v>392</v>
      </c>
      <c r="D12" s="748">
        <v>11060</v>
      </c>
      <c r="E12" s="745">
        <v>143.26</v>
      </c>
      <c r="F12" s="746">
        <v>13.87</v>
      </c>
      <c r="G12" s="747">
        <v>270.39999999999998</v>
      </c>
      <c r="K12" s="744">
        <v>10830</v>
      </c>
      <c r="L12" s="749">
        <v>10866</v>
      </c>
    </row>
    <row r="13" spans="2:12" ht="18.75">
      <c r="B13" s="742">
        <v>9</v>
      </c>
      <c r="C13" s="743" t="s">
        <v>386</v>
      </c>
      <c r="D13" s="748">
        <v>21086</v>
      </c>
      <c r="E13" s="745">
        <v>94.27</v>
      </c>
      <c r="F13" s="746">
        <v>18.11</v>
      </c>
      <c r="G13" s="747">
        <v>353.2</v>
      </c>
      <c r="K13" s="744">
        <v>20131</v>
      </c>
      <c r="L13" s="749">
        <v>20200</v>
      </c>
    </row>
    <row r="14" spans="2:12" ht="18.75">
      <c r="B14" s="742">
        <v>10</v>
      </c>
      <c r="C14" s="743" t="s">
        <v>399</v>
      </c>
      <c r="D14" s="744">
        <v>2583</v>
      </c>
      <c r="E14" s="745">
        <v>127.62</v>
      </c>
      <c r="F14" s="746">
        <v>7.62</v>
      </c>
      <c r="G14" s="747">
        <v>148.6</v>
      </c>
      <c r="K14" s="744">
        <v>2590</v>
      </c>
      <c r="L14" s="749">
        <v>2596</v>
      </c>
    </row>
    <row r="15" spans="2:12" ht="18.75">
      <c r="B15" s="742">
        <v>11</v>
      </c>
      <c r="C15" s="743" t="s">
        <v>419</v>
      </c>
      <c r="D15" s="744">
        <v>4457</v>
      </c>
      <c r="E15" s="745">
        <v>157.01</v>
      </c>
      <c r="F15" s="746">
        <v>10.210000000000001</v>
      </c>
      <c r="G15" s="747">
        <v>199.1</v>
      </c>
      <c r="K15" s="744">
        <v>4481</v>
      </c>
      <c r="L15" s="749">
        <v>4501</v>
      </c>
    </row>
    <row r="16" spans="2:12" ht="18.75">
      <c r="B16" s="750" t="s">
        <v>2145</v>
      </c>
      <c r="C16" s="746" t="s">
        <v>829</v>
      </c>
      <c r="D16" s="751">
        <v>76810</v>
      </c>
      <c r="E16" s="751">
        <v>1074.45</v>
      </c>
      <c r="F16" s="747">
        <v>100</v>
      </c>
      <c r="G16" s="752">
        <v>1950</v>
      </c>
      <c r="K16" s="751">
        <v>75244</v>
      </c>
      <c r="L16" s="753">
        <v>75470</v>
      </c>
    </row>
    <row r="20" spans="7:7">
      <c r="G20" t="s">
        <v>2146</v>
      </c>
    </row>
  </sheetData>
  <mergeCells count="7">
    <mergeCell ref="L3:L4"/>
    <mergeCell ref="F4:G4"/>
    <mergeCell ref="B2:B4"/>
    <mergeCell ref="C2:C4"/>
    <mergeCell ref="F2:G2"/>
    <mergeCell ref="D3:D4"/>
    <mergeCell ref="K3:K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119a47f-a1ee-4a22-aed0-d526b74a3a21" xsi:nil="true"/>
    <lcf76f155ced4ddcb4097134ff3c332f xmlns="c1735d09-ccc3-416e-be48-3def7266d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58D5FAAB477BF468E1B678AF7DA70DA" ma:contentTypeVersion="14" ma:contentTypeDescription="Kurkite naują dokumentą." ma:contentTypeScope="" ma:versionID="1a386257f634c20a4989fa686039dd4b">
  <xsd:schema xmlns:xsd="http://www.w3.org/2001/XMLSchema" xmlns:xs="http://www.w3.org/2001/XMLSchema" xmlns:p="http://schemas.microsoft.com/office/2006/metadata/properties" xmlns:ns2="c1735d09-ccc3-416e-be48-3def7266d969" xmlns:ns3="3119a47f-a1ee-4a22-aed0-d526b74a3a21" targetNamespace="http://schemas.microsoft.com/office/2006/metadata/properties" ma:root="true" ma:fieldsID="8fe9ba78bb0fe40cebaec2f9e5bc9dea" ns2:_="" ns3:_="">
    <xsd:import namespace="c1735d09-ccc3-416e-be48-3def7266d969"/>
    <xsd:import namespace="3119a47f-a1ee-4a22-aed0-d526b74a3a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735d09-ccc3-416e-be48-3def7266d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Vaizdų žymės" ma:readOnly="false" ma:fieldId="{5cf76f15-5ced-4ddc-b409-7134ff3c332f}" ma:taxonomyMulti="true" ma:sspId="38eb848d-185e-46c3-aee5-c3b30c0804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19a47f-a1ee-4a22-aed0-d526b74a3a2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79cb7a69-fa63-470d-8f45-0783ac6fe180}" ma:internalName="TaxCatchAll" ma:showField="CatchAllData" ma:web="3119a47f-a1ee-4a22-aed0-d526b74a3a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E0EC5D-CB5B-4151-A358-15552087EB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ECFB30-8A83-4524-94C7-07DD5539F1AD}">
  <ds:schemaRefs>
    <ds:schemaRef ds:uri="http://schemas.microsoft.com/office/2006/metadata/properties"/>
    <ds:schemaRef ds:uri="http://schemas.microsoft.com/office/infopath/2007/PartnerControls"/>
    <ds:schemaRef ds:uri="3119a47f-a1ee-4a22-aed0-d526b74a3a21"/>
    <ds:schemaRef ds:uri="c1735d09-ccc3-416e-be48-3def7266d969"/>
  </ds:schemaRefs>
</ds:datastoreItem>
</file>

<file path=customXml/itemProps3.xml><?xml version="1.0" encoding="utf-8"?>
<ds:datastoreItem xmlns:ds="http://schemas.openxmlformats.org/officeDocument/2006/customXml" ds:itemID="{5FC0DAAD-98D9-4F44-8C03-D8E789826F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735d09-ccc3-416e-be48-3def7266d969"/>
    <ds:schemaRef ds:uri="3119a47f-a1ee-4a22-aed0-d526b74a3a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Vykd </vt:lpstr>
      <vt:lpstr>Det</vt:lpstr>
      <vt:lpstr>Skaičiuoklė</vt:lpstr>
      <vt:lpstr>Det!Print_Area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Vaida Čedavičienė</dc:creator>
  <cp:keywords/>
  <dc:description/>
  <cp:lastModifiedBy>Vaida Čedavičienė</cp:lastModifiedBy>
  <cp:revision/>
  <cp:lastPrinted>2026-03-12T17:53:16Z</cp:lastPrinted>
  <dcterms:created xsi:type="dcterms:W3CDTF">2025-10-15T08:24:45Z</dcterms:created>
  <dcterms:modified xsi:type="dcterms:W3CDTF">2026-03-30T06:22:28Z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0x010100C58D5FAAB477BF468E1B678AF7DA70DA</vt:lpwstr>
  </property>
  <property fmtid="{D5CDD505-2E9C-101B-9397-08002B2CF9AE}" pid="3" name="MediaServiceImageTags">
    <vt:lpwstr/>
  </property>
</Properties>
</file>